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drawings/drawing3.xml" ContentType="application/vnd.openxmlformats-officedocument.drawing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drawings/drawing4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Drive\로아 자료\"/>
    </mc:Choice>
  </mc:AlternateContent>
  <xr:revisionPtr revIDLastSave="0" documentId="13_ncr:1_{CD5F442B-6796-4897-9E6F-EFFBF765A157}" xr6:coauthVersionLast="47" xr6:coauthVersionMax="47" xr10:uidLastSave="{00000000-0000-0000-0000-000000000000}"/>
  <bookViews>
    <workbookView xWindow="-120" yWindow="-120" windowWidth="29040" windowHeight="15840" activeTab="4" xr2:uid="{C853277B-F44C-4B07-A8F3-BB8831C785B9}"/>
  </bookViews>
  <sheets>
    <sheet name="바속빠준" sheetId="3" r:id="rId1"/>
    <sheet name="방천" sheetId="1" r:id="rId2"/>
    <sheet name="매혹" sheetId="6" r:id="rId3"/>
    <sheet name="내연 딜 계산" sheetId="2" r:id="rId4"/>
    <sheet name="자율 제작" sheetId="7" r:id="rId5"/>
  </sheets>
  <definedNames>
    <definedName name="_xlnm._FilterDatabase" localSheetId="2" hidden="1">매혹!$C$10:$C$16</definedName>
    <definedName name="_xlnm._FilterDatabase" localSheetId="0" hidden="1">바속빠준!$C$10:$C$16</definedName>
    <definedName name="_xlnm._FilterDatabase" localSheetId="1" hidden="1">방천!$C$10:$C$16</definedName>
    <definedName name="_xlnm._FilterDatabase" localSheetId="4" hidden="1">'자율 제작'!$D$10:$D$16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7" i="7" l="1"/>
  <c r="Z25" i="7"/>
  <c r="Z24" i="7"/>
  <c r="Z23" i="7"/>
  <c r="Z22" i="7"/>
  <c r="Z21" i="7"/>
  <c r="Z20" i="7"/>
  <c r="Z19" i="7"/>
  <c r="Z18" i="7"/>
  <c r="W27" i="7"/>
  <c r="S20" i="7"/>
  <c r="H34" i="3"/>
  <c r="D34" i="6"/>
  <c r="J19" i="7"/>
  <c r="D34" i="3"/>
  <c r="J13" i="7"/>
  <c r="I13" i="7"/>
  <c r="N28" i="7"/>
  <c r="N27" i="7"/>
  <c r="L7" i="7"/>
  <c r="L6" i="7"/>
  <c r="D13" i="7"/>
  <c r="P7" i="7"/>
  <c r="L12" i="7"/>
  <c r="J12" i="7"/>
  <c r="F10" i="3"/>
  <c r="J22" i="7"/>
  <c r="K28" i="3"/>
  <c r="C28" i="3"/>
  <c r="J25" i="7"/>
  <c r="J24" i="7"/>
  <c r="J23" i="7"/>
  <c r="J21" i="7"/>
  <c r="J20" i="7"/>
  <c r="J18" i="7"/>
  <c r="J17" i="7"/>
  <c r="N5" i="7"/>
  <c r="N6" i="7" s="1"/>
  <c r="M8" i="7"/>
  <c r="N8" i="7" s="1"/>
  <c r="P6" i="7"/>
  <c r="P5" i="7"/>
  <c r="M5" i="3"/>
  <c r="N7" i="7"/>
  <c r="L5" i="7"/>
  <c r="K4" i="3"/>
  <c r="J7" i="7"/>
  <c r="J6" i="7"/>
  <c r="I5" i="3"/>
  <c r="K5" i="3" s="1"/>
  <c r="J5" i="7"/>
  <c r="I4" i="3"/>
  <c r="I10" i="3"/>
  <c r="I28" i="1"/>
  <c r="F28" i="1"/>
  <c r="N4" i="1"/>
  <c r="N5" i="1"/>
  <c r="I14" i="1"/>
  <c r="M5" i="1"/>
  <c r="M4" i="1" s="1"/>
  <c r="M5" i="6"/>
  <c r="I7" i="6"/>
  <c r="K7" i="6"/>
  <c r="I15" i="6"/>
  <c r="I14" i="6"/>
  <c r="I13" i="6"/>
  <c r="I12" i="6"/>
  <c r="I11" i="6"/>
  <c r="I10" i="6"/>
  <c r="F10" i="6"/>
  <c r="K6" i="6"/>
  <c r="I6" i="6"/>
  <c r="N5" i="6"/>
  <c r="N4" i="6" s="1"/>
  <c r="I5" i="6"/>
  <c r="K5" i="6" s="1"/>
  <c r="M6" i="6" s="1"/>
  <c r="K4" i="6"/>
  <c r="I16" i="6" s="1"/>
  <c r="I4" i="6"/>
  <c r="I13" i="1"/>
  <c r="K4" i="1"/>
  <c r="I15" i="1"/>
  <c r="I10" i="1"/>
  <c r="I11" i="1"/>
  <c r="I12" i="1"/>
  <c r="I17" i="3"/>
  <c r="I16" i="3"/>
  <c r="I15" i="3"/>
  <c r="I14" i="3"/>
  <c r="I13" i="3"/>
  <c r="I12" i="3"/>
  <c r="I11" i="3"/>
  <c r="K7" i="3"/>
  <c r="K6" i="3"/>
  <c r="I6" i="3"/>
  <c r="I7" i="3" s="1"/>
  <c r="N5" i="3"/>
  <c r="N4" i="3" s="1"/>
  <c r="M4" i="3"/>
  <c r="O28" i="3" s="1"/>
  <c r="I6" i="1"/>
  <c r="K7" i="1"/>
  <c r="K6" i="1"/>
  <c r="B9" i="2"/>
  <c r="G9" i="2" s="1"/>
  <c r="B14" i="2" s="1"/>
  <c r="F10" i="1"/>
  <c r="I5" i="1"/>
  <c r="I16" i="1"/>
  <c r="I4" i="1"/>
  <c r="S23" i="7" l="1"/>
  <c r="U19" i="7"/>
  <c r="U25" i="7"/>
  <c r="S25" i="7"/>
  <c r="S18" i="7"/>
  <c r="S19" i="7"/>
  <c r="U20" i="7"/>
  <c r="U23" i="7"/>
  <c r="U21" i="7"/>
  <c r="U24" i="7"/>
  <c r="S21" i="7"/>
  <c r="S24" i="7"/>
  <c r="U22" i="7"/>
  <c r="U18" i="7"/>
  <c r="S22" i="7"/>
  <c r="S27" i="7"/>
  <c r="M7" i="6"/>
  <c r="M4" i="6"/>
  <c r="O28" i="6" s="1"/>
  <c r="J21" i="6"/>
  <c r="H21" i="6"/>
  <c r="C22" i="6"/>
  <c r="H34" i="6" s="1"/>
  <c r="C23" i="6"/>
  <c r="I7" i="1"/>
  <c r="J21" i="1" s="1"/>
  <c r="H21" i="3"/>
  <c r="J21" i="3"/>
  <c r="M6" i="3"/>
  <c r="C21" i="3" s="1"/>
  <c r="C24" i="3" s="1"/>
  <c r="M7" i="3"/>
  <c r="C22" i="3" s="1"/>
  <c r="I28" i="3" s="1"/>
  <c r="O28" i="1"/>
  <c r="K5" i="1"/>
  <c r="M7" i="1" s="1"/>
  <c r="T27" i="7" l="1"/>
  <c r="X22" i="7" s="1"/>
  <c r="C23" i="3"/>
  <c r="H28" i="6"/>
  <c r="H29" i="6" s="1"/>
  <c r="D28" i="6"/>
  <c r="F28" i="6"/>
  <c r="I28" i="6"/>
  <c r="I29" i="6" s="1"/>
  <c r="K28" i="6"/>
  <c r="C24" i="6"/>
  <c r="G28" i="6" s="1"/>
  <c r="C28" i="6"/>
  <c r="J28" i="6"/>
  <c r="J29" i="6" s="1"/>
  <c r="E28" i="6"/>
  <c r="K29" i="3"/>
  <c r="I29" i="3"/>
  <c r="J28" i="3"/>
  <c r="J29" i="3" s="1"/>
  <c r="H28" i="3"/>
  <c r="E28" i="3"/>
  <c r="D28" i="3"/>
  <c r="H21" i="1"/>
  <c r="C23" i="1"/>
  <c r="M6" i="1"/>
  <c r="C22" i="1" s="1"/>
  <c r="C24" i="1" s="1"/>
  <c r="X19" i="7" l="1"/>
  <c r="X25" i="7"/>
  <c r="X21" i="7"/>
  <c r="X20" i="7"/>
  <c r="X18" i="7"/>
  <c r="X23" i="7"/>
  <c r="X24" i="7"/>
  <c r="K28" i="1"/>
  <c r="C31" i="6"/>
  <c r="C29" i="6"/>
  <c r="C34" i="6"/>
  <c r="E32" i="6"/>
  <c r="K29" i="6"/>
  <c r="C33" i="6"/>
  <c r="H32" i="6"/>
  <c r="C32" i="6"/>
  <c r="G29" i="6"/>
  <c r="J32" i="6"/>
  <c r="I32" i="6"/>
  <c r="F29" i="6"/>
  <c r="E29" i="6"/>
  <c r="G32" i="6"/>
  <c r="D29" i="6"/>
  <c r="F32" i="6"/>
  <c r="D32" i="6"/>
  <c r="J28" i="1"/>
  <c r="J29" i="1" s="1"/>
  <c r="H28" i="1"/>
  <c r="I29" i="1"/>
  <c r="C28" i="1"/>
  <c r="C29" i="1" s="1"/>
  <c r="E28" i="1"/>
  <c r="E29" i="1" s="1"/>
  <c r="D28" i="1"/>
  <c r="D29" i="1" s="1"/>
  <c r="H34" i="1"/>
  <c r="D29" i="3"/>
  <c r="E29" i="3"/>
  <c r="H29" i="3"/>
  <c r="F28" i="3"/>
  <c r="G28" i="3"/>
  <c r="C34" i="3" s="1"/>
  <c r="C29" i="3"/>
  <c r="F34" i="6" l="1"/>
  <c r="G28" i="1"/>
  <c r="J32" i="1" s="1"/>
  <c r="H32" i="1"/>
  <c r="F32" i="1"/>
  <c r="I32" i="1"/>
  <c r="H29" i="1"/>
  <c r="C34" i="1"/>
  <c r="E32" i="1"/>
  <c r="G32" i="1"/>
  <c r="G29" i="1"/>
  <c r="K29" i="1"/>
  <c r="F29" i="3"/>
  <c r="I32" i="3"/>
  <c r="C31" i="3"/>
  <c r="G29" i="3"/>
  <c r="J32" i="3"/>
  <c r="K32" i="3"/>
  <c r="G32" i="3"/>
  <c r="F32" i="3"/>
  <c r="D32" i="3"/>
  <c r="E32" i="3"/>
  <c r="H32" i="3"/>
  <c r="F29" i="1"/>
  <c r="D32" i="1" l="1"/>
  <c r="C31" i="1"/>
  <c r="D34" i="1" s="1"/>
  <c r="F34" i="3"/>
  <c r="C32" i="3"/>
  <c r="C33" i="3"/>
  <c r="C33" i="1" l="1"/>
  <c r="C32" i="1"/>
  <c r="F34" i="1"/>
</calcChain>
</file>

<file path=xl/sharedStrings.xml><?xml version="1.0" encoding="utf-8"?>
<sst xmlns="http://schemas.openxmlformats.org/spreadsheetml/2006/main" count="505" uniqueCount="184">
  <si>
    <t>신속</t>
    <phoneticPr fontId="3" type="noConversion"/>
  </si>
  <si>
    <t>특화</t>
    <phoneticPr fontId="3" type="noConversion"/>
  </si>
  <si>
    <t>치명</t>
    <phoneticPr fontId="3" type="noConversion"/>
  </si>
  <si>
    <t>스탯</t>
    <phoneticPr fontId="3" type="noConversion"/>
  </si>
  <si>
    <t>개인특성</t>
    <phoneticPr fontId="3" type="noConversion"/>
  </si>
  <si>
    <t>신속쿨감</t>
    <phoneticPr fontId="3" type="noConversion"/>
  </si>
  <si>
    <t>신속이속</t>
    <phoneticPr fontId="3" type="noConversion"/>
  </si>
  <si>
    <t>보석쿨감</t>
    <phoneticPr fontId="3" type="noConversion"/>
  </si>
  <si>
    <t>오의뎀증</t>
    <phoneticPr fontId="3" type="noConversion"/>
  </si>
  <si>
    <t>치피</t>
    <phoneticPr fontId="3" type="noConversion"/>
  </si>
  <si>
    <t>각인</t>
    <phoneticPr fontId="3" type="noConversion"/>
  </si>
  <si>
    <t>원한</t>
    <phoneticPr fontId="3" type="noConversion"/>
  </si>
  <si>
    <t>예둔</t>
    <phoneticPr fontId="3" type="noConversion"/>
  </si>
  <si>
    <t>돌대</t>
    <phoneticPr fontId="3" type="noConversion"/>
  </si>
  <si>
    <t>저받</t>
    <phoneticPr fontId="3" type="noConversion"/>
  </si>
  <si>
    <t>질증</t>
    <phoneticPr fontId="3" type="noConversion"/>
  </si>
  <si>
    <t>용바o치적</t>
    <phoneticPr fontId="3" type="noConversion"/>
  </si>
  <si>
    <t>용바x치적</t>
    <phoneticPr fontId="3" type="noConversion"/>
  </si>
  <si>
    <t>아드 1</t>
    <phoneticPr fontId="3" type="noConversion"/>
  </si>
  <si>
    <t>아드 2</t>
    <phoneticPr fontId="3" type="noConversion"/>
  </si>
  <si>
    <t>아드 3</t>
    <phoneticPr fontId="3" type="noConversion"/>
  </si>
  <si>
    <t>오강 1</t>
    <phoneticPr fontId="3" type="noConversion"/>
  </si>
  <si>
    <t>오강 2</t>
    <phoneticPr fontId="3" type="noConversion"/>
  </si>
  <si>
    <t>오강 3</t>
    <phoneticPr fontId="3" type="noConversion"/>
  </si>
  <si>
    <t>사이클(s)</t>
    <phoneticPr fontId="3" type="noConversion"/>
  </si>
  <si>
    <t>유물셋</t>
    <phoneticPr fontId="3" type="noConversion"/>
  </si>
  <si>
    <t>지배</t>
    <phoneticPr fontId="3" type="noConversion"/>
  </si>
  <si>
    <t>환각</t>
    <phoneticPr fontId="3" type="noConversion"/>
  </si>
  <si>
    <t>유물 피증</t>
    <phoneticPr fontId="3" type="noConversion"/>
  </si>
  <si>
    <t>갈망적용</t>
    <phoneticPr fontId="3" type="noConversion"/>
  </si>
  <si>
    <t>바속x이속</t>
    <phoneticPr fontId="3" type="noConversion"/>
  </si>
  <si>
    <t>바속o이속</t>
    <phoneticPr fontId="3" type="noConversion"/>
  </si>
  <si>
    <t>이동속도</t>
    <phoneticPr fontId="3" type="noConversion"/>
  </si>
  <si>
    <t>바속x뎀증</t>
    <phoneticPr fontId="3" type="noConversion"/>
  </si>
  <si>
    <t>바속o뎀증</t>
    <phoneticPr fontId="3" type="noConversion"/>
  </si>
  <si>
    <t>트포작</t>
    <phoneticPr fontId="3" type="noConversion"/>
  </si>
  <si>
    <t>붕천공증</t>
    <phoneticPr fontId="3" type="noConversion"/>
  </si>
  <si>
    <t>바속</t>
    <phoneticPr fontId="3" type="noConversion"/>
  </si>
  <si>
    <t>붕천</t>
    <phoneticPr fontId="3" type="noConversion"/>
  </si>
  <si>
    <t>스킬공증</t>
    <phoneticPr fontId="3" type="noConversion"/>
  </si>
  <si>
    <t>뇌명</t>
    <phoneticPr fontId="3" type="noConversion"/>
  </si>
  <si>
    <t>섬열</t>
    <phoneticPr fontId="3" type="noConversion"/>
  </si>
  <si>
    <t>월섬</t>
    <phoneticPr fontId="3" type="noConversion"/>
  </si>
  <si>
    <t>내연</t>
    <phoneticPr fontId="3" type="noConversion"/>
  </si>
  <si>
    <t>화룡</t>
    <phoneticPr fontId="3" type="noConversion"/>
  </si>
  <si>
    <t>풍신</t>
    <phoneticPr fontId="3" type="noConversion"/>
  </si>
  <si>
    <t>폭쇄</t>
    <phoneticPr fontId="3" type="noConversion"/>
  </si>
  <si>
    <t>스킬계수(1회시전)</t>
    <phoneticPr fontId="3" type="noConversion"/>
  </si>
  <si>
    <t>추가치적</t>
    <phoneticPr fontId="3" type="noConversion"/>
  </si>
  <si>
    <t>정밀</t>
    <phoneticPr fontId="3" type="noConversion"/>
  </si>
  <si>
    <t>시너지</t>
    <phoneticPr fontId="3" type="noConversion"/>
  </si>
  <si>
    <t>10 같이</t>
    <phoneticPr fontId="3" type="noConversion"/>
  </si>
  <si>
    <t>자연수로 입력</t>
    <phoneticPr fontId="3" type="noConversion"/>
  </si>
  <si>
    <t>백어택 유무</t>
    <phoneticPr fontId="3" type="noConversion"/>
  </si>
  <si>
    <t>내공연소</t>
    <phoneticPr fontId="3" type="noConversion"/>
  </si>
  <si>
    <t>dps표상 최후의 속삭임 폭발 1회 데미지</t>
    <phoneticPr fontId="3" type="noConversion"/>
  </si>
  <si>
    <t>격렬한 전투 적용 1틱 데미지</t>
    <phoneticPr fontId="3" type="noConversion"/>
  </si>
  <si>
    <t>0~5초까지 0,9,18% 식으로 격전 데미지가 올라간다고 가정하였을때 격전이 전부 적용된 데미지의 7/8 만큼의 도트데미지를 가짐</t>
    <phoneticPr fontId="3" type="noConversion"/>
  </si>
  <si>
    <t>격렬한 전투 풀적용 틱데미지</t>
    <phoneticPr fontId="3" type="noConversion"/>
  </si>
  <si>
    <t>내공연소 풀히트시 데미지 가정</t>
    <phoneticPr fontId="3" type="noConversion"/>
  </si>
  <si>
    <t>격전 진입 평균 데미지</t>
    <phoneticPr fontId="3" type="noConversion"/>
  </si>
  <si>
    <t>스킬</t>
    <phoneticPr fontId="3" type="noConversion"/>
  </si>
  <si>
    <t>용바x</t>
    <phoneticPr fontId="3" type="noConversion"/>
  </si>
  <si>
    <t>용바o</t>
    <phoneticPr fontId="3" type="noConversion"/>
  </si>
  <si>
    <t>딜비중</t>
    <phoneticPr fontId="3" type="noConversion"/>
  </si>
  <si>
    <t>조건</t>
    <phoneticPr fontId="3" type="noConversion"/>
  </si>
  <si>
    <t>오의뎀증,3</t>
    <phoneticPr fontId="3" type="noConversion"/>
  </si>
  <si>
    <t>오의뎀증,4</t>
    <phoneticPr fontId="3" type="noConversion"/>
  </si>
  <si>
    <t>용바폭월화/붕섬(4,3)</t>
    <phoneticPr fontId="3" type="noConversion"/>
  </si>
  <si>
    <t>용바폭월풍/붕섬(4,3)</t>
    <phoneticPr fontId="3" type="noConversion"/>
  </si>
  <si>
    <t>용바폭월화/붕섬(4,4)</t>
    <phoneticPr fontId="3" type="noConversion"/>
  </si>
  <si>
    <t>용바폭월풍/붕섬(4,4)</t>
    <phoneticPr fontId="3" type="noConversion"/>
  </si>
  <si>
    <t>용바폭월섬뇌/붕섬</t>
    <phoneticPr fontId="3" type="noConversion"/>
  </si>
  <si>
    <t>섬열란아의 경우 암흑공격 트포작 반영</t>
    <phoneticPr fontId="3" type="noConversion"/>
  </si>
  <si>
    <t>섬열암흑</t>
    <phoneticPr fontId="3" type="noConversion"/>
  </si>
  <si>
    <t>섬열치적</t>
    <phoneticPr fontId="3" type="noConversion"/>
  </si>
  <si>
    <t>사이클(버블)</t>
    <phoneticPr fontId="3" type="noConversion"/>
  </si>
  <si>
    <t>10레벨</t>
    <phoneticPr fontId="3" type="noConversion"/>
  </si>
  <si>
    <t>11레벨</t>
    <phoneticPr fontId="3" type="noConversion"/>
  </si>
  <si>
    <t>12레벨</t>
    <phoneticPr fontId="3" type="noConversion"/>
  </si>
  <si>
    <t>풍신폭풍</t>
    <phoneticPr fontId="3" type="noConversion"/>
  </si>
  <si>
    <t>바속 가동률</t>
    <phoneticPr fontId="3" type="noConversion"/>
  </si>
  <si>
    <t>붕천 가동률</t>
    <phoneticPr fontId="3" type="noConversion"/>
  </si>
  <si>
    <t>내공 연소의 경우, 용바시간, 붕천 시간을 고려해</t>
    <phoneticPr fontId="3" type="noConversion"/>
  </si>
  <si>
    <t>기댓값으로 치피, 치뎀 효율 입력</t>
    <phoneticPr fontId="3" type="noConversion"/>
  </si>
  <si>
    <t>내연에 맞춰 용바x</t>
    <phoneticPr fontId="3" type="noConversion"/>
  </si>
  <si>
    <t>데미지 계산 순서 : 계수, 각인, 치적치피, 붕천 or 바속, 유물</t>
    <phoneticPr fontId="3" type="noConversion"/>
  </si>
  <si>
    <t>총데미지</t>
    <phoneticPr fontId="3" type="noConversion"/>
  </si>
  <si>
    <t>오의비중</t>
    <phoneticPr fontId="3" type="noConversion"/>
  </si>
  <si>
    <t>내연비중</t>
    <phoneticPr fontId="3" type="noConversion"/>
  </si>
  <si>
    <t>용바비중</t>
    <phoneticPr fontId="3" type="noConversion"/>
  </si>
  <si>
    <t>결과값</t>
    <phoneticPr fontId="3" type="noConversion"/>
  </si>
  <si>
    <t>이 내부는 값 수정 외에는 건드리지 마세요</t>
    <phoneticPr fontId="3" type="noConversion"/>
  </si>
  <si>
    <t>내연 틱 적중%</t>
    <phoneticPr fontId="3" type="noConversion"/>
  </si>
  <si>
    <t>멸화뎀증</t>
    <phoneticPr fontId="3" type="noConversion"/>
  </si>
  <si>
    <t>무기피증</t>
    <phoneticPr fontId="3" type="noConversion"/>
  </si>
  <si>
    <t>이론dps(수련장)</t>
    <phoneticPr fontId="3" type="noConversion"/>
  </si>
  <si>
    <t>공격력(기본)</t>
    <phoneticPr fontId="3" type="noConversion"/>
  </si>
  <si>
    <t>팔찌 피증</t>
    <phoneticPr fontId="3" type="noConversion"/>
  </si>
  <si>
    <t>세구빛</t>
    <phoneticPr fontId="3" type="noConversion"/>
  </si>
  <si>
    <t>용바폭월섬뇌</t>
    <phoneticPr fontId="3" type="noConversion"/>
  </si>
  <si>
    <t>데미지계수</t>
    <phoneticPr fontId="3" type="noConversion"/>
  </si>
  <si>
    <t>한사이클데미지(만)</t>
    <phoneticPr fontId="3" type="noConversion"/>
  </si>
  <si>
    <t>수련장(만)</t>
    <phoneticPr fontId="3" type="noConversion"/>
  </si>
  <si>
    <t>추가치뎀</t>
    <phoneticPr fontId="3" type="noConversion"/>
  </si>
  <si>
    <t>월섬 올크리 데미지</t>
    <phoneticPr fontId="3" type="noConversion"/>
  </si>
  <si>
    <t>월섬탁기</t>
    <phoneticPr fontId="3" type="noConversion"/>
  </si>
  <si>
    <t>홍염</t>
    <phoneticPr fontId="3" type="noConversion"/>
  </si>
  <si>
    <t>상태로 월섬각</t>
    <phoneticPr fontId="3" type="noConversion"/>
  </si>
  <si>
    <t>환각이면 실체 +바속</t>
    <phoneticPr fontId="3" type="noConversion"/>
  </si>
  <si>
    <t>지배면 내각 + 바속</t>
    <phoneticPr fontId="3" type="noConversion"/>
  </si>
  <si>
    <t>월섬, 섬열(붕섬), 바속(탁기)</t>
    <phoneticPr fontId="3" type="noConversion"/>
  </si>
  <si>
    <t>방천</t>
    <phoneticPr fontId="3" type="noConversion"/>
  </si>
  <si>
    <t>바속빠준</t>
    <phoneticPr fontId="3" type="noConversion"/>
  </si>
  <si>
    <t>용바폭월방섬</t>
    <phoneticPr fontId="3" type="noConversion"/>
  </si>
  <si>
    <t>용바폭월방섬/붕섬</t>
    <phoneticPr fontId="3" type="noConversion"/>
  </si>
  <si>
    <t>용바폭월방섬(1/2)</t>
    <phoneticPr fontId="3" type="noConversion"/>
  </si>
  <si>
    <t>용바폭월섬붕방(어가)</t>
    <phoneticPr fontId="3" type="noConversion"/>
  </si>
  <si>
    <t>초심 1</t>
    <phoneticPr fontId="3" type="noConversion"/>
  </si>
  <si>
    <t>초심 3</t>
    <phoneticPr fontId="3" type="noConversion"/>
  </si>
  <si>
    <t>초심 2</t>
    <phoneticPr fontId="3" type="noConversion"/>
  </si>
  <si>
    <t>오의 1</t>
    <phoneticPr fontId="3" type="noConversion"/>
  </si>
  <si>
    <t>용바방월섬/붕섬</t>
    <phoneticPr fontId="3" type="noConversion"/>
  </si>
  <si>
    <t>바속바속사이클</t>
    <phoneticPr fontId="3" type="noConversion"/>
  </si>
  <si>
    <t>매혹</t>
    <phoneticPr fontId="3" type="noConversion"/>
  </si>
  <si>
    <t>매혹세트</t>
    <phoneticPr fontId="3" type="noConversion"/>
  </si>
  <si>
    <t>빠준사이클(빠준 체크 필수)</t>
    <phoneticPr fontId="3" type="noConversion"/>
  </si>
  <si>
    <t>잔상사이클(바속빠준 1렙)</t>
    <phoneticPr fontId="3" type="noConversion"/>
  </si>
  <si>
    <t>잔상사이클(바속 빠준1렙)</t>
    <phoneticPr fontId="3" type="noConversion"/>
  </si>
  <si>
    <t>특성</t>
    <phoneticPr fontId="3" type="noConversion"/>
  </si>
  <si>
    <t>유물세트</t>
    <phoneticPr fontId="3" type="noConversion"/>
  </si>
  <si>
    <t>오강</t>
    <phoneticPr fontId="3" type="noConversion"/>
  </si>
  <si>
    <t>아드</t>
    <phoneticPr fontId="3" type="noConversion"/>
  </si>
  <si>
    <t>초심</t>
    <phoneticPr fontId="3" type="noConversion"/>
  </si>
  <si>
    <t>Lv.1</t>
    <phoneticPr fontId="3" type="noConversion"/>
  </si>
  <si>
    <t>Lv.2</t>
    <phoneticPr fontId="3" type="noConversion"/>
  </si>
  <si>
    <t>Lv.3</t>
    <phoneticPr fontId="3" type="noConversion"/>
  </si>
  <si>
    <t>트라이포드</t>
    <phoneticPr fontId="3" type="noConversion"/>
  </si>
  <si>
    <t>방천어가</t>
    <phoneticPr fontId="3" type="noConversion"/>
  </si>
  <si>
    <t>풍신휘몰</t>
    <phoneticPr fontId="3" type="noConversion"/>
  </si>
  <si>
    <t>월섬강전</t>
    <phoneticPr fontId="3" type="noConversion"/>
  </si>
  <si>
    <t>방천강전</t>
    <phoneticPr fontId="3" type="noConversion"/>
  </si>
  <si>
    <t>치적</t>
    <phoneticPr fontId="3" type="noConversion"/>
  </si>
  <si>
    <t>용바치적</t>
    <phoneticPr fontId="3" type="noConversion"/>
  </si>
  <si>
    <t>기본이속</t>
    <phoneticPr fontId="3" type="noConversion"/>
  </si>
  <si>
    <t>치피증</t>
    <phoneticPr fontId="3" type="noConversion"/>
  </si>
  <si>
    <t>사이클</t>
    <phoneticPr fontId="3" type="noConversion"/>
  </si>
  <si>
    <t>홍염레벨</t>
    <phoneticPr fontId="3" type="noConversion"/>
  </si>
  <si>
    <t>무기추피</t>
    <phoneticPr fontId="3" type="noConversion"/>
  </si>
  <si>
    <t>메인스킬
쿨타임</t>
    <phoneticPr fontId="3" type="noConversion"/>
  </si>
  <si>
    <t>스킬명</t>
    <phoneticPr fontId="3" type="noConversion"/>
  </si>
  <si>
    <t>계수</t>
    <phoneticPr fontId="3" type="noConversion"/>
  </si>
  <si>
    <t>스킬레벨</t>
    <phoneticPr fontId="3" type="noConversion"/>
  </si>
  <si>
    <t>채용</t>
    <phoneticPr fontId="3" type="noConversion"/>
  </si>
  <si>
    <t>용바</t>
    <phoneticPr fontId="3" type="noConversion"/>
  </si>
  <si>
    <t>백어택</t>
    <phoneticPr fontId="3" type="noConversion"/>
  </si>
  <si>
    <t>외부요인</t>
    <phoneticPr fontId="3" type="noConversion"/>
  </si>
  <si>
    <t>추가피증</t>
    <phoneticPr fontId="3" type="noConversion"/>
  </si>
  <si>
    <t>갈망</t>
    <phoneticPr fontId="3" type="noConversion"/>
  </si>
  <si>
    <t>바속바속</t>
    <phoneticPr fontId="3" type="noConversion"/>
  </si>
  <si>
    <t>바속이속</t>
    <phoneticPr fontId="3" type="noConversion"/>
  </si>
  <si>
    <t>보석뎀증</t>
    <phoneticPr fontId="3" type="noConversion"/>
  </si>
  <si>
    <t>추가요인</t>
    <phoneticPr fontId="3" type="noConversion"/>
  </si>
  <si>
    <t>내연 비욜</t>
    <phoneticPr fontId="3" type="noConversion"/>
  </si>
  <si>
    <t>합계</t>
  </si>
  <si>
    <t>평균</t>
    <phoneticPr fontId="3" type="noConversion"/>
  </si>
  <si>
    <t>누계</t>
    <phoneticPr fontId="3" type="noConversion"/>
  </si>
  <si>
    <t>개수</t>
    <phoneticPr fontId="3" type="noConversion"/>
  </si>
  <si>
    <t>기본 공격력</t>
    <phoneticPr fontId="3" type="noConversion"/>
  </si>
  <si>
    <t>바속공증</t>
    <phoneticPr fontId="3" type="noConversion"/>
  </si>
  <si>
    <t>기대 데미지 계수</t>
    <phoneticPr fontId="3" type="noConversion"/>
  </si>
  <si>
    <t>공속</t>
    <phoneticPr fontId="3" type="noConversion"/>
  </si>
  <si>
    <t>2버블</t>
    <phoneticPr fontId="3" type="noConversion"/>
  </si>
  <si>
    <t>3버블</t>
    <phoneticPr fontId="3" type="noConversion"/>
  </si>
  <si>
    <t>4버블이 아닐시
추가요인에 입력</t>
    <phoneticPr fontId="3" type="noConversion"/>
  </si>
  <si>
    <t>공증 x 상태</t>
    <phoneticPr fontId="3" type="noConversion"/>
  </si>
  <si>
    <t>바속피증</t>
    <phoneticPr fontId="3" type="noConversion"/>
  </si>
  <si>
    <t>기본피증</t>
    <phoneticPr fontId="3" type="noConversion"/>
  </si>
  <si>
    <t>데미지 비중</t>
    <phoneticPr fontId="3" type="noConversion"/>
  </si>
  <si>
    <t>한사이클 계수</t>
    <phoneticPr fontId="3" type="noConversion"/>
  </si>
  <si>
    <t>결과</t>
    <phoneticPr fontId="3" type="noConversion"/>
  </si>
  <si>
    <t>데미지 기댓값(만)</t>
    <phoneticPr fontId="3" type="noConversion"/>
  </si>
  <si>
    <t>예상 dps(만)</t>
    <phoneticPr fontId="3" type="noConversion"/>
  </si>
  <si>
    <t>월섬 데미지(만)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</si>
</sst>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90" formatCode="0_ 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 tint="4.9989318521683403E-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  <scheme val="minor"/>
    </font>
    <font>
      <sz val="11"/>
      <color rgb="FFFFFFFF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0" fillId="0" borderId="5" xfId="0" applyBorder="1">
      <alignment vertical="center"/>
    </xf>
    <xf numFmtId="0" fontId="4" fillId="2" borderId="6" xfId="0" applyFont="1" applyFill="1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9" fontId="0" fillId="0" borderId="0" xfId="1" applyFont="1" applyBorder="1">
      <alignment vertical="center"/>
    </xf>
    <xf numFmtId="2" fontId="0" fillId="0" borderId="22" xfId="0" applyNumberFormat="1" applyFill="1" applyBorder="1">
      <alignment vertical="center"/>
    </xf>
    <xf numFmtId="9" fontId="0" fillId="0" borderId="7" xfId="1" applyFont="1" applyBorder="1">
      <alignment vertical="center"/>
    </xf>
    <xf numFmtId="0" fontId="0" fillId="0" borderId="6" xfId="0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9" fontId="0" fillId="0" borderId="22" xfId="1" applyFont="1" applyBorder="1">
      <alignment vertical="center"/>
    </xf>
    <xf numFmtId="9" fontId="0" fillId="0" borderId="22" xfId="1" applyNumberFormat="1" applyFont="1" applyBorder="1">
      <alignment vertical="center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 applyAlignment="1">
      <alignment horizontal="center" vertical="center"/>
    </xf>
    <xf numFmtId="10" fontId="0" fillId="0" borderId="0" xfId="0" applyNumberFormat="1" applyFill="1" applyBorder="1">
      <alignment vertical="center"/>
    </xf>
    <xf numFmtId="10" fontId="2" fillId="0" borderId="0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Border="1">
      <alignment vertical="center"/>
    </xf>
    <xf numFmtId="0" fontId="0" fillId="0" borderId="11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4" fillId="5" borderId="2" xfId="0" applyFont="1" applyFill="1" applyBorder="1">
      <alignment vertical="center"/>
    </xf>
    <xf numFmtId="0" fontId="4" fillId="5" borderId="21" xfId="0" applyFont="1" applyFill="1" applyBorder="1">
      <alignment vertical="center"/>
    </xf>
    <xf numFmtId="9" fontId="0" fillId="0" borderId="4" xfId="1" applyFont="1" applyBorder="1" applyAlignment="1">
      <alignment horizontal="left" vertical="center"/>
    </xf>
    <xf numFmtId="9" fontId="0" fillId="0" borderId="4" xfId="1" applyFont="1" applyFill="1" applyBorder="1" applyAlignment="1">
      <alignment horizontal="left" vertical="center"/>
    </xf>
    <xf numFmtId="9" fontId="0" fillId="0" borderId="6" xfId="1" applyFont="1" applyFill="1" applyBorder="1" applyAlignment="1">
      <alignment horizontal="left" vertical="center"/>
    </xf>
    <xf numFmtId="9" fontId="0" fillId="0" borderId="27" xfId="1" applyFont="1" applyBorder="1" applyAlignment="1">
      <alignment horizontal="left" vertical="center"/>
    </xf>
    <xf numFmtId="9" fontId="0" fillId="0" borderId="25" xfId="1" applyFont="1" applyBorder="1">
      <alignment vertical="center"/>
    </xf>
    <xf numFmtId="9" fontId="0" fillId="0" borderId="26" xfId="1" applyFont="1" applyBorder="1">
      <alignment vertical="center"/>
    </xf>
    <xf numFmtId="9" fontId="0" fillId="0" borderId="29" xfId="1" applyFont="1" applyBorder="1">
      <alignment vertical="center"/>
    </xf>
    <xf numFmtId="9" fontId="0" fillId="0" borderId="30" xfId="1" applyFont="1" applyBorder="1">
      <alignment vertical="center"/>
    </xf>
    <xf numFmtId="0" fontId="0" fillId="0" borderId="35" xfId="0" applyBorder="1">
      <alignment vertical="center"/>
    </xf>
    <xf numFmtId="0" fontId="0" fillId="0" borderId="31" xfId="0" applyBorder="1">
      <alignment vertical="center"/>
    </xf>
    <xf numFmtId="1" fontId="0" fillId="0" borderId="6" xfId="1" applyNumberFormat="1" applyFont="1" applyBorder="1">
      <alignment vertical="center"/>
    </xf>
    <xf numFmtId="1" fontId="0" fillId="0" borderId="22" xfId="1" applyNumberFormat="1" applyFont="1" applyBorder="1">
      <alignment vertical="center"/>
    </xf>
    <xf numFmtId="1" fontId="0" fillId="0" borderId="7" xfId="1" applyNumberFormat="1" applyFont="1" applyBorder="1">
      <alignment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2" borderId="29" xfId="0" applyFont="1" applyFill="1" applyBorder="1">
      <alignment vertical="center"/>
    </xf>
    <xf numFmtId="0" fontId="5" fillId="0" borderId="16" xfId="0" applyFont="1" applyBorder="1">
      <alignment vertical="center"/>
    </xf>
    <xf numFmtId="0" fontId="0" fillId="0" borderId="7" xfId="0" applyBorder="1" applyAlignment="1">
      <alignment horizontal="center" vertical="center"/>
    </xf>
    <xf numFmtId="2" fontId="0" fillId="0" borderId="0" xfId="0" applyNumberFormat="1" applyBorder="1">
      <alignment vertical="center"/>
    </xf>
    <xf numFmtId="1" fontId="0" fillId="0" borderId="0" xfId="1" applyNumberFormat="1" applyFont="1" applyBorder="1">
      <alignment vertical="center"/>
    </xf>
    <xf numFmtId="0" fontId="0" fillId="0" borderId="7" xfId="0" applyFill="1" applyBorder="1">
      <alignment vertical="center"/>
    </xf>
    <xf numFmtId="0" fontId="4" fillId="5" borderId="3" xfId="0" applyFont="1" applyFill="1" applyBorder="1">
      <alignment vertical="center"/>
    </xf>
    <xf numFmtId="1" fontId="0" fillId="0" borderId="25" xfId="0" applyNumberFormat="1" applyBorder="1">
      <alignment vertical="center"/>
    </xf>
    <xf numFmtId="1" fontId="0" fillId="0" borderId="26" xfId="0" applyNumberFormat="1" applyBorder="1">
      <alignment vertical="center"/>
    </xf>
    <xf numFmtId="9" fontId="0" fillId="0" borderId="3" xfId="1" applyNumberFormat="1" applyFont="1" applyBorder="1">
      <alignment vertical="center"/>
    </xf>
    <xf numFmtId="9" fontId="0" fillId="0" borderId="5" xfId="1" applyNumberFormat="1" applyFont="1" applyBorder="1">
      <alignment vertical="center"/>
    </xf>
    <xf numFmtId="9" fontId="0" fillId="0" borderId="7" xfId="1" applyNumberFormat="1" applyFont="1" applyBorder="1">
      <alignment vertical="center"/>
    </xf>
    <xf numFmtId="2" fontId="4" fillId="2" borderId="4" xfId="0" applyNumberFormat="1" applyFont="1" applyFill="1" applyBorder="1">
      <alignment vertical="center"/>
    </xf>
    <xf numFmtId="2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4" fillId="2" borderId="6" xfId="0" applyNumberFormat="1" applyFont="1" applyFill="1" applyBorder="1">
      <alignment vertical="center"/>
    </xf>
    <xf numFmtId="1" fontId="0" fillId="0" borderId="29" xfId="0" applyNumberFormat="1" applyBorder="1">
      <alignment vertical="center"/>
    </xf>
    <xf numFmtId="1" fontId="0" fillId="0" borderId="30" xfId="0" applyNumberFormat="1" applyBorder="1">
      <alignment vertical="center"/>
    </xf>
    <xf numFmtId="1" fontId="0" fillId="0" borderId="16" xfId="0" applyNumberFormat="1" applyBorder="1">
      <alignment vertical="center"/>
    </xf>
    <xf numFmtId="9" fontId="0" fillId="0" borderId="1" xfId="1" applyNumberFormat="1" applyFont="1" applyBorder="1">
      <alignment vertical="center"/>
    </xf>
    <xf numFmtId="9" fontId="0" fillId="2" borderId="1" xfId="0" applyNumberFormat="1" applyFill="1" applyBorder="1">
      <alignment vertical="center"/>
    </xf>
    <xf numFmtId="9" fontId="0" fillId="2" borderId="22" xfId="0" applyNumberFormat="1" applyFill="1" applyBorder="1">
      <alignment vertical="center"/>
    </xf>
    <xf numFmtId="9" fontId="0" fillId="0" borderId="7" xfId="0" applyNumberFormat="1" applyFill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>
      <alignment vertical="center"/>
    </xf>
    <xf numFmtId="1" fontId="0" fillId="0" borderId="5" xfId="0" applyNumberFormat="1" applyBorder="1">
      <alignment vertical="center"/>
    </xf>
    <xf numFmtId="0" fontId="4" fillId="0" borderId="11" xfId="0" applyFont="1" applyFill="1" applyBorder="1">
      <alignment vertical="center"/>
    </xf>
    <xf numFmtId="1" fontId="0" fillId="0" borderId="30" xfId="1" applyNumberFormat="1" applyFont="1" applyBorder="1">
      <alignment vertical="center"/>
    </xf>
    <xf numFmtId="9" fontId="0" fillId="0" borderId="6" xfId="1" applyFont="1" applyBorder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2" borderId="33" xfId="0" applyFont="1" applyFill="1" applyBorder="1">
      <alignment vertical="center"/>
    </xf>
    <xf numFmtId="9" fontId="0" fillId="0" borderId="39" xfId="1" applyNumberFormat="1" applyFont="1" applyBorder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5" borderId="24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0" xfId="0" applyFont="1" applyBorder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5" xfId="0" applyFill="1" applyBorder="1" applyAlignment="1">
      <alignment horizontal="center" vertical="center"/>
    </xf>
    <xf numFmtId="2" fontId="0" fillId="0" borderId="5" xfId="0" applyNumberFormat="1" applyBorder="1">
      <alignment vertical="center"/>
    </xf>
    <xf numFmtId="2" fontId="0" fillId="0" borderId="7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0" fontId="0" fillId="0" borderId="22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6" xfId="1" applyNumberFormat="1" applyFont="1" applyBorder="1" applyAlignment="1">
      <alignment horizontal="center" vertical="center"/>
    </xf>
    <xf numFmtId="1" fontId="0" fillId="0" borderId="26" xfId="1" applyNumberFormat="1" applyFont="1" applyBorder="1" applyAlignment="1">
      <alignment horizontal="center" vertical="center"/>
    </xf>
    <xf numFmtId="1" fontId="0" fillId="0" borderId="7" xfId="1" applyNumberFormat="1" applyFont="1" applyBorder="1" applyAlignment="1">
      <alignment horizontal="center" vertical="center"/>
    </xf>
    <xf numFmtId="9" fontId="0" fillId="0" borderId="43" xfId="1" applyFont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9" fontId="0" fillId="5" borderId="2" xfId="1" applyFont="1" applyFill="1" applyBorder="1" applyAlignment="1">
      <alignment horizontal="center" vertical="center"/>
    </xf>
    <xf numFmtId="9" fontId="0" fillId="5" borderId="24" xfId="1" applyFont="1" applyFill="1" applyBorder="1" applyAlignment="1">
      <alignment horizontal="center" vertical="center"/>
    </xf>
    <xf numFmtId="9" fontId="0" fillId="5" borderId="3" xfId="1" applyFont="1" applyFill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5" borderId="33" xfId="1" applyNumberFormat="1" applyFont="1" applyFill="1" applyBorder="1" applyAlignment="1">
      <alignment horizontal="center" vertical="center"/>
    </xf>
    <xf numFmtId="2" fontId="0" fillId="5" borderId="39" xfId="1" applyNumberFormat="1" applyFont="1" applyFill="1" applyBorder="1" applyAlignment="1">
      <alignment horizontal="center" vertical="center"/>
    </xf>
    <xf numFmtId="2" fontId="0" fillId="0" borderId="43" xfId="1" applyNumberFormat="1" applyFont="1" applyBorder="1" applyAlignment="1">
      <alignment horizontal="center" vertical="center"/>
    </xf>
    <xf numFmtId="2" fontId="0" fillId="0" borderId="20" xfId="1" applyNumberFormat="1" applyFont="1" applyBorder="1" applyAlignment="1">
      <alignment horizontal="center" vertical="center"/>
    </xf>
    <xf numFmtId="2" fontId="0" fillId="5" borderId="37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2" fontId="4" fillId="5" borderId="33" xfId="0" applyNumberFormat="1" applyFont="1" applyFill="1" applyBorder="1" applyAlignment="1">
      <alignment horizontal="center" vertical="center"/>
    </xf>
    <xf numFmtId="2" fontId="4" fillId="5" borderId="37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3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4" fillId="5" borderId="38" xfId="0" applyNumberFormat="1" applyFont="1" applyFill="1" applyBorder="1" applyAlignment="1">
      <alignment horizontal="center" vertical="center"/>
    </xf>
    <xf numFmtId="2" fontId="4" fillId="5" borderId="3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9" fontId="0" fillId="0" borderId="0" xfId="1" applyFont="1">
      <alignment vertical="center"/>
    </xf>
    <xf numFmtId="9" fontId="11" fillId="0" borderId="0" xfId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>
      <alignment vertical="center"/>
    </xf>
    <xf numFmtId="9" fontId="0" fillId="0" borderId="0" xfId="1" applyFont="1" applyAlignment="1">
      <alignment vertical="center"/>
    </xf>
    <xf numFmtId="176" fontId="0" fillId="0" borderId="0" xfId="1" applyNumberFormat="1" applyFont="1" applyAlignment="1">
      <alignment vertical="center"/>
    </xf>
    <xf numFmtId="10" fontId="0" fillId="0" borderId="0" xfId="1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9" fontId="2" fillId="0" borderId="0" xfId="1" applyFont="1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5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90" fontId="0" fillId="0" borderId="0" xfId="0" applyNumberFormat="1">
      <alignment vertical="center"/>
    </xf>
    <xf numFmtId="0" fontId="0" fillId="5" borderId="0" xfId="0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D10" lockText="1" noThreeD="1"/>
</file>

<file path=xl/ctrlProps/ctrlProp10.xml><?xml version="1.0" encoding="utf-8"?>
<formControlPr xmlns="http://schemas.microsoft.com/office/spreadsheetml/2009/9/main" objectType="CheckBox" fmlaLink="$D$19" lockText="1" noThreeD="1"/>
</file>

<file path=xl/ctrlProps/ctrlProp100.xml><?xml version="1.0" encoding="utf-8"?>
<formControlPr xmlns="http://schemas.microsoft.com/office/spreadsheetml/2009/9/main" objectType="CheckBox" fmlaLink="$P$20" lockText="1" noThreeD="1"/>
</file>

<file path=xl/ctrlProps/ctrlProp101.xml><?xml version="1.0" encoding="utf-8"?>
<formControlPr xmlns="http://schemas.microsoft.com/office/spreadsheetml/2009/9/main" objectType="CheckBox" checked="Checked" fmlaLink="$P$21" lockText="1" noThreeD="1"/>
</file>

<file path=xl/ctrlProps/ctrlProp102.xml><?xml version="1.0" encoding="utf-8"?>
<formControlPr xmlns="http://schemas.microsoft.com/office/spreadsheetml/2009/9/main" objectType="CheckBox" fmlaLink="$P$22" lockText="1" noThreeD="1"/>
</file>

<file path=xl/ctrlProps/ctrlProp103.xml><?xml version="1.0" encoding="utf-8"?>
<formControlPr xmlns="http://schemas.microsoft.com/office/spreadsheetml/2009/9/main" objectType="CheckBox" fmlaLink="$P$23" lockText="1" noThreeD="1"/>
</file>

<file path=xl/ctrlProps/ctrlProp104.xml><?xml version="1.0" encoding="utf-8"?>
<formControlPr xmlns="http://schemas.microsoft.com/office/spreadsheetml/2009/9/main" objectType="CheckBox" fmlaLink="$Q$11" lockText="1" noThreeD="1"/>
</file>

<file path=xl/ctrlProps/ctrlProp105.xml><?xml version="1.0" encoding="utf-8"?>
<formControlPr xmlns="http://schemas.microsoft.com/office/spreadsheetml/2009/9/main" objectType="CheckBox" fmlaLink="$D$19" lockText="1" noThreeD="1"/>
</file>

<file path=xl/ctrlProps/ctrlProp106.xml><?xml version="1.0" encoding="utf-8"?>
<formControlPr xmlns="http://schemas.microsoft.com/office/spreadsheetml/2009/9/main" objectType="CheckBox" fmlaLink="$D$20" lockText="1" noThreeD="1"/>
</file>

<file path=xl/ctrlProps/ctrlProp107.xml><?xml version="1.0" encoding="utf-8"?>
<formControlPr xmlns="http://schemas.microsoft.com/office/spreadsheetml/2009/9/main" objectType="CheckBox" fmlaLink="$D$21" lockText="1" noThreeD="1"/>
</file>

<file path=xl/ctrlProps/ctrlProp108.xml><?xml version="1.0" encoding="utf-8"?>
<formControlPr xmlns="http://schemas.microsoft.com/office/spreadsheetml/2009/9/main" objectType="CheckBox" fmlaLink="$Q$16" lockText="1" noThreeD="1"/>
</file>

<file path=xl/ctrlProps/ctrlProp109.xml><?xml version="1.0" encoding="utf-8"?>
<formControlPr xmlns="http://schemas.microsoft.com/office/spreadsheetml/2009/9/main" objectType="CheckBox" fmlaLink="$Q$7" lockText="1" noThreeD="1"/>
</file>

<file path=xl/ctrlProps/ctrlProp11.xml><?xml version="1.0" encoding="utf-8"?>
<formControlPr xmlns="http://schemas.microsoft.com/office/spreadsheetml/2009/9/main" objectType="CheckBox" fmlaLink="$D$20" lockText="1" noThreeD="1"/>
</file>

<file path=xl/ctrlProps/ctrlProp110.xml><?xml version="1.0" encoding="utf-8"?>
<formControlPr xmlns="http://schemas.microsoft.com/office/spreadsheetml/2009/9/main" objectType="CheckBox" checked="Checked" fmlaLink="$D10" lockText="1" noThreeD="1"/>
</file>

<file path=xl/ctrlProps/ctrlProp111.xml><?xml version="1.0" encoding="utf-8"?>
<formControlPr xmlns="http://schemas.microsoft.com/office/spreadsheetml/2009/9/main" objectType="CheckBox" checked="Checked" fmlaLink="$D$11" lockText="1" noThreeD="1"/>
</file>

<file path=xl/ctrlProps/ctrlProp112.xml><?xml version="1.0" encoding="utf-8"?>
<formControlPr xmlns="http://schemas.microsoft.com/office/spreadsheetml/2009/9/main" objectType="CheckBox" checked="Checked" fmlaLink="$D$12" lockText="1" noThreeD="1"/>
</file>

<file path=xl/ctrlProps/ctrlProp113.xml><?xml version="1.0" encoding="utf-8"?>
<formControlPr xmlns="http://schemas.microsoft.com/office/spreadsheetml/2009/9/main" objectType="CheckBox" fmlaLink="$D$13" lockText="1" noThreeD="1"/>
</file>

<file path=xl/ctrlProps/ctrlProp114.xml><?xml version="1.0" encoding="utf-8"?>
<formControlPr xmlns="http://schemas.microsoft.com/office/spreadsheetml/2009/9/main" objectType="CheckBox" checked="Checked" fmlaLink="$D$14" lockText="1" noThreeD="1"/>
</file>

<file path=xl/ctrlProps/ctrlProp115.xml><?xml version="1.0" encoding="utf-8"?>
<formControlPr xmlns="http://schemas.microsoft.com/office/spreadsheetml/2009/9/main" objectType="CheckBox" fmlaLink="$D$15" lockText="1" noThreeD="1"/>
</file>

<file path=xl/ctrlProps/ctrlProp116.xml><?xml version="1.0" encoding="utf-8"?>
<formControlPr xmlns="http://schemas.microsoft.com/office/spreadsheetml/2009/9/main" objectType="CheckBox" fmlaLink="$D$16" lockText="1" noThreeD="1"/>
</file>

<file path=xl/ctrlProps/ctrlProp117.xml><?xml version="1.0" encoding="utf-8"?>
<formControlPr xmlns="http://schemas.microsoft.com/office/spreadsheetml/2009/9/main" objectType="CheckBox" fmlaLink="$D$17" lockText="1" noThreeD="1"/>
</file>

<file path=xl/ctrlProps/ctrlProp118.xml><?xml version="1.0" encoding="utf-8"?>
<formControlPr xmlns="http://schemas.microsoft.com/office/spreadsheetml/2009/9/main" objectType="CheckBox" fmlaLink="$D$18" lockText="1" noThreeD="1"/>
</file>

<file path=xl/ctrlProps/ctrlProp119.xml><?xml version="1.0" encoding="utf-8"?>
<formControlPr xmlns="http://schemas.microsoft.com/office/spreadsheetml/2009/9/main" objectType="CheckBox" fmlaLink="$D$18" lockText="1" noThreeD="1"/>
</file>

<file path=xl/ctrlProps/ctrlProp12.xml><?xml version="1.0" encoding="utf-8"?>
<formControlPr xmlns="http://schemas.microsoft.com/office/spreadsheetml/2009/9/main" objectType="CheckBox" checked="Checked" fmlaLink="$G$4" lockText="1" noThreeD="1"/>
</file>

<file path=xl/ctrlProps/ctrlProp120.xml><?xml version="1.0" encoding="utf-8"?>
<formControlPr xmlns="http://schemas.microsoft.com/office/spreadsheetml/2009/9/main" objectType="CheckBox" fmlaLink="$G$4" lockText="1" noThreeD="1"/>
</file>

<file path=xl/ctrlProps/ctrlProp121.xml><?xml version="1.0" encoding="utf-8"?>
<formControlPr xmlns="http://schemas.microsoft.com/office/spreadsheetml/2009/9/main" objectType="CheckBox" fmlaLink="$G$4" lockText="1" noThreeD="1"/>
</file>

<file path=xl/ctrlProps/ctrlProp122.xml><?xml version="1.0" encoding="utf-8"?>
<formControlPr xmlns="http://schemas.microsoft.com/office/spreadsheetml/2009/9/main" objectType="CheckBox" checked="Checked" fmlaLink="$Q$4" lockText="1" noThreeD="1"/>
</file>

<file path=xl/ctrlProps/ctrlProp123.xml><?xml version="1.0" encoding="utf-8"?>
<formControlPr xmlns="http://schemas.microsoft.com/office/spreadsheetml/2009/9/main" objectType="CheckBox" checked="Checked" fmlaLink="$G$21" lockText="1" noThreeD="1"/>
</file>

<file path=xl/ctrlProps/ctrlProp124.xml><?xml version="1.0" encoding="utf-8"?>
<formControlPr xmlns="http://schemas.microsoft.com/office/spreadsheetml/2009/9/main" objectType="CheckBox" fmlaLink="$Q$10" lockText="1" noThreeD="1"/>
</file>

<file path=xl/ctrlProps/ctrlProp125.xml><?xml version="1.0" encoding="utf-8"?>
<formControlPr xmlns="http://schemas.microsoft.com/office/spreadsheetml/2009/9/main" objectType="CheckBox" fmlaLink="$Q$13" lockText="1" noThreeD="1"/>
</file>

<file path=xl/ctrlProps/ctrlProp126.xml><?xml version="1.0" encoding="utf-8"?>
<formControlPr xmlns="http://schemas.microsoft.com/office/spreadsheetml/2009/9/main" objectType="CheckBox" fmlaLink="$Q$14" lockText="1" noThreeD="1"/>
</file>

<file path=xl/ctrlProps/ctrlProp127.xml><?xml version="1.0" encoding="utf-8"?>
<formControlPr xmlns="http://schemas.microsoft.com/office/spreadsheetml/2009/9/main" objectType="CheckBox" fmlaLink="$Q$5" lockText="1" noThreeD="1"/>
</file>

<file path=xl/ctrlProps/ctrlProp128.xml><?xml version="1.0" encoding="utf-8"?>
<formControlPr xmlns="http://schemas.microsoft.com/office/spreadsheetml/2009/9/main" objectType="CheckBox" fmlaLink="$Q$18" lockText="1" noThreeD="1"/>
</file>

<file path=xl/ctrlProps/ctrlProp129.xml><?xml version="1.0" encoding="utf-8"?>
<formControlPr xmlns="http://schemas.microsoft.com/office/spreadsheetml/2009/9/main" objectType="CheckBox" fmlaLink="$Q$19" lockText="1" noThreeD="1"/>
</file>

<file path=xl/ctrlProps/ctrlProp13.xml><?xml version="1.0" encoding="utf-8"?>
<formControlPr xmlns="http://schemas.microsoft.com/office/spreadsheetml/2009/9/main" objectType="CheckBox" fmlaLink="$G$5" lockText="1" noThreeD="1"/>
</file>

<file path=xl/ctrlProps/ctrlProp130.xml><?xml version="1.0" encoding="utf-8"?>
<formControlPr xmlns="http://schemas.microsoft.com/office/spreadsheetml/2009/9/main" objectType="CheckBox" fmlaLink="$Q$20" lockText="1" noThreeD="1"/>
</file>

<file path=xl/ctrlProps/ctrlProp131.xml><?xml version="1.0" encoding="utf-8"?>
<formControlPr xmlns="http://schemas.microsoft.com/office/spreadsheetml/2009/9/main" objectType="CheckBox" fmlaLink="$Q$21" lockText="1" noThreeD="1"/>
</file>

<file path=xl/ctrlProps/ctrlProp132.xml><?xml version="1.0" encoding="utf-8"?>
<formControlPr xmlns="http://schemas.microsoft.com/office/spreadsheetml/2009/9/main" objectType="CheckBox" fmlaLink="$Q$22" lockText="1" noThreeD="1"/>
</file>

<file path=xl/ctrlProps/ctrlProp133.xml><?xml version="1.0" encoding="utf-8"?>
<formControlPr xmlns="http://schemas.microsoft.com/office/spreadsheetml/2009/9/main" objectType="CheckBox" fmlaLink="$Q$23" lockText="1" noThreeD="1"/>
</file>

<file path=xl/ctrlProps/ctrlProp134.xml><?xml version="1.0" encoding="utf-8"?>
<formControlPr xmlns="http://schemas.microsoft.com/office/spreadsheetml/2009/9/main" objectType="CheckBox" fmlaLink="$R$16" lockText="1" noThreeD="1"/>
</file>

<file path=xl/ctrlProps/ctrlProp135.xml><?xml version="1.0" encoding="utf-8"?>
<formControlPr xmlns="http://schemas.microsoft.com/office/spreadsheetml/2009/9/main" objectType="CheckBox" fmlaLink="$Q$24" lockText="1" noThreeD="1"/>
</file>

<file path=xl/ctrlProps/ctrlProp136.xml><?xml version="1.0" encoding="utf-8"?>
<formControlPr xmlns="http://schemas.microsoft.com/office/spreadsheetml/2009/9/main" objectType="CheckBox" fmlaLink="$R$18" lockText="1" noThreeD="1"/>
</file>

<file path=xl/ctrlProps/ctrlProp137.xml><?xml version="1.0" encoding="utf-8"?>
<formControlPr xmlns="http://schemas.microsoft.com/office/spreadsheetml/2009/9/main" objectType="CheckBox" fmlaLink="$R$19" lockText="1" noThreeD="1"/>
</file>

<file path=xl/ctrlProps/ctrlProp138.xml><?xml version="1.0" encoding="utf-8"?>
<formControlPr xmlns="http://schemas.microsoft.com/office/spreadsheetml/2009/9/main" objectType="CheckBox" fmlaLink="$R$20" lockText="1" noThreeD="1"/>
</file>

<file path=xl/ctrlProps/ctrlProp139.xml><?xml version="1.0" encoding="utf-8"?>
<formControlPr xmlns="http://schemas.microsoft.com/office/spreadsheetml/2009/9/main" objectType="CheckBox" fmlaLink="$R$21" lockText="1" noThreeD="1"/>
</file>

<file path=xl/ctrlProps/ctrlProp14.xml><?xml version="1.0" encoding="utf-8"?>
<formControlPr xmlns="http://schemas.microsoft.com/office/spreadsheetml/2009/9/main" objectType="CheckBox" checked="Checked" fmlaLink="$G$6" lockText="1" noThreeD="1"/>
</file>

<file path=xl/ctrlProps/ctrlProp140.xml><?xml version="1.0" encoding="utf-8"?>
<formControlPr xmlns="http://schemas.microsoft.com/office/spreadsheetml/2009/9/main" objectType="CheckBox" fmlaLink="$R$22" lockText="1" noThreeD="1"/>
</file>

<file path=xl/ctrlProps/ctrlProp141.xml><?xml version="1.0" encoding="utf-8"?>
<formControlPr xmlns="http://schemas.microsoft.com/office/spreadsheetml/2009/9/main" objectType="CheckBox" fmlaLink="$R$23" lockText="1" noThreeD="1"/>
</file>

<file path=xl/ctrlProps/ctrlProp142.xml><?xml version="1.0" encoding="utf-8"?>
<formControlPr xmlns="http://schemas.microsoft.com/office/spreadsheetml/2009/9/main" objectType="CheckBox" fmlaLink="$S$16" lockText="1" noThreeD="1"/>
</file>

<file path=xl/ctrlProps/ctrlProp143.xml><?xml version="1.0" encoding="utf-8"?>
<formControlPr xmlns="http://schemas.microsoft.com/office/spreadsheetml/2009/9/main" objectType="CheckBox" fmlaLink="$R$24" lockText="1" noThreeD="1"/>
</file>

<file path=xl/ctrlProps/ctrlProp144.xml><?xml version="1.0" encoding="utf-8"?>
<formControlPr xmlns="http://schemas.microsoft.com/office/spreadsheetml/2009/9/main" objectType="CheckBox" fmlaLink="$S$18" lockText="1" noThreeD="1"/>
</file>

<file path=xl/ctrlProps/ctrlProp145.xml><?xml version="1.0" encoding="utf-8"?>
<formControlPr xmlns="http://schemas.microsoft.com/office/spreadsheetml/2009/9/main" objectType="CheckBox" checked="Checked" fmlaLink="$S$19" lockText="1" noThreeD="1"/>
</file>

<file path=xl/ctrlProps/ctrlProp146.xml><?xml version="1.0" encoding="utf-8"?>
<formControlPr xmlns="http://schemas.microsoft.com/office/spreadsheetml/2009/9/main" objectType="CheckBox" checked="Checked" fmlaLink="$S$20" lockText="1" noThreeD="1"/>
</file>

<file path=xl/ctrlProps/ctrlProp147.xml><?xml version="1.0" encoding="utf-8"?>
<formControlPr xmlns="http://schemas.microsoft.com/office/spreadsheetml/2009/9/main" objectType="CheckBox" checked="Checked" fmlaLink="$S$21" lockText="1" noThreeD="1"/>
</file>

<file path=xl/ctrlProps/ctrlProp148.xml><?xml version="1.0" encoding="utf-8"?>
<formControlPr xmlns="http://schemas.microsoft.com/office/spreadsheetml/2009/9/main" objectType="CheckBox" checked="Checked" fmlaLink="$S$22" lockText="1" noThreeD="1"/>
</file>

<file path=xl/ctrlProps/ctrlProp149.xml><?xml version="1.0" encoding="utf-8"?>
<formControlPr xmlns="http://schemas.microsoft.com/office/spreadsheetml/2009/9/main" objectType="CheckBox" checked="Checked" fmlaLink="$S$23" lockText="1" noThreeD="1"/>
</file>

<file path=xl/ctrlProps/ctrlProp15.xml><?xml version="1.0" encoding="utf-8"?>
<formControlPr xmlns="http://schemas.microsoft.com/office/spreadsheetml/2009/9/main" objectType="CheckBox" fmlaLink="$Q$4" lockText="1" noThreeD="1"/>
</file>

<file path=xl/ctrlProps/ctrlProp150.xml><?xml version="1.0" encoding="utf-8"?>
<formControlPr xmlns="http://schemas.microsoft.com/office/spreadsheetml/2009/9/main" objectType="CheckBox" fmlaLink="$T$16" lockText="1" noThreeD="1"/>
</file>

<file path=xl/ctrlProps/ctrlProp151.xml><?xml version="1.0" encoding="utf-8"?>
<formControlPr xmlns="http://schemas.microsoft.com/office/spreadsheetml/2009/9/main" objectType="CheckBox" checked="Checked" fmlaLink="$S$24" lockText="1" noThreeD="1"/>
</file>

<file path=xl/ctrlProps/ctrlProp152.xml><?xml version="1.0" encoding="utf-8"?>
<formControlPr xmlns="http://schemas.microsoft.com/office/spreadsheetml/2009/9/main" objectType="CheckBox" fmlaLink="$Q$6" lockText="1" noThreeD="1"/>
</file>

<file path=xl/ctrlProps/ctrlProp153.xml><?xml version="1.0" encoding="utf-8"?>
<formControlPr xmlns="http://schemas.microsoft.com/office/spreadsheetml/2009/9/main" objectType="CheckBox" fmlaLink="$P$19" lockText="1" noThreeD="1"/>
</file>

<file path=xl/ctrlProps/ctrlProp154.xml><?xml version="1.0" encoding="utf-8"?>
<formControlPr xmlns="http://schemas.microsoft.com/office/spreadsheetml/2009/9/main" objectType="CheckBox" fmlaLink="$P$20" lockText="1" noThreeD="1"/>
</file>

<file path=xl/ctrlProps/ctrlProp155.xml><?xml version="1.0" encoding="utf-8"?>
<formControlPr xmlns="http://schemas.microsoft.com/office/spreadsheetml/2009/9/main" objectType="CheckBox" fmlaLink="$P$21" lockText="1" noThreeD="1"/>
</file>

<file path=xl/ctrlProps/ctrlProp156.xml><?xml version="1.0" encoding="utf-8"?>
<formControlPr xmlns="http://schemas.microsoft.com/office/spreadsheetml/2009/9/main" objectType="CheckBox" checked="Checked" fmlaLink="$P$22" lockText="1" noThreeD="1"/>
</file>

<file path=xl/ctrlProps/ctrlProp157.xml><?xml version="1.0" encoding="utf-8"?>
<formControlPr xmlns="http://schemas.microsoft.com/office/spreadsheetml/2009/9/main" objectType="CheckBox" fmlaLink="$P$23" lockText="1" noThreeD="1"/>
</file>

<file path=xl/ctrlProps/ctrlProp158.xml><?xml version="1.0" encoding="utf-8"?>
<formControlPr xmlns="http://schemas.microsoft.com/office/spreadsheetml/2009/9/main" objectType="CheckBox" fmlaLink="$Q$11" lockText="1" noThreeD="1"/>
</file>

<file path=xl/ctrlProps/ctrlProp159.xml><?xml version="1.0" encoding="utf-8"?>
<formControlPr xmlns="http://schemas.microsoft.com/office/spreadsheetml/2009/9/main" objectType="CheckBox" fmlaLink="$D$19" lockText="1" noThreeD="1"/>
</file>

<file path=xl/ctrlProps/ctrlProp16.xml><?xml version="1.0" encoding="utf-8"?>
<formControlPr xmlns="http://schemas.microsoft.com/office/spreadsheetml/2009/9/main" objectType="CheckBox" checked="Checked" fmlaLink="$G$21" lockText="1" noThreeD="1"/>
</file>

<file path=xl/ctrlProps/ctrlProp160.xml><?xml version="1.0" encoding="utf-8"?>
<formControlPr xmlns="http://schemas.microsoft.com/office/spreadsheetml/2009/9/main" objectType="CheckBox" checked="Checked" fmlaLink="$D$20" lockText="1" noThreeD="1"/>
</file>

<file path=xl/ctrlProps/ctrlProp161.xml><?xml version="1.0" encoding="utf-8"?>
<formControlPr xmlns="http://schemas.microsoft.com/office/spreadsheetml/2009/9/main" objectType="CheckBox" fmlaLink="$D$21" lockText="1" noThreeD="1"/>
</file>

<file path=xl/ctrlProps/ctrlProp162.xml><?xml version="1.0" encoding="utf-8"?>
<formControlPr xmlns="http://schemas.microsoft.com/office/spreadsheetml/2009/9/main" objectType="CheckBox" fmlaLink="$Q$16" lockText="1" noThreeD="1"/>
</file>

<file path=xl/ctrlProps/ctrlProp163.xml><?xml version="1.0" encoding="utf-8"?>
<formControlPr xmlns="http://schemas.microsoft.com/office/spreadsheetml/2009/9/main" objectType="CheckBox" fmlaLink="$Q$7" lockText="1" noThreeD="1"/>
</file>

<file path=xl/ctrlProps/ctrlProp164.xml><?xml version="1.0" encoding="utf-8"?>
<formControlPr xmlns="http://schemas.microsoft.com/office/spreadsheetml/2009/9/main" objectType="CheckBox" checked="Checked" fmlaLink="$C$10" lockText="1" noThreeD="1"/>
</file>

<file path=xl/ctrlProps/ctrlProp165.xml><?xml version="1.0" encoding="utf-8"?>
<formControlPr xmlns="http://schemas.microsoft.com/office/spreadsheetml/2009/9/main" objectType="CheckBox" fmlaLink="$C$11" lockText="1" noThreeD="1"/>
</file>

<file path=xl/ctrlProps/ctrlProp166.xml><?xml version="1.0" encoding="utf-8"?>
<formControlPr xmlns="http://schemas.microsoft.com/office/spreadsheetml/2009/9/main" objectType="CheckBox" fmlaLink="$C$12" lockText="1" noThreeD="1"/>
</file>

<file path=xl/ctrlProps/ctrlProp167.xml><?xml version="1.0" encoding="utf-8"?>
<formControlPr xmlns="http://schemas.microsoft.com/office/spreadsheetml/2009/9/main" objectType="CheckBox" checked="Checked" fmlaLink="$C$15" lockText="1" noThreeD="1"/>
</file>

<file path=xl/ctrlProps/ctrlProp168.xml><?xml version="1.0" encoding="utf-8"?>
<formControlPr xmlns="http://schemas.microsoft.com/office/spreadsheetml/2009/9/main" objectType="CheckBox" checked="Checked" fmlaLink="$C$16" lockText="1" noThreeD="1"/>
</file>

<file path=xl/ctrlProps/ctrlProp169.xml><?xml version="1.0" encoding="utf-8"?>
<formControlPr xmlns="http://schemas.microsoft.com/office/spreadsheetml/2009/9/main" objectType="CheckBox" checked="Checked" fmlaLink="$C$17" lockText="1" noThreeD="1"/>
</file>

<file path=xl/ctrlProps/ctrlProp17.xml><?xml version="1.0" encoding="utf-8"?>
<formControlPr xmlns="http://schemas.microsoft.com/office/spreadsheetml/2009/9/main" objectType="CheckBox" fmlaLink="$Q$10" lockText="1" noThreeD="1"/>
</file>

<file path=xl/ctrlProps/ctrlProp170.xml><?xml version="1.0" encoding="utf-8"?>
<formControlPr xmlns="http://schemas.microsoft.com/office/spreadsheetml/2009/9/main" objectType="CheckBox" fmlaLink="$C$18" lockText="1" noThreeD="1"/>
</file>

<file path=xl/ctrlProps/ctrlProp171.xml><?xml version="1.0" encoding="utf-8"?>
<formControlPr xmlns="http://schemas.microsoft.com/office/spreadsheetml/2009/9/main" objectType="CheckBox" checked="Checked" fmlaLink="$C$19" lockText="1" noThreeD="1"/>
</file>

<file path=xl/ctrlProps/ctrlProp172.xml><?xml version="1.0" encoding="utf-8"?>
<formControlPr xmlns="http://schemas.microsoft.com/office/spreadsheetml/2009/9/main" objectType="CheckBox" fmlaLink="$D$20" lockText="1" noThreeD="1"/>
</file>

<file path=xl/ctrlProps/ctrlProp173.xml><?xml version="1.0" encoding="utf-8"?>
<formControlPr xmlns="http://schemas.microsoft.com/office/spreadsheetml/2009/9/main" objectType="CheckBox" checked="Checked" fmlaLink="$D$21" lockText="1" noThreeD="1"/>
</file>

<file path=xl/ctrlProps/ctrlProp174.xml><?xml version="1.0" encoding="utf-8"?>
<formControlPr xmlns="http://schemas.microsoft.com/office/spreadsheetml/2009/9/main" objectType="CheckBox" fmlaLink="$D$22" lockText="1" noThreeD="1"/>
</file>

<file path=xl/ctrlProps/ctrlProp175.xml><?xml version="1.0" encoding="utf-8"?>
<formControlPr xmlns="http://schemas.microsoft.com/office/spreadsheetml/2009/9/main" objectType="CheckBox" fmlaLink="$D$23" lockText="1" noThreeD="1"/>
</file>

<file path=xl/ctrlProps/ctrlProp176.xml><?xml version="1.0" encoding="utf-8"?>
<formControlPr xmlns="http://schemas.microsoft.com/office/spreadsheetml/2009/9/main" objectType="CheckBox" fmlaLink="$D$24" lockText="1" noThreeD="1"/>
</file>

<file path=xl/ctrlProps/ctrlProp177.xml><?xml version="1.0" encoding="utf-8"?>
<formControlPr xmlns="http://schemas.microsoft.com/office/spreadsheetml/2009/9/main" objectType="CheckBox" fmlaLink="$D$25" lockText="1" noThreeD="1"/>
</file>

<file path=xl/ctrlProps/ctrlProp178.xml><?xml version="1.0" encoding="utf-8"?>
<formControlPr xmlns="http://schemas.microsoft.com/office/spreadsheetml/2009/9/main" objectType="CheckBox" checked="Checked" fmlaLink="$D$26" lockText="1" noThreeD="1"/>
</file>

<file path=xl/ctrlProps/ctrlProp179.xml><?xml version="1.0" encoding="utf-8"?>
<formControlPr xmlns="http://schemas.microsoft.com/office/spreadsheetml/2009/9/main" objectType="CheckBox" fmlaLink="$D$27" lockText="1" noThreeD="1"/>
</file>

<file path=xl/ctrlProps/ctrlProp18.xml><?xml version="1.0" encoding="utf-8"?>
<formControlPr xmlns="http://schemas.microsoft.com/office/spreadsheetml/2009/9/main" objectType="CheckBox" fmlaLink="$Q$12" lockText="1" noThreeD="1"/>
</file>

<file path=xl/ctrlProps/ctrlProp180.xml><?xml version="1.0" encoding="utf-8"?>
<formControlPr xmlns="http://schemas.microsoft.com/office/spreadsheetml/2009/9/main" objectType="CheckBox" fmlaLink="$D$28" lockText="1" noThreeD="1"/>
</file>

<file path=xl/ctrlProps/ctrlProp181.xml><?xml version="1.0" encoding="utf-8"?>
<formControlPr xmlns="http://schemas.microsoft.com/office/spreadsheetml/2009/9/main" objectType="CheckBox" fmlaLink="$P$10" lockText="1" noThreeD="1"/>
</file>

<file path=xl/ctrlProps/ctrlProp182.xml><?xml version="1.0" encoding="utf-8"?>
<formControlPr xmlns="http://schemas.microsoft.com/office/spreadsheetml/2009/9/main" objectType="CheckBox" fmlaLink="$P$11" lockText="1" noThreeD="1"/>
</file>

<file path=xl/ctrlProps/ctrlProp183.xml><?xml version="1.0" encoding="utf-8"?>
<formControlPr xmlns="http://schemas.microsoft.com/office/spreadsheetml/2009/9/main" objectType="CheckBox" fmlaLink="$G$5" lockText="1" noThreeD="1"/>
</file>

<file path=xl/ctrlProps/ctrlProp184.xml><?xml version="1.0" encoding="utf-8"?>
<formControlPr xmlns="http://schemas.microsoft.com/office/spreadsheetml/2009/9/main" objectType="CheckBox" fmlaLink="$G$6" lockText="1" noThreeD="1"/>
</file>

<file path=xl/ctrlProps/ctrlProp185.xml><?xml version="1.0" encoding="utf-8"?>
<formControlPr xmlns="http://schemas.microsoft.com/office/spreadsheetml/2009/9/main" objectType="CheckBox" fmlaLink="$G$7" lockText="1" noThreeD="1"/>
</file>

<file path=xl/ctrlProps/ctrlProp186.xml><?xml version="1.0" encoding="utf-8"?>
<formControlPr xmlns="http://schemas.microsoft.com/office/spreadsheetml/2009/9/main" objectType="CheckBox" fmlaLink="$G$8" lockText="1" noThreeD="1"/>
</file>

<file path=xl/ctrlProps/ctrlProp187.xml><?xml version="1.0" encoding="utf-8"?>
<formControlPr xmlns="http://schemas.microsoft.com/office/spreadsheetml/2009/9/main" objectType="CheckBox" fmlaLink="$G$9" lockText="1" noThreeD="1"/>
</file>

<file path=xl/ctrlProps/ctrlProp188.xml><?xml version="1.0" encoding="utf-8"?>
<formControlPr xmlns="http://schemas.microsoft.com/office/spreadsheetml/2009/9/main" objectType="CheckBox" fmlaLink="$G$10" lockText="1" noThreeD="1"/>
</file>

<file path=xl/ctrlProps/ctrlProp189.xml><?xml version="1.0" encoding="utf-8"?>
<formControlPr xmlns="http://schemas.microsoft.com/office/spreadsheetml/2009/9/main" objectType="CheckBox" fmlaLink="$G$11" lockText="1" noThreeD="1"/>
</file>

<file path=xl/ctrlProps/ctrlProp19.xml><?xml version="1.0" encoding="utf-8"?>
<formControlPr xmlns="http://schemas.microsoft.com/office/spreadsheetml/2009/9/main" objectType="CheckBox" checked="Checked" fmlaLink="$Q$13" lockText="1" noThreeD="1"/>
</file>

<file path=xl/ctrlProps/ctrlProp190.xml><?xml version="1.0" encoding="utf-8"?>
<formControlPr xmlns="http://schemas.microsoft.com/office/spreadsheetml/2009/9/main" objectType="CheckBox" fmlaLink="$G$12" lockText="1" noThreeD="1"/>
</file>

<file path=xl/ctrlProps/ctrlProp191.xml><?xml version="1.0" encoding="utf-8"?>
<formControlPr xmlns="http://schemas.microsoft.com/office/spreadsheetml/2009/9/main" objectType="CheckBox" fmlaLink="$G$13" lockText="1" noThreeD="1"/>
</file>

<file path=xl/ctrlProps/ctrlProp192.xml><?xml version="1.0" encoding="utf-8"?>
<formControlPr xmlns="http://schemas.microsoft.com/office/spreadsheetml/2009/9/main" objectType="CheckBox" fmlaLink="$K$17" lockText="1" noThreeD="1"/>
</file>

<file path=xl/ctrlProps/ctrlProp193.xml><?xml version="1.0" encoding="utf-8"?>
<formControlPr xmlns="http://schemas.microsoft.com/office/spreadsheetml/2009/9/main" objectType="CheckBox" fmlaLink="$L$17" lockText="1" noThreeD="1"/>
</file>

<file path=xl/ctrlProps/ctrlProp194.xml><?xml version="1.0" encoding="utf-8"?>
<formControlPr xmlns="http://schemas.microsoft.com/office/spreadsheetml/2009/9/main" objectType="CheckBox" fmlaLink="$K$18" lockText="1" noThreeD="1"/>
</file>

<file path=xl/ctrlProps/ctrlProp195.xml><?xml version="1.0" encoding="utf-8"?>
<formControlPr xmlns="http://schemas.microsoft.com/office/spreadsheetml/2009/9/main" objectType="CheckBox" checked="Checked" fmlaLink="$L$18" lockText="1" noThreeD="1"/>
</file>

<file path=xl/ctrlProps/ctrlProp196.xml><?xml version="1.0" encoding="utf-8"?>
<formControlPr xmlns="http://schemas.microsoft.com/office/spreadsheetml/2009/9/main" objectType="CheckBox" fmlaLink="$K$19" lockText="1" noThreeD="1"/>
</file>

<file path=xl/ctrlProps/ctrlProp197.xml><?xml version="1.0" encoding="utf-8"?>
<formControlPr xmlns="http://schemas.microsoft.com/office/spreadsheetml/2009/9/main" objectType="CheckBox" checked="Checked" fmlaLink="$L$19" lockText="1" noThreeD="1"/>
</file>

<file path=xl/ctrlProps/ctrlProp198.xml><?xml version="1.0" encoding="utf-8"?>
<formControlPr xmlns="http://schemas.microsoft.com/office/spreadsheetml/2009/9/main" objectType="CheckBox" fmlaLink="$K$20" lockText="1" noThreeD="1"/>
</file>

<file path=xl/ctrlProps/ctrlProp199.xml><?xml version="1.0" encoding="utf-8"?>
<formControlPr xmlns="http://schemas.microsoft.com/office/spreadsheetml/2009/9/main" objectType="CheckBox" checked="Checked" fmlaLink="L20" lockText="1" noThreeD="1"/>
</file>

<file path=xl/ctrlProps/ctrlProp2.xml><?xml version="1.0" encoding="utf-8"?>
<formControlPr xmlns="http://schemas.microsoft.com/office/spreadsheetml/2009/9/main" objectType="CheckBox" checked="Checked" fmlaLink="$D$11" lockText="1" noThreeD="1"/>
</file>

<file path=xl/ctrlProps/ctrlProp20.xml><?xml version="1.0" encoding="utf-8"?>
<formControlPr xmlns="http://schemas.microsoft.com/office/spreadsheetml/2009/9/main" objectType="CheckBox" fmlaLink="$Q$14" lockText="1" noThreeD="1"/>
</file>

<file path=xl/ctrlProps/ctrlProp200.xml><?xml version="1.0" encoding="utf-8"?>
<formControlPr xmlns="http://schemas.microsoft.com/office/spreadsheetml/2009/9/main" objectType="CheckBox" fmlaLink="$K$21" lockText="1" noThreeD="1"/>
</file>

<file path=xl/ctrlProps/ctrlProp201.xml><?xml version="1.0" encoding="utf-8"?>
<formControlPr xmlns="http://schemas.microsoft.com/office/spreadsheetml/2009/9/main" objectType="CheckBox" fmlaLink="L21" lockText="1" noThreeD="1"/>
</file>

<file path=xl/ctrlProps/ctrlProp202.xml><?xml version="1.0" encoding="utf-8"?>
<formControlPr xmlns="http://schemas.microsoft.com/office/spreadsheetml/2009/9/main" objectType="CheckBox" fmlaLink="L$21" lockText="1" noThreeD="1"/>
</file>

<file path=xl/ctrlProps/ctrlProp203.xml><?xml version="1.0" encoding="utf-8"?>
<formControlPr xmlns="http://schemas.microsoft.com/office/spreadsheetml/2009/9/main" objectType="CheckBox" checked="Checked" fmlaLink="$L$22" lockText="1" noThreeD="1"/>
</file>

<file path=xl/ctrlProps/ctrlProp204.xml><?xml version="1.0" encoding="utf-8"?>
<formControlPr xmlns="http://schemas.microsoft.com/office/spreadsheetml/2009/9/main" objectType="CheckBox" checked="Checked" fmlaLink="$L$23" lockText="1" noThreeD="1"/>
</file>

<file path=xl/ctrlProps/ctrlProp205.xml><?xml version="1.0" encoding="utf-8"?>
<formControlPr xmlns="http://schemas.microsoft.com/office/spreadsheetml/2009/9/main" objectType="CheckBox" fmlaLink="$L24" lockText="1" noThreeD="1"/>
</file>

<file path=xl/ctrlProps/ctrlProp206.xml><?xml version="1.0" encoding="utf-8"?>
<formControlPr xmlns="http://schemas.microsoft.com/office/spreadsheetml/2009/9/main" objectType="CheckBox" fmlaLink="$L$25" lockText="1" noThreeD="1"/>
</file>

<file path=xl/ctrlProps/ctrlProp207.xml><?xml version="1.0" encoding="utf-8"?>
<formControlPr xmlns="http://schemas.microsoft.com/office/spreadsheetml/2009/9/main" objectType="CheckBox" fmlaLink="$K$22" lockText="1" noThreeD="1"/>
</file>

<file path=xl/ctrlProps/ctrlProp208.xml><?xml version="1.0" encoding="utf-8"?>
<formControlPr xmlns="http://schemas.microsoft.com/office/spreadsheetml/2009/9/main" objectType="CheckBox" fmlaLink="$K$23" lockText="1" noThreeD="1"/>
</file>

<file path=xl/ctrlProps/ctrlProp209.xml><?xml version="1.0" encoding="utf-8"?>
<formControlPr xmlns="http://schemas.microsoft.com/office/spreadsheetml/2009/9/main" objectType="CheckBox" fmlaLink="$K$24" lockText="1" noThreeD="1"/>
</file>

<file path=xl/ctrlProps/ctrlProp21.xml><?xml version="1.0" encoding="utf-8"?>
<formControlPr xmlns="http://schemas.microsoft.com/office/spreadsheetml/2009/9/main" objectType="CheckBox" fmlaLink="$Q$15" lockText="1" noThreeD="1"/>
</file>

<file path=xl/ctrlProps/ctrlProp210.xml><?xml version="1.0" encoding="utf-8"?>
<formControlPr xmlns="http://schemas.microsoft.com/office/spreadsheetml/2009/9/main" objectType="CheckBox" fmlaLink="$K$25" lockText="1" noThreeD="1"/>
</file>

<file path=xl/ctrlProps/ctrlProp211.xml><?xml version="1.0" encoding="utf-8"?>
<formControlPr xmlns="http://schemas.microsoft.com/office/spreadsheetml/2009/9/main" objectType="CheckBox" fmlaLink="$G$24" lockText="1" noThreeD="1"/>
</file>

<file path=xl/ctrlProps/ctrlProp212.xml><?xml version="1.0" encoding="utf-8"?>
<formControlPr xmlns="http://schemas.microsoft.com/office/spreadsheetml/2009/9/main" objectType="CheckBox" fmlaLink="$G$25" lockText="1" noThreeD="1"/>
</file>

<file path=xl/ctrlProps/ctrlProp213.xml><?xml version="1.0" encoding="utf-8"?>
<formControlPr xmlns="http://schemas.microsoft.com/office/spreadsheetml/2009/9/main" objectType="CheckBox" fmlaLink="$G$26" lockText="1" noThreeD="1"/>
</file>

<file path=xl/ctrlProps/ctrlProp214.xml><?xml version="1.0" encoding="utf-8"?>
<formControlPr xmlns="http://schemas.microsoft.com/office/spreadsheetml/2009/9/main" objectType="CheckBox" checked="Checked" fmlaLink="$G$27" lockText="1" noThreeD="1"/>
</file>

<file path=xl/ctrlProps/ctrlProp215.xml><?xml version="1.0" encoding="utf-8"?>
<formControlPr xmlns="http://schemas.microsoft.com/office/spreadsheetml/2009/9/main" objectType="CheckBox" fmlaLink="$G$28" lockText="1" noThreeD="1"/>
</file>

<file path=xl/ctrlProps/ctrlProp216.xml><?xml version="1.0" encoding="utf-8"?>
<formControlPr xmlns="http://schemas.microsoft.com/office/spreadsheetml/2009/9/main" objectType="CheckBox" fmlaLink="$O$17" lockText="1" noThreeD="1"/>
</file>

<file path=xl/ctrlProps/ctrlProp217.xml><?xml version="1.0" encoding="utf-8"?>
<formControlPr xmlns="http://schemas.microsoft.com/office/spreadsheetml/2009/9/main" objectType="CheckBox" checked="Checked" fmlaLink="$O$18" lockText="1" noThreeD="1"/>
</file>

<file path=xl/ctrlProps/ctrlProp218.xml><?xml version="1.0" encoding="utf-8"?>
<formControlPr xmlns="http://schemas.microsoft.com/office/spreadsheetml/2009/9/main" objectType="CheckBox" checked="Checked" fmlaLink="$O$19" lockText="1" noThreeD="1"/>
</file>

<file path=xl/ctrlProps/ctrlProp219.xml><?xml version="1.0" encoding="utf-8"?>
<formControlPr xmlns="http://schemas.microsoft.com/office/spreadsheetml/2009/9/main" objectType="CheckBox" checked="Checked" fmlaLink="$O$20" lockText="1" noThreeD="1"/>
</file>

<file path=xl/ctrlProps/ctrlProp22.xml><?xml version="1.0" encoding="utf-8"?>
<formControlPr xmlns="http://schemas.microsoft.com/office/spreadsheetml/2009/9/main" objectType="CheckBox" fmlaLink="$Q$5" lockText="1" noThreeD="1"/>
</file>

<file path=xl/ctrlProps/ctrlProp220.xml><?xml version="1.0" encoding="utf-8"?>
<formControlPr xmlns="http://schemas.microsoft.com/office/spreadsheetml/2009/9/main" objectType="CheckBox" fmlaLink="$O$21" lockText="1" noThreeD="1"/>
</file>

<file path=xl/ctrlProps/ctrlProp221.xml><?xml version="1.0" encoding="utf-8"?>
<formControlPr xmlns="http://schemas.microsoft.com/office/spreadsheetml/2009/9/main" objectType="CheckBox" checked="Checked" fmlaLink="$O$23" lockText="1" noThreeD="1"/>
</file>

<file path=xl/ctrlProps/ctrlProp222.xml><?xml version="1.0" encoding="utf-8"?>
<formControlPr xmlns="http://schemas.microsoft.com/office/spreadsheetml/2009/9/main" objectType="CheckBox" fmlaLink="$O$24" lockText="1" noThreeD="1"/>
</file>

<file path=xl/ctrlProps/ctrlProp223.xml><?xml version="1.0" encoding="utf-8"?>
<formControlPr xmlns="http://schemas.microsoft.com/office/spreadsheetml/2009/9/main" objectType="CheckBox" fmlaLink="$P$11" lockText="1" noThreeD="1"/>
</file>

<file path=xl/ctrlProps/ctrlProp224.xml><?xml version="1.0" encoding="utf-8"?>
<formControlPr xmlns="http://schemas.microsoft.com/office/spreadsheetml/2009/9/main" objectType="CheckBox" fmlaLink="$P$17" lockText="1" noThreeD="1"/>
</file>

<file path=xl/ctrlProps/ctrlProp225.xml><?xml version="1.0" encoding="utf-8"?>
<formControlPr xmlns="http://schemas.microsoft.com/office/spreadsheetml/2009/9/main" objectType="CheckBox" fmlaLink="$P$18" lockText="1" noThreeD="1"/>
</file>

<file path=xl/ctrlProps/ctrlProp226.xml><?xml version="1.0" encoding="utf-8"?>
<formControlPr xmlns="http://schemas.microsoft.com/office/spreadsheetml/2009/9/main" objectType="CheckBox" fmlaLink="$P$19" lockText="1" noThreeD="1"/>
</file>

<file path=xl/ctrlProps/ctrlProp227.xml><?xml version="1.0" encoding="utf-8"?>
<formControlPr xmlns="http://schemas.microsoft.com/office/spreadsheetml/2009/9/main" objectType="CheckBox" fmlaLink="$P$20" lockText="1" noThreeD="1"/>
</file>

<file path=xl/ctrlProps/ctrlProp228.xml><?xml version="1.0" encoding="utf-8"?>
<formControlPr xmlns="http://schemas.microsoft.com/office/spreadsheetml/2009/9/main" objectType="CheckBox" fmlaLink="$P$21" lockText="1" noThreeD="1"/>
</file>

<file path=xl/ctrlProps/ctrlProp229.xml><?xml version="1.0" encoding="utf-8"?>
<formControlPr xmlns="http://schemas.microsoft.com/office/spreadsheetml/2009/9/main" objectType="CheckBox" fmlaLink="$P$23" lockText="1" noThreeD="1"/>
</file>

<file path=xl/ctrlProps/ctrlProp23.xml><?xml version="1.0" encoding="utf-8"?>
<formControlPr xmlns="http://schemas.microsoft.com/office/spreadsheetml/2009/9/main" objectType="CheckBox" fmlaLink="$R$10" lockText="1" noThreeD="1"/>
</file>

<file path=xl/ctrlProps/ctrlProp230.xml><?xml version="1.0" encoding="utf-8"?>
<formControlPr xmlns="http://schemas.microsoft.com/office/spreadsheetml/2009/9/main" objectType="CheckBox" fmlaLink="$P$24" lockText="1" noThreeD="1"/>
</file>

<file path=xl/ctrlProps/ctrlProp231.xml><?xml version="1.0" encoding="utf-8"?>
<formControlPr xmlns="http://schemas.microsoft.com/office/spreadsheetml/2009/9/main" objectType="CheckBox" fmlaLink="$P$11" lockText="1" noThreeD="1"/>
</file>

<file path=xl/ctrlProps/ctrlProp24.xml><?xml version="1.0" encoding="utf-8"?>
<formControlPr xmlns="http://schemas.microsoft.com/office/spreadsheetml/2009/9/main" objectType="CheckBox" fmlaLink="$R$11" lockText="1" noThreeD="1"/>
</file>

<file path=xl/ctrlProps/ctrlProp25.xml><?xml version="1.0" encoding="utf-8"?>
<formControlPr xmlns="http://schemas.microsoft.com/office/spreadsheetml/2009/9/main" objectType="CheckBox" fmlaLink="$R$12" lockText="1" noThreeD="1"/>
</file>

<file path=xl/ctrlProps/ctrlProp26.xml><?xml version="1.0" encoding="utf-8"?>
<formControlPr xmlns="http://schemas.microsoft.com/office/spreadsheetml/2009/9/main" objectType="CheckBox" fmlaLink="$R$13" lockText="1" noThreeD="1"/>
</file>

<file path=xl/ctrlProps/ctrlProp27.xml><?xml version="1.0" encoding="utf-8"?>
<formControlPr xmlns="http://schemas.microsoft.com/office/spreadsheetml/2009/9/main" objectType="CheckBox" fmlaLink="$R$14" lockText="1" noThreeD="1"/>
</file>

<file path=xl/ctrlProps/ctrlProp28.xml><?xml version="1.0" encoding="utf-8"?>
<formControlPr xmlns="http://schemas.microsoft.com/office/spreadsheetml/2009/9/main" objectType="CheckBox" fmlaLink="$R$15" lockText="1" noThreeD="1"/>
</file>

<file path=xl/ctrlProps/ctrlProp29.xml><?xml version="1.0" encoding="utf-8"?>
<formControlPr xmlns="http://schemas.microsoft.com/office/spreadsheetml/2009/9/main" objectType="CheckBox" fmlaLink="$R$16" lockText="1" noThreeD="1"/>
</file>

<file path=xl/ctrlProps/ctrlProp3.xml><?xml version="1.0" encoding="utf-8"?>
<formControlPr xmlns="http://schemas.microsoft.com/office/spreadsheetml/2009/9/main" objectType="CheckBox" checked="Checked" fmlaLink="$D$12" lockText="1" noThreeD="1"/>
</file>

<file path=xl/ctrlProps/ctrlProp30.xml><?xml version="1.0" encoding="utf-8"?>
<formControlPr xmlns="http://schemas.microsoft.com/office/spreadsheetml/2009/9/main" objectType="CheckBox" fmlaLink="$R$17" lockText="1" noThreeD="1"/>
</file>

<file path=xl/ctrlProps/ctrlProp31.xml><?xml version="1.0" encoding="utf-8"?>
<formControlPr xmlns="http://schemas.microsoft.com/office/spreadsheetml/2009/9/main" objectType="CheckBox" fmlaLink="$S$10" lockText="1" noThreeD="1"/>
</file>

<file path=xl/ctrlProps/ctrlProp32.xml><?xml version="1.0" encoding="utf-8"?>
<formControlPr xmlns="http://schemas.microsoft.com/office/spreadsheetml/2009/9/main" objectType="CheckBox" fmlaLink="$S$11" lockText="1" noThreeD="1"/>
</file>

<file path=xl/ctrlProps/ctrlProp33.xml><?xml version="1.0" encoding="utf-8"?>
<formControlPr xmlns="http://schemas.microsoft.com/office/spreadsheetml/2009/9/main" objectType="CheckBox" fmlaLink="$S$12" lockText="1" noThreeD="1"/>
</file>

<file path=xl/ctrlProps/ctrlProp34.xml><?xml version="1.0" encoding="utf-8"?>
<formControlPr xmlns="http://schemas.microsoft.com/office/spreadsheetml/2009/9/main" objectType="CheckBox" fmlaLink="$S$13" lockText="1" noThreeD="1"/>
</file>

<file path=xl/ctrlProps/ctrlProp35.xml><?xml version="1.0" encoding="utf-8"?>
<formControlPr xmlns="http://schemas.microsoft.com/office/spreadsheetml/2009/9/main" objectType="CheckBox" fmlaLink="$S$14" lockText="1" noThreeD="1"/>
</file>

<file path=xl/ctrlProps/ctrlProp36.xml><?xml version="1.0" encoding="utf-8"?>
<formControlPr xmlns="http://schemas.microsoft.com/office/spreadsheetml/2009/9/main" objectType="CheckBox" fmlaLink="$S$15" lockText="1" noThreeD="1"/>
</file>

<file path=xl/ctrlProps/ctrlProp37.xml><?xml version="1.0" encoding="utf-8"?>
<formControlPr xmlns="http://schemas.microsoft.com/office/spreadsheetml/2009/9/main" objectType="CheckBox" fmlaLink="$S$16" lockText="1" noThreeD="1"/>
</file>

<file path=xl/ctrlProps/ctrlProp38.xml><?xml version="1.0" encoding="utf-8"?>
<formControlPr xmlns="http://schemas.microsoft.com/office/spreadsheetml/2009/9/main" objectType="CheckBox" fmlaLink="$S$17" lockText="1" noThreeD="1"/>
</file>

<file path=xl/ctrlProps/ctrlProp39.xml><?xml version="1.0" encoding="utf-8"?>
<formControlPr xmlns="http://schemas.microsoft.com/office/spreadsheetml/2009/9/main" objectType="CheckBox" fmlaLink="$T$10" lockText="1" noThreeD="1"/>
</file>

<file path=xl/ctrlProps/ctrlProp4.xml><?xml version="1.0" encoding="utf-8"?>
<formControlPr xmlns="http://schemas.microsoft.com/office/spreadsheetml/2009/9/main" objectType="CheckBox" fmlaLink="$D$13" lockText="1" noThreeD="1"/>
</file>

<file path=xl/ctrlProps/ctrlProp40.xml><?xml version="1.0" encoding="utf-8"?>
<formControlPr xmlns="http://schemas.microsoft.com/office/spreadsheetml/2009/9/main" objectType="CheckBox" checked="Checked" fmlaLink="$T$11" lockText="1" noThreeD="1"/>
</file>

<file path=xl/ctrlProps/ctrlProp41.xml><?xml version="1.0" encoding="utf-8"?>
<formControlPr xmlns="http://schemas.microsoft.com/office/spreadsheetml/2009/9/main" objectType="CheckBox" checked="Checked" fmlaLink="$T$12" lockText="1" noThreeD="1"/>
</file>

<file path=xl/ctrlProps/ctrlProp42.xml><?xml version="1.0" encoding="utf-8"?>
<formControlPr xmlns="http://schemas.microsoft.com/office/spreadsheetml/2009/9/main" objectType="CheckBox" checked="Checked" fmlaLink="$T$13" lockText="1" noThreeD="1"/>
</file>

<file path=xl/ctrlProps/ctrlProp43.xml><?xml version="1.0" encoding="utf-8"?>
<formControlPr xmlns="http://schemas.microsoft.com/office/spreadsheetml/2009/9/main" objectType="CheckBox" checked="Checked" fmlaLink="$T$14" lockText="1" noThreeD="1"/>
</file>

<file path=xl/ctrlProps/ctrlProp44.xml><?xml version="1.0" encoding="utf-8"?>
<formControlPr xmlns="http://schemas.microsoft.com/office/spreadsheetml/2009/9/main" objectType="CheckBox" checked="Checked" fmlaLink="$T$15" lockText="1" noThreeD="1"/>
</file>

<file path=xl/ctrlProps/ctrlProp45.xml><?xml version="1.0" encoding="utf-8"?>
<formControlPr xmlns="http://schemas.microsoft.com/office/spreadsheetml/2009/9/main" objectType="CheckBox" checked="Checked" fmlaLink="$T$16" lockText="1" noThreeD="1"/>
</file>

<file path=xl/ctrlProps/ctrlProp46.xml><?xml version="1.0" encoding="utf-8"?>
<formControlPr xmlns="http://schemas.microsoft.com/office/spreadsheetml/2009/9/main" objectType="CheckBox" checked="Checked" fmlaLink="$T$17" lockText="1" noThreeD="1"/>
</file>

<file path=xl/ctrlProps/ctrlProp47.xml><?xml version="1.0" encoding="utf-8"?>
<formControlPr xmlns="http://schemas.microsoft.com/office/spreadsheetml/2009/9/main" objectType="CheckBox" checked="Checked" fmlaLink="$Q$6" lockText="1" noThreeD="1"/>
</file>

<file path=xl/ctrlProps/ctrlProp48.xml><?xml version="1.0" encoding="utf-8"?>
<formControlPr xmlns="http://schemas.microsoft.com/office/spreadsheetml/2009/9/main" objectType="CheckBox" fmlaLink="$P$17" lockText="1" noThreeD="1"/>
</file>

<file path=xl/ctrlProps/ctrlProp49.xml><?xml version="1.0" encoding="utf-8"?>
<formControlPr xmlns="http://schemas.microsoft.com/office/spreadsheetml/2009/9/main" objectType="CheckBox" fmlaLink="$P$18" lockText="1" noThreeD="1"/>
</file>

<file path=xl/ctrlProps/ctrlProp5.xml><?xml version="1.0" encoding="utf-8"?>
<formControlPr xmlns="http://schemas.microsoft.com/office/spreadsheetml/2009/9/main" objectType="CheckBox" checked="Checked" fmlaLink="$D$14" lockText="1" noThreeD="1"/>
</file>

<file path=xl/ctrlProps/ctrlProp50.xml><?xml version="1.0" encoding="utf-8"?>
<formControlPr xmlns="http://schemas.microsoft.com/office/spreadsheetml/2009/9/main" objectType="CheckBox" fmlaLink="$P$19" lockText="1" noThreeD="1"/>
</file>

<file path=xl/ctrlProps/ctrlProp51.xml><?xml version="1.0" encoding="utf-8"?>
<formControlPr xmlns="http://schemas.microsoft.com/office/spreadsheetml/2009/9/main" objectType="CheckBox" checked="Checked" fmlaLink="$P$20" lockText="1" noThreeD="1"/>
</file>

<file path=xl/ctrlProps/ctrlProp52.xml><?xml version="1.0" encoding="utf-8"?>
<formControlPr xmlns="http://schemas.microsoft.com/office/spreadsheetml/2009/9/main" objectType="CheckBox" fmlaLink="$P$21" lockText="1" noThreeD="1"/>
</file>

<file path=xl/ctrlProps/ctrlProp53.xml><?xml version="1.0" encoding="utf-8"?>
<formControlPr xmlns="http://schemas.microsoft.com/office/spreadsheetml/2009/9/main" objectType="CheckBox" fmlaLink="$Q$11" lockText="1" noThreeD="1"/>
</file>

<file path=xl/ctrlProps/ctrlProp54.xml><?xml version="1.0" encoding="utf-8"?>
<formControlPr xmlns="http://schemas.microsoft.com/office/spreadsheetml/2009/9/main" objectType="CheckBox" fmlaLink="$Q$7" lockText="1" noThreeD="1"/>
</file>

<file path=xl/ctrlProps/ctrlProp55.xml><?xml version="1.0" encoding="utf-8"?>
<formControlPr xmlns="http://schemas.microsoft.com/office/spreadsheetml/2009/9/main" objectType="CheckBox" checked="Checked" fmlaLink="$D10" lockText="1" noThreeD="1"/>
</file>

<file path=xl/ctrlProps/ctrlProp56.xml><?xml version="1.0" encoding="utf-8"?>
<formControlPr xmlns="http://schemas.microsoft.com/office/spreadsheetml/2009/9/main" objectType="CheckBox" checked="Checked" fmlaLink="$D$11" lockText="1" noThreeD="1"/>
</file>

<file path=xl/ctrlProps/ctrlProp57.xml><?xml version="1.0" encoding="utf-8"?>
<formControlPr xmlns="http://schemas.microsoft.com/office/spreadsheetml/2009/9/main" objectType="CheckBox" checked="Checked" fmlaLink="$D$12" lockText="1" noThreeD="1"/>
</file>

<file path=xl/ctrlProps/ctrlProp58.xml><?xml version="1.0" encoding="utf-8"?>
<formControlPr xmlns="http://schemas.microsoft.com/office/spreadsheetml/2009/9/main" objectType="CheckBox" fmlaLink="$D$13" lockText="1" noThreeD="1"/>
</file>

<file path=xl/ctrlProps/ctrlProp59.xml><?xml version="1.0" encoding="utf-8"?>
<formControlPr xmlns="http://schemas.microsoft.com/office/spreadsheetml/2009/9/main" objectType="CheckBox" checked="Checked" fmlaLink="$D$14" lockText="1" noThreeD="1"/>
</file>

<file path=xl/ctrlProps/ctrlProp6.xml><?xml version="1.0" encoding="utf-8"?>
<formControlPr xmlns="http://schemas.microsoft.com/office/spreadsheetml/2009/9/main" objectType="CheckBox" fmlaLink="$D$15" lockText="1" noThreeD="1"/>
</file>

<file path=xl/ctrlProps/ctrlProp60.xml><?xml version="1.0" encoding="utf-8"?>
<formControlPr xmlns="http://schemas.microsoft.com/office/spreadsheetml/2009/9/main" objectType="CheckBox" fmlaLink="$D$15" lockText="1" noThreeD="1"/>
</file>

<file path=xl/ctrlProps/ctrlProp61.xml><?xml version="1.0" encoding="utf-8"?>
<formControlPr xmlns="http://schemas.microsoft.com/office/spreadsheetml/2009/9/main" objectType="CheckBox" fmlaLink="$D$16" lockText="1" noThreeD="1"/>
</file>

<file path=xl/ctrlProps/ctrlProp62.xml><?xml version="1.0" encoding="utf-8"?>
<formControlPr xmlns="http://schemas.microsoft.com/office/spreadsheetml/2009/9/main" objectType="CheckBox" fmlaLink="$D$17" lockText="1" noThreeD="1"/>
</file>

<file path=xl/ctrlProps/ctrlProp63.xml><?xml version="1.0" encoding="utf-8"?>
<formControlPr xmlns="http://schemas.microsoft.com/office/spreadsheetml/2009/9/main" objectType="CheckBox" fmlaLink="$D$18" lockText="1" noThreeD="1"/>
</file>

<file path=xl/ctrlProps/ctrlProp64.xml><?xml version="1.0" encoding="utf-8"?>
<formControlPr xmlns="http://schemas.microsoft.com/office/spreadsheetml/2009/9/main" objectType="CheckBox" fmlaLink="$D$18" lockText="1" noThreeD="1"/>
</file>

<file path=xl/ctrlProps/ctrlProp65.xml><?xml version="1.0" encoding="utf-8"?>
<formControlPr xmlns="http://schemas.microsoft.com/office/spreadsheetml/2009/9/main" objectType="CheckBox" checked="Checked" fmlaLink="$G$4" lockText="1" noThreeD="1"/>
</file>

<file path=xl/ctrlProps/ctrlProp66.xml><?xml version="1.0" encoding="utf-8"?>
<formControlPr xmlns="http://schemas.microsoft.com/office/spreadsheetml/2009/9/main" objectType="CheckBox" fmlaLink="$G$5" lockText="1" noThreeD="1"/>
</file>

<file path=xl/ctrlProps/ctrlProp67.xml><?xml version="1.0" encoding="utf-8"?>
<formControlPr xmlns="http://schemas.microsoft.com/office/spreadsheetml/2009/9/main" objectType="CheckBox" checked="Checked" fmlaLink="$G$6" lockText="1" noThreeD="1"/>
</file>

<file path=xl/ctrlProps/ctrlProp68.xml><?xml version="1.0" encoding="utf-8"?>
<formControlPr xmlns="http://schemas.microsoft.com/office/spreadsheetml/2009/9/main" objectType="CheckBox" checked="Checked" fmlaLink="$Q$4" lockText="1" noThreeD="1"/>
</file>

<file path=xl/ctrlProps/ctrlProp69.xml><?xml version="1.0" encoding="utf-8"?>
<formControlPr xmlns="http://schemas.microsoft.com/office/spreadsheetml/2009/9/main" objectType="CheckBox" fmlaLink="$G$21" lockText="1" noThreeD="1"/>
</file>

<file path=xl/ctrlProps/ctrlProp7.xml><?xml version="1.0" encoding="utf-8"?>
<formControlPr xmlns="http://schemas.microsoft.com/office/spreadsheetml/2009/9/main" objectType="CheckBox" fmlaLink="$D$16" lockText="1" noThreeD="1"/>
</file>

<file path=xl/ctrlProps/ctrlProp70.xml><?xml version="1.0" encoding="utf-8"?>
<formControlPr xmlns="http://schemas.microsoft.com/office/spreadsheetml/2009/9/main" objectType="CheckBox" fmlaLink="$Q$10" lockText="1" noThreeD="1"/>
</file>

<file path=xl/ctrlProps/ctrlProp71.xml><?xml version="1.0" encoding="utf-8"?>
<formControlPr xmlns="http://schemas.microsoft.com/office/spreadsheetml/2009/9/main" objectType="CheckBox" fmlaLink="$Q$13" lockText="1" noThreeD="1"/>
</file>

<file path=xl/ctrlProps/ctrlProp72.xml><?xml version="1.0" encoding="utf-8"?>
<formControlPr xmlns="http://schemas.microsoft.com/office/spreadsheetml/2009/9/main" objectType="CheckBox" fmlaLink="$Q$14" lockText="1" noThreeD="1"/>
</file>

<file path=xl/ctrlProps/ctrlProp73.xml><?xml version="1.0" encoding="utf-8"?>
<formControlPr xmlns="http://schemas.microsoft.com/office/spreadsheetml/2009/9/main" objectType="CheckBox" fmlaLink="$Q$5" lockText="1" noThreeD="1"/>
</file>

<file path=xl/ctrlProps/ctrlProp74.xml><?xml version="1.0" encoding="utf-8"?>
<formControlPr xmlns="http://schemas.microsoft.com/office/spreadsheetml/2009/9/main" objectType="CheckBox" fmlaLink="$Q$18" lockText="1" noThreeD="1"/>
</file>

<file path=xl/ctrlProps/ctrlProp75.xml><?xml version="1.0" encoding="utf-8"?>
<formControlPr xmlns="http://schemas.microsoft.com/office/spreadsheetml/2009/9/main" objectType="CheckBox" fmlaLink="$Q$19" lockText="1" noThreeD="1"/>
</file>

<file path=xl/ctrlProps/ctrlProp76.xml><?xml version="1.0" encoding="utf-8"?>
<formControlPr xmlns="http://schemas.microsoft.com/office/spreadsheetml/2009/9/main" objectType="CheckBox" fmlaLink="$Q$20" lockText="1" noThreeD="1"/>
</file>

<file path=xl/ctrlProps/ctrlProp77.xml><?xml version="1.0" encoding="utf-8"?>
<formControlPr xmlns="http://schemas.microsoft.com/office/spreadsheetml/2009/9/main" objectType="CheckBox" fmlaLink="$Q$21" lockText="1" noThreeD="1"/>
</file>

<file path=xl/ctrlProps/ctrlProp78.xml><?xml version="1.0" encoding="utf-8"?>
<formControlPr xmlns="http://schemas.microsoft.com/office/spreadsheetml/2009/9/main" objectType="CheckBox" fmlaLink="$Q$22" lockText="1" noThreeD="1"/>
</file>

<file path=xl/ctrlProps/ctrlProp79.xml><?xml version="1.0" encoding="utf-8"?>
<formControlPr xmlns="http://schemas.microsoft.com/office/spreadsheetml/2009/9/main" objectType="CheckBox" fmlaLink="$Q$23" lockText="1" noThreeD="1"/>
</file>

<file path=xl/ctrlProps/ctrlProp8.xml><?xml version="1.0" encoding="utf-8"?>
<formControlPr xmlns="http://schemas.microsoft.com/office/spreadsheetml/2009/9/main" objectType="CheckBox" checked="Checked" fmlaLink="$D$17" lockText="1" noThreeD="1"/>
</file>

<file path=xl/ctrlProps/ctrlProp80.xml><?xml version="1.0" encoding="utf-8"?>
<formControlPr xmlns="http://schemas.microsoft.com/office/spreadsheetml/2009/9/main" objectType="CheckBox" fmlaLink="$R$16" lockText="1" noThreeD="1"/>
</file>

<file path=xl/ctrlProps/ctrlProp81.xml><?xml version="1.0" encoding="utf-8"?>
<formControlPr xmlns="http://schemas.microsoft.com/office/spreadsheetml/2009/9/main" objectType="CheckBox" fmlaLink="$Q$24" lockText="1" noThreeD="1"/>
</file>

<file path=xl/ctrlProps/ctrlProp82.xml><?xml version="1.0" encoding="utf-8"?>
<formControlPr xmlns="http://schemas.microsoft.com/office/spreadsheetml/2009/9/main" objectType="CheckBox" fmlaLink="$R$18" lockText="1" noThreeD="1"/>
</file>

<file path=xl/ctrlProps/ctrlProp83.xml><?xml version="1.0" encoding="utf-8"?>
<formControlPr xmlns="http://schemas.microsoft.com/office/spreadsheetml/2009/9/main" objectType="CheckBox" fmlaLink="$R$19" lockText="1" noThreeD="1"/>
</file>

<file path=xl/ctrlProps/ctrlProp84.xml><?xml version="1.0" encoding="utf-8"?>
<formControlPr xmlns="http://schemas.microsoft.com/office/spreadsheetml/2009/9/main" objectType="CheckBox" fmlaLink="$R$20" lockText="1" noThreeD="1"/>
</file>

<file path=xl/ctrlProps/ctrlProp85.xml><?xml version="1.0" encoding="utf-8"?>
<formControlPr xmlns="http://schemas.microsoft.com/office/spreadsheetml/2009/9/main" objectType="CheckBox" fmlaLink="$R$21" lockText="1" noThreeD="1"/>
</file>

<file path=xl/ctrlProps/ctrlProp86.xml><?xml version="1.0" encoding="utf-8"?>
<formControlPr xmlns="http://schemas.microsoft.com/office/spreadsheetml/2009/9/main" objectType="CheckBox" fmlaLink="$R$22" lockText="1" noThreeD="1"/>
</file>

<file path=xl/ctrlProps/ctrlProp87.xml><?xml version="1.0" encoding="utf-8"?>
<formControlPr xmlns="http://schemas.microsoft.com/office/spreadsheetml/2009/9/main" objectType="CheckBox" fmlaLink="$R$23" lockText="1" noThreeD="1"/>
</file>

<file path=xl/ctrlProps/ctrlProp88.xml><?xml version="1.0" encoding="utf-8"?>
<formControlPr xmlns="http://schemas.microsoft.com/office/spreadsheetml/2009/9/main" objectType="CheckBox" fmlaLink="$S$16" lockText="1" noThreeD="1"/>
</file>

<file path=xl/ctrlProps/ctrlProp89.xml><?xml version="1.0" encoding="utf-8"?>
<formControlPr xmlns="http://schemas.microsoft.com/office/spreadsheetml/2009/9/main" objectType="CheckBox" fmlaLink="$R$24" lockText="1" noThreeD="1"/>
</file>

<file path=xl/ctrlProps/ctrlProp9.xml><?xml version="1.0" encoding="utf-8"?>
<formControlPr xmlns="http://schemas.microsoft.com/office/spreadsheetml/2009/9/main" objectType="CheckBox" checked="Checked" fmlaLink="$D$18" lockText="1" noThreeD="1"/>
</file>

<file path=xl/ctrlProps/ctrlProp90.xml><?xml version="1.0" encoding="utf-8"?>
<formControlPr xmlns="http://schemas.microsoft.com/office/spreadsheetml/2009/9/main" objectType="CheckBox" fmlaLink="$S$18" lockText="1" noThreeD="1"/>
</file>

<file path=xl/ctrlProps/ctrlProp91.xml><?xml version="1.0" encoding="utf-8"?>
<formControlPr xmlns="http://schemas.microsoft.com/office/spreadsheetml/2009/9/main" objectType="CheckBox" checked="Checked" fmlaLink="$S$19" lockText="1" noThreeD="1"/>
</file>

<file path=xl/ctrlProps/ctrlProp92.xml><?xml version="1.0" encoding="utf-8"?>
<formControlPr xmlns="http://schemas.microsoft.com/office/spreadsheetml/2009/9/main" objectType="CheckBox" checked="Checked" fmlaLink="$S$20" lockText="1" noThreeD="1"/>
</file>

<file path=xl/ctrlProps/ctrlProp93.xml><?xml version="1.0" encoding="utf-8"?>
<formControlPr xmlns="http://schemas.microsoft.com/office/spreadsheetml/2009/9/main" objectType="CheckBox" checked="Checked" fmlaLink="$S$21" lockText="1" noThreeD="1"/>
</file>

<file path=xl/ctrlProps/ctrlProp94.xml><?xml version="1.0" encoding="utf-8"?>
<formControlPr xmlns="http://schemas.microsoft.com/office/spreadsheetml/2009/9/main" objectType="CheckBox" checked="Checked" fmlaLink="$S$22" lockText="1" noThreeD="1"/>
</file>

<file path=xl/ctrlProps/ctrlProp95.xml><?xml version="1.0" encoding="utf-8"?>
<formControlPr xmlns="http://schemas.microsoft.com/office/spreadsheetml/2009/9/main" objectType="CheckBox" checked="Checked" fmlaLink="$S$23" lockText="1" noThreeD="1"/>
</file>

<file path=xl/ctrlProps/ctrlProp96.xml><?xml version="1.0" encoding="utf-8"?>
<formControlPr xmlns="http://schemas.microsoft.com/office/spreadsheetml/2009/9/main" objectType="CheckBox" fmlaLink="$T$16" lockText="1" noThreeD="1"/>
</file>

<file path=xl/ctrlProps/ctrlProp97.xml><?xml version="1.0" encoding="utf-8"?>
<formControlPr xmlns="http://schemas.microsoft.com/office/spreadsheetml/2009/9/main" objectType="CheckBox" checked="Checked" fmlaLink="$S$24" lockText="1" noThreeD="1"/>
</file>

<file path=xl/ctrlProps/ctrlProp98.xml><?xml version="1.0" encoding="utf-8"?>
<formControlPr xmlns="http://schemas.microsoft.com/office/spreadsheetml/2009/9/main" objectType="CheckBox" fmlaLink="$Q$6" lockText="1" noThreeD="1"/>
</file>

<file path=xl/ctrlProps/ctrlProp99.xml><?xml version="1.0" encoding="utf-8"?>
<formControlPr xmlns="http://schemas.microsoft.com/office/spreadsheetml/2009/9/main" objectType="CheckBox" fmlaLink="$P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200025</xdr:rowOff>
        </xdr:from>
        <xdr:to>
          <xdr:col>2</xdr:col>
          <xdr:colOff>485775</xdr:colOff>
          <xdr:row>10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</xdr:row>
          <xdr:rowOff>200025</xdr:rowOff>
        </xdr:from>
        <xdr:to>
          <xdr:col>2</xdr:col>
          <xdr:colOff>485775</xdr:colOff>
          <xdr:row>11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200025</xdr:rowOff>
        </xdr:from>
        <xdr:to>
          <xdr:col>2</xdr:col>
          <xdr:colOff>485775</xdr:colOff>
          <xdr:row>12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</xdr:row>
          <xdr:rowOff>200025</xdr:rowOff>
        </xdr:from>
        <xdr:to>
          <xdr:col>2</xdr:col>
          <xdr:colOff>485775</xdr:colOff>
          <xdr:row>13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200025</xdr:rowOff>
        </xdr:from>
        <xdr:to>
          <xdr:col>2</xdr:col>
          <xdr:colOff>485775</xdr:colOff>
          <xdr:row>14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</xdr:row>
          <xdr:rowOff>200025</xdr:rowOff>
        </xdr:from>
        <xdr:to>
          <xdr:col>2</xdr:col>
          <xdr:colOff>485775</xdr:colOff>
          <xdr:row>15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200025</xdr:rowOff>
        </xdr:from>
        <xdr:to>
          <xdr:col>2</xdr:col>
          <xdr:colOff>485775</xdr:colOff>
          <xdr:row>16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200025</xdr:rowOff>
        </xdr:from>
        <xdr:to>
          <xdr:col>2</xdr:col>
          <xdr:colOff>485775</xdr:colOff>
          <xdr:row>17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200025</xdr:rowOff>
        </xdr:from>
        <xdr:to>
          <xdr:col>2</xdr:col>
          <xdr:colOff>485775</xdr:colOff>
          <xdr:row>19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200025</xdr:rowOff>
        </xdr:from>
        <xdr:to>
          <xdr:col>2</xdr:col>
          <xdr:colOff>485775</xdr:colOff>
          <xdr:row>20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200025</xdr:rowOff>
        </xdr:from>
        <xdr:to>
          <xdr:col>5</xdr:col>
          <xdr:colOff>485775</xdr:colOff>
          <xdr:row>4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200025</xdr:rowOff>
        </xdr:from>
        <xdr:to>
          <xdr:col>5</xdr:col>
          <xdr:colOff>485775</xdr:colOff>
          <xdr:row>5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200025</xdr:rowOff>
        </xdr:from>
        <xdr:to>
          <xdr:col>5</xdr:col>
          <xdr:colOff>485775</xdr:colOff>
          <xdr:row>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</xdr:row>
          <xdr:rowOff>200025</xdr:rowOff>
        </xdr:from>
        <xdr:to>
          <xdr:col>15</xdr:col>
          <xdr:colOff>485775</xdr:colOff>
          <xdr:row>4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19</xdr:row>
          <xdr:rowOff>200025</xdr:rowOff>
        </xdr:from>
        <xdr:to>
          <xdr:col>5</xdr:col>
          <xdr:colOff>161925</xdr:colOff>
          <xdr:row>21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8</xdr:row>
          <xdr:rowOff>200025</xdr:rowOff>
        </xdr:from>
        <xdr:to>
          <xdr:col>15</xdr:col>
          <xdr:colOff>485775</xdr:colOff>
          <xdr:row>10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10</xdr:row>
          <xdr:rowOff>200025</xdr:rowOff>
        </xdr:from>
        <xdr:to>
          <xdr:col>15</xdr:col>
          <xdr:colOff>485775</xdr:colOff>
          <xdr:row>12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11</xdr:row>
          <xdr:rowOff>200025</xdr:rowOff>
        </xdr:from>
        <xdr:to>
          <xdr:col>15</xdr:col>
          <xdr:colOff>485775</xdr:colOff>
          <xdr:row>13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12</xdr:row>
          <xdr:rowOff>200025</xdr:rowOff>
        </xdr:from>
        <xdr:to>
          <xdr:col>15</xdr:col>
          <xdr:colOff>485775</xdr:colOff>
          <xdr:row>14</xdr:row>
          <xdr:rowOff>28575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13</xdr:row>
          <xdr:rowOff>200025</xdr:rowOff>
        </xdr:from>
        <xdr:to>
          <xdr:col>15</xdr:col>
          <xdr:colOff>485775</xdr:colOff>
          <xdr:row>15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</xdr:row>
          <xdr:rowOff>200025</xdr:rowOff>
        </xdr:from>
        <xdr:to>
          <xdr:col>15</xdr:col>
          <xdr:colOff>485775</xdr:colOff>
          <xdr:row>5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200025</xdr:rowOff>
        </xdr:from>
        <xdr:to>
          <xdr:col>9</xdr:col>
          <xdr:colOff>485775</xdr:colOff>
          <xdr:row>10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200025</xdr:rowOff>
        </xdr:from>
        <xdr:to>
          <xdr:col>9</xdr:col>
          <xdr:colOff>485775</xdr:colOff>
          <xdr:row>11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200025</xdr:rowOff>
        </xdr:from>
        <xdr:to>
          <xdr:col>9</xdr:col>
          <xdr:colOff>485775</xdr:colOff>
          <xdr:row>12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200025</xdr:rowOff>
        </xdr:from>
        <xdr:to>
          <xdr:col>9</xdr:col>
          <xdr:colOff>485775</xdr:colOff>
          <xdr:row>13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200025</xdr:rowOff>
        </xdr:from>
        <xdr:to>
          <xdr:col>9</xdr:col>
          <xdr:colOff>485775</xdr:colOff>
          <xdr:row>14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200025</xdr:rowOff>
        </xdr:from>
        <xdr:to>
          <xdr:col>9</xdr:col>
          <xdr:colOff>485775</xdr:colOff>
          <xdr:row>15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15</xdr:row>
          <xdr:rowOff>200025</xdr:rowOff>
        </xdr:from>
        <xdr:to>
          <xdr:col>9</xdr:col>
          <xdr:colOff>485775</xdr:colOff>
          <xdr:row>17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200025</xdr:rowOff>
        </xdr:from>
        <xdr:to>
          <xdr:col>10</xdr:col>
          <xdr:colOff>485775</xdr:colOff>
          <xdr:row>10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200025</xdr:rowOff>
        </xdr:from>
        <xdr:to>
          <xdr:col>10</xdr:col>
          <xdr:colOff>485775</xdr:colOff>
          <xdr:row>11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200025</xdr:rowOff>
        </xdr:from>
        <xdr:to>
          <xdr:col>10</xdr:col>
          <xdr:colOff>485775</xdr:colOff>
          <xdr:row>12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200025</xdr:rowOff>
        </xdr:from>
        <xdr:to>
          <xdr:col>10</xdr:col>
          <xdr:colOff>485775</xdr:colOff>
          <xdr:row>13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200025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200025</xdr:rowOff>
        </xdr:from>
        <xdr:to>
          <xdr:col>10</xdr:col>
          <xdr:colOff>485775</xdr:colOff>
          <xdr:row>15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15</xdr:row>
          <xdr:rowOff>200025</xdr:rowOff>
        </xdr:from>
        <xdr:to>
          <xdr:col>10</xdr:col>
          <xdr:colOff>485775</xdr:colOff>
          <xdr:row>17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200025</xdr:rowOff>
        </xdr:from>
        <xdr:to>
          <xdr:col>11</xdr:col>
          <xdr:colOff>485775</xdr:colOff>
          <xdr:row>10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200025</xdr:rowOff>
        </xdr:from>
        <xdr:to>
          <xdr:col>11</xdr:col>
          <xdr:colOff>485775</xdr:colOff>
          <xdr:row>11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200025</xdr:rowOff>
        </xdr:from>
        <xdr:to>
          <xdr:col>11</xdr:col>
          <xdr:colOff>485775</xdr:colOff>
          <xdr:row>12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200025</xdr:rowOff>
        </xdr:from>
        <xdr:to>
          <xdr:col>11</xdr:col>
          <xdr:colOff>485775</xdr:colOff>
          <xdr:row>13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200025</xdr:rowOff>
        </xdr:from>
        <xdr:to>
          <xdr:col>11</xdr:col>
          <xdr:colOff>485775</xdr:colOff>
          <xdr:row>14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200025</xdr:rowOff>
        </xdr:from>
        <xdr:to>
          <xdr:col>11</xdr:col>
          <xdr:colOff>485775</xdr:colOff>
          <xdr:row>15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15</xdr:row>
          <xdr:rowOff>200025</xdr:rowOff>
        </xdr:from>
        <xdr:to>
          <xdr:col>11</xdr:col>
          <xdr:colOff>485775</xdr:colOff>
          <xdr:row>17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</xdr:row>
          <xdr:rowOff>200025</xdr:rowOff>
        </xdr:from>
        <xdr:to>
          <xdr:col>15</xdr:col>
          <xdr:colOff>485775</xdr:colOff>
          <xdr:row>6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15</xdr:row>
          <xdr:rowOff>200025</xdr:rowOff>
        </xdr:from>
        <xdr:to>
          <xdr:col>14</xdr:col>
          <xdr:colOff>485775</xdr:colOff>
          <xdr:row>17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16</xdr:row>
          <xdr:rowOff>200025</xdr:rowOff>
        </xdr:from>
        <xdr:to>
          <xdr:col>14</xdr:col>
          <xdr:colOff>485775</xdr:colOff>
          <xdr:row>18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17</xdr:row>
          <xdr:rowOff>200025</xdr:rowOff>
        </xdr:from>
        <xdr:to>
          <xdr:col>14</xdr:col>
          <xdr:colOff>485775</xdr:colOff>
          <xdr:row>19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18</xdr:row>
          <xdr:rowOff>200025</xdr:rowOff>
        </xdr:from>
        <xdr:to>
          <xdr:col>14</xdr:col>
          <xdr:colOff>485775</xdr:colOff>
          <xdr:row>20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200025</xdr:rowOff>
        </xdr:from>
        <xdr:to>
          <xdr:col>14</xdr:col>
          <xdr:colOff>485775</xdr:colOff>
          <xdr:row>21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9</xdr:row>
          <xdr:rowOff>200025</xdr:rowOff>
        </xdr:from>
        <xdr:to>
          <xdr:col>15</xdr:col>
          <xdr:colOff>485775</xdr:colOff>
          <xdr:row>11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</xdr:row>
          <xdr:rowOff>200025</xdr:rowOff>
        </xdr:from>
        <xdr:to>
          <xdr:col>15</xdr:col>
          <xdr:colOff>485775</xdr:colOff>
          <xdr:row>7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200025</xdr:rowOff>
        </xdr:from>
        <xdr:to>
          <xdr:col>2</xdr:col>
          <xdr:colOff>485775</xdr:colOff>
          <xdr:row>10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</xdr:row>
          <xdr:rowOff>200025</xdr:rowOff>
        </xdr:from>
        <xdr:to>
          <xdr:col>2</xdr:col>
          <xdr:colOff>485775</xdr:colOff>
          <xdr:row>11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200025</xdr:rowOff>
        </xdr:from>
        <xdr:to>
          <xdr:col>2</xdr:col>
          <xdr:colOff>485775</xdr:colOff>
          <xdr:row>12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</xdr:row>
          <xdr:rowOff>200025</xdr:rowOff>
        </xdr:from>
        <xdr:to>
          <xdr:col>2</xdr:col>
          <xdr:colOff>485775</xdr:colOff>
          <xdr:row>13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200025</xdr:rowOff>
        </xdr:from>
        <xdr:to>
          <xdr:col>2</xdr:col>
          <xdr:colOff>485775</xdr:colOff>
          <xdr:row>14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</xdr:row>
          <xdr:rowOff>200025</xdr:rowOff>
        </xdr:from>
        <xdr:to>
          <xdr:col>2</xdr:col>
          <xdr:colOff>485775</xdr:colOff>
          <xdr:row>15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200025</xdr:rowOff>
        </xdr:from>
        <xdr:to>
          <xdr:col>2</xdr:col>
          <xdr:colOff>485775</xdr:colOff>
          <xdr:row>16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200025</xdr:rowOff>
        </xdr:from>
        <xdr:to>
          <xdr:col>2</xdr:col>
          <xdr:colOff>485775</xdr:colOff>
          <xdr:row>17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200025</xdr:rowOff>
        </xdr:from>
        <xdr:to>
          <xdr:col>5</xdr:col>
          <xdr:colOff>485775</xdr:colOff>
          <xdr:row>4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200025</xdr:rowOff>
        </xdr:from>
        <xdr:to>
          <xdr:col>5</xdr:col>
          <xdr:colOff>485775</xdr:colOff>
          <xdr:row>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200025</xdr:rowOff>
        </xdr:from>
        <xdr:to>
          <xdr:col>5</xdr:col>
          <xdr:colOff>485775</xdr:colOff>
          <xdr:row>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</xdr:row>
          <xdr:rowOff>200025</xdr:rowOff>
        </xdr:from>
        <xdr:to>
          <xdr:col>15</xdr:col>
          <xdr:colOff>485775</xdr:colOff>
          <xdr:row>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19</xdr:row>
          <xdr:rowOff>200025</xdr:rowOff>
        </xdr:from>
        <xdr:to>
          <xdr:col>5</xdr:col>
          <xdr:colOff>161925</xdr:colOff>
          <xdr:row>21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8</xdr:row>
          <xdr:rowOff>200025</xdr:rowOff>
        </xdr:from>
        <xdr:to>
          <xdr:col>15</xdr:col>
          <xdr:colOff>485775</xdr:colOff>
          <xdr:row>10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11</xdr:row>
          <xdr:rowOff>200025</xdr:rowOff>
        </xdr:from>
        <xdr:to>
          <xdr:col>15</xdr:col>
          <xdr:colOff>485775</xdr:colOff>
          <xdr:row>13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12</xdr:row>
          <xdr:rowOff>200025</xdr:rowOff>
        </xdr:from>
        <xdr:to>
          <xdr:col>15</xdr:col>
          <xdr:colOff>485775</xdr:colOff>
          <xdr:row>14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</xdr:row>
          <xdr:rowOff>200025</xdr:rowOff>
        </xdr:from>
        <xdr:to>
          <xdr:col>15</xdr:col>
          <xdr:colOff>485775</xdr:colOff>
          <xdr:row>5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200025</xdr:rowOff>
        </xdr:from>
        <xdr:to>
          <xdr:col>9</xdr:col>
          <xdr:colOff>485775</xdr:colOff>
          <xdr:row>10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200025</xdr:rowOff>
        </xdr:from>
        <xdr:to>
          <xdr:col>9</xdr:col>
          <xdr:colOff>485775</xdr:colOff>
          <xdr:row>11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1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200025</xdr:rowOff>
        </xdr:from>
        <xdr:to>
          <xdr:col>9</xdr:col>
          <xdr:colOff>485775</xdr:colOff>
          <xdr:row>12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1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200025</xdr:rowOff>
        </xdr:from>
        <xdr:to>
          <xdr:col>9</xdr:col>
          <xdr:colOff>485775</xdr:colOff>
          <xdr:row>13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200025</xdr:rowOff>
        </xdr:from>
        <xdr:to>
          <xdr:col>9</xdr:col>
          <xdr:colOff>485775</xdr:colOff>
          <xdr:row>14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200025</xdr:rowOff>
        </xdr:from>
        <xdr:to>
          <xdr:col>9</xdr:col>
          <xdr:colOff>485775</xdr:colOff>
          <xdr:row>15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200025</xdr:rowOff>
        </xdr:from>
        <xdr:to>
          <xdr:col>10</xdr:col>
          <xdr:colOff>485775</xdr:colOff>
          <xdr:row>10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200025</xdr:rowOff>
        </xdr:from>
        <xdr:to>
          <xdr:col>10</xdr:col>
          <xdr:colOff>485775</xdr:colOff>
          <xdr:row>11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200025</xdr:rowOff>
        </xdr:from>
        <xdr:to>
          <xdr:col>10</xdr:col>
          <xdr:colOff>485775</xdr:colOff>
          <xdr:row>12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1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200025</xdr:rowOff>
        </xdr:from>
        <xdr:to>
          <xdr:col>10</xdr:col>
          <xdr:colOff>485775</xdr:colOff>
          <xdr:row>13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200025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200025</xdr:rowOff>
        </xdr:from>
        <xdr:to>
          <xdr:col>10</xdr:col>
          <xdr:colOff>485775</xdr:colOff>
          <xdr:row>15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200025</xdr:rowOff>
        </xdr:from>
        <xdr:to>
          <xdr:col>11</xdr:col>
          <xdr:colOff>485775</xdr:colOff>
          <xdr:row>10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200025</xdr:rowOff>
        </xdr:from>
        <xdr:to>
          <xdr:col>11</xdr:col>
          <xdr:colOff>485775</xdr:colOff>
          <xdr:row>11</xdr:row>
          <xdr:rowOff>19050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200025</xdr:rowOff>
        </xdr:from>
        <xdr:to>
          <xdr:col>11</xdr:col>
          <xdr:colOff>485775</xdr:colOff>
          <xdr:row>12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200025</xdr:rowOff>
        </xdr:from>
        <xdr:to>
          <xdr:col>11</xdr:col>
          <xdr:colOff>485775</xdr:colOff>
          <xdr:row>13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200025</xdr:rowOff>
        </xdr:from>
        <xdr:to>
          <xdr:col>11</xdr:col>
          <xdr:colOff>485775</xdr:colOff>
          <xdr:row>14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200025</xdr:rowOff>
        </xdr:from>
        <xdr:to>
          <xdr:col>11</xdr:col>
          <xdr:colOff>485775</xdr:colOff>
          <xdr:row>15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</xdr:row>
          <xdr:rowOff>200025</xdr:rowOff>
        </xdr:from>
        <xdr:to>
          <xdr:col>15</xdr:col>
          <xdr:colOff>485775</xdr:colOff>
          <xdr:row>6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17</xdr:row>
          <xdr:rowOff>200025</xdr:rowOff>
        </xdr:from>
        <xdr:to>
          <xdr:col>14</xdr:col>
          <xdr:colOff>485775</xdr:colOff>
          <xdr:row>19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18</xdr:row>
          <xdr:rowOff>200025</xdr:rowOff>
        </xdr:from>
        <xdr:to>
          <xdr:col>14</xdr:col>
          <xdr:colOff>485775</xdr:colOff>
          <xdr:row>20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200025</xdr:rowOff>
        </xdr:from>
        <xdr:to>
          <xdr:col>14</xdr:col>
          <xdr:colOff>485775</xdr:colOff>
          <xdr:row>21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20</xdr:row>
          <xdr:rowOff>200025</xdr:rowOff>
        </xdr:from>
        <xdr:to>
          <xdr:col>14</xdr:col>
          <xdr:colOff>485775</xdr:colOff>
          <xdr:row>22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1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21</xdr:row>
          <xdr:rowOff>200025</xdr:rowOff>
        </xdr:from>
        <xdr:to>
          <xdr:col>14</xdr:col>
          <xdr:colOff>485775</xdr:colOff>
          <xdr:row>23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9</xdr:row>
          <xdr:rowOff>200025</xdr:rowOff>
        </xdr:from>
        <xdr:to>
          <xdr:col>15</xdr:col>
          <xdr:colOff>485775</xdr:colOff>
          <xdr:row>11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1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200025</xdr:rowOff>
        </xdr:from>
        <xdr:to>
          <xdr:col>2</xdr:col>
          <xdr:colOff>485775</xdr:colOff>
          <xdr:row>19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1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200025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1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19</xdr:row>
          <xdr:rowOff>200025</xdr:rowOff>
        </xdr:from>
        <xdr:to>
          <xdr:col>2</xdr:col>
          <xdr:colOff>485775</xdr:colOff>
          <xdr:row>21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1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200025</xdr:rowOff>
        </xdr:from>
        <xdr:to>
          <xdr:col>15</xdr:col>
          <xdr:colOff>485775</xdr:colOff>
          <xdr:row>16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1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</xdr:row>
          <xdr:rowOff>200025</xdr:rowOff>
        </xdr:from>
        <xdr:to>
          <xdr:col>15</xdr:col>
          <xdr:colOff>485775</xdr:colOff>
          <xdr:row>7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1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</xdr:row>
          <xdr:rowOff>200025</xdr:rowOff>
        </xdr:from>
        <xdr:to>
          <xdr:col>2</xdr:col>
          <xdr:colOff>485775</xdr:colOff>
          <xdr:row>10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</xdr:row>
          <xdr:rowOff>200025</xdr:rowOff>
        </xdr:from>
        <xdr:to>
          <xdr:col>2</xdr:col>
          <xdr:colOff>485775</xdr:colOff>
          <xdr:row>11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</xdr:row>
          <xdr:rowOff>200025</xdr:rowOff>
        </xdr:from>
        <xdr:to>
          <xdr:col>2</xdr:col>
          <xdr:colOff>485775</xdr:colOff>
          <xdr:row>12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</xdr:row>
          <xdr:rowOff>200025</xdr:rowOff>
        </xdr:from>
        <xdr:to>
          <xdr:col>2</xdr:col>
          <xdr:colOff>485775</xdr:colOff>
          <xdr:row>13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</xdr:row>
          <xdr:rowOff>200025</xdr:rowOff>
        </xdr:from>
        <xdr:to>
          <xdr:col>2</xdr:col>
          <xdr:colOff>485775</xdr:colOff>
          <xdr:row>14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13</xdr:row>
          <xdr:rowOff>200025</xdr:rowOff>
        </xdr:from>
        <xdr:to>
          <xdr:col>2</xdr:col>
          <xdr:colOff>485775</xdr:colOff>
          <xdr:row>15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14</xdr:row>
          <xdr:rowOff>200025</xdr:rowOff>
        </xdr:from>
        <xdr:to>
          <xdr:col>2</xdr:col>
          <xdr:colOff>485775</xdr:colOff>
          <xdr:row>16</xdr:row>
          <xdr:rowOff>9525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15</xdr:row>
          <xdr:rowOff>200025</xdr:rowOff>
        </xdr:from>
        <xdr:to>
          <xdr:col>2</xdr:col>
          <xdr:colOff>485775</xdr:colOff>
          <xdr:row>17</xdr:row>
          <xdr:rowOff>9525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16</xdr:row>
          <xdr:rowOff>200025</xdr:rowOff>
        </xdr:from>
        <xdr:to>
          <xdr:col>2</xdr:col>
          <xdr:colOff>485775</xdr:colOff>
          <xdr:row>18</xdr:row>
          <xdr:rowOff>19050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200025</xdr:rowOff>
        </xdr:from>
        <xdr:to>
          <xdr:col>5</xdr:col>
          <xdr:colOff>485775</xdr:colOff>
          <xdr:row>4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</xdr:row>
          <xdr:rowOff>200025</xdr:rowOff>
        </xdr:from>
        <xdr:to>
          <xdr:col>5</xdr:col>
          <xdr:colOff>485775</xdr:colOff>
          <xdr:row>4</xdr:row>
          <xdr:rowOff>9525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2</xdr:row>
          <xdr:rowOff>200025</xdr:rowOff>
        </xdr:from>
        <xdr:to>
          <xdr:col>15</xdr:col>
          <xdr:colOff>485775</xdr:colOff>
          <xdr:row>4</xdr:row>
          <xdr:rowOff>9525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19</xdr:row>
          <xdr:rowOff>200025</xdr:rowOff>
        </xdr:from>
        <xdr:to>
          <xdr:col>5</xdr:col>
          <xdr:colOff>161925</xdr:colOff>
          <xdr:row>21</xdr:row>
          <xdr:rowOff>19050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2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8</xdr:row>
          <xdr:rowOff>200025</xdr:rowOff>
        </xdr:from>
        <xdr:to>
          <xdr:col>15</xdr:col>
          <xdr:colOff>485775</xdr:colOff>
          <xdr:row>10</xdr:row>
          <xdr:rowOff>28575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2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11</xdr:row>
          <xdr:rowOff>200025</xdr:rowOff>
        </xdr:from>
        <xdr:to>
          <xdr:col>15</xdr:col>
          <xdr:colOff>485775</xdr:colOff>
          <xdr:row>13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12</xdr:row>
          <xdr:rowOff>200025</xdr:rowOff>
        </xdr:from>
        <xdr:to>
          <xdr:col>15</xdr:col>
          <xdr:colOff>485775</xdr:colOff>
          <xdr:row>14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2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3</xdr:row>
          <xdr:rowOff>200025</xdr:rowOff>
        </xdr:from>
        <xdr:to>
          <xdr:col>15</xdr:col>
          <xdr:colOff>485775</xdr:colOff>
          <xdr:row>5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200025</xdr:rowOff>
        </xdr:from>
        <xdr:to>
          <xdr:col>9</xdr:col>
          <xdr:colOff>485775</xdr:colOff>
          <xdr:row>10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2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200025</xdr:rowOff>
        </xdr:from>
        <xdr:to>
          <xdr:col>9</xdr:col>
          <xdr:colOff>485775</xdr:colOff>
          <xdr:row>11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2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200025</xdr:rowOff>
        </xdr:from>
        <xdr:to>
          <xdr:col>9</xdr:col>
          <xdr:colOff>485775</xdr:colOff>
          <xdr:row>12</xdr:row>
          <xdr:rowOff>9525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200025</xdr:rowOff>
        </xdr:from>
        <xdr:to>
          <xdr:col>9</xdr:col>
          <xdr:colOff>485775</xdr:colOff>
          <xdr:row>13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2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200025</xdr:rowOff>
        </xdr:from>
        <xdr:to>
          <xdr:col>9</xdr:col>
          <xdr:colOff>485775</xdr:colOff>
          <xdr:row>14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2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200025</xdr:rowOff>
        </xdr:from>
        <xdr:to>
          <xdr:col>9</xdr:col>
          <xdr:colOff>485775</xdr:colOff>
          <xdr:row>15</xdr:row>
          <xdr:rowOff>19050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9525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2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200025</xdr:rowOff>
        </xdr:from>
        <xdr:to>
          <xdr:col>9</xdr:col>
          <xdr:colOff>485775</xdr:colOff>
          <xdr:row>16</xdr:row>
          <xdr:rowOff>9525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2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200025</xdr:rowOff>
        </xdr:from>
        <xdr:to>
          <xdr:col>10</xdr:col>
          <xdr:colOff>485775</xdr:colOff>
          <xdr:row>10</xdr:row>
          <xdr:rowOff>28575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200025</xdr:rowOff>
        </xdr:from>
        <xdr:to>
          <xdr:col>10</xdr:col>
          <xdr:colOff>485775</xdr:colOff>
          <xdr:row>11</xdr:row>
          <xdr:rowOff>19050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10</xdr:row>
          <xdr:rowOff>200025</xdr:rowOff>
        </xdr:from>
        <xdr:to>
          <xdr:col>10</xdr:col>
          <xdr:colOff>485775</xdr:colOff>
          <xdr:row>12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11</xdr:row>
          <xdr:rowOff>200025</xdr:rowOff>
        </xdr:from>
        <xdr:to>
          <xdr:col>10</xdr:col>
          <xdr:colOff>485775</xdr:colOff>
          <xdr:row>13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12</xdr:row>
          <xdr:rowOff>200025</xdr:rowOff>
        </xdr:from>
        <xdr:to>
          <xdr:col>10</xdr:col>
          <xdr:colOff>485775</xdr:colOff>
          <xdr:row>14</xdr:row>
          <xdr:rowOff>28575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13</xdr:row>
          <xdr:rowOff>200025</xdr:rowOff>
        </xdr:from>
        <xdr:to>
          <xdr:col>10</xdr:col>
          <xdr:colOff>485775</xdr:colOff>
          <xdr:row>15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14</xdr:row>
          <xdr:rowOff>200025</xdr:rowOff>
        </xdr:from>
        <xdr:to>
          <xdr:col>10</xdr:col>
          <xdr:colOff>485775</xdr:colOff>
          <xdr:row>16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</xdr:row>
          <xdr:rowOff>200025</xdr:rowOff>
        </xdr:from>
        <xdr:to>
          <xdr:col>11</xdr:col>
          <xdr:colOff>485775</xdr:colOff>
          <xdr:row>10</xdr:row>
          <xdr:rowOff>28575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9</xdr:row>
          <xdr:rowOff>200025</xdr:rowOff>
        </xdr:from>
        <xdr:to>
          <xdr:col>11</xdr:col>
          <xdr:colOff>485775</xdr:colOff>
          <xdr:row>11</xdr:row>
          <xdr:rowOff>19050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200025</xdr:rowOff>
        </xdr:from>
        <xdr:to>
          <xdr:col>11</xdr:col>
          <xdr:colOff>485775</xdr:colOff>
          <xdr:row>12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200025</xdr:rowOff>
        </xdr:from>
        <xdr:to>
          <xdr:col>11</xdr:col>
          <xdr:colOff>485775</xdr:colOff>
          <xdr:row>13</xdr:row>
          <xdr:rowOff>19050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12</xdr:row>
          <xdr:rowOff>200025</xdr:rowOff>
        </xdr:from>
        <xdr:to>
          <xdr:col>11</xdr:col>
          <xdr:colOff>485775</xdr:colOff>
          <xdr:row>14</xdr:row>
          <xdr:rowOff>28575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13</xdr:row>
          <xdr:rowOff>200025</xdr:rowOff>
        </xdr:from>
        <xdr:to>
          <xdr:col>11</xdr:col>
          <xdr:colOff>485775</xdr:colOff>
          <xdr:row>15</xdr:row>
          <xdr:rowOff>19050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200025</xdr:rowOff>
        </xdr:from>
        <xdr:to>
          <xdr:col>11</xdr:col>
          <xdr:colOff>485775</xdr:colOff>
          <xdr:row>16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4</xdr:row>
          <xdr:rowOff>200025</xdr:rowOff>
        </xdr:from>
        <xdr:to>
          <xdr:col>15</xdr:col>
          <xdr:colOff>485775</xdr:colOff>
          <xdr:row>6</xdr:row>
          <xdr:rowOff>19050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17</xdr:row>
          <xdr:rowOff>200025</xdr:rowOff>
        </xdr:from>
        <xdr:to>
          <xdr:col>14</xdr:col>
          <xdr:colOff>485775</xdr:colOff>
          <xdr:row>19</xdr:row>
          <xdr:rowOff>19050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18</xdr:row>
          <xdr:rowOff>200025</xdr:rowOff>
        </xdr:from>
        <xdr:to>
          <xdr:col>14</xdr:col>
          <xdr:colOff>485775</xdr:colOff>
          <xdr:row>20</xdr:row>
          <xdr:rowOff>19050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200025</xdr:rowOff>
        </xdr:from>
        <xdr:to>
          <xdr:col>14</xdr:col>
          <xdr:colOff>485775</xdr:colOff>
          <xdr:row>21</xdr:row>
          <xdr:rowOff>19050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2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20</xdr:row>
          <xdr:rowOff>200025</xdr:rowOff>
        </xdr:from>
        <xdr:to>
          <xdr:col>14</xdr:col>
          <xdr:colOff>485775</xdr:colOff>
          <xdr:row>22</xdr:row>
          <xdr:rowOff>19050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2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21</xdr:row>
          <xdr:rowOff>200025</xdr:rowOff>
        </xdr:from>
        <xdr:to>
          <xdr:col>14</xdr:col>
          <xdr:colOff>485775</xdr:colOff>
          <xdr:row>23</xdr:row>
          <xdr:rowOff>19050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9</xdr:row>
          <xdr:rowOff>200025</xdr:rowOff>
        </xdr:from>
        <xdr:to>
          <xdr:col>15</xdr:col>
          <xdr:colOff>485775</xdr:colOff>
          <xdr:row>11</xdr:row>
          <xdr:rowOff>19050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200025</xdr:rowOff>
        </xdr:from>
        <xdr:to>
          <xdr:col>2</xdr:col>
          <xdr:colOff>485775</xdr:colOff>
          <xdr:row>19</xdr:row>
          <xdr:rowOff>19050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18</xdr:row>
          <xdr:rowOff>200025</xdr:rowOff>
        </xdr:from>
        <xdr:to>
          <xdr:col>2</xdr:col>
          <xdr:colOff>485775</xdr:colOff>
          <xdr:row>20</xdr:row>
          <xdr:rowOff>19050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19</xdr:row>
          <xdr:rowOff>200025</xdr:rowOff>
        </xdr:from>
        <xdr:to>
          <xdr:col>2</xdr:col>
          <xdr:colOff>485775</xdr:colOff>
          <xdr:row>21</xdr:row>
          <xdr:rowOff>19050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14</xdr:row>
          <xdr:rowOff>200025</xdr:rowOff>
        </xdr:from>
        <xdr:to>
          <xdr:col>15</xdr:col>
          <xdr:colOff>485775</xdr:colOff>
          <xdr:row>16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</xdr:row>
          <xdr:rowOff>200025</xdr:rowOff>
        </xdr:from>
        <xdr:to>
          <xdr:col>15</xdr:col>
          <xdr:colOff>485775</xdr:colOff>
          <xdr:row>7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8</xdr:row>
          <xdr:rowOff>200025</xdr:rowOff>
        </xdr:from>
        <xdr:to>
          <xdr:col>3</xdr:col>
          <xdr:colOff>152400</xdr:colOff>
          <xdr:row>10</xdr:row>
          <xdr:rowOff>28575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4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9</xdr:row>
          <xdr:rowOff>200025</xdr:rowOff>
        </xdr:from>
        <xdr:to>
          <xdr:col>3</xdr:col>
          <xdr:colOff>152400</xdr:colOff>
          <xdr:row>11</xdr:row>
          <xdr:rowOff>28575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  <a:ext uri="{FF2B5EF4-FFF2-40B4-BE49-F238E27FC236}">
                  <a16:creationId xmlns:a16="http://schemas.microsoft.com/office/drawing/2014/main" id="{00000000-0008-0000-0400-00003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10</xdr:row>
          <xdr:rowOff>200025</xdr:rowOff>
        </xdr:from>
        <xdr:to>
          <xdr:col>3</xdr:col>
          <xdr:colOff>152400</xdr:colOff>
          <xdr:row>12</xdr:row>
          <xdr:rowOff>28575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  <a:ext uri="{FF2B5EF4-FFF2-40B4-BE49-F238E27FC236}">
                  <a16:creationId xmlns:a16="http://schemas.microsoft.com/office/drawing/2014/main" id="{00000000-0008-0000-0400-00003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13</xdr:row>
          <xdr:rowOff>200025</xdr:rowOff>
        </xdr:from>
        <xdr:to>
          <xdr:col>3</xdr:col>
          <xdr:colOff>152400</xdr:colOff>
          <xdr:row>15</xdr:row>
          <xdr:rowOff>28575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4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14</xdr:row>
          <xdr:rowOff>200025</xdr:rowOff>
        </xdr:from>
        <xdr:to>
          <xdr:col>3</xdr:col>
          <xdr:colOff>152400</xdr:colOff>
          <xdr:row>16</xdr:row>
          <xdr:rowOff>28575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4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15</xdr:row>
          <xdr:rowOff>200025</xdr:rowOff>
        </xdr:from>
        <xdr:to>
          <xdr:col>3</xdr:col>
          <xdr:colOff>152400</xdr:colOff>
          <xdr:row>17</xdr:row>
          <xdr:rowOff>28575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4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16</xdr:row>
          <xdr:rowOff>200025</xdr:rowOff>
        </xdr:from>
        <xdr:to>
          <xdr:col>3</xdr:col>
          <xdr:colOff>152400</xdr:colOff>
          <xdr:row>18</xdr:row>
          <xdr:rowOff>28575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4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17</xdr:row>
          <xdr:rowOff>200025</xdr:rowOff>
        </xdr:from>
        <xdr:to>
          <xdr:col>3</xdr:col>
          <xdr:colOff>152400</xdr:colOff>
          <xdr:row>19</xdr:row>
          <xdr:rowOff>28575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4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18</xdr:row>
          <xdr:rowOff>190500</xdr:rowOff>
        </xdr:from>
        <xdr:to>
          <xdr:col>3</xdr:col>
          <xdr:colOff>323850</xdr:colOff>
          <xdr:row>20</xdr:row>
          <xdr:rowOff>19050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4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19</xdr:row>
          <xdr:rowOff>190500</xdr:rowOff>
        </xdr:from>
        <xdr:to>
          <xdr:col>3</xdr:col>
          <xdr:colOff>323850</xdr:colOff>
          <xdr:row>21</xdr:row>
          <xdr:rowOff>19050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4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20</xdr:row>
          <xdr:rowOff>190500</xdr:rowOff>
        </xdr:from>
        <xdr:to>
          <xdr:col>3</xdr:col>
          <xdr:colOff>323850</xdr:colOff>
          <xdr:row>22</xdr:row>
          <xdr:rowOff>19050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  <a:ext uri="{FF2B5EF4-FFF2-40B4-BE49-F238E27FC236}">
                  <a16:creationId xmlns:a16="http://schemas.microsoft.com/office/drawing/2014/main" id="{00000000-0008-0000-0400-00005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21</xdr:row>
          <xdr:rowOff>190500</xdr:rowOff>
        </xdr:from>
        <xdr:to>
          <xdr:col>3</xdr:col>
          <xdr:colOff>323850</xdr:colOff>
          <xdr:row>23</xdr:row>
          <xdr:rowOff>19050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4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190500</xdr:rowOff>
        </xdr:from>
        <xdr:to>
          <xdr:col>3</xdr:col>
          <xdr:colOff>323850</xdr:colOff>
          <xdr:row>24</xdr:row>
          <xdr:rowOff>19050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  <a:ext uri="{FF2B5EF4-FFF2-40B4-BE49-F238E27FC236}">
                  <a16:creationId xmlns:a16="http://schemas.microsoft.com/office/drawing/2014/main" id="{00000000-0008-0000-0400-00005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23</xdr:row>
          <xdr:rowOff>190500</xdr:rowOff>
        </xdr:from>
        <xdr:to>
          <xdr:col>3</xdr:col>
          <xdr:colOff>323850</xdr:colOff>
          <xdr:row>25</xdr:row>
          <xdr:rowOff>19050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4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24</xdr:row>
          <xdr:rowOff>190500</xdr:rowOff>
        </xdr:from>
        <xdr:to>
          <xdr:col>3</xdr:col>
          <xdr:colOff>323850</xdr:colOff>
          <xdr:row>26</xdr:row>
          <xdr:rowOff>9525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4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25</xdr:row>
          <xdr:rowOff>190500</xdr:rowOff>
        </xdr:from>
        <xdr:to>
          <xdr:col>3</xdr:col>
          <xdr:colOff>323850</xdr:colOff>
          <xdr:row>27</xdr:row>
          <xdr:rowOff>9525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4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26</xdr:row>
          <xdr:rowOff>190500</xdr:rowOff>
        </xdr:from>
        <xdr:to>
          <xdr:col>3</xdr:col>
          <xdr:colOff>323850</xdr:colOff>
          <xdr:row>28</xdr:row>
          <xdr:rowOff>9525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  <a:ext uri="{FF2B5EF4-FFF2-40B4-BE49-F238E27FC236}">
                  <a16:creationId xmlns:a16="http://schemas.microsoft.com/office/drawing/2014/main" id="{00000000-0008-0000-0400-00005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247650</xdr:colOff>
          <xdr:row>8</xdr:row>
          <xdr:rowOff>190500</xdr:rowOff>
        </xdr:from>
        <xdr:to>
          <xdr:col>15</xdr:col>
          <xdr:colOff>504825</xdr:colOff>
          <xdr:row>10</xdr:row>
          <xdr:rowOff>19050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88F3D07C-4A25-4C23-B4E2-879CDD2A9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9</xdr:row>
          <xdr:rowOff>190500</xdr:rowOff>
        </xdr:from>
        <xdr:ext cx="257175" cy="247650"/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406201E0-260F-453F-AEA6-7A3A60A9F4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3</xdr:row>
          <xdr:rowOff>190500</xdr:rowOff>
        </xdr:from>
        <xdr:ext cx="257175" cy="247650"/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FEDFA387-ECEF-4473-B9FF-99CCBFF16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4</xdr:row>
          <xdr:rowOff>190500</xdr:rowOff>
        </xdr:from>
        <xdr:ext cx="257175" cy="247650"/>
        <xdr:sp macro="" textlink="">
          <xdr:nvSpPr>
            <xdr:cNvPr id="8283" name="Check Box 91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7A976259-0C75-4802-8D79-5E76CC612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5</xdr:row>
          <xdr:rowOff>190500</xdr:rowOff>
        </xdr:from>
        <xdr:ext cx="257175" cy="247650"/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D24324A3-808E-4C1F-B46B-D81BE20B0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6</xdr:row>
          <xdr:rowOff>190500</xdr:rowOff>
        </xdr:from>
        <xdr:ext cx="257175" cy="247650"/>
        <xdr:sp macro="" textlink="">
          <xdr:nvSpPr>
            <xdr:cNvPr id="8285" name="Check Box 93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A7F9D699-B4EB-4647-B191-D1C776F34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7</xdr:row>
          <xdr:rowOff>190500</xdr:rowOff>
        </xdr:from>
        <xdr:ext cx="257175" cy="247650"/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C8029E3B-18C0-4763-A376-D4778A32E6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8</xdr:row>
          <xdr:rowOff>190500</xdr:rowOff>
        </xdr:from>
        <xdr:ext cx="257175" cy="247650"/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413D8AA2-B505-4F1F-A49D-903210F28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9</xdr:row>
          <xdr:rowOff>190500</xdr:rowOff>
        </xdr:from>
        <xdr:ext cx="257175" cy="247650"/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2C04000-1388-44D9-A441-561A4C56B9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10</xdr:row>
          <xdr:rowOff>190500</xdr:rowOff>
        </xdr:from>
        <xdr:ext cx="257175" cy="247650"/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A803F155-9E14-4CDB-B816-BCF1E88C0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11</xdr:row>
          <xdr:rowOff>190500</xdr:rowOff>
        </xdr:from>
        <xdr:ext cx="257175" cy="247650"/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9FBEDBBF-5D15-4A0C-AC2F-6CE5F9224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15</xdr:row>
          <xdr:rowOff>190500</xdr:rowOff>
        </xdr:from>
        <xdr:ext cx="257175" cy="247650"/>
        <xdr:sp macro="" textlink="">
          <xdr:nvSpPr>
            <xdr:cNvPr id="8318" name="Check Box 126" hidden="1">
              <a:extLst>
                <a:ext uri="{63B3BB69-23CF-44E3-9099-C40C66FF867C}">
                  <a14:compatExt spid="_x0000_s8318"/>
                </a:ext>
                <a:ext uri="{FF2B5EF4-FFF2-40B4-BE49-F238E27FC236}">
                  <a16:creationId xmlns:a16="http://schemas.microsoft.com/office/drawing/2014/main" id="{27BC8FEF-4A85-4FA3-AE0C-FB664485A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15</xdr:row>
          <xdr:rowOff>190500</xdr:rowOff>
        </xdr:from>
        <xdr:ext cx="257175" cy="247650"/>
        <xdr:sp macro="" textlink="">
          <xdr:nvSpPr>
            <xdr:cNvPr id="8319" name="Check Box 127" hidden="1">
              <a:extLst>
                <a:ext uri="{63B3BB69-23CF-44E3-9099-C40C66FF867C}">
                  <a14:compatExt spid="_x0000_s8319"/>
                </a:ext>
                <a:ext uri="{FF2B5EF4-FFF2-40B4-BE49-F238E27FC236}">
                  <a16:creationId xmlns:a16="http://schemas.microsoft.com/office/drawing/2014/main" id="{2BCEA629-4ACD-4F74-8138-02A7E2CF7B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16</xdr:row>
          <xdr:rowOff>190500</xdr:rowOff>
        </xdr:from>
        <xdr:ext cx="257175" cy="247650"/>
        <xdr:sp macro="" textlink="">
          <xdr:nvSpPr>
            <xdr:cNvPr id="8320" name="Check Box 128" hidden="1">
              <a:extLst>
                <a:ext uri="{63B3BB69-23CF-44E3-9099-C40C66FF867C}">
                  <a14:compatExt spid="_x0000_s8320"/>
                </a:ext>
                <a:ext uri="{FF2B5EF4-FFF2-40B4-BE49-F238E27FC236}">
                  <a16:creationId xmlns:a16="http://schemas.microsoft.com/office/drawing/2014/main" id="{BDF0EBE3-88DE-4709-9046-3CE12D843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16</xdr:row>
          <xdr:rowOff>190500</xdr:rowOff>
        </xdr:from>
        <xdr:ext cx="257175" cy="247650"/>
        <xdr:sp macro="" textlink="">
          <xdr:nvSpPr>
            <xdr:cNvPr id="8321" name="Check Box 129" hidden="1">
              <a:extLst>
                <a:ext uri="{63B3BB69-23CF-44E3-9099-C40C66FF867C}">
                  <a14:compatExt spid="_x0000_s8321"/>
                </a:ext>
                <a:ext uri="{FF2B5EF4-FFF2-40B4-BE49-F238E27FC236}">
                  <a16:creationId xmlns:a16="http://schemas.microsoft.com/office/drawing/2014/main" id="{ECD92DBC-8FBC-41DD-9402-1B6944758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17</xdr:row>
          <xdr:rowOff>190500</xdr:rowOff>
        </xdr:from>
        <xdr:ext cx="257175" cy="247650"/>
        <xdr:sp macro="" textlink="">
          <xdr:nvSpPr>
            <xdr:cNvPr id="8322" name="Check Box 130" hidden="1">
              <a:extLst>
                <a:ext uri="{63B3BB69-23CF-44E3-9099-C40C66FF867C}">
                  <a14:compatExt spid="_x0000_s8322"/>
                </a:ext>
                <a:ext uri="{FF2B5EF4-FFF2-40B4-BE49-F238E27FC236}">
                  <a16:creationId xmlns:a16="http://schemas.microsoft.com/office/drawing/2014/main" id="{05BA64A8-E4A5-4A42-BB2F-1B7579C5D5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17</xdr:row>
          <xdr:rowOff>190500</xdr:rowOff>
        </xdr:from>
        <xdr:ext cx="257175" cy="247650"/>
        <xdr:sp macro="" textlink="">
          <xdr:nvSpPr>
            <xdr:cNvPr id="8323" name="Check Box 131" hidden="1">
              <a:extLst>
                <a:ext uri="{63B3BB69-23CF-44E3-9099-C40C66FF867C}">
                  <a14:compatExt spid="_x0000_s8323"/>
                </a:ext>
                <a:ext uri="{FF2B5EF4-FFF2-40B4-BE49-F238E27FC236}">
                  <a16:creationId xmlns:a16="http://schemas.microsoft.com/office/drawing/2014/main" id="{A249818D-1C3B-4912-A74F-CF76820DC2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18</xdr:row>
          <xdr:rowOff>190500</xdr:rowOff>
        </xdr:from>
        <xdr:ext cx="257175" cy="247650"/>
        <xdr:sp macro="" textlink="">
          <xdr:nvSpPr>
            <xdr:cNvPr id="8324" name="Check Box 132" hidden="1">
              <a:extLst>
                <a:ext uri="{63B3BB69-23CF-44E3-9099-C40C66FF867C}">
                  <a14:compatExt spid="_x0000_s8324"/>
                </a:ext>
                <a:ext uri="{FF2B5EF4-FFF2-40B4-BE49-F238E27FC236}">
                  <a16:creationId xmlns:a16="http://schemas.microsoft.com/office/drawing/2014/main" id="{CB5A33DC-C7A3-46E2-98FF-76303F1780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18</xdr:row>
          <xdr:rowOff>190500</xdr:rowOff>
        </xdr:from>
        <xdr:ext cx="257175" cy="247650"/>
        <xdr:sp macro="" textlink="">
          <xdr:nvSpPr>
            <xdr:cNvPr id="8325" name="Check Box 133" hidden="1">
              <a:extLst>
                <a:ext uri="{63B3BB69-23CF-44E3-9099-C40C66FF867C}">
                  <a14:compatExt spid="_x0000_s8325"/>
                </a:ext>
                <a:ext uri="{FF2B5EF4-FFF2-40B4-BE49-F238E27FC236}">
                  <a16:creationId xmlns:a16="http://schemas.microsoft.com/office/drawing/2014/main" id="{AA9FD705-5854-4928-9BEE-3E25F70DD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19</xdr:row>
          <xdr:rowOff>190500</xdr:rowOff>
        </xdr:from>
        <xdr:ext cx="257175" cy="247650"/>
        <xdr:sp macro="" textlink="">
          <xdr:nvSpPr>
            <xdr:cNvPr id="8326" name="Check Box 134" hidden="1">
              <a:extLst>
                <a:ext uri="{63B3BB69-23CF-44E3-9099-C40C66FF867C}">
                  <a14:compatExt spid="_x0000_s8326"/>
                </a:ext>
                <a:ext uri="{FF2B5EF4-FFF2-40B4-BE49-F238E27FC236}">
                  <a16:creationId xmlns:a16="http://schemas.microsoft.com/office/drawing/2014/main" id="{0EB3D241-9F07-4F99-96C4-B663D290BB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19</xdr:row>
          <xdr:rowOff>190500</xdr:rowOff>
        </xdr:from>
        <xdr:ext cx="257175" cy="247650"/>
        <xdr:sp macro="" textlink="">
          <xdr:nvSpPr>
            <xdr:cNvPr id="8327" name="Check Box 135" hidden="1">
              <a:extLst>
                <a:ext uri="{63B3BB69-23CF-44E3-9099-C40C66FF867C}">
                  <a14:compatExt spid="_x0000_s8327"/>
                </a:ext>
                <a:ext uri="{FF2B5EF4-FFF2-40B4-BE49-F238E27FC236}">
                  <a16:creationId xmlns:a16="http://schemas.microsoft.com/office/drawing/2014/main" id="{CE0C3066-FD70-4CEF-BF75-C4CFB0F4DE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19</xdr:row>
          <xdr:rowOff>190500</xdr:rowOff>
        </xdr:from>
        <xdr:ext cx="257175" cy="247650"/>
        <xdr:sp macro="" textlink="">
          <xdr:nvSpPr>
            <xdr:cNvPr id="8337" name="Check Box 145" hidden="1">
              <a:extLst>
                <a:ext uri="{63B3BB69-23CF-44E3-9099-C40C66FF867C}">
                  <a14:compatExt spid="_x0000_s8337"/>
                </a:ext>
                <a:ext uri="{FF2B5EF4-FFF2-40B4-BE49-F238E27FC236}">
                  <a16:creationId xmlns:a16="http://schemas.microsoft.com/office/drawing/2014/main" id="{41F2326B-70A2-4172-A550-D015AB5DA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20</xdr:row>
          <xdr:rowOff>190500</xdr:rowOff>
        </xdr:from>
        <xdr:ext cx="257175" cy="247650"/>
        <xdr:sp macro="" textlink="">
          <xdr:nvSpPr>
            <xdr:cNvPr id="8338" name="Check Box 146" hidden="1">
              <a:extLst>
                <a:ext uri="{63B3BB69-23CF-44E3-9099-C40C66FF867C}">
                  <a14:compatExt spid="_x0000_s8338"/>
                </a:ext>
                <a:ext uri="{FF2B5EF4-FFF2-40B4-BE49-F238E27FC236}">
                  <a16:creationId xmlns:a16="http://schemas.microsoft.com/office/drawing/2014/main" id="{B9C85C14-49D6-4290-A200-3A619133CA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21</xdr:row>
          <xdr:rowOff>190500</xdr:rowOff>
        </xdr:from>
        <xdr:ext cx="257175" cy="247650"/>
        <xdr:sp macro="" textlink="">
          <xdr:nvSpPr>
            <xdr:cNvPr id="8339" name="Check Box 147" hidden="1">
              <a:extLst>
                <a:ext uri="{63B3BB69-23CF-44E3-9099-C40C66FF867C}">
                  <a14:compatExt spid="_x0000_s8339"/>
                </a:ext>
                <a:ext uri="{FF2B5EF4-FFF2-40B4-BE49-F238E27FC236}">
                  <a16:creationId xmlns:a16="http://schemas.microsoft.com/office/drawing/2014/main" id="{57469373-0A6A-4506-AC2E-44C9F39CFB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22</xdr:row>
          <xdr:rowOff>190500</xdr:rowOff>
        </xdr:from>
        <xdr:ext cx="257175" cy="247650"/>
        <xdr:sp macro="" textlink="">
          <xdr:nvSpPr>
            <xdr:cNvPr id="8340" name="Check Box 148" hidden="1">
              <a:extLst>
                <a:ext uri="{63B3BB69-23CF-44E3-9099-C40C66FF867C}">
                  <a14:compatExt spid="_x0000_s8340"/>
                </a:ext>
                <a:ext uri="{FF2B5EF4-FFF2-40B4-BE49-F238E27FC236}">
                  <a16:creationId xmlns:a16="http://schemas.microsoft.com/office/drawing/2014/main" id="{FF06B694-5BC7-430A-9279-E0B1F7CC6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247650</xdr:colOff>
          <xdr:row>23</xdr:row>
          <xdr:rowOff>190500</xdr:rowOff>
        </xdr:from>
        <xdr:ext cx="257175" cy="247650"/>
        <xdr:sp macro="" textlink="">
          <xdr:nvSpPr>
            <xdr:cNvPr id="8341" name="Check Box 149" hidden="1">
              <a:extLst>
                <a:ext uri="{63B3BB69-23CF-44E3-9099-C40C66FF867C}">
                  <a14:compatExt spid="_x0000_s8341"/>
                </a:ext>
                <a:ext uri="{FF2B5EF4-FFF2-40B4-BE49-F238E27FC236}">
                  <a16:creationId xmlns:a16="http://schemas.microsoft.com/office/drawing/2014/main" id="{05427B17-E03B-42EA-8E94-0F1F3A873B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20</xdr:row>
          <xdr:rowOff>190500</xdr:rowOff>
        </xdr:from>
        <xdr:ext cx="257175" cy="247650"/>
        <xdr:sp macro="" textlink="">
          <xdr:nvSpPr>
            <xdr:cNvPr id="8342" name="Check Box 150" hidden="1">
              <a:extLst>
                <a:ext uri="{63B3BB69-23CF-44E3-9099-C40C66FF867C}">
                  <a14:compatExt spid="_x0000_s8342"/>
                </a:ext>
                <a:ext uri="{FF2B5EF4-FFF2-40B4-BE49-F238E27FC236}">
                  <a16:creationId xmlns:a16="http://schemas.microsoft.com/office/drawing/2014/main" id="{CF79C280-F6C4-4453-B22E-22B3EF072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21</xdr:row>
          <xdr:rowOff>190500</xdr:rowOff>
        </xdr:from>
        <xdr:ext cx="257175" cy="247650"/>
        <xdr:sp macro="" textlink="">
          <xdr:nvSpPr>
            <xdr:cNvPr id="8343" name="Check Box 151" hidden="1">
              <a:extLst>
                <a:ext uri="{63B3BB69-23CF-44E3-9099-C40C66FF867C}">
                  <a14:compatExt spid="_x0000_s8343"/>
                </a:ext>
                <a:ext uri="{FF2B5EF4-FFF2-40B4-BE49-F238E27FC236}">
                  <a16:creationId xmlns:a16="http://schemas.microsoft.com/office/drawing/2014/main" id="{5BBE1C61-F607-4DA5-89DD-0133480B61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22</xdr:row>
          <xdr:rowOff>190500</xdr:rowOff>
        </xdr:from>
        <xdr:ext cx="257175" cy="247650"/>
        <xdr:sp macro="" textlink="">
          <xdr:nvSpPr>
            <xdr:cNvPr id="8344" name="Check Box 152" hidden="1">
              <a:extLst>
                <a:ext uri="{63B3BB69-23CF-44E3-9099-C40C66FF867C}">
                  <a14:compatExt spid="_x0000_s8344"/>
                </a:ext>
                <a:ext uri="{FF2B5EF4-FFF2-40B4-BE49-F238E27FC236}">
                  <a16:creationId xmlns:a16="http://schemas.microsoft.com/office/drawing/2014/main" id="{4F00A9C5-7F42-48F1-9C50-F7071B22F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247650</xdr:colOff>
          <xdr:row>23</xdr:row>
          <xdr:rowOff>190500</xdr:rowOff>
        </xdr:from>
        <xdr:ext cx="257175" cy="247650"/>
        <xdr:sp macro="" textlink="">
          <xdr:nvSpPr>
            <xdr:cNvPr id="8345" name="Check Box 153" hidden="1">
              <a:extLst>
                <a:ext uri="{63B3BB69-23CF-44E3-9099-C40C66FF867C}">
                  <a14:compatExt spid="_x0000_s8345"/>
                </a:ext>
                <a:ext uri="{FF2B5EF4-FFF2-40B4-BE49-F238E27FC236}">
                  <a16:creationId xmlns:a16="http://schemas.microsoft.com/office/drawing/2014/main" id="{DB8DD363-FD9D-4661-86DD-1A11C2D41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22</xdr:row>
          <xdr:rowOff>190500</xdr:rowOff>
        </xdr:from>
        <xdr:ext cx="257175" cy="247650"/>
        <xdr:sp macro="" textlink="">
          <xdr:nvSpPr>
            <xdr:cNvPr id="8346" name="Check Box 154" hidden="1">
              <a:extLst>
                <a:ext uri="{63B3BB69-23CF-44E3-9099-C40C66FF867C}">
                  <a14:compatExt spid="_x0000_s8346"/>
                </a:ext>
                <a:ext uri="{FF2B5EF4-FFF2-40B4-BE49-F238E27FC236}">
                  <a16:creationId xmlns:a16="http://schemas.microsoft.com/office/drawing/2014/main" id="{BFD932FD-4213-4E5E-82B8-5BB5DB40C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23</xdr:row>
          <xdr:rowOff>190500</xdr:rowOff>
        </xdr:from>
        <xdr:ext cx="257175" cy="247650"/>
        <xdr:sp macro="" textlink="">
          <xdr:nvSpPr>
            <xdr:cNvPr id="8347" name="Check Box 155" hidden="1">
              <a:extLst>
                <a:ext uri="{63B3BB69-23CF-44E3-9099-C40C66FF867C}">
                  <a14:compatExt spid="_x0000_s8347"/>
                </a:ext>
                <a:ext uri="{FF2B5EF4-FFF2-40B4-BE49-F238E27FC236}">
                  <a16:creationId xmlns:a16="http://schemas.microsoft.com/office/drawing/2014/main" id="{E7283224-93B1-4FAD-B690-1A0C358ED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24</xdr:row>
          <xdr:rowOff>190500</xdr:rowOff>
        </xdr:from>
        <xdr:ext cx="257175" cy="247650"/>
        <xdr:sp macro="" textlink="">
          <xdr:nvSpPr>
            <xdr:cNvPr id="8348" name="Check Box 156" hidden="1">
              <a:extLst>
                <a:ext uri="{63B3BB69-23CF-44E3-9099-C40C66FF867C}">
                  <a14:compatExt spid="_x0000_s8348"/>
                </a:ext>
                <a:ext uri="{FF2B5EF4-FFF2-40B4-BE49-F238E27FC236}">
                  <a16:creationId xmlns:a16="http://schemas.microsoft.com/office/drawing/2014/main" id="{45FA4FB4-7CC4-4B72-A500-38B6DFA33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25</xdr:row>
          <xdr:rowOff>190500</xdr:rowOff>
        </xdr:from>
        <xdr:ext cx="257175" cy="247650"/>
        <xdr:sp macro="" textlink="">
          <xdr:nvSpPr>
            <xdr:cNvPr id="8349" name="Check Box 157" hidden="1">
              <a:extLst>
                <a:ext uri="{63B3BB69-23CF-44E3-9099-C40C66FF867C}">
                  <a14:compatExt spid="_x0000_s8349"/>
                </a:ext>
                <a:ext uri="{FF2B5EF4-FFF2-40B4-BE49-F238E27FC236}">
                  <a16:creationId xmlns:a16="http://schemas.microsoft.com/office/drawing/2014/main" id="{FFF797C7-FBE1-422B-B143-83B1900E5D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247650</xdr:colOff>
          <xdr:row>26</xdr:row>
          <xdr:rowOff>190500</xdr:rowOff>
        </xdr:from>
        <xdr:ext cx="257175" cy="247650"/>
        <xdr:sp macro="" textlink="">
          <xdr:nvSpPr>
            <xdr:cNvPr id="8350" name="Check Box 158" hidden="1">
              <a:extLst>
                <a:ext uri="{63B3BB69-23CF-44E3-9099-C40C66FF867C}">
                  <a14:compatExt spid="_x0000_s8350"/>
                </a:ext>
                <a:ext uri="{FF2B5EF4-FFF2-40B4-BE49-F238E27FC236}">
                  <a16:creationId xmlns:a16="http://schemas.microsoft.com/office/drawing/2014/main" id="{FE6E24F9-3011-47EE-9DD6-7684441F35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15</xdr:row>
          <xdr:rowOff>190500</xdr:rowOff>
        </xdr:from>
        <xdr:ext cx="257175" cy="247650"/>
        <xdr:sp macro="" textlink="">
          <xdr:nvSpPr>
            <xdr:cNvPr id="8351" name="Check Box 159" hidden="1">
              <a:extLst>
                <a:ext uri="{63B3BB69-23CF-44E3-9099-C40C66FF867C}">
                  <a14:compatExt spid="_x0000_s8351"/>
                </a:ext>
                <a:ext uri="{FF2B5EF4-FFF2-40B4-BE49-F238E27FC236}">
                  <a16:creationId xmlns:a16="http://schemas.microsoft.com/office/drawing/2014/main" id="{8B715E95-3FE4-4A9B-B756-B32389D43D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16</xdr:row>
          <xdr:rowOff>190500</xdr:rowOff>
        </xdr:from>
        <xdr:ext cx="257175" cy="247650"/>
        <xdr:sp macro="" textlink="">
          <xdr:nvSpPr>
            <xdr:cNvPr id="8352" name="Check Box 160" hidden="1">
              <a:extLst>
                <a:ext uri="{63B3BB69-23CF-44E3-9099-C40C66FF867C}">
                  <a14:compatExt spid="_x0000_s8352"/>
                </a:ext>
                <a:ext uri="{FF2B5EF4-FFF2-40B4-BE49-F238E27FC236}">
                  <a16:creationId xmlns:a16="http://schemas.microsoft.com/office/drawing/2014/main" id="{9EDD345F-3777-471E-9198-2D2FC93137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17</xdr:row>
          <xdr:rowOff>190500</xdr:rowOff>
        </xdr:from>
        <xdr:ext cx="257175" cy="247650"/>
        <xdr:sp macro="" textlink="">
          <xdr:nvSpPr>
            <xdr:cNvPr id="8353" name="Check Box 161" hidden="1">
              <a:extLst>
                <a:ext uri="{63B3BB69-23CF-44E3-9099-C40C66FF867C}">
                  <a14:compatExt spid="_x0000_s8353"/>
                </a:ext>
                <a:ext uri="{FF2B5EF4-FFF2-40B4-BE49-F238E27FC236}">
                  <a16:creationId xmlns:a16="http://schemas.microsoft.com/office/drawing/2014/main" id="{A28C4146-34E5-4A49-ABA5-8EF6A3FE3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18</xdr:row>
          <xdr:rowOff>190500</xdr:rowOff>
        </xdr:from>
        <xdr:ext cx="257175" cy="247650"/>
        <xdr:sp macro="" textlink="">
          <xdr:nvSpPr>
            <xdr:cNvPr id="8354" name="Check Box 162" hidden="1">
              <a:extLst>
                <a:ext uri="{63B3BB69-23CF-44E3-9099-C40C66FF867C}">
                  <a14:compatExt spid="_x0000_s8354"/>
                </a:ext>
                <a:ext uri="{FF2B5EF4-FFF2-40B4-BE49-F238E27FC236}">
                  <a16:creationId xmlns:a16="http://schemas.microsoft.com/office/drawing/2014/main" id="{012C3348-C508-4755-9663-34303484A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19</xdr:row>
          <xdr:rowOff>190500</xdr:rowOff>
        </xdr:from>
        <xdr:ext cx="257175" cy="247650"/>
        <xdr:sp macro="" textlink="">
          <xdr:nvSpPr>
            <xdr:cNvPr id="8355" name="Check Box 163" hidden="1">
              <a:extLst>
                <a:ext uri="{63B3BB69-23CF-44E3-9099-C40C66FF867C}">
                  <a14:compatExt spid="_x0000_s8355"/>
                </a:ext>
                <a:ext uri="{FF2B5EF4-FFF2-40B4-BE49-F238E27FC236}">
                  <a16:creationId xmlns:a16="http://schemas.microsoft.com/office/drawing/2014/main" id="{EF951A77-8716-455D-B29E-A83F0652E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21</xdr:row>
          <xdr:rowOff>190500</xdr:rowOff>
        </xdr:from>
        <xdr:ext cx="257175" cy="247650"/>
        <xdr:sp macro="" textlink="">
          <xdr:nvSpPr>
            <xdr:cNvPr id="8357" name="Check Box 165" hidden="1">
              <a:extLst>
                <a:ext uri="{63B3BB69-23CF-44E3-9099-C40C66FF867C}">
                  <a14:compatExt spid="_x0000_s8357"/>
                </a:ext>
                <a:ext uri="{FF2B5EF4-FFF2-40B4-BE49-F238E27FC236}">
                  <a16:creationId xmlns:a16="http://schemas.microsoft.com/office/drawing/2014/main" id="{4F489566-6A2A-4ADB-8FBF-76E756CF5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22</xdr:row>
          <xdr:rowOff>190500</xdr:rowOff>
        </xdr:from>
        <xdr:ext cx="257175" cy="247650"/>
        <xdr:sp macro="" textlink="">
          <xdr:nvSpPr>
            <xdr:cNvPr id="8358" name="Check Box 166" hidden="1">
              <a:extLst>
                <a:ext uri="{63B3BB69-23CF-44E3-9099-C40C66FF867C}">
                  <a14:compatExt spid="_x0000_s8358"/>
                </a:ext>
                <a:ext uri="{FF2B5EF4-FFF2-40B4-BE49-F238E27FC236}">
                  <a16:creationId xmlns:a16="http://schemas.microsoft.com/office/drawing/2014/main" id="{8AB0DC42-D706-4161-A1C5-425B016E8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247650</xdr:colOff>
          <xdr:row>23</xdr:row>
          <xdr:rowOff>190500</xdr:rowOff>
        </xdr:from>
        <xdr:ext cx="257175" cy="247650"/>
        <xdr:sp macro="" textlink="">
          <xdr:nvSpPr>
            <xdr:cNvPr id="8359" name="Check Box 167" hidden="1">
              <a:extLst>
                <a:ext uri="{63B3BB69-23CF-44E3-9099-C40C66FF867C}">
                  <a14:compatExt spid="_x0000_s8359"/>
                </a:ext>
                <a:ext uri="{FF2B5EF4-FFF2-40B4-BE49-F238E27FC236}">
                  <a16:creationId xmlns:a16="http://schemas.microsoft.com/office/drawing/2014/main" id="{8D42D374-910A-45C3-85A2-F46C5E0F1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15</xdr:row>
          <xdr:rowOff>190500</xdr:rowOff>
        </xdr:from>
        <xdr:ext cx="257175" cy="247650"/>
        <xdr:sp macro="" textlink="">
          <xdr:nvSpPr>
            <xdr:cNvPr id="8361" name="Check Box 169" hidden="1">
              <a:extLst>
                <a:ext uri="{63B3BB69-23CF-44E3-9099-C40C66FF867C}">
                  <a14:compatExt spid="_x0000_s8361"/>
                </a:ext>
                <a:ext uri="{FF2B5EF4-FFF2-40B4-BE49-F238E27FC236}">
                  <a16:creationId xmlns:a16="http://schemas.microsoft.com/office/drawing/2014/main" id="{DF224EA3-CEDD-4474-B4A7-818D076EBF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16</xdr:row>
          <xdr:rowOff>190500</xdr:rowOff>
        </xdr:from>
        <xdr:ext cx="257175" cy="247650"/>
        <xdr:sp macro="" textlink="">
          <xdr:nvSpPr>
            <xdr:cNvPr id="8362" name="Check Box 170" hidden="1">
              <a:extLst>
                <a:ext uri="{63B3BB69-23CF-44E3-9099-C40C66FF867C}">
                  <a14:compatExt spid="_x0000_s8362"/>
                </a:ext>
                <a:ext uri="{FF2B5EF4-FFF2-40B4-BE49-F238E27FC236}">
                  <a16:creationId xmlns:a16="http://schemas.microsoft.com/office/drawing/2014/main" id="{DB77DCBC-6571-4B0D-BD1F-7ECB03075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17</xdr:row>
          <xdr:rowOff>190500</xdr:rowOff>
        </xdr:from>
        <xdr:ext cx="257175" cy="247650"/>
        <xdr:sp macro="" textlink="">
          <xdr:nvSpPr>
            <xdr:cNvPr id="8363" name="Check Box 171" hidden="1">
              <a:extLst>
                <a:ext uri="{63B3BB69-23CF-44E3-9099-C40C66FF867C}">
                  <a14:compatExt spid="_x0000_s8363"/>
                </a:ext>
                <a:ext uri="{FF2B5EF4-FFF2-40B4-BE49-F238E27FC236}">
                  <a16:creationId xmlns:a16="http://schemas.microsoft.com/office/drawing/2014/main" id="{2479950E-705A-419A-AEBF-14D9D9464E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18</xdr:row>
          <xdr:rowOff>190500</xdr:rowOff>
        </xdr:from>
        <xdr:ext cx="257175" cy="247650"/>
        <xdr:sp macro="" textlink="">
          <xdr:nvSpPr>
            <xdr:cNvPr id="8364" name="Check Box 172" hidden="1">
              <a:extLst>
                <a:ext uri="{63B3BB69-23CF-44E3-9099-C40C66FF867C}">
                  <a14:compatExt spid="_x0000_s8364"/>
                </a:ext>
                <a:ext uri="{FF2B5EF4-FFF2-40B4-BE49-F238E27FC236}">
                  <a16:creationId xmlns:a16="http://schemas.microsoft.com/office/drawing/2014/main" id="{E556B5B2-9D98-455F-9535-CCDFEC56C6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19</xdr:row>
          <xdr:rowOff>190500</xdr:rowOff>
        </xdr:from>
        <xdr:ext cx="257175" cy="247650"/>
        <xdr:sp macro="" textlink="">
          <xdr:nvSpPr>
            <xdr:cNvPr id="8365" name="Check Box 173" hidden="1">
              <a:extLst>
                <a:ext uri="{63B3BB69-23CF-44E3-9099-C40C66FF867C}">
                  <a14:compatExt spid="_x0000_s8365"/>
                </a:ext>
                <a:ext uri="{FF2B5EF4-FFF2-40B4-BE49-F238E27FC236}">
                  <a16:creationId xmlns:a16="http://schemas.microsoft.com/office/drawing/2014/main" id="{DC176F97-F707-40DC-B92E-048288DA77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21</xdr:row>
          <xdr:rowOff>190500</xdr:rowOff>
        </xdr:from>
        <xdr:ext cx="257175" cy="247650"/>
        <xdr:sp macro="" textlink="">
          <xdr:nvSpPr>
            <xdr:cNvPr id="8367" name="Check Box 175" hidden="1">
              <a:extLst>
                <a:ext uri="{63B3BB69-23CF-44E3-9099-C40C66FF867C}">
                  <a14:compatExt spid="_x0000_s8367"/>
                </a:ext>
                <a:ext uri="{FF2B5EF4-FFF2-40B4-BE49-F238E27FC236}">
                  <a16:creationId xmlns:a16="http://schemas.microsoft.com/office/drawing/2014/main" id="{E0ED1D68-36DF-4F99-BEAE-9BBF06D1DB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22</xdr:row>
          <xdr:rowOff>190500</xdr:rowOff>
        </xdr:from>
        <xdr:ext cx="257175" cy="247650"/>
        <xdr:sp macro="" textlink="">
          <xdr:nvSpPr>
            <xdr:cNvPr id="8368" name="Check Box 176" hidden="1">
              <a:extLst>
                <a:ext uri="{63B3BB69-23CF-44E3-9099-C40C66FF867C}">
                  <a14:compatExt spid="_x0000_s8368"/>
                </a:ext>
                <a:ext uri="{FF2B5EF4-FFF2-40B4-BE49-F238E27FC236}">
                  <a16:creationId xmlns:a16="http://schemas.microsoft.com/office/drawing/2014/main" id="{A5692733-6529-4C38-B65E-EAB8C391B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247650</xdr:colOff>
          <xdr:row>23</xdr:row>
          <xdr:rowOff>190500</xdr:rowOff>
        </xdr:from>
        <xdr:ext cx="257175" cy="247650"/>
        <xdr:sp macro="" textlink="">
          <xdr:nvSpPr>
            <xdr:cNvPr id="8369" name="Check Box 177" hidden="1">
              <a:extLst>
                <a:ext uri="{63B3BB69-23CF-44E3-9099-C40C66FF867C}">
                  <a14:compatExt spid="_x0000_s8369"/>
                </a:ext>
                <a:ext uri="{FF2B5EF4-FFF2-40B4-BE49-F238E27FC236}">
                  <a16:creationId xmlns:a16="http://schemas.microsoft.com/office/drawing/2014/main" id="{8F7014BE-AB73-41B0-9845-4F9797776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7" Type="http://schemas.openxmlformats.org/officeDocument/2006/relationships/ctrlProp" Target="../ctrlProps/ctrlProp5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7.xml"/><Relationship Id="rId29" Type="http://schemas.openxmlformats.org/officeDocument/2006/relationships/ctrlProp" Target="../ctrlProps/ctrlProp80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8" Type="http://schemas.openxmlformats.org/officeDocument/2006/relationships/ctrlProp" Target="../ctrlProps/ctrlProp109.xml"/><Relationship Id="rId5" Type="http://schemas.openxmlformats.org/officeDocument/2006/relationships/ctrlProp" Target="../ctrlProps/ctrlProp56.xml"/><Relationship Id="rId19" Type="http://schemas.openxmlformats.org/officeDocument/2006/relationships/ctrlProp" Target="../ctrlProps/ctrlProp70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20" Type="http://schemas.openxmlformats.org/officeDocument/2006/relationships/ctrlProp" Target="../ctrlProps/ctrlProp71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7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10" Type="http://schemas.openxmlformats.org/officeDocument/2006/relationships/ctrlProp" Target="../ctrlProps/ctrlProp61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26" Type="http://schemas.openxmlformats.org/officeDocument/2006/relationships/ctrlProp" Target="../ctrlProps/ctrlProp132.xml"/><Relationship Id="rId39" Type="http://schemas.openxmlformats.org/officeDocument/2006/relationships/ctrlProp" Target="../ctrlProps/ctrlProp145.xml"/><Relationship Id="rId21" Type="http://schemas.openxmlformats.org/officeDocument/2006/relationships/ctrlProp" Target="../ctrlProps/ctrlProp127.xml"/><Relationship Id="rId34" Type="http://schemas.openxmlformats.org/officeDocument/2006/relationships/ctrlProp" Target="../ctrlProps/ctrlProp140.xml"/><Relationship Id="rId42" Type="http://schemas.openxmlformats.org/officeDocument/2006/relationships/ctrlProp" Target="../ctrlProps/ctrlProp148.xml"/><Relationship Id="rId47" Type="http://schemas.openxmlformats.org/officeDocument/2006/relationships/ctrlProp" Target="../ctrlProps/ctrlProp153.xml"/><Relationship Id="rId50" Type="http://schemas.openxmlformats.org/officeDocument/2006/relationships/ctrlProp" Target="../ctrlProps/ctrlProp156.xml"/><Relationship Id="rId55" Type="http://schemas.openxmlformats.org/officeDocument/2006/relationships/ctrlProp" Target="../ctrlProps/ctrlProp161.xml"/><Relationship Id="rId7" Type="http://schemas.openxmlformats.org/officeDocument/2006/relationships/ctrlProp" Target="../ctrlProps/ctrlProp11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2.xml"/><Relationship Id="rId29" Type="http://schemas.openxmlformats.org/officeDocument/2006/relationships/ctrlProp" Target="../ctrlProps/ctrlProp135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32" Type="http://schemas.openxmlformats.org/officeDocument/2006/relationships/ctrlProp" Target="../ctrlProps/ctrlProp138.xml"/><Relationship Id="rId37" Type="http://schemas.openxmlformats.org/officeDocument/2006/relationships/ctrlProp" Target="../ctrlProps/ctrlProp143.xml"/><Relationship Id="rId40" Type="http://schemas.openxmlformats.org/officeDocument/2006/relationships/ctrlProp" Target="../ctrlProps/ctrlProp146.xml"/><Relationship Id="rId45" Type="http://schemas.openxmlformats.org/officeDocument/2006/relationships/ctrlProp" Target="../ctrlProps/ctrlProp151.xml"/><Relationship Id="rId53" Type="http://schemas.openxmlformats.org/officeDocument/2006/relationships/ctrlProp" Target="../ctrlProps/ctrlProp159.xml"/><Relationship Id="rId5" Type="http://schemas.openxmlformats.org/officeDocument/2006/relationships/ctrlProp" Target="../ctrlProps/ctrlProp111.xml"/><Relationship Id="rId19" Type="http://schemas.openxmlformats.org/officeDocument/2006/relationships/ctrlProp" Target="../ctrlProps/ctrlProp125.xml"/><Relationship Id="rId4" Type="http://schemas.openxmlformats.org/officeDocument/2006/relationships/ctrlProp" Target="../ctrlProps/ctrlProp110.xml"/><Relationship Id="rId9" Type="http://schemas.openxmlformats.org/officeDocument/2006/relationships/ctrlProp" Target="../ctrlProps/ctrlProp11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Relationship Id="rId27" Type="http://schemas.openxmlformats.org/officeDocument/2006/relationships/ctrlProp" Target="../ctrlProps/ctrlProp133.xml"/><Relationship Id="rId30" Type="http://schemas.openxmlformats.org/officeDocument/2006/relationships/ctrlProp" Target="../ctrlProps/ctrlProp136.xml"/><Relationship Id="rId35" Type="http://schemas.openxmlformats.org/officeDocument/2006/relationships/ctrlProp" Target="../ctrlProps/ctrlProp141.xml"/><Relationship Id="rId43" Type="http://schemas.openxmlformats.org/officeDocument/2006/relationships/ctrlProp" Target="../ctrlProps/ctrlProp149.xml"/><Relationship Id="rId48" Type="http://schemas.openxmlformats.org/officeDocument/2006/relationships/ctrlProp" Target="../ctrlProps/ctrlProp154.xml"/><Relationship Id="rId56" Type="http://schemas.openxmlformats.org/officeDocument/2006/relationships/ctrlProp" Target="../ctrlProps/ctrlProp162.xml"/><Relationship Id="rId8" Type="http://schemas.openxmlformats.org/officeDocument/2006/relationships/ctrlProp" Target="../ctrlProps/ctrlProp114.xml"/><Relationship Id="rId51" Type="http://schemas.openxmlformats.org/officeDocument/2006/relationships/ctrlProp" Target="../ctrlProps/ctrlProp15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33" Type="http://schemas.openxmlformats.org/officeDocument/2006/relationships/ctrlProp" Target="../ctrlProps/ctrlProp139.xml"/><Relationship Id="rId38" Type="http://schemas.openxmlformats.org/officeDocument/2006/relationships/ctrlProp" Target="../ctrlProps/ctrlProp144.xml"/><Relationship Id="rId46" Type="http://schemas.openxmlformats.org/officeDocument/2006/relationships/ctrlProp" Target="../ctrlProps/ctrlProp152.xml"/><Relationship Id="rId20" Type="http://schemas.openxmlformats.org/officeDocument/2006/relationships/ctrlProp" Target="../ctrlProps/ctrlProp126.xml"/><Relationship Id="rId41" Type="http://schemas.openxmlformats.org/officeDocument/2006/relationships/ctrlProp" Target="../ctrlProps/ctrlProp147.xml"/><Relationship Id="rId54" Type="http://schemas.openxmlformats.org/officeDocument/2006/relationships/ctrlProp" Target="../ctrlProps/ctrlProp16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2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28" Type="http://schemas.openxmlformats.org/officeDocument/2006/relationships/ctrlProp" Target="../ctrlProps/ctrlProp134.xml"/><Relationship Id="rId36" Type="http://schemas.openxmlformats.org/officeDocument/2006/relationships/ctrlProp" Target="../ctrlProps/ctrlProp142.xml"/><Relationship Id="rId49" Type="http://schemas.openxmlformats.org/officeDocument/2006/relationships/ctrlProp" Target="../ctrlProps/ctrlProp155.xml"/><Relationship Id="rId57" Type="http://schemas.openxmlformats.org/officeDocument/2006/relationships/ctrlProp" Target="../ctrlProps/ctrlProp163.xml"/><Relationship Id="rId10" Type="http://schemas.openxmlformats.org/officeDocument/2006/relationships/ctrlProp" Target="../ctrlProps/ctrlProp116.xml"/><Relationship Id="rId31" Type="http://schemas.openxmlformats.org/officeDocument/2006/relationships/ctrlProp" Target="../ctrlProps/ctrlProp137.xml"/><Relationship Id="rId44" Type="http://schemas.openxmlformats.org/officeDocument/2006/relationships/ctrlProp" Target="../ctrlProps/ctrlProp150.xml"/><Relationship Id="rId52" Type="http://schemas.openxmlformats.org/officeDocument/2006/relationships/ctrlProp" Target="../ctrlProps/ctrlProp158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6.xml"/><Relationship Id="rId21" Type="http://schemas.openxmlformats.org/officeDocument/2006/relationships/ctrlProp" Target="../ctrlProps/ctrlProp181.xml"/><Relationship Id="rId42" Type="http://schemas.openxmlformats.org/officeDocument/2006/relationships/ctrlProp" Target="../ctrlProps/ctrlProp202.xml"/><Relationship Id="rId47" Type="http://schemas.openxmlformats.org/officeDocument/2006/relationships/ctrlProp" Target="../ctrlProps/ctrlProp207.xml"/><Relationship Id="rId63" Type="http://schemas.openxmlformats.org/officeDocument/2006/relationships/ctrlProp" Target="../ctrlProps/ctrlProp223.xml"/><Relationship Id="rId68" Type="http://schemas.openxmlformats.org/officeDocument/2006/relationships/ctrlProp" Target="../ctrlProps/ctrlProp228.xml"/><Relationship Id="rId7" Type="http://schemas.openxmlformats.org/officeDocument/2006/relationships/ctrlProp" Target="../ctrlProps/ctrlProp167.xml"/><Relationship Id="rId71" Type="http://schemas.openxmlformats.org/officeDocument/2006/relationships/ctrlProp" Target="../ctrlProps/ctrlProp23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76.xml"/><Relationship Id="rId29" Type="http://schemas.openxmlformats.org/officeDocument/2006/relationships/ctrlProp" Target="../ctrlProps/ctrlProp189.xml"/><Relationship Id="rId11" Type="http://schemas.openxmlformats.org/officeDocument/2006/relationships/ctrlProp" Target="../ctrlProps/ctrlProp171.xml"/><Relationship Id="rId24" Type="http://schemas.openxmlformats.org/officeDocument/2006/relationships/ctrlProp" Target="../ctrlProps/ctrlProp184.xml"/><Relationship Id="rId32" Type="http://schemas.openxmlformats.org/officeDocument/2006/relationships/ctrlProp" Target="../ctrlProps/ctrlProp192.xml"/><Relationship Id="rId37" Type="http://schemas.openxmlformats.org/officeDocument/2006/relationships/ctrlProp" Target="../ctrlProps/ctrlProp197.xml"/><Relationship Id="rId40" Type="http://schemas.openxmlformats.org/officeDocument/2006/relationships/ctrlProp" Target="../ctrlProps/ctrlProp200.xml"/><Relationship Id="rId45" Type="http://schemas.openxmlformats.org/officeDocument/2006/relationships/ctrlProp" Target="../ctrlProps/ctrlProp205.xml"/><Relationship Id="rId53" Type="http://schemas.openxmlformats.org/officeDocument/2006/relationships/ctrlProp" Target="../ctrlProps/ctrlProp213.xml"/><Relationship Id="rId58" Type="http://schemas.openxmlformats.org/officeDocument/2006/relationships/ctrlProp" Target="../ctrlProps/ctrlProp218.xml"/><Relationship Id="rId66" Type="http://schemas.openxmlformats.org/officeDocument/2006/relationships/ctrlProp" Target="../ctrlProps/ctrlProp226.xml"/><Relationship Id="rId5" Type="http://schemas.openxmlformats.org/officeDocument/2006/relationships/ctrlProp" Target="../ctrlProps/ctrlProp165.xml"/><Relationship Id="rId61" Type="http://schemas.openxmlformats.org/officeDocument/2006/relationships/ctrlProp" Target="../ctrlProps/ctrlProp221.xml"/><Relationship Id="rId19" Type="http://schemas.openxmlformats.org/officeDocument/2006/relationships/ctrlProp" Target="../ctrlProps/ctrlProp179.xml"/><Relationship Id="rId14" Type="http://schemas.openxmlformats.org/officeDocument/2006/relationships/ctrlProp" Target="../ctrlProps/ctrlProp174.xml"/><Relationship Id="rId22" Type="http://schemas.openxmlformats.org/officeDocument/2006/relationships/ctrlProp" Target="../ctrlProps/ctrlProp182.xml"/><Relationship Id="rId27" Type="http://schemas.openxmlformats.org/officeDocument/2006/relationships/ctrlProp" Target="../ctrlProps/ctrlProp187.xml"/><Relationship Id="rId30" Type="http://schemas.openxmlformats.org/officeDocument/2006/relationships/ctrlProp" Target="../ctrlProps/ctrlProp190.xml"/><Relationship Id="rId35" Type="http://schemas.openxmlformats.org/officeDocument/2006/relationships/ctrlProp" Target="../ctrlProps/ctrlProp195.xml"/><Relationship Id="rId43" Type="http://schemas.openxmlformats.org/officeDocument/2006/relationships/ctrlProp" Target="../ctrlProps/ctrlProp203.xml"/><Relationship Id="rId48" Type="http://schemas.openxmlformats.org/officeDocument/2006/relationships/ctrlProp" Target="../ctrlProps/ctrlProp208.xml"/><Relationship Id="rId56" Type="http://schemas.openxmlformats.org/officeDocument/2006/relationships/ctrlProp" Target="../ctrlProps/ctrlProp216.xml"/><Relationship Id="rId64" Type="http://schemas.openxmlformats.org/officeDocument/2006/relationships/ctrlProp" Target="../ctrlProps/ctrlProp224.xml"/><Relationship Id="rId69" Type="http://schemas.openxmlformats.org/officeDocument/2006/relationships/ctrlProp" Target="../ctrlProps/ctrlProp229.xml"/><Relationship Id="rId8" Type="http://schemas.openxmlformats.org/officeDocument/2006/relationships/ctrlProp" Target="../ctrlProps/ctrlProp168.xml"/><Relationship Id="rId51" Type="http://schemas.openxmlformats.org/officeDocument/2006/relationships/ctrlProp" Target="../ctrlProps/ctrlProp211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72.xml"/><Relationship Id="rId17" Type="http://schemas.openxmlformats.org/officeDocument/2006/relationships/ctrlProp" Target="../ctrlProps/ctrlProp177.xml"/><Relationship Id="rId25" Type="http://schemas.openxmlformats.org/officeDocument/2006/relationships/ctrlProp" Target="../ctrlProps/ctrlProp185.xml"/><Relationship Id="rId33" Type="http://schemas.openxmlformats.org/officeDocument/2006/relationships/ctrlProp" Target="../ctrlProps/ctrlProp193.xml"/><Relationship Id="rId38" Type="http://schemas.openxmlformats.org/officeDocument/2006/relationships/ctrlProp" Target="../ctrlProps/ctrlProp198.xml"/><Relationship Id="rId46" Type="http://schemas.openxmlformats.org/officeDocument/2006/relationships/ctrlProp" Target="../ctrlProps/ctrlProp206.xml"/><Relationship Id="rId59" Type="http://schemas.openxmlformats.org/officeDocument/2006/relationships/ctrlProp" Target="../ctrlProps/ctrlProp219.xml"/><Relationship Id="rId67" Type="http://schemas.openxmlformats.org/officeDocument/2006/relationships/ctrlProp" Target="../ctrlProps/ctrlProp227.xml"/><Relationship Id="rId20" Type="http://schemas.openxmlformats.org/officeDocument/2006/relationships/ctrlProp" Target="../ctrlProps/ctrlProp180.xml"/><Relationship Id="rId41" Type="http://schemas.openxmlformats.org/officeDocument/2006/relationships/ctrlProp" Target="../ctrlProps/ctrlProp201.xml"/><Relationship Id="rId54" Type="http://schemas.openxmlformats.org/officeDocument/2006/relationships/ctrlProp" Target="../ctrlProps/ctrlProp214.xml"/><Relationship Id="rId62" Type="http://schemas.openxmlformats.org/officeDocument/2006/relationships/ctrlProp" Target="../ctrlProps/ctrlProp222.xml"/><Relationship Id="rId70" Type="http://schemas.openxmlformats.org/officeDocument/2006/relationships/ctrlProp" Target="../ctrlProps/ctrlProp23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6.xml"/><Relationship Id="rId15" Type="http://schemas.openxmlformats.org/officeDocument/2006/relationships/ctrlProp" Target="../ctrlProps/ctrlProp175.xml"/><Relationship Id="rId23" Type="http://schemas.openxmlformats.org/officeDocument/2006/relationships/ctrlProp" Target="../ctrlProps/ctrlProp183.xml"/><Relationship Id="rId28" Type="http://schemas.openxmlformats.org/officeDocument/2006/relationships/ctrlProp" Target="../ctrlProps/ctrlProp188.xml"/><Relationship Id="rId36" Type="http://schemas.openxmlformats.org/officeDocument/2006/relationships/ctrlProp" Target="../ctrlProps/ctrlProp196.xml"/><Relationship Id="rId49" Type="http://schemas.openxmlformats.org/officeDocument/2006/relationships/ctrlProp" Target="../ctrlProps/ctrlProp209.xml"/><Relationship Id="rId57" Type="http://schemas.openxmlformats.org/officeDocument/2006/relationships/ctrlProp" Target="../ctrlProps/ctrlProp217.xml"/><Relationship Id="rId10" Type="http://schemas.openxmlformats.org/officeDocument/2006/relationships/ctrlProp" Target="../ctrlProps/ctrlProp170.xml"/><Relationship Id="rId31" Type="http://schemas.openxmlformats.org/officeDocument/2006/relationships/ctrlProp" Target="../ctrlProps/ctrlProp191.xml"/><Relationship Id="rId44" Type="http://schemas.openxmlformats.org/officeDocument/2006/relationships/ctrlProp" Target="../ctrlProps/ctrlProp204.xml"/><Relationship Id="rId52" Type="http://schemas.openxmlformats.org/officeDocument/2006/relationships/ctrlProp" Target="../ctrlProps/ctrlProp212.xml"/><Relationship Id="rId60" Type="http://schemas.openxmlformats.org/officeDocument/2006/relationships/ctrlProp" Target="../ctrlProps/ctrlProp220.xml"/><Relationship Id="rId65" Type="http://schemas.openxmlformats.org/officeDocument/2006/relationships/ctrlProp" Target="../ctrlProps/ctrlProp225.xml"/><Relationship Id="rId4" Type="http://schemas.openxmlformats.org/officeDocument/2006/relationships/ctrlProp" Target="../ctrlProps/ctrlProp164.xml"/><Relationship Id="rId9" Type="http://schemas.openxmlformats.org/officeDocument/2006/relationships/ctrlProp" Target="../ctrlProps/ctrlProp169.xml"/><Relationship Id="rId13" Type="http://schemas.openxmlformats.org/officeDocument/2006/relationships/ctrlProp" Target="../ctrlProps/ctrlProp173.xml"/><Relationship Id="rId18" Type="http://schemas.openxmlformats.org/officeDocument/2006/relationships/ctrlProp" Target="../ctrlProps/ctrlProp178.xml"/><Relationship Id="rId39" Type="http://schemas.openxmlformats.org/officeDocument/2006/relationships/ctrlProp" Target="../ctrlProps/ctrlProp199.xml"/><Relationship Id="rId34" Type="http://schemas.openxmlformats.org/officeDocument/2006/relationships/ctrlProp" Target="../ctrlProps/ctrlProp194.xml"/><Relationship Id="rId50" Type="http://schemas.openxmlformats.org/officeDocument/2006/relationships/ctrlProp" Target="../ctrlProps/ctrlProp210.xml"/><Relationship Id="rId55" Type="http://schemas.openxmlformats.org/officeDocument/2006/relationships/ctrlProp" Target="../ctrlProps/ctrlProp2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EC5D6-650F-4EE3-80F5-515BF34D1D93}">
  <dimension ref="B1:U39"/>
  <sheetViews>
    <sheetView topLeftCell="A7" zoomScaleNormal="100" workbookViewId="0">
      <selection activeCell="H35" sqref="H35"/>
    </sheetView>
  </sheetViews>
  <sheetFormatPr defaultRowHeight="16.5"/>
  <cols>
    <col min="2" max="2" width="9.875" customWidth="1"/>
    <col min="7" max="7" width="9.5" bestFit="1" customWidth="1"/>
    <col min="23" max="24" width="11.625" bestFit="1" customWidth="1"/>
  </cols>
  <sheetData>
    <row r="1" spans="2:21" ht="17.25" thickBot="1"/>
    <row r="2" spans="2:21" ht="17.25" thickBot="1">
      <c r="B2" s="121" t="s">
        <v>92</v>
      </c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  <c r="P2" s="122"/>
      <c r="Q2" s="123"/>
      <c r="R2" s="123"/>
      <c r="S2" s="122"/>
      <c r="T2" s="122"/>
      <c r="U2" s="124"/>
    </row>
    <row r="3" spans="2:21">
      <c r="B3" s="125" t="s">
        <v>4</v>
      </c>
      <c r="C3" s="126"/>
      <c r="D3" s="38"/>
      <c r="E3" s="125" t="s">
        <v>25</v>
      </c>
      <c r="F3" s="126"/>
      <c r="G3" s="38"/>
      <c r="H3" s="125" t="s">
        <v>3</v>
      </c>
      <c r="I3" s="127"/>
      <c r="J3" s="127"/>
      <c r="K3" s="127"/>
      <c r="L3" s="127"/>
      <c r="M3" s="126"/>
      <c r="N3" s="38"/>
      <c r="O3" s="125" t="s">
        <v>35</v>
      </c>
      <c r="P3" s="126"/>
      <c r="Q3" s="38"/>
      <c r="R3" s="128" t="s">
        <v>97</v>
      </c>
      <c r="S3" s="129"/>
      <c r="T3" s="130" t="s">
        <v>99</v>
      </c>
      <c r="U3" s="131"/>
    </row>
    <row r="4" spans="2:21" ht="17.25" thickBot="1">
      <c r="B4" s="3" t="s">
        <v>0</v>
      </c>
      <c r="C4" s="4">
        <v>1800</v>
      </c>
      <c r="D4" s="11"/>
      <c r="E4" s="13" t="s">
        <v>26</v>
      </c>
      <c r="F4" s="4"/>
      <c r="G4" s="39" t="b">
        <v>1</v>
      </c>
      <c r="H4" s="13" t="s">
        <v>5</v>
      </c>
      <c r="I4" s="81">
        <f>$C$4*0.0002147</f>
        <v>0.38645999999999997</v>
      </c>
      <c r="J4" s="82" t="s">
        <v>8</v>
      </c>
      <c r="K4" s="81">
        <f>$C$5*0.0003218</f>
        <v>0.20917000000000002</v>
      </c>
      <c r="L4" s="82" t="s">
        <v>16</v>
      </c>
      <c r="M4" s="71">
        <f>IF(($M$5+0.344)&gt;1,1,($M$5+0.344))</f>
        <v>0.61189499999999997</v>
      </c>
      <c r="N4" s="33">
        <f>($N$5+0.344)</f>
        <v>0.51189499999999999</v>
      </c>
      <c r="O4" s="13" t="s">
        <v>36</v>
      </c>
      <c r="P4" s="4"/>
      <c r="Q4" s="39" t="b">
        <v>0</v>
      </c>
      <c r="R4" s="132">
        <v>42332</v>
      </c>
      <c r="S4" s="133"/>
      <c r="T4" s="134">
        <v>8</v>
      </c>
      <c r="U4" s="135"/>
    </row>
    <row r="5" spans="2:21" ht="17.25" thickBot="1">
      <c r="B5" s="3" t="s">
        <v>1</v>
      </c>
      <c r="C5" s="4">
        <v>650</v>
      </c>
      <c r="D5" s="11"/>
      <c r="E5" s="14" t="s">
        <v>27</v>
      </c>
      <c r="F5" s="6"/>
      <c r="G5" s="39" t="b">
        <v>0</v>
      </c>
      <c r="H5" s="13" t="s">
        <v>6</v>
      </c>
      <c r="I5" s="81">
        <f>$C$4/5821</f>
        <v>0.30922521903453015</v>
      </c>
      <c r="J5" s="82" t="s">
        <v>32</v>
      </c>
      <c r="K5" s="81">
        <f>IF($I$5+$G$6*0.1&lt;0.4,$I$5+$G$6*0.1,0.4)</f>
        <v>0.4</v>
      </c>
      <c r="L5" s="82" t="s">
        <v>17</v>
      </c>
      <c r="M5" s="71">
        <f>($C$6*0.03579)*0.01+$G$5*0.25+($F$14+$F$15)*0.01+$G$21*0.1+($D$15*0.05+$D$16*0.1+D17*0.15)</f>
        <v>0.26789499999999999</v>
      </c>
      <c r="N5" s="33">
        <f>($C$6*0.03579)*0.01+$G$5*0.25+($F$14+$F$15)*0.01+($D$15*0.05+$D$16*0.1+$D$17*0.15)</f>
        <v>0.16789499999999999</v>
      </c>
      <c r="O5" s="13" t="s">
        <v>74</v>
      </c>
      <c r="P5" s="4"/>
      <c r="Q5" s="39" t="b">
        <v>0</v>
      </c>
      <c r="R5" s="136" t="s">
        <v>95</v>
      </c>
      <c r="S5" s="137"/>
      <c r="T5" s="59"/>
      <c r="U5" s="60"/>
    </row>
    <row r="6" spans="2:21" ht="17.25" thickBot="1">
      <c r="B6" s="3" t="s">
        <v>2</v>
      </c>
      <c r="C6" s="4">
        <v>50</v>
      </c>
      <c r="D6" s="11"/>
      <c r="E6" s="15" t="s">
        <v>29</v>
      </c>
      <c r="F6" s="16"/>
      <c r="G6" s="39" t="b">
        <v>1</v>
      </c>
      <c r="H6" s="13" t="s">
        <v>7</v>
      </c>
      <c r="I6" s="81">
        <f>$C$7*0.02</f>
        <v>0.2</v>
      </c>
      <c r="J6" s="82" t="s">
        <v>9</v>
      </c>
      <c r="K6" s="81">
        <f>2+0.5*$D$11+E17*0.01</f>
        <v>2.5</v>
      </c>
      <c r="L6" s="82" t="s">
        <v>31</v>
      </c>
      <c r="M6" s="71">
        <f>IF($K$5+0.16&lt;0.4,$K$5+0.16,0.4)</f>
        <v>0.4</v>
      </c>
      <c r="N6" s="33"/>
      <c r="O6" s="13" t="s">
        <v>80</v>
      </c>
      <c r="P6" s="4"/>
      <c r="Q6" s="39" t="b">
        <v>1</v>
      </c>
      <c r="R6" s="132">
        <v>29.61</v>
      </c>
      <c r="S6" s="138"/>
      <c r="T6" s="11"/>
      <c r="U6" s="7"/>
    </row>
    <row r="7" spans="2:21" ht="17.25" thickBot="1">
      <c r="B7" s="5" t="s">
        <v>107</v>
      </c>
      <c r="C7" s="66">
        <v>10</v>
      </c>
      <c r="D7" s="141" t="s">
        <v>111</v>
      </c>
      <c r="E7" s="142"/>
      <c r="F7" s="142"/>
      <c r="G7" s="12"/>
      <c r="H7" s="14" t="s">
        <v>24</v>
      </c>
      <c r="I7" s="18">
        <f>22*(1-$I$4)*(1-$I$6)*(1-$G$4*0.18)*(1-$Q$7)*(1-$Q$10)+28*(1-$I$4)*(1-$I$6)*(1-$G$4*0.18)*$Q$10+21*(1-$I$4)*(1-$I$6)*(1-$G$4*0.18)*$Q$7</f>
        <v>8.85460928</v>
      </c>
      <c r="J7" s="83" t="s">
        <v>28</v>
      </c>
      <c r="K7" s="24">
        <f>IF($G$4*1+$G$5*1&gt;0,$G$4*1.28*1.18+$G$5*1.29,1)</f>
        <v>1.5104</v>
      </c>
      <c r="L7" s="83" t="s">
        <v>30</v>
      </c>
      <c r="M7" s="84">
        <f>$K$5</f>
        <v>0.4</v>
      </c>
      <c r="N7" s="32"/>
      <c r="O7" s="14" t="s">
        <v>106</v>
      </c>
      <c r="P7" s="6"/>
      <c r="Q7" s="39" t="b">
        <v>0</v>
      </c>
      <c r="R7" s="139" t="s">
        <v>98</v>
      </c>
      <c r="S7" s="140"/>
      <c r="T7" s="11"/>
      <c r="U7" s="7"/>
    </row>
    <row r="8" spans="2:21" ht="17.25" thickBot="1">
      <c r="B8" s="9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9">
        <v>2.5</v>
      </c>
      <c r="S8" s="120"/>
      <c r="T8" s="11"/>
      <c r="U8" s="7"/>
    </row>
    <row r="9" spans="2:21">
      <c r="B9" s="145" t="s">
        <v>10</v>
      </c>
      <c r="C9" s="146"/>
      <c r="D9" s="11"/>
      <c r="E9" s="125" t="s">
        <v>39</v>
      </c>
      <c r="F9" s="126"/>
      <c r="G9" s="11"/>
      <c r="H9" s="125" t="s">
        <v>47</v>
      </c>
      <c r="I9" s="147"/>
      <c r="J9" s="44" t="s">
        <v>77</v>
      </c>
      <c r="K9" s="45" t="s">
        <v>78</v>
      </c>
      <c r="L9" s="45" t="s">
        <v>79</v>
      </c>
      <c r="M9" s="67" t="s">
        <v>94</v>
      </c>
      <c r="N9" s="148" t="s">
        <v>76</v>
      </c>
      <c r="O9" s="148"/>
      <c r="P9" s="149"/>
      <c r="Q9" s="11"/>
      <c r="R9" s="11"/>
      <c r="S9" s="11"/>
      <c r="T9" s="11"/>
      <c r="U9" s="7"/>
    </row>
    <row r="10" spans="2:21">
      <c r="B10" s="9" t="s">
        <v>11</v>
      </c>
      <c r="C10" s="4"/>
      <c r="D10" s="39" t="b">
        <v>1</v>
      </c>
      <c r="E10" s="25" t="s">
        <v>38</v>
      </c>
      <c r="F10" s="21">
        <f>1.15+$Q$4*0.126</f>
        <v>1.1499999999999999</v>
      </c>
      <c r="G10" s="39"/>
      <c r="H10" s="13" t="s">
        <v>38</v>
      </c>
      <c r="I10" s="68">
        <f>3.45*(1+$G$21*0.05)*(1+S10*0.088)*(1+T10*0.14)*(1+M10*0.01)</f>
        <v>3.6225000000000005</v>
      </c>
      <c r="J10" s="29"/>
      <c r="K10" s="1"/>
      <c r="L10" s="1"/>
      <c r="M10" s="36">
        <v>0</v>
      </c>
      <c r="N10" s="150" t="s">
        <v>72</v>
      </c>
      <c r="O10" s="151"/>
      <c r="P10" s="54"/>
      <c r="Q10" s="28" t="b">
        <v>0</v>
      </c>
      <c r="R10" s="39" t="b">
        <v>0</v>
      </c>
      <c r="S10" s="39" t="b">
        <v>0</v>
      </c>
      <c r="T10" s="39" t="b">
        <v>0</v>
      </c>
      <c r="U10" s="7"/>
    </row>
    <row r="11" spans="2:21" ht="17.25" thickBot="1">
      <c r="B11" s="9" t="s">
        <v>12</v>
      </c>
      <c r="C11" s="4"/>
      <c r="D11" s="39" t="b">
        <v>1</v>
      </c>
      <c r="E11" s="26" t="s">
        <v>37</v>
      </c>
      <c r="F11" s="22">
        <v>1.4970000000000001</v>
      </c>
      <c r="G11" s="39"/>
      <c r="H11" s="13" t="s">
        <v>40</v>
      </c>
      <c r="I11" s="68">
        <f>14.2*(1+$G$21*0.05)*(1+S11*0.088)*(1+T11*0.14)*(1+M11*0.01)</f>
        <v>20.566854000000003</v>
      </c>
      <c r="J11" s="29"/>
      <c r="K11" s="1"/>
      <c r="L11" s="1"/>
      <c r="M11" s="36">
        <v>21</v>
      </c>
      <c r="N11" s="150" t="s">
        <v>100</v>
      </c>
      <c r="O11" s="151"/>
      <c r="P11" s="54"/>
      <c r="Q11" s="39" t="b">
        <v>0</v>
      </c>
      <c r="R11" s="39" t="b">
        <v>0</v>
      </c>
      <c r="S11" s="39" t="b">
        <v>0</v>
      </c>
      <c r="T11" s="39" t="b">
        <v>1</v>
      </c>
      <c r="U11" s="7"/>
    </row>
    <row r="12" spans="2:21" ht="17.25" thickBot="1">
      <c r="B12" s="9" t="s">
        <v>13</v>
      </c>
      <c r="C12" s="4"/>
      <c r="D12" s="39" t="b">
        <v>1</v>
      </c>
      <c r="E12" s="41"/>
      <c r="F12" s="41"/>
      <c r="G12" s="39"/>
      <c r="H12" s="13" t="s">
        <v>41</v>
      </c>
      <c r="I12" s="68">
        <f>32.35*(1+$G$21*0.05)*(1+S12*0.088)*(1+T12*0.14)*(1+M12*0.01)</f>
        <v>46.854769500000003</v>
      </c>
      <c r="J12" s="29"/>
      <c r="K12" s="1"/>
      <c r="L12" s="1"/>
      <c r="M12" s="36">
        <v>21</v>
      </c>
      <c r="N12" s="150" t="s">
        <v>68</v>
      </c>
      <c r="O12" s="151"/>
      <c r="P12" s="54"/>
      <c r="Q12" s="28" t="b">
        <v>0</v>
      </c>
      <c r="R12" s="39" t="b">
        <v>0</v>
      </c>
      <c r="S12" s="39" t="b">
        <v>0</v>
      </c>
      <c r="T12" s="39" t="b">
        <v>1</v>
      </c>
      <c r="U12" s="7"/>
    </row>
    <row r="13" spans="2:21">
      <c r="B13" s="9" t="s">
        <v>14</v>
      </c>
      <c r="C13" s="4"/>
      <c r="D13" s="39" t="b">
        <v>0</v>
      </c>
      <c r="E13" s="152" t="s">
        <v>48</v>
      </c>
      <c r="F13" s="149"/>
      <c r="G13" s="39"/>
      <c r="H13" s="13" t="s">
        <v>42</v>
      </c>
      <c r="I13" s="68">
        <f>43.98*(1+$G$21*0.05)*(1+S13*0.088)*(1+T13*0.14)*(1+M13*0.01)*(1-Q7)+24.43*(1+$G$21*0.05)*(1+S13*0.088)*(1+T13*0.14)*(1+M13*0.01)*Q7</f>
        <v>63.699312600000013</v>
      </c>
      <c r="J13" s="29"/>
      <c r="K13" s="1"/>
      <c r="L13" s="1"/>
      <c r="M13" s="36">
        <v>21</v>
      </c>
      <c r="N13" s="150" t="s">
        <v>69</v>
      </c>
      <c r="O13" s="151"/>
      <c r="P13" s="54"/>
      <c r="Q13" s="28" t="b">
        <v>1</v>
      </c>
      <c r="R13" s="39" t="b">
        <v>0</v>
      </c>
      <c r="S13" s="39" t="b">
        <v>0</v>
      </c>
      <c r="T13" s="39" t="b">
        <v>1</v>
      </c>
      <c r="U13" s="7"/>
    </row>
    <row r="14" spans="2:21">
      <c r="B14" s="9" t="s">
        <v>15</v>
      </c>
      <c r="C14" s="4"/>
      <c r="D14" s="39" t="b">
        <v>1</v>
      </c>
      <c r="E14" s="25" t="s">
        <v>49</v>
      </c>
      <c r="F14" s="27">
        <v>0</v>
      </c>
      <c r="G14" s="39"/>
      <c r="H14" s="13" t="s">
        <v>43</v>
      </c>
      <c r="I14" s="68">
        <f>(82.94-39.29*$P$17+59.24*($P$17*0+$P$18/8+$P$19*3/8+$P$20*5/8+$P$21*7/8))*(1+S14*0.088)*(1+T14*0.14)*(1+M14*0.01)</f>
        <v>165.47972100000001</v>
      </c>
      <c r="J14" s="29"/>
      <c r="K14" s="1"/>
      <c r="L14" s="1"/>
      <c r="M14" s="36">
        <v>21</v>
      </c>
      <c r="N14" s="150" t="s">
        <v>70</v>
      </c>
      <c r="O14" s="151"/>
      <c r="P14" s="54"/>
      <c r="Q14" s="28" t="b">
        <v>0</v>
      </c>
      <c r="R14" s="39" t="b">
        <v>0</v>
      </c>
      <c r="S14" s="39" t="b">
        <v>0</v>
      </c>
      <c r="T14" s="39" t="b">
        <v>1</v>
      </c>
      <c r="U14" s="7"/>
    </row>
    <row r="15" spans="2:21" ht="17.25" thickBot="1">
      <c r="B15" s="9" t="s">
        <v>18</v>
      </c>
      <c r="C15" s="4"/>
      <c r="D15" s="39" t="b">
        <v>0</v>
      </c>
      <c r="E15" s="61" t="s">
        <v>50</v>
      </c>
      <c r="F15" s="62"/>
      <c r="G15" s="39"/>
      <c r="H15" s="13" t="s">
        <v>44</v>
      </c>
      <c r="I15" s="68">
        <f>45.19*(1+$G$21*0.05)*(1+$K$4)*(1+S15*0.088)*(1+T15*0.14)*(1+M15*0.01)</f>
        <v>79.142401735551019</v>
      </c>
      <c r="J15" s="29"/>
      <c r="K15" s="1"/>
      <c r="L15" s="1"/>
      <c r="M15" s="36">
        <v>21</v>
      </c>
      <c r="N15" s="153" t="s">
        <v>71</v>
      </c>
      <c r="O15" s="154"/>
      <c r="P15" s="55"/>
      <c r="Q15" s="28" t="b">
        <v>0</v>
      </c>
      <c r="R15" s="39" t="b">
        <v>0</v>
      </c>
      <c r="S15" s="39" t="b">
        <v>0</v>
      </c>
      <c r="T15" s="39" t="b">
        <v>1</v>
      </c>
      <c r="U15" s="7"/>
    </row>
    <row r="16" spans="2:21">
      <c r="B16" s="9" t="s">
        <v>19</v>
      </c>
      <c r="C16" s="4"/>
      <c r="D16" s="39" t="b">
        <v>0</v>
      </c>
      <c r="E16" s="125" t="s">
        <v>104</v>
      </c>
      <c r="F16" s="126"/>
      <c r="G16" s="39"/>
      <c r="H16" s="13" t="s">
        <v>45</v>
      </c>
      <c r="I16" s="68">
        <f>72.31*(1-$Q$6*1)*(1+$K$4)*(1+$G$21*0.05)*(1+S16*0.08)*(1+T16*0.14)*(1+M16*0.01)+85.91*$Q$6*(1+$K$4)*(1+S16*0.088)*(1+T16*0.14)*(1+M16*0.01)</f>
        <v>143.29178880918002</v>
      </c>
      <c r="J16" s="29"/>
      <c r="K16" s="1"/>
      <c r="L16" s="1"/>
      <c r="M16" s="36">
        <v>21</v>
      </c>
      <c r="N16" s="143" t="s">
        <v>93</v>
      </c>
      <c r="O16" s="144"/>
      <c r="P16" s="11"/>
      <c r="Q16" s="11"/>
      <c r="R16" s="39" t="b">
        <v>0</v>
      </c>
      <c r="S16" s="39" t="b">
        <v>0</v>
      </c>
      <c r="T16" s="39" t="b">
        <v>1</v>
      </c>
      <c r="U16" s="7"/>
    </row>
    <row r="17" spans="2:21" ht="17.25" thickBot="1">
      <c r="B17" s="9" t="s">
        <v>20</v>
      </c>
      <c r="C17" s="4"/>
      <c r="D17" s="39" t="b">
        <v>1</v>
      </c>
      <c r="E17" s="119"/>
      <c r="F17" s="120"/>
      <c r="G17" s="39"/>
      <c r="H17" s="14" t="s">
        <v>46</v>
      </c>
      <c r="I17" s="69">
        <f>111*(1+$G$21*0.05)*(1+$K$4)*(1+S17*0.088)*(1+T17*0.14)*(1+M17*0.01)</f>
        <v>194.39713637190007</v>
      </c>
      <c r="J17" s="20"/>
      <c r="K17" s="30"/>
      <c r="L17" s="30"/>
      <c r="M17" s="63">
        <v>21</v>
      </c>
      <c r="N17" s="49">
        <v>0</v>
      </c>
      <c r="O17" s="4"/>
      <c r="P17" s="39" t="b">
        <v>0</v>
      </c>
      <c r="Q17" s="11"/>
      <c r="R17" s="39" t="b">
        <v>0</v>
      </c>
      <c r="S17" s="39" t="b">
        <v>0</v>
      </c>
      <c r="T17" s="39" t="b">
        <v>1</v>
      </c>
      <c r="U17" s="7"/>
    </row>
    <row r="18" spans="2:21">
      <c r="B18" s="9" t="s">
        <v>21</v>
      </c>
      <c r="C18" s="4"/>
      <c r="D18" s="39" t="b">
        <v>1</v>
      </c>
      <c r="E18" s="156" t="s">
        <v>51</v>
      </c>
      <c r="F18" s="156"/>
      <c r="G18" s="39"/>
      <c r="H18" s="11"/>
      <c r="I18" s="11"/>
      <c r="J18" s="11"/>
      <c r="K18" s="11"/>
      <c r="L18" s="11"/>
      <c r="M18" s="11"/>
      <c r="N18" s="46">
        <v>0.25</v>
      </c>
      <c r="O18" s="4"/>
      <c r="P18" s="39" t="b">
        <v>0</v>
      </c>
      <c r="Q18" s="11"/>
      <c r="R18" s="39"/>
      <c r="S18" s="39"/>
      <c r="T18" s="39"/>
      <c r="U18" s="7"/>
    </row>
    <row r="19" spans="2:21" ht="17.25" thickBot="1">
      <c r="B19" s="9" t="s">
        <v>22</v>
      </c>
      <c r="C19" s="4"/>
      <c r="D19" s="39" t="b">
        <v>0</v>
      </c>
      <c r="E19" s="157" t="s">
        <v>52</v>
      </c>
      <c r="F19" s="157"/>
      <c r="G19" s="39"/>
      <c r="H19" s="11"/>
      <c r="I19" s="11"/>
      <c r="J19" s="11"/>
      <c r="K19" s="11"/>
      <c r="L19" s="11"/>
      <c r="M19" s="11"/>
      <c r="N19" s="46">
        <v>0.5</v>
      </c>
      <c r="O19" s="4"/>
      <c r="P19" s="39" t="b">
        <v>0</v>
      </c>
      <c r="Q19" s="11"/>
      <c r="R19" s="11"/>
      <c r="S19" s="11"/>
      <c r="T19" s="11"/>
      <c r="U19" s="7"/>
    </row>
    <row r="20" spans="2:21" ht="17.25" thickBot="1">
      <c r="B20" s="10" t="s">
        <v>23</v>
      </c>
      <c r="C20" s="6"/>
      <c r="D20" s="39" t="b">
        <v>0</v>
      </c>
      <c r="E20" s="125" t="s">
        <v>53</v>
      </c>
      <c r="F20" s="126"/>
      <c r="G20" s="39"/>
      <c r="H20" s="125" t="s">
        <v>81</v>
      </c>
      <c r="I20" s="127"/>
      <c r="J20" s="127" t="s">
        <v>82</v>
      </c>
      <c r="K20" s="126"/>
      <c r="L20" s="11"/>
      <c r="M20" s="11"/>
      <c r="N20" s="47">
        <v>0.75</v>
      </c>
      <c r="O20" s="4"/>
      <c r="P20" s="39" t="b">
        <v>1</v>
      </c>
      <c r="Q20" s="11"/>
      <c r="R20" s="11"/>
      <c r="S20" s="11"/>
      <c r="T20" s="11"/>
      <c r="U20" s="7"/>
    </row>
    <row r="21" spans="2:21" ht="17.25" thickBot="1">
      <c r="B21" s="2" t="s">
        <v>34</v>
      </c>
      <c r="C21" s="70">
        <f>(1+$D$10*0.2)*(1+$D$12*($M$6*0.45))*(1+$D$13*0.16+$D$14*0.18+$D$15*0.018+$D$16*0.036+$D$17*0.06)*(1-$D$11*0.02)</f>
        <v>1.7207231999999999</v>
      </c>
      <c r="D21" s="11"/>
      <c r="E21" s="158"/>
      <c r="F21" s="159"/>
      <c r="G21" s="39" t="b">
        <v>1</v>
      </c>
      <c r="H21" s="160">
        <f>6/$I$7</f>
        <v>0.67761318543464855</v>
      </c>
      <c r="I21" s="161"/>
      <c r="J21" s="161">
        <f>IF($I$7&lt;9,($I$7-6)/$I$7,3/$I$7)</f>
        <v>0.32238681456535145</v>
      </c>
      <c r="K21" s="162"/>
      <c r="L21" s="11"/>
      <c r="M21" s="11"/>
      <c r="N21" s="48">
        <v>1</v>
      </c>
      <c r="O21" s="6"/>
      <c r="P21" s="39" t="b">
        <v>0</v>
      </c>
      <c r="Q21" s="11"/>
      <c r="R21" s="11"/>
      <c r="S21" s="11"/>
      <c r="T21" s="11"/>
      <c r="U21" s="7"/>
    </row>
    <row r="22" spans="2:21">
      <c r="B22" s="3" t="s">
        <v>33</v>
      </c>
      <c r="C22" s="71">
        <f>(1+$D$10*0.2)*(1+$D$12*($M$7*0.45))*(1+$D$13*0.16+$D$14*0.18+$D$15*0.018+$D$16*0.036+$D$17*0.06)*(1-$D$11*0.02)</f>
        <v>1.7207231999999999</v>
      </c>
      <c r="D22" s="11"/>
      <c r="E22" s="11"/>
      <c r="F22" s="11"/>
      <c r="G22" s="11"/>
      <c r="H22" s="11"/>
      <c r="I22" s="11"/>
      <c r="J22" s="11"/>
      <c r="K22" s="11"/>
      <c r="L22" s="17"/>
      <c r="M22" s="11"/>
      <c r="N22" s="11"/>
      <c r="O22" s="11"/>
      <c r="P22" s="11"/>
      <c r="Q22" s="11"/>
      <c r="R22" s="11"/>
      <c r="S22" s="11"/>
      <c r="T22" s="11"/>
      <c r="U22" s="7"/>
    </row>
    <row r="23" spans="2:21">
      <c r="B23" s="3" t="s">
        <v>67</v>
      </c>
      <c r="C23" s="71">
        <f>$C$21*(1+$D$18*0.32+$D$19*0.4+$D$20*0.48)</f>
        <v>2.2713546239999998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7"/>
    </row>
    <row r="24" spans="2:21" ht="17.25" thickBot="1">
      <c r="B24" s="5" t="s">
        <v>66</v>
      </c>
      <c r="C24" s="72">
        <f>$C$21*(1+$D$18*0.24+$D$19*0.3+$D$20*0.36)</f>
        <v>2.1336967680000001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7"/>
    </row>
    <row r="25" spans="2:21" ht="17.25" thickBot="1">
      <c r="B25" s="4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7"/>
    </row>
    <row r="26" spans="2:21">
      <c r="B26" s="37" t="s">
        <v>65</v>
      </c>
      <c r="C26" s="163" t="s">
        <v>63</v>
      </c>
      <c r="D26" s="164"/>
      <c r="E26" s="164"/>
      <c r="F26" s="164"/>
      <c r="G26" s="164"/>
      <c r="H26" s="164"/>
      <c r="I26" s="164" t="s">
        <v>62</v>
      </c>
      <c r="J26" s="164"/>
      <c r="K26" s="35" t="s">
        <v>43</v>
      </c>
      <c r="L26" s="42"/>
      <c r="M26" s="11"/>
      <c r="N26" s="155" t="s">
        <v>86</v>
      </c>
      <c r="O26" s="155"/>
      <c r="P26" s="155"/>
      <c r="Q26" s="155"/>
      <c r="R26" s="155"/>
      <c r="S26" s="155"/>
      <c r="T26" s="11"/>
      <c r="U26" s="7"/>
    </row>
    <row r="27" spans="2:21">
      <c r="B27" s="9" t="s">
        <v>61</v>
      </c>
      <c r="C27" s="31" t="s">
        <v>40</v>
      </c>
      <c r="D27" s="34" t="s">
        <v>41</v>
      </c>
      <c r="E27" s="34" t="s">
        <v>42</v>
      </c>
      <c r="F27" s="34" t="s">
        <v>44</v>
      </c>
      <c r="G27" s="34" t="s">
        <v>45</v>
      </c>
      <c r="H27" s="34" t="s">
        <v>46</v>
      </c>
      <c r="I27" s="34" t="s">
        <v>38</v>
      </c>
      <c r="J27" s="34" t="s">
        <v>41</v>
      </c>
      <c r="K27" s="36" t="s">
        <v>54</v>
      </c>
      <c r="L27" s="11"/>
      <c r="M27" s="11"/>
      <c r="N27" s="155" t="s">
        <v>73</v>
      </c>
      <c r="O27" s="155"/>
      <c r="P27" s="155"/>
      <c r="Q27" s="155"/>
      <c r="R27" s="155"/>
      <c r="S27" s="11"/>
      <c r="T27" s="11"/>
      <c r="U27" s="7"/>
    </row>
    <row r="28" spans="2:21">
      <c r="B28" s="9" t="s">
        <v>101</v>
      </c>
      <c r="C28" s="78">
        <f>$I$11*$C$21*($M$4*$K$6+(1-$M$4))*$F$11*($Q$10+$Q$11)*$K$7</f>
        <v>0</v>
      </c>
      <c r="D28" s="79">
        <f>($I$12*$C$21*(IF($M$4+0.45+0.25*$Q$5&lt;1,$M$4+0.15+0.25*$Q$5,1)*$K$6+(1-IF($M$4+0.45+0.25*$Q$5&lt;1,$M$4+0.15+0.25*$Q$5,1)))*$F$11*($Q$10+$Q$11))*$K$7</f>
        <v>0</v>
      </c>
      <c r="E28" s="79">
        <f>$I$13*$C$21*($K$6*$M$4+(1-$M$4))*$F$11*($Q$10+$Q$11+$Q$12+$Q$13+$Q$14+$Q$15)*$K$7</f>
        <v>475.30510161707542</v>
      </c>
      <c r="F28" s="79">
        <f>$I$15*$C$24*($M$4*$K$6+(1-$M$4))*$F$11*$K$7*$Q$12+$I$15*$C$23*($M$4*$K$6+(1-$M$4))*$F$11*$K$7*$Q$14</f>
        <v>0</v>
      </c>
      <c r="G28" s="79">
        <f>$I$16*$C$24*(($M$4-$G$21*$Q$6*0.1)*$K$6+(1-($M$4-$G$21*$Q$6*0.1)))*$F$11*$K$7*$Q$13+$I$16*$C$23*(($M$4-$G$21*$Q$6*0.1)*$K$6+(1-($M$4-$G$21*$Q$6*0.1)))*$F$11*$K$7*$Q$15</f>
        <v>1222.1129648586391</v>
      </c>
      <c r="H28" s="79">
        <f>($I$17*$C$23*($M$4*$K$6+(1-$M$4))*$F$11*($Q$10+$Q$11+$Q$12+$Q$13+$Q$14+$Q$15))*$K$7</f>
        <v>1914.7034699343835</v>
      </c>
      <c r="I28" s="79">
        <f>($I$10*$C$22*($M$4*$K$6+(1-$M$4))*($Q$10+$Q$12+$Q$13+$Q$14+$Q$15))*$K$7</f>
        <v>18.056115486160305</v>
      </c>
      <c r="J28" s="79">
        <f>($I$12*$C$22*($M$4*$K$6+(1-$M$4))*$F$10*($Q$10+$Q$12+$Q$13+$Q$14+$Q$15))*$K$7</f>
        <v>268.57623148235598</v>
      </c>
      <c r="K28" s="80">
        <f>($I$14*(($N$4*$K$6+(1-$N$4))*$H$21*$F$11*$C$21+($N$5*$K$6+(1-$N$5))*(1-$H$21)*$J$21*$F$10*$C$22+($N$5*$K$6+(1-$N$5))*(1-$H$21)*(1-$H$21-$J$21)*$C$22)*($Q$10+$Q$11+$Q$12+$Q$13+$Q$14+$Q$15))*$K$7</f>
        <v>835.59985975450559</v>
      </c>
      <c r="L28" s="11"/>
      <c r="M28" s="11"/>
      <c r="N28" s="11" t="s">
        <v>75</v>
      </c>
      <c r="O28" s="11">
        <f>IF($M$4+0.45+0.25*$Q$5&lt;1,$M$4+0.45+0.25*$Q$5,1)</f>
        <v>1</v>
      </c>
      <c r="P28" s="11"/>
      <c r="Q28" s="11"/>
      <c r="R28" s="11"/>
      <c r="S28" s="11"/>
      <c r="T28" s="11"/>
      <c r="U28" s="7"/>
    </row>
    <row r="29" spans="2:21" ht="17.25" thickBot="1">
      <c r="B29" s="10" t="s">
        <v>103</v>
      </c>
      <c r="C29" s="56">
        <f>$C$28*$R$4*(1+$R$6*0.01)*(1+$R$8*0.01)*(1+$T$4*0.01)*0.4/10000</f>
        <v>0</v>
      </c>
      <c r="D29" s="57">
        <f>$D$28*$R$4*(1+$R$6*0.01)*(1+$R$8*0.01)*(1+$T$4*0.01)*0.4/10000</f>
        <v>0</v>
      </c>
      <c r="E29" s="57">
        <f>$E$28*$R$4*(1+$R$6*0.01)*(1+$R$8*0.01)*(1+$T$4*0.01)*0.4/10000</f>
        <v>1154.7484448484797</v>
      </c>
      <c r="F29" s="57">
        <f>$F$28*$R$4*(1+$R$6*0.01)*(1+$R$8*0.01)*(1+$T$4*0.01)*0.4/10000</f>
        <v>0</v>
      </c>
      <c r="G29" s="57">
        <f>$G$28*$R$4*(1+$R$6*0.01)*(1+$R$8*0.01)*(1+$T$4*0.01)*0.4/10000</f>
        <v>2969.1098218773673</v>
      </c>
      <c r="H29" s="57">
        <f>$H$28*$R$4*(1+$R$6*0.01)*(1+$R$8*0.01)*(1+$T$4*0.01)*0.4/10000</f>
        <v>4651.7507317520585</v>
      </c>
      <c r="I29" s="57">
        <f>$I$28*$R$4*(1+$R$6*0.01)*(1+$R$8*0.01)*(1+$T$4*0.01)*0.4/10000</f>
        <v>43.867131252561158</v>
      </c>
      <c r="J29" s="57">
        <f>$J$28*$R$4*(1+$R$6*0.01)*(1+$R$8*0.01)*(1+$T$4*0.01)*0.4/10000</f>
        <v>652.50295983015837</v>
      </c>
      <c r="K29" s="58">
        <f>$K$28*$R$4*(1+$R$6*0.01)*(1+$R$8*0.01)*(1+$T$4*0.01)*0.4/10000</f>
        <v>2030.0805425490485</v>
      </c>
      <c r="L29" s="11"/>
      <c r="M29" s="11"/>
      <c r="N29" s="155" t="s">
        <v>83</v>
      </c>
      <c r="O29" s="155"/>
      <c r="P29" s="155"/>
      <c r="Q29" s="155"/>
      <c r="R29" s="155"/>
      <c r="S29" s="155" t="s">
        <v>85</v>
      </c>
      <c r="T29" s="155"/>
      <c r="U29" s="165"/>
    </row>
    <row r="30" spans="2:21">
      <c r="B30" s="166" t="s">
        <v>91</v>
      </c>
      <c r="C30" s="167"/>
      <c r="D30" s="166" t="s">
        <v>64</v>
      </c>
      <c r="E30" s="168"/>
      <c r="F30" s="168"/>
      <c r="G30" s="168"/>
      <c r="H30" s="168"/>
      <c r="I30" s="168"/>
      <c r="J30" s="168"/>
      <c r="K30" s="169"/>
      <c r="L30" s="11"/>
      <c r="M30" s="11"/>
      <c r="N30" s="155" t="s">
        <v>84</v>
      </c>
      <c r="O30" s="155"/>
      <c r="P30" s="155"/>
      <c r="Q30" s="155"/>
      <c r="R30" s="155"/>
      <c r="S30" s="155"/>
      <c r="T30" s="155"/>
      <c r="U30" s="165"/>
    </row>
    <row r="31" spans="2:21">
      <c r="B31" s="3" t="s">
        <v>87</v>
      </c>
      <c r="C31" s="68">
        <f>SUM(C28:K28)</f>
        <v>4734.3537431331197</v>
      </c>
      <c r="D31" s="31" t="s">
        <v>38</v>
      </c>
      <c r="E31" s="34" t="s">
        <v>40</v>
      </c>
      <c r="F31" s="34" t="s">
        <v>41</v>
      </c>
      <c r="G31" s="34" t="s">
        <v>42</v>
      </c>
      <c r="H31" s="34" t="s">
        <v>43</v>
      </c>
      <c r="I31" s="34" t="s">
        <v>44</v>
      </c>
      <c r="J31" s="34" t="s">
        <v>45</v>
      </c>
      <c r="K31" s="36" t="s">
        <v>46</v>
      </c>
      <c r="L31" s="11"/>
      <c r="M31" s="11"/>
      <c r="N31" s="11"/>
      <c r="O31" s="11"/>
      <c r="P31" s="11"/>
      <c r="Q31" s="11"/>
      <c r="R31" s="11"/>
      <c r="S31" s="11"/>
      <c r="T31" s="11"/>
      <c r="U31" s="7"/>
    </row>
    <row r="32" spans="2:21" ht="17.25" thickBot="1">
      <c r="B32" s="3" t="s">
        <v>88</v>
      </c>
      <c r="C32" s="50">
        <f>SUM(F28:H28)/C31</f>
        <v>0.66256486206650189</v>
      </c>
      <c r="D32" s="52">
        <f>$I$28/SUM($C$28:$K$28)</f>
        <v>3.813850097777243E-3</v>
      </c>
      <c r="E32" s="53">
        <f>$C$28/SUM($C$28:$K$28)</f>
        <v>0</v>
      </c>
      <c r="F32" s="53">
        <f>SUM($D$28,$J$28)/SUM($C$28:$K$28)</f>
        <v>5.672922769489052E-2</v>
      </c>
      <c r="G32" s="53">
        <f>$E$28/SUM($C$28:$K$28)</f>
        <v>0.10039492767233023</v>
      </c>
      <c r="H32" s="53">
        <f>$K$28/SUM($C$28:$K$28)</f>
        <v>0.1764971324685001</v>
      </c>
      <c r="I32" s="53">
        <f>$F$28/SUM($C$28:$K$28)</f>
        <v>0</v>
      </c>
      <c r="J32" s="23">
        <f>$G$28/SUM($C$28:$K$28)</f>
        <v>0.2581372307954885</v>
      </c>
      <c r="K32" s="19">
        <f>$H$28/SUM($C$28:$K$28)</f>
        <v>0.40442763127101344</v>
      </c>
      <c r="L32" s="11"/>
      <c r="M32" s="11"/>
      <c r="N32" s="11"/>
      <c r="O32" s="11"/>
      <c r="P32" s="11"/>
      <c r="Q32" s="11"/>
      <c r="R32" s="11"/>
      <c r="S32" s="11"/>
      <c r="T32" s="11"/>
      <c r="U32" s="7"/>
    </row>
    <row r="33" spans="2:21">
      <c r="B33" s="3" t="s">
        <v>89</v>
      </c>
      <c r="C33" s="50">
        <f>K28/C31</f>
        <v>0.1764971324685001</v>
      </c>
      <c r="D33" s="176" t="s">
        <v>96</v>
      </c>
      <c r="E33" s="177"/>
      <c r="F33" s="176" t="s">
        <v>102</v>
      </c>
      <c r="G33" s="177"/>
      <c r="H33" s="176" t="s">
        <v>105</v>
      </c>
      <c r="I33" s="178"/>
      <c r="J33" s="179" t="s">
        <v>110</v>
      </c>
      <c r="K33" s="180"/>
      <c r="L33" s="180"/>
      <c r="M33" s="180"/>
      <c r="N33" s="155" t="s">
        <v>108</v>
      </c>
      <c r="O33" s="155"/>
      <c r="P33" s="11"/>
      <c r="Q33" s="11"/>
      <c r="R33" s="11"/>
      <c r="S33" s="11"/>
      <c r="T33" s="11"/>
      <c r="U33" s="7"/>
    </row>
    <row r="34" spans="2:21" ht="17.25" thickBot="1">
      <c r="B34" s="5" t="s">
        <v>90</v>
      </c>
      <c r="C34" s="51">
        <f>SUM(C28:H28)/SUM(C28:J28)</f>
        <v>0.92648103585340347</v>
      </c>
      <c r="D34" s="171">
        <f>$C$31*$R$4/$I$7*(1+$R$6*0.01)*(1+$R$8*0.01)*(1+$T$4*0.01)*0.4</f>
        <v>12989912.110621864</v>
      </c>
      <c r="E34" s="172"/>
      <c r="F34" s="171">
        <f>$C$31*$R$4*(1+$R$6*0.01)*(1+$R$8*0.01)*(1+$T$4*0.01)*0.4/10000</f>
        <v>11502.059632109671</v>
      </c>
      <c r="G34" s="172"/>
      <c r="H34" s="171">
        <f>($I$13*$C$21*$K$6*$F$11*($Q$10+$Q$11+$Q$12+$Q$13+$Q$14+$Q$15)*$K$7)*$R$4*(1+$R$6*0.01)*(1+$R$8*0.01)*(1+$T$4*0.01)*0.4/10000</f>
        <v>1505.2701731874226</v>
      </c>
      <c r="I34" s="173"/>
      <c r="J34" s="174" t="s">
        <v>109</v>
      </c>
      <c r="K34" s="175"/>
      <c r="L34" s="175"/>
      <c r="M34" s="175"/>
      <c r="N34" s="170"/>
      <c r="O34" s="170"/>
      <c r="P34" s="43"/>
      <c r="Q34" s="43"/>
      <c r="R34" s="43"/>
      <c r="S34" s="43"/>
      <c r="T34" s="43"/>
      <c r="U34" s="8"/>
    </row>
    <row r="38" spans="2:21">
      <c r="E38" s="64"/>
    </row>
    <row r="39" spans="2:21">
      <c r="E39" s="65"/>
    </row>
  </sheetData>
  <mergeCells count="54">
    <mergeCell ref="N33:O34"/>
    <mergeCell ref="D34:E34"/>
    <mergeCell ref="F34:G34"/>
    <mergeCell ref="H34:I34"/>
    <mergeCell ref="J34:M34"/>
    <mergeCell ref="D33:E33"/>
    <mergeCell ref="F33:G33"/>
    <mergeCell ref="H33:I33"/>
    <mergeCell ref="J33:M33"/>
    <mergeCell ref="N27:R27"/>
    <mergeCell ref="N29:R29"/>
    <mergeCell ref="S29:U30"/>
    <mergeCell ref="B30:C30"/>
    <mergeCell ref="D30:K30"/>
    <mergeCell ref="N30:R30"/>
    <mergeCell ref="N26:S26"/>
    <mergeCell ref="E17:F17"/>
    <mergeCell ref="E18:F18"/>
    <mergeCell ref="E19:F19"/>
    <mergeCell ref="E20:F20"/>
    <mergeCell ref="H20:I20"/>
    <mergeCell ref="J20:K20"/>
    <mergeCell ref="E21:F21"/>
    <mergeCell ref="H21:I21"/>
    <mergeCell ref="J21:K21"/>
    <mergeCell ref="C26:H26"/>
    <mergeCell ref="I26:J26"/>
    <mergeCell ref="N16:O16"/>
    <mergeCell ref="B9:C9"/>
    <mergeCell ref="E9:F9"/>
    <mergeCell ref="H9:I9"/>
    <mergeCell ref="N9:P9"/>
    <mergeCell ref="N10:O10"/>
    <mergeCell ref="N11:O11"/>
    <mergeCell ref="N12:O12"/>
    <mergeCell ref="E13:F13"/>
    <mergeCell ref="N13:O13"/>
    <mergeCell ref="N14:O14"/>
    <mergeCell ref="N15:O15"/>
    <mergeCell ref="E16:F16"/>
    <mergeCell ref="R8:S8"/>
    <mergeCell ref="B2:U2"/>
    <mergeCell ref="B3:C3"/>
    <mergeCell ref="E3:F3"/>
    <mergeCell ref="H3:M3"/>
    <mergeCell ref="O3:P3"/>
    <mergeCell ref="R3:S3"/>
    <mergeCell ref="T3:U3"/>
    <mergeCell ref="R4:S4"/>
    <mergeCell ref="T4:U4"/>
    <mergeCell ref="R5:S5"/>
    <mergeCell ref="R6:S6"/>
    <mergeCell ref="R7:S7"/>
    <mergeCell ref="D7:F7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200025</xdr:rowOff>
                  </from>
                  <to>
                    <xdr:col>2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200025</xdr:rowOff>
                  </from>
                  <to>
                    <xdr:col>2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200025</xdr:rowOff>
                  </from>
                  <to>
                    <xdr:col>2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11</xdr:row>
                    <xdr:rowOff>200025</xdr:rowOff>
                  </from>
                  <to>
                    <xdr:col>2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200025</xdr:rowOff>
                  </from>
                  <to>
                    <xdr:col>2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13</xdr:row>
                    <xdr:rowOff>200025</xdr:rowOff>
                  </from>
                  <to>
                    <xdr:col>2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200025</xdr:rowOff>
                  </from>
                  <to>
                    <xdr:col>2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200025</xdr:rowOff>
                  </from>
                  <to>
                    <xdr:col>2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200025</xdr:rowOff>
                  </from>
                  <to>
                    <xdr:col>2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200025</xdr:rowOff>
                  </from>
                  <to>
                    <xdr:col>2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228600</xdr:colOff>
                    <xdr:row>2</xdr:row>
                    <xdr:rowOff>200025</xdr:rowOff>
                  </from>
                  <to>
                    <xdr:col>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200025</xdr:rowOff>
                  </from>
                  <to>
                    <xdr:col>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200025</xdr:rowOff>
                  </from>
                  <to>
                    <xdr:col>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15</xdr:col>
                    <xdr:colOff>228600</xdr:colOff>
                    <xdr:row>2</xdr:row>
                    <xdr:rowOff>200025</xdr:rowOff>
                  </from>
                  <to>
                    <xdr:col>15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4</xdr:col>
                    <xdr:colOff>590550</xdr:colOff>
                    <xdr:row>19</xdr:row>
                    <xdr:rowOff>200025</xdr:rowOff>
                  </from>
                  <to>
                    <xdr:col>5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15</xdr:col>
                    <xdr:colOff>228600</xdr:colOff>
                    <xdr:row>8</xdr:row>
                    <xdr:rowOff>200025</xdr:rowOff>
                  </from>
                  <to>
                    <xdr:col>15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15</xdr:col>
                    <xdr:colOff>228600</xdr:colOff>
                    <xdr:row>10</xdr:row>
                    <xdr:rowOff>200025</xdr:rowOff>
                  </from>
                  <to>
                    <xdr:col>15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15</xdr:col>
                    <xdr:colOff>228600</xdr:colOff>
                    <xdr:row>11</xdr:row>
                    <xdr:rowOff>200025</xdr:rowOff>
                  </from>
                  <to>
                    <xdr:col>15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15</xdr:col>
                    <xdr:colOff>228600</xdr:colOff>
                    <xdr:row>12</xdr:row>
                    <xdr:rowOff>200025</xdr:rowOff>
                  </from>
                  <to>
                    <xdr:col>15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15</xdr:col>
                    <xdr:colOff>228600</xdr:colOff>
                    <xdr:row>13</xdr:row>
                    <xdr:rowOff>200025</xdr:rowOff>
                  </from>
                  <to>
                    <xdr:col>15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15</xdr:col>
                    <xdr:colOff>228600</xdr:colOff>
                    <xdr:row>3</xdr:row>
                    <xdr:rowOff>200025</xdr:rowOff>
                  </from>
                  <to>
                    <xdr:col>15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200025</xdr:rowOff>
                  </from>
                  <to>
                    <xdr:col>9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200025</xdr:rowOff>
                  </from>
                  <to>
                    <xdr:col>9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200025</xdr:rowOff>
                  </from>
                  <to>
                    <xdr:col>9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200025</xdr:rowOff>
                  </from>
                  <to>
                    <xdr:col>9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200025</xdr:rowOff>
                  </from>
                  <to>
                    <xdr:col>9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200025</xdr:rowOff>
                  </from>
                  <to>
                    <xdr:col>9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200025</xdr:rowOff>
                  </from>
                  <to>
                    <xdr:col>9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200025</xdr:rowOff>
                  </from>
                  <to>
                    <xdr:col>10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200025</xdr:rowOff>
                  </from>
                  <to>
                    <xdr:col>10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200025</xdr:rowOff>
                  </from>
                  <to>
                    <xdr:col>10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200025</xdr:rowOff>
                  </from>
                  <to>
                    <xdr:col>10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200025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200025</xdr:rowOff>
                  </from>
                  <to>
                    <xdr:col>10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10</xdr:col>
                    <xdr:colOff>228600</xdr:colOff>
                    <xdr:row>15</xdr:row>
                    <xdr:rowOff>200025</xdr:rowOff>
                  </from>
                  <to>
                    <xdr:col>10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11</xdr:col>
                    <xdr:colOff>228600</xdr:colOff>
                    <xdr:row>8</xdr:row>
                    <xdr:rowOff>200025</xdr:rowOff>
                  </from>
                  <to>
                    <xdr:col>11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11</xdr:col>
                    <xdr:colOff>228600</xdr:colOff>
                    <xdr:row>9</xdr:row>
                    <xdr:rowOff>200025</xdr:rowOff>
                  </from>
                  <to>
                    <xdr:col>11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200025</xdr:rowOff>
                  </from>
                  <to>
                    <xdr:col>11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200025</xdr:rowOff>
                  </from>
                  <to>
                    <xdr:col>11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200025</xdr:rowOff>
                  </from>
                  <to>
                    <xdr:col>11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200025</xdr:rowOff>
                  </from>
                  <to>
                    <xdr:col>11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11</xdr:col>
                    <xdr:colOff>228600</xdr:colOff>
                    <xdr:row>15</xdr:row>
                    <xdr:rowOff>200025</xdr:rowOff>
                  </from>
                  <to>
                    <xdr:col>11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15</xdr:col>
                    <xdr:colOff>228600</xdr:colOff>
                    <xdr:row>4</xdr:row>
                    <xdr:rowOff>200025</xdr:rowOff>
                  </from>
                  <to>
                    <xdr:col>15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14</xdr:col>
                    <xdr:colOff>228600</xdr:colOff>
                    <xdr:row>15</xdr:row>
                    <xdr:rowOff>200025</xdr:rowOff>
                  </from>
                  <to>
                    <xdr:col>14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14</xdr:col>
                    <xdr:colOff>228600</xdr:colOff>
                    <xdr:row>16</xdr:row>
                    <xdr:rowOff>200025</xdr:rowOff>
                  </from>
                  <to>
                    <xdr:col>14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14</xdr:col>
                    <xdr:colOff>228600</xdr:colOff>
                    <xdr:row>17</xdr:row>
                    <xdr:rowOff>200025</xdr:rowOff>
                  </from>
                  <to>
                    <xdr:col>14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14</xdr:col>
                    <xdr:colOff>228600</xdr:colOff>
                    <xdr:row>18</xdr:row>
                    <xdr:rowOff>200025</xdr:rowOff>
                  </from>
                  <to>
                    <xdr:col>14</xdr:col>
                    <xdr:colOff>485775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200025</xdr:rowOff>
                  </from>
                  <to>
                    <xdr:col>14</xdr:col>
                    <xdr:colOff>485775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15</xdr:col>
                    <xdr:colOff>228600</xdr:colOff>
                    <xdr:row>9</xdr:row>
                    <xdr:rowOff>200025</xdr:rowOff>
                  </from>
                  <to>
                    <xdr:col>15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15</xdr:col>
                    <xdr:colOff>228600</xdr:colOff>
                    <xdr:row>5</xdr:row>
                    <xdr:rowOff>200025</xdr:rowOff>
                  </from>
                  <to>
                    <xdr:col>15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818F-A403-4F21-BAE8-83A26B747EB2}">
  <dimension ref="B1:U39"/>
  <sheetViews>
    <sheetView zoomScaleNormal="100" workbookViewId="0">
      <selection activeCell="L29" sqref="L29"/>
    </sheetView>
  </sheetViews>
  <sheetFormatPr defaultRowHeight="16.5"/>
  <cols>
    <col min="2" max="2" width="9.875" customWidth="1"/>
    <col min="7" max="7" width="9.5" bestFit="1" customWidth="1"/>
  </cols>
  <sheetData>
    <row r="1" spans="2:21" ht="17.25" thickBot="1"/>
    <row r="2" spans="2:21" ht="17.25" thickBot="1">
      <c r="B2" s="121" t="s">
        <v>92</v>
      </c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2"/>
      <c r="P2" s="122"/>
      <c r="Q2" s="123"/>
      <c r="R2" s="123"/>
      <c r="S2" s="122"/>
      <c r="T2" s="122"/>
      <c r="U2" s="124"/>
    </row>
    <row r="3" spans="2:21">
      <c r="B3" s="125" t="s">
        <v>4</v>
      </c>
      <c r="C3" s="126"/>
      <c r="D3" s="38"/>
      <c r="E3" s="125" t="s">
        <v>25</v>
      </c>
      <c r="F3" s="126"/>
      <c r="G3" s="38"/>
      <c r="H3" s="125" t="s">
        <v>3</v>
      </c>
      <c r="I3" s="127"/>
      <c r="J3" s="127"/>
      <c r="K3" s="127"/>
      <c r="L3" s="127"/>
      <c r="M3" s="126"/>
      <c r="N3" s="38"/>
      <c r="O3" s="125" t="s">
        <v>35</v>
      </c>
      <c r="P3" s="126"/>
      <c r="Q3" s="38"/>
      <c r="R3" s="128" t="s">
        <v>97</v>
      </c>
      <c r="S3" s="129"/>
      <c r="T3" s="130" t="s">
        <v>99</v>
      </c>
      <c r="U3" s="131"/>
    </row>
    <row r="4" spans="2:21" ht="17.25" thickBot="1">
      <c r="B4" s="3" t="s">
        <v>0</v>
      </c>
      <c r="C4" s="4">
        <v>1850</v>
      </c>
      <c r="D4" s="11"/>
      <c r="E4" s="13" t="s">
        <v>26</v>
      </c>
      <c r="F4" s="4"/>
      <c r="G4" s="39" t="b">
        <v>1</v>
      </c>
      <c r="H4" s="13" t="s">
        <v>5</v>
      </c>
      <c r="I4" s="81">
        <f>$C$4*0.0002147</f>
        <v>0.39719499999999996</v>
      </c>
      <c r="J4" s="82" t="s">
        <v>8</v>
      </c>
      <c r="K4" s="81">
        <f>$C$5*0.0003218</f>
        <v>1.80208E-2</v>
      </c>
      <c r="L4" s="82" t="s">
        <v>16</v>
      </c>
      <c r="M4" s="71">
        <f>IF(($M$5+0.344+0.166*$Q$16)&gt;1,1,($M$5+0.344+0.166*$Q$16))</f>
        <v>0.57663500000000001</v>
      </c>
      <c r="N4" s="33">
        <f>IF(($M$6+0.344+0.166*$Q$16)&gt;1,1,($M$6+0.344+0.166*$Q$16))</f>
        <v>0.74399999999999999</v>
      </c>
      <c r="O4" s="13" t="s">
        <v>36</v>
      </c>
      <c r="P4" s="4"/>
      <c r="Q4" s="39" t="b">
        <v>1</v>
      </c>
      <c r="R4" s="132">
        <v>42332</v>
      </c>
      <c r="S4" s="133"/>
      <c r="T4" s="134">
        <v>8</v>
      </c>
      <c r="U4" s="135"/>
    </row>
    <row r="5" spans="2:21" ht="17.25" thickBot="1">
      <c r="B5" s="3" t="s">
        <v>1</v>
      </c>
      <c r="C5" s="4">
        <v>56</v>
      </c>
      <c r="D5" s="11"/>
      <c r="E5" s="14" t="s">
        <v>27</v>
      </c>
      <c r="F5" s="6"/>
      <c r="G5" s="39" t="b">
        <v>0</v>
      </c>
      <c r="H5" s="13" t="s">
        <v>6</v>
      </c>
      <c r="I5" s="81">
        <f>$C$4/5821</f>
        <v>0.31781480845215598</v>
      </c>
      <c r="J5" s="82" t="s">
        <v>32</v>
      </c>
      <c r="K5" s="81">
        <f>IF($I$5+$G$6*0.1&lt;0.4,$I$5+$G$6*0.1,0.4)</f>
        <v>0.4</v>
      </c>
      <c r="L5" s="82" t="s">
        <v>17</v>
      </c>
      <c r="M5" s="71">
        <f>($C$6*0.03579)*0.01+$G$5*0.25+($F$14+$F$15)*0.01+$G$21*0.1+($D$15*0.05+$D$16*0.1+D17*0.15)</f>
        <v>0.23263500000000001</v>
      </c>
      <c r="N5" s="33">
        <f>($C$6*0.03579)*0.01+$G$5*0.25+($F$14+$F$15)*0.01+($D$15*0.05+$D$16*0.1+$D$17*0.15)</f>
        <v>0.23263500000000001</v>
      </c>
      <c r="O5" s="13" t="s">
        <v>74</v>
      </c>
      <c r="P5" s="4"/>
      <c r="Q5" s="39" t="b">
        <v>0</v>
      </c>
      <c r="R5" s="136" t="s">
        <v>95</v>
      </c>
      <c r="S5" s="137"/>
      <c r="T5" s="59"/>
      <c r="U5" s="60"/>
    </row>
    <row r="6" spans="2:21" ht="17.25" thickBot="1">
      <c r="B6" s="3" t="s">
        <v>2</v>
      </c>
      <c r="C6" s="4">
        <v>650</v>
      </c>
      <c r="D6" s="11"/>
      <c r="E6" s="15" t="s">
        <v>29</v>
      </c>
      <c r="F6" s="16"/>
      <c r="G6" s="39" t="b">
        <v>1</v>
      </c>
      <c r="H6" s="13" t="s">
        <v>7</v>
      </c>
      <c r="I6" s="81">
        <f>$C$7*0.02</f>
        <v>0.14000000000000001</v>
      </c>
      <c r="J6" s="82" t="s">
        <v>9</v>
      </c>
      <c r="K6" s="81">
        <f>2+0.5*$D$11+E17*0.01</f>
        <v>2.5</v>
      </c>
      <c r="L6" s="82" t="s">
        <v>31</v>
      </c>
      <c r="M6" s="71">
        <f>IF($K$5+0.16&lt;0.4,$K$5+0.16,0.4)</f>
        <v>0.4</v>
      </c>
      <c r="N6" s="33"/>
      <c r="O6" s="13" t="s">
        <v>113</v>
      </c>
      <c r="P6" s="4"/>
      <c r="Q6" s="39" t="b">
        <v>0</v>
      </c>
      <c r="R6" s="132">
        <v>29.61</v>
      </c>
      <c r="S6" s="138"/>
      <c r="T6" s="11"/>
      <c r="U6" s="7"/>
    </row>
    <row r="7" spans="2:21" ht="17.25" thickBot="1">
      <c r="B7" s="5" t="s">
        <v>107</v>
      </c>
      <c r="C7" s="66">
        <v>7</v>
      </c>
      <c r="D7" s="85"/>
      <c r="E7" s="11"/>
      <c r="F7" s="11"/>
      <c r="G7" s="12"/>
      <c r="H7" s="14" t="s">
        <v>24</v>
      </c>
      <c r="I7" s="18">
        <f>25*(1-$I$4)*(1-$I$6)*(1-$G$4*0.18)*(1-$Q$6)*(1-$Q$10)*(1-$Q$16)+28*(1-$I$4)*(1-$I$6)*(1-$G$4*0.18)*$Q$10+21*(1-$I$4)*(1-$I$6)*(1-$G$4*0.18)*$Q$6*IF(COUNTIF(Q7,"true")&gt;0,21/22,1)+30*(1-$I$4)*(1-$I$6)*(1-$G$4*0.18)*$Q$16</f>
        <v>10.627452150000002</v>
      </c>
      <c r="J7" s="83" t="s">
        <v>28</v>
      </c>
      <c r="K7" s="24">
        <f>IF($G$4*1+$G$5*1&gt;0,$G$4*1.28*1.18+$G$5*1.29,1)</f>
        <v>1.5104</v>
      </c>
      <c r="L7" s="83" t="s">
        <v>30</v>
      </c>
      <c r="M7" s="84">
        <f>$K$5</f>
        <v>0.4</v>
      </c>
      <c r="N7" s="32"/>
      <c r="O7" s="14" t="s">
        <v>106</v>
      </c>
      <c r="P7" s="6"/>
      <c r="Q7" s="39" t="b">
        <v>0</v>
      </c>
      <c r="R7" s="139" t="s">
        <v>98</v>
      </c>
      <c r="S7" s="140"/>
      <c r="T7" s="11"/>
      <c r="U7" s="7"/>
    </row>
    <row r="8" spans="2:21" ht="17.25" thickBot="1">
      <c r="B8" s="97"/>
      <c r="C8" s="9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7"/>
      <c r="R8" s="119">
        <v>2.5</v>
      </c>
      <c r="S8" s="120"/>
      <c r="T8" s="11"/>
      <c r="U8" s="7"/>
    </row>
    <row r="9" spans="2:21">
      <c r="B9" s="145" t="s">
        <v>10</v>
      </c>
      <c r="C9" s="195"/>
      <c r="D9" s="39"/>
      <c r="E9" s="125" t="s">
        <v>39</v>
      </c>
      <c r="F9" s="126"/>
      <c r="G9" s="11"/>
      <c r="H9" s="125" t="s">
        <v>47</v>
      </c>
      <c r="I9" s="147"/>
      <c r="J9" s="44" t="s">
        <v>77</v>
      </c>
      <c r="K9" s="45" t="s">
        <v>78</v>
      </c>
      <c r="L9" s="45" t="s">
        <v>79</v>
      </c>
      <c r="M9" s="99" t="s">
        <v>94</v>
      </c>
      <c r="N9" s="152" t="s">
        <v>128</v>
      </c>
      <c r="O9" s="192"/>
      <c r="P9" s="149"/>
      <c r="Q9" s="108"/>
      <c r="R9" s="11"/>
      <c r="S9" s="11"/>
      <c r="T9" s="11"/>
      <c r="U9" s="7"/>
    </row>
    <row r="10" spans="2:21">
      <c r="B10" s="3" t="s">
        <v>11</v>
      </c>
      <c r="C10" s="4"/>
      <c r="D10" s="39" t="b">
        <v>1</v>
      </c>
      <c r="E10" s="25" t="s">
        <v>38</v>
      </c>
      <c r="F10" s="21">
        <f>1.15+$Q$4*0.126</f>
        <v>1.2759999999999998</v>
      </c>
      <c r="G10" s="39"/>
      <c r="H10" s="13" t="s">
        <v>38</v>
      </c>
      <c r="I10" s="68">
        <f>3.45*(1+$G$21*0.05)*(1+R18*0.088)*(1+S18*0.14)*(1+M10*0.01)</f>
        <v>3.45</v>
      </c>
      <c r="J10" s="29"/>
      <c r="K10" s="1"/>
      <c r="L10" s="1"/>
      <c r="M10" s="86">
        <v>0</v>
      </c>
      <c r="N10" s="188" t="s">
        <v>115</v>
      </c>
      <c r="O10" s="151"/>
      <c r="P10" s="100"/>
      <c r="Q10" s="109" t="b">
        <v>0</v>
      </c>
      <c r="R10" s="39"/>
      <c r="S10" s="39"/>
      <c r="T10" s="39"/>
      <c r="U10" s="7"/>
    </row>
    <row r="11" spans="2:21" ht="17.25" thickBot="1">
      <c r="B11" s="3" t="s">
        <v>12</v>
      </c>
      <c r="C11" s="4"/>
      <c r="D11" s="39" t="b">
        <v>1</v>
      </c>
      <c r="E11" s="26" t="s">
        <v>37</v>
      </c>
      <c r="F11" s="22">
        <v>1.4970000000000001</v>
      </c>
      <c r="G11" s="39"/>
      <c r="H11" s="13" t="s">
        <v>40</v>
      </c>
      <c r="I11" s="68">
        <f>14.2*(1+$G$21*0.05)*(1+R19*0.088)*(1+S19*0.14)*(1+M11*0.01)</f>
        <v>22.663200000000003</v>
      </c>
      <c r="J11" s="29"/>
      <c r="K11" s="1"/>
      <c r="L11" s="1"/>
      <c r="M11" s="86">
        <v>40</v>
      </c>
      <c r="N11" s="188" t="s">
        <v>114</v>
      </c>
      <c r="O11" s="151"/>
      <c r="P11" s="100"/>
      <c r="Q11" s="109" t="b">
        <v>0</v>
      </c>
      <c r="R11" s="39"/>
      <c r="S11" s="39"/>
      <c r="T11" s="39"/>
      <c r="U11" s="7"/>
    </row>
    <row r="12" spans="2:21" ht="17.25" thickBot="1">
      <c r="B12" s="3" t="s">
        <v>13</v>
      </c>
      <c r="C12" s="4"/>
      <c r="D12" s="39" t="b">
        <v>1</v>
      </c>
      <c r="E12" s="41"/>
      <c r="F12" s="41"/>
      <c r="G12" s="39"/>
      <c r="H12" s="13" t="s">
        <v>41</v>
      </c>
      <c r="I12" s="68">
        <f>32.35*(1+$G$21*0.05)*(1+R20*0.088)*(1+S20*0.14)*(1+M12*0.01)</f>
        <v>51.630600000000001</v>
      </c>
      <c r="J12" s="29"/>
      <c r="K12" s="1"/>
      <c r="L12" s="1"/>
      <c r="M12" s="86">
        <v>40</v>
      </c>
      <c r="N12" s="189" t="s">
        <v>126</v>
      </c>
      <c r="O12" s="190"/>
      <c r="P12" s="191"/>
      <c r="Q12" s="110"/>
      <c r="R12" s="39"/>
      <c r="S12" s="39"/>
      <c r="T12" s="39"/>
      <c r="U12" s="7"/>
    </row>
    <row r="13" spans="2:21">
      <c r="B13" s="3" t="s">
        <v>14</v>
      </c>
      <c r="C13" s="4"/>
      <c r="D13" s="39" t="b">
        <v>0</v>
      </c>
      <c r="E13" s="152" t="s">
        <v>48</v>
      </c>
      <c r="F13" s="149"/>
      <c r="G13" s="39"/>
      <c r="H13" s="13" t="s">
        <v>42</v>
      </c>
      <c r="I13" s="68">
        <f>43.98*(1+$G$21*0.05)*(1+S13*0.088)*(1+S21*0.14)*(1+M13*0.01)*(1-$Q$7)+24.43*(1+$G$21*0.05)*(1+S13*0.088)*(1+S21*0.14)*(1+M13*0.01)*$Q$7</f>
        <v>70.19207999999999</v>
      </c>
      <c r="J13" s="29"/>
      <c r="K13" s="1"/>
      <c r="L13" s="1"/>
      <c r="M13" s="86">
        <v>40</v>
      </c>
      <c r="N13" s="188" t="s">
        <v>116</v>
      </c>
      <c r="O13" s="151"/>
      <c r="P13" s="100"/>
      <c r="Q13" s="109" t="b">
        <v>0</v>
      </c>
      <c r="R13" s="39"/>
      <c r="S13" s="39"/>
      <c r="T13" s="39"/>
      <c r="U13" s="7"/>
    </row>
    <row r="14" spans="2:21">
      <c r="B14" s="3" t="s">
        <v>15</v>
      </c>
      <c r="C14" s="4"/>
      <c r="D14" s="39" t="b">
        <v>1</v>
      </c>
      <c r="E14" s="25" t="s">
        <v>49</v>
      </c>
      <c r="F14" s="27">
        <v>0</v>
      </c>
      <c r="G14" s="39"/>
      <c r="H14" s="13" t="s">
        <v>43</v>
      </c>
      <c r="I14" s="68">
        <f>(82.94-39.29*$P$19+59.24*($P$19*0+$P$20/8+$P$21*3/8+$P$22*5/8+$P$23*7/8))*(1+R22*0.088)*(1+S22*0.14)*(1+M14*0.01)</f>
        <v>167.82738000000001</v>
      </c>
      <c r="J14" s="29"/>
      <c r="K14" s="1"/>
      <c r="L14" s="1"/>
      <c r="M14" s="86">
        <v>40</v>
      </c>
      <c r="N14" s="188" t="s">
        <v>117</v>
      </c>
      <c r="O14" s="151"/>
      <c r="P14" s="100"/>
      <c r="Q14" s="109" t="b">
        <v>0</v>
      </c>
      <c r="R14" s="39"/>
      <c r="S14" s="39"/>
      <c r="T14" s="39"/>
      <c r="U14" s="7"/>
    </row>
    <row r="15" spans="2:21" ht="17.25" thickBot="1">
      <c r="B15" s="3" t="s">
        <v>18</v>
      </c>
      <c r="C15" s="4"/>
      <c r="D15" s="39" t="b">
        <v>0</v>
      </c>
      <c r="E15" s="61" t="s">
        <v>50</v>
      </c>
      <c r="F15" s="62"/>
      <c r="G15" s="39"/>
      <c r="H15" s="13" t="s">
        <v>112</v>
      </c>
      <c r="I15" s="68">
        <f>50.31*(1+$G$21*0.05)*(1+R23*0.088)*(1+S23*0.14)*(1+M15*0.01)</f>
        <v>80.294760000000011</v>
      </c>
      <c r="J15" s="29"/>
      <c r="K15" s="1"/>
      <c r="L15" s="1"/>
      <c r="M15" s="86">
        <v>40</v>
      </c>
      <c r="N15" s="189" t="s">
        <v>123</v>
      </c>
      <c r="O15" s="190"/>
      <c r="P15" s="191"/>
      <c r="Q15" s="110"/>
      <c r="R15" s="39"/>
      <c r="S15" s="39"/>
      <c r="T15" s="39"/>
      <c r="U15" s="7"/>
    </row>
    <row r="16" spans="2:21" ht="17.25" thickBot="1">
      <c r="B16" s="3" t="s">
        <v>19</v>
      </c>
      <c r="C16" s="4"/>
      <c r="D16" s="39" t="b">
        <v>0</v>
      </c>
      <c r="E16" s="125" t="s">
        <v>104</v>
      </c>
      <c r="F16" s="126"/>
      <c r="G16" s="39"/>
      <c r="H16" s="14" t="s">
        <v>46</v>
      </c>
      <c r="I16" s="69">
        <f>111*(1+$G$21*0.05)*(1+$K$4)*(1+R24*0.088)*(1+S24*0.14)*(1+M16*0.01)</f>
        <v>180.34849284480001</v>
      </c>
      <c r="J16" s="20"/>
      <c r="K16" s="30"/>
      <c r="L16" s="30"/>
      <c r="M16" s="87">
        <v>40</v>
      </c>
      <c r="N16" s="199" t="s">
        <v>122</v>
      </c>
      <c r="O16" s="200"/>
      <c r="P16" s="101"/>
      <c r="Q16" s="109" t="b">
        <v>0</v>
      </c>
      <c r="R16" s="39"/>
      <c r="S16" s="39"/>
      <c r="T16" s="39"/>
      <c r="U16" s="7"/>
    </row>
    <row r="17" spans="2:21" ht="17.25" thickBot="1">
      <c r="B17" s="3" t="s">
        <v>20</v>
      </c>
      <c r="C17" s="4"/>
      <c r="D17" s="39" t="b">
        <v>0</v>
      </c>
      <c r="E17" s="119"/>
      <c r="F17" s="120"/>
      <c r="G17" s="39"/>
      <c r="H17" s="11"/>
      <c r="I17" s="11"/>
      <c r="J17" s="11"/>
      <c r="K17" s="11"/>
      <c r="L17" s="11"/>
      <c r="M17" s="11"/>
      <c r="N17" s="11"/>
      <c r="O17" s="11"/>
      <c r="P17" s="39"/>
      <c r="Q17" s="111"/>
      <c r="R17" s="39"/>
      <c r="S17" s="39"/>
      <c r="T17" s="39"/>
      <c r="U17" s="7"/>
    </row>
    <row r="18" spans="2:21">
      <c r="B18" s="3" t="s">
        <v>118</v>
      </c>
      <c r="C18" s="4"/>
      <c r="D18" s="39" t="b">
        <v>0</v>
      </c>
      <c r="E18" s="156" t="s">
        <v>51</v>
      </c>
      <c r="F18" s="156"/>
      <c r="G18" s="39"/>
      <c r="H18" s="11"/>
      <c r="I18" s="11"/>
      <c r="J18" s="11"/>
      <c r="K18" s="11"/>
      <c r="L18" s="11"/>
      <c r="M18" s="11"/>
      <c r="N18" s="152" t="s">
        <v>93</v>
      </c>
      <c r="O18" s="149"/>
      <c r="P18" s="39"/>
      <c r="Q18" s="39" t="b">
        <v>0</v>
      </c>
      <c r="R18" s="39"/>
      <c r="S18" s="39"/>
      <c r="T18" s="39"/>
      <c r="U18" s="7"/>
    </row>
    <row r="19" spans="2:21" ht="17.25" thickBot="1">
      <c r="B19" s="3" t="s">
        <v>120</v>
      </c>
      <c r="C19" s="4"/>
      <c r="D19" s="39" t="b">
        <v>0</v>
      </c>
      <c r="E19" s="157" t="s">
        <v>52</v>
      </c>
      <c r="F19" s="157"/>
      <c r="G19" s="39"/>
      <c r="H19" s="11"/>
      <c r="I19" s="11"/>
      <c r="J19" s="11"/>
      <c r="K19" s="11"/>
      <c r="L19" s="11"/>
      <c r="M19" s="11"/>
      <c r="N19" s="46">
        <v>0</v>
      </c>
      <c r="O19" s="4"/>
      <c r="P19" s="39" t="b">
        <v>0</v>
      </c>
      <c r="Q19" s="39" t="b">
        <v>0</v>
      </c>
      <c r="R19" s="39" t="b">
        <v>0</v>
      </c>
      <c r="S19" s="39" t="b">
        <v>1</v>
      </c>
      <c r="T19" s="11"/>
      <c r="U19" s="7"/>
    </row>
    <row r="20" spans="2:21">
      <c r="B20" s="3" t="s">
        <v>119</v>
      </c>
      <c r="C20" s="4"/>
      <c r="D20" s="39" t="b">
        <v>0</v>
      </c>
      <c r="E20" s="125" t="s">
        <v>53</v>
      </c>
      <c r="F20" s="126"/>
      <c r="G20" s="39"/>
      <c r="H20" s="125" t="s">
        <v>81</v>
      </c>
      <c r="I20" s="127"/>
      <c r="J20" s="127" t="s">
        <v>82</v>
      </c>
      <c r="K20" s="126"/>
      <c r="L20" s="11"/>
      <c r="M20" s="11"/>
      <c r="N20" s="46">
        <v>0.25</v>
      </c>
      <c r="O20" s="4"/>
      <c r="P20" s="39" t="b">
        <v>0</v>
      </c>
      <c r="Q20" s="39" t="b">
        <v>0</v>
      </c>
      <c r="R20" s="39" t="b">
        <v>0</v>
      </c>
      <c r="S20" s="39" t="b">
        <v>1</v>
      </c>
      <c r="T20" s="11"/>
      <c r="U20" s="7"/>
    </row>
    <row r="21" spans="2:21" ht="17.25" thickBot="1">
      <c r="B21" s="5" t="s">
        <v>121</v>
      </c>
      <c r="C21" s="6"/>
      <c r="D21" s="39" t="b">
        <v>0</v>
      </c>
      <c r="E21" s="158"/>
      <c r="F21" s="159"/>
      <c r="G21" s="39" t="b">
        <v>0</v>
      </c>
      <c r="H21" s="160">
        <f>6/$I$7</f>
        <v>0.56457558362189375</v>
      </c>
      <c r="I21" s="161"/>
      <c r="J21" s="161">
        <f>IF($I$7&lt;9,($I$7-6)/$I$7,3/$I$7)</f>
        <v>0.28228779181094688</v>
      </c>
      <c r="K21" s="162"/>
      <c r="L21" s="11"/>
      <c r="M21" s="11"/>
      <c r="N21" s="46">
        <v>0.5</v>
      </c>
      <c r="O21" s="4"/>
      <c r="P21" s="39" t="b">
        <v>1</v>
      </c>
      <c r="Q21" s="39" t="b">
        <v>0</v>
      </c>
      <c r="R21" s="39" t="b">
        <v>0</v>
      </c>
      <c r="S21" s="39" t="b">
        <v>1</v>
      </c>
      <c r="T21" s="11"/>
      <c r="U21" s="7"/>
    </row>
    <row r="22" spans="2:21">
      <c r="B22" s="95" t="s">
        <v>34</v>
      </c>
      <c r="C22" s="96">
        <f>(1+$D$10*0.2)*(1+$D$12*($M$6*0.45))*(1+$D$18*0.15+$D$19*0.2+$D$20*0.25)*(1+$D$13*0.16+$D$14*0.18+$D$15*0.018+$D$16*0.036+$D$17*0.06)*(1-$D$11*0.02)</f>
        <v>1.6374624</v>
      </c>
      <c r="D22" s="11"/>
      <c r="E22" s="11"/>
      <c r="F22" s="11"/>
      <c r="G22" s="11"/>
      <c r="H22" s="11"/>
      <c r="I22" s="11"/>
      <c r="J22" s="11"/>
      <c r="K22" s="11"/>
      <c r="L22" s="17"/>
      <c r="M22" s="11"/>
      <c r="N22" s="47">
        <v>0.75</v>
      </c>
      <c r="O22" s="4"/>
      <c r="P22" s="39" t="b">
        <v>0</v>
      </c>
      <c r="Q22" s="39" t="b">
        <v>0</v>
      </c>
      <c r="R22" s="39" t="b">
        <v>0</v>
      </c>
      <c r="S22" s="39" t="b">
        <v>1</v>
      </c>
      <c r="T22" s="11"/>
      <c r="U22" s="7"/>
    </row>
    <row r="23" spans="2:21" ht="17.25" thickBot="1">
      <c r="B23" s="3" t="s">
        <v>33</v>
      </c>
      <c r="C23" s="71">
        <f>(1+$D$10*0.2)*(1+$D$12*($M$7*0.45))*(1+$D$18*0.15+$D$19*0.2+$D$20*0.25)*(1+$D$13*0.16+$D$14*0.18+$D$15*0.018+$D$16*0.036+$D$17*0.06)*(1-$D$11*0.02)</f>
        <v>1.6374624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8">
        <v>1</v>
      </c>
      <c r="O23" s="6"/>
      <c r="P23" s="39" t="b">
        <v>0</v>
      </c>
      <c r="Q23" s="39" t="b">
        <v>0</v>
      </c>
      <c r="R23" s="39" t="b">
        <v>0</v>
      </c>
      <c r="S23" s="39" t="b">
        <v>1</v>
      </c>
      <c r="T23" s="11"/>
      <c r="U23" s="7"/>
    </row>
    <row r="24" spans="2:21" ht="17.25" thickBot="1">
      <c r="B24" s="5" t="s">
        <v>8</v>
      </c>
      <c r="C24" s="72">
        <f>$C$22*(1+$D$21*0.32)*IF(COUNTIF($D$18:$D$20,"True")&gt;0,0,1)</f>
        <v>1.6374624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9" t="b">
        <v>0</v>
      </c>
      <c r="R24" s="39" t="b">
        <v>0</v>
      </c>
      <c r="S24" s="39" t="b">
        <v>1</v>
      </c>
      <c r="T24" s="11"/>
      <c r="U24" s="7"/>
    </row>
    <row r="25" spans="2:21" ht="17.25" thickBot="1">
      <c r="B25" s="4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2"/>
      <c r="R25" s="102"/>
      <c r="S25" s="102"/>
      <c r="T25" s="11"/>
      <c r="U25" s="7"/>
    </row>
    <row r="26" spans="2:21">
      <c r="B26" s="2" t="s">
        <v>65</v>
      </c>
      <c r="C26" s="164" t="s">
        <v>63</v>
      </c>
      <c r="D26" s="164"/>
      <c r="E26" s="164"/>
      <c r="F26" s="164"/>
      <c r="G26" s="164"/>
      <c r="H26" s="164" t="s">
        <v>62</v>
      </c>
      <c r="I26" s="164"/>
      <c r="J26" s="164"/>
      <c r="K26" s="35" t="s">
        <v>43</v>
      </c>
      <c r="L26" s="42"/>
      <c r="M26" s="11"/>
      <c r="N26" s="155" t="s">
        <v>86</v>
      </c>
      <c r="O26" s="155"/>
      <c r="P26" s="155"/>
      <c r="Q26" s="155"/>
      <c r="R26" s="155"/>
      <c r="S26" s="155"/>
      <c r="T26" s="11"/>
      <c r="U26" s="7"/>
    </row>
    <row r="27" spans="2:21">
      <c r="B27" s="3" t="s">
        <v>61</v>
      </c>
      <c r="C27" s="34" t="s">
        <v>40</v>
      </c>
      <c r="D27" s="34" t="s">
        <v>41</v>
      </c>
      <c r="E27" s="34" t="s">
        <v>42</v>
      </c>
      <c r="F27" s="34" t="s">
        <v>112</v>
      </c>
      <c r="G27" s="34" t="s">
        <v>46</v>
      </c>
      <c r="H27" s="34" t="s">
        <v>38</v>
      </c>
      <c r="I27" s="88" t="s">
        <v>112</v>
      </c>
      <c r="J27" s="34" t="s">
        <v>41</v>
      </c>
      <c r="K27" s="36" t="s">
        <v>54</v>
      </c>
      <c r="L27" s="11"/>
      <c r="M27" s="11"/>
      <c r="N27" s="155" t="s">
        <v>73</v>
      </c>
      <c r="O27" s="155"/>
      <c r="P27" s="155"/>
      <c r="Q27" s="155"/>
      <c r="R27" s="155"/>
      <c r="S27" s="11"/>
      <c r="T27" s="11"/>
      <c r="U27" s="7"/>
    </row>
    <row r="28" spans="2:21">
      <c r="B28" s="73" t="s">
        <v>101</v>
      </c>
      <c r="C28" s="89">
        <f>$I$11*$C$22*($M$4*$K$6+(1-$M$4))*$F$11*($Q$10+$Q$11+$Q$13+$Q$14+$Q$16)*($D$18+$D$19+$D$20)*$K$7</f>
        <v>0</v>
      </c>
      <c r="D28" s="89">
        <f>$I$12*$C$22*(IF($M$4+0.45+0.25*$Q$5&lt;1,$M$4+0.15+0.25*$Q$5,1)*$K$6+(1-IF($M$4+0.45+0.25*$Q$5&lt;1,$M$4+0.15+0.25*$Q$5,1)))*$F$11*($Q$10+$Q$11+$Q$13+$Q$14+$Q$16)*$K$7</f>
        <v>0</v>
      </c>
      <c r="E28" s="89">
        <f>$I$13*$C$22*($K$6*$M$4+(1-$M$4))*$F$11*($Q$10+$Q$11+$Q$13+$Q$14+$Q$16)*$K$7</f>
        <v>0</v>
      </c>
      <c r="F28" s="89">
        <f>$I$15*$C$22*($M$4*$K$6+(1-$M$4))*$F$11*($Q$10+$Q$11+$Q$16+$Q$13/2)*$K$7*(1-$Q$14)+$I$15*$C$22*(IF($M$4+0.6&gt;1,1,$M$4+0.6)*$K$6+(1-IF($M$4+0.3&gt;1,1,$M$4+0.3)))*$F$11*$Q$14*$K$7/3</f>
        <v>0</v>
      </c>
      <c r="G28" s="89">
        <f>$I$16*$C$24*($M$4*$K$6+(1-$M$4))*$F$11*($Q$10+$Q$11+$Q$13+$Q$14)*$K$7</f>
        <v>0</v>
      </c>
      <c r="H28" s="89">
        <f>$I$10*$C$23*($M$4*$K$6+(1-$M$4))*($Q$10+$Q$14+$Q$16)*$K$7</f>
        <v>0</v>
      </c>
      <c r="I28" s="89">
        <f>$I$15*$C$23*(IF($M$5+0.6&gt;1,1,$M$5+0.6)*$K$6+(1-IF($M$5+0.6&gt;1,1,$M$5+0.6)))*$F$10*$Q$14*$K$7/3</f>
        <v>0</v>
      </c>
      <c r="J28" s="89">
        <f>$I$12*$C$23*($M$4*$K$6+(1-$M$4))*$F$10*($Q$10+$Q$16)*$K$7</f>
        <v>0</v>
      </c>
      <c r="K28" s="90">
        <f>($I$14*(($N$4*$K$6+(1-$N$4))*$H$21*$F$11*$C$22+($N$5*$K$6+(1-$N$5))*(1-$H$21)*$J$21*$F$10*$C$23+($N$5*$K$6+(1-$N$5))*(1-$H$21)*(1-$H$21-$J$21)*$C$23)*($Q$10+$Q$11+$Q$13+$Q$14+$Q$16))*$K$7</f>
        <v>0</v>
      </c>
      <c r="L28" s="64"/>
      <c r="M28" s="64"/>
      <c r="N28" s="11" t="s">
        <v>75</v>
      </c>
      <c r="O28" s="11">
        <f>IF($M$4+0.45+0.25*$Q$5&lt;1,$M$4+0.45+0.25*$Q$5,1)</f>
        <v>1</v>
      </c>
      <c r="P28" s="11"/>
      <c r="Q28" s="11"/>
      <c r="R28" s="11"/>
      <c r="S28" s="11"/>
      <c r="T28" s="11"/>
      <c r="U28" s="7"/>
    </row>
    <row r="29" spans="2:21" ht="17.25" thickBot="1">
      <c r="B29" s="77" t="s">
        <v>103</v>
      </c>
      <c r="C29" s="57">
        <f>$C$28*$R$4*(1+$R$6*0.01)*(1+$R$8*0.01)*(1+$T$4*0.01)*0.4/10000</f>
        <v>0</v>
      </c>
      <c r="D29" s="92">
        <f>$D$28*$R$4*(1+$R$6*0.01)*(1+$R$8*0.01)*(1+$T$4*0.01)*0.4/10000</f>
        <v>0</v>
      </c>
      <c r="E29" s="92">
        <f>$E$28*$R$4*(1+$R$6*0.01)*(1+$R$8*0.01)*(1+$T$4*0.01)*0.4/10000</f>
        <v>0</v>
      </c>
      <c r="F29" s="92">
        <f>$F$28*$R$4*(1+$R$6*0.01)*(1+$R$8*0.01)*(1+$T$4*0.01)*0.4/10000</f>
        <v>0</v>
      </c>
      <c r="G29" s="92">
        <f>$G$28*$R$4*(1+$R$6*0.01)*(1+$R$8*0.01)*(1+$T$4*0.01)*0.4/10000</f>
        <v>0</v>
      </c>
      <c r="H29" s="92">
        <f>$H$28*$R$4*(1+$R$6*0.01)*(1+$R$8*0.01)*(1+$T$4*0.01)*0.4/10000</f>
        <v>0</v>
      </c>
      <c r="I29" s="92">
        <f>$I$28*$R$4*(1+$R$6*0.01)*(1+$R$8*0.01)*(1+$T$4*0.01)*0.4/10000</f>
        <v>0</v>
      </c>
      <c r="J29" s="92">
        <f>$J$28*$R$4*(1+$R$6*0.01)*(1+$R$8*0.01)*(1+$T$4*0.01)*0.4/10000</f>
        <v>0</v>
      </c>
      <c r="K29" s="58">
        <f>$K$28*$R$4*(1+$R$6*0.01)*(1+$R$8*0.01)*(1+$T$4*0.01)*0.4/10000</f>
        <v>0</v>
      </c>
      <c r="L29" s="64"/>
      <c r="M29" s="64"/>
      <c r="N29" s="155" t="s">
        <v>83</v>
      </c>
      <c r="O29" s="155"/>
      <c r="P29" s="155"/>
      <c r="Q29" s="155"/>
      <c r="R29" s="155"/>
      <c r="S29" s="155" t="s">
        <v>85</v>
      </c>
      <c r="T29" s="155"/>
      <c r="U29" s="165"/>
    </row>
    <row r="30" spans="2:21">
      <c r="B30" s="193" t="s">
        <v>91</v>
      </c>
      <c r="C30" s="194"/>
      <c r="D30" s="196" t="s">
        <v>64</v>
      </c>
      <c r="E30" s="197"/>
      <c r="F30" s="197"/>
      <c r="G30" s="197"/>
      <c r="H30" s="197"/>
      <c r="I30" s="197"/>
      <c r="J30" s="198"/>
      <c r="K30" s="94"/>
      <c r="L30" s="64"/>
      <c r="M30" s="64"/>
      <c r="N30" s="155" t="s">
        <v>84</v>
      </c>
      <c r="O30" s="155"/>
      <c r="P30" s="155"/>
      <c r="Q30" s="155"/>
      <c r="R30" s="155"/>
      <c r="S30" s="155"/>
      <c r="T30" s="155"/>
      <c r="U30" s="165"/>
    </row>
    <row r="31" spans="2:21">
      <c r="B31" s="73" t="s">
        <v>87</v>
      </c>
      <c r="C31" s="68">
        <f>SUM(C28:K28)</f>
        <v>0</v>
      </c>
      <c r="D31" s="74" t="s">
        <v>38</v>
      </c>
      <c r="E31" s="75" t="s">
        <v>40</v>
      </c>
      <c r="F31" s="75" t="s">
        <v>41</v>
      </c>
      <c r="G31" s="75" t="s">
        <v>42</v>
      </c>
      <c r="H31" s="75" t="s">
        <v>43</v>
      </c>
      <c r="I31" s="103" t="s">
        <v>112</v>
      </c>
      <c r="J31" s="76" t="s">
        <v>46</v>
      </c>
      <c r="K31" s="12"/>
      <c r="L31" s="64"/>
      <c r="M31" s="64"/>
      <c r="N31" s="11"/>
      <c r="O31" s="11"/>
      <c r="P31" s="11"/>
      <c r="Q31" s="11"/>
      <c r="R31" s="11"/>
      <c r="S31" s="11"/>
      <c r="T31" s="11"/>
      <c r="U31" s="7"/>
    </row>
    <row r="32" spans="2:21" ht="17.25" thickBot="1">
      <c r="B32" s="73" t="s">
        <v>88</v>
      </c>
      <c r="C32" s="50" t="e">
        <f>G28/C31</f>
        <v>#DIV/0!</v>
      </c>
      <c r="D32" s="93" t="e">
        <f>$H$28/SUM($C$28:$K$28)</f>
        <v>#DIV/0!</v>
      </c>
      <c r="E32" s="23" t="e">
        <f>$C$28/SUM($C$28:$K$28)</f>
        <v>#DIV/0!</v>
      </c>
      <c r="F32" s="23" t="e">
        <f>SUM($D$28,$J$28)/SUM($C$28:$K$28)</f>
        <v>#DIV/0!</v>
      </c>
      <c r="G32" s="23" t="e">
        <f>$E$28/SUM($C$28:$K$28)</f>
        <v>#DIV/0!</v>
      </c>
      <c r="H32" s="23" t="e">
        <f>$K$28/SUM($C$28:$K$28)</f>
        <v>#DIV/0!</v>
      </c>
      <c r="I32" s="23" t="e">
        <f>SUM($F$28,$I$28)/SUM($C$28:$K$28)</f>
        <v>#DIV/0!</v>
      </c>
      <c r="J32" s="19" t="e">
        <f>$G$28/SUM($C$28:$K$28)</f>
        <v>#DIV/0!</v>
      </c>
      <c r="K32" s="12"/>
      <c r="L32" s="64"/>
      <c r="M32" s="64"/>
      <c r="N32" s="11"/>
      <c r="O32" s="11"/>
      <c r="P32" s="11"/>
      <c r="Q32" s="11"/>
      <c r="R32" s="11"/>
      <c r="S32" s="11"/>
      <c r="T32" s="11"/>
      <c r="U32" s="7"/>
    </row>
    <row r="33" spans="2:21">
      <c r="B33" s="73" t="s">
        <v>89</v>
      </c>
      <c r="C33" s="50" t="e">
        <f>K28/C31</f>
        <v>#DIV/0!</v>
      </c>
      <c r="D33" s="183" t="s">
        <v>96</v>
      </c>
      <c r="E33" s="187"/>
      <c r="F33" s="183" t="s">
        <v>102</v>
      </c>
      <c r="G33" s="187"/>
      <c r="H33" s="183" t="s">
        <v>105</v>
      </c>
      <c r="I33" s="184"/>
      <c r="J33" s="181" t="s">
        <v>110</v>
      </c>
      <c r="K33" s="182"/>
      <c r="L33" s="182"/>
      <c r="M33" s="182"/>
      <c r="N33" s="155" t="s">
        <v>108</v>
      </c>
      <c r="O33" s="155"/>
      <c r="P33" s="11"/>
      <c r="Q33" s="11"/>
      <c r="R33" s="11"/>
      <c r="S33" s="11"/>
      <c r="T33" s="11"/>
      <c r="U33" s="7"/>
    </row>
    <row r="34" spans="2:21" ht="17.25" thickBot="1">
      <c r="B34" s="77" t="s">
        <v>90</v>
      </c>
      <c r="C34" s="51" t="e">
        <f>SUM(C28:G28)/SUM(C28:J28)</f>
        <v>#DIV/0!</v>
      </c>
      <c r="D34" s="171">
        <f>$C$31*$R$4/$I$7*(1+$R$6*0.01)*(1+$R$8*0.01)*(1+$T$4*0.01)*0.4</f>
        <v>0</v>
      </c>
      <c r="E34" s="172"/>
      <c r="F34" s="171">
        <f>$C$31*$R$4*(1+$R$6*0.01)*(1+$R$8*0.01)*(1+$T$4*0.01)*0.4/10000</f>
        <v>0</v>
      </c>
      <c r="G34" s="172"/>
      <c r="H34" s="171">
        <f>($I$13*$C$22*$K$6*$F$11*($Q$10+$Q$11+$Q$12+$Q$13+$Q$14+$Q$15)*$K$7)*$R$4*(1+$R$6*0.01)*(1+$R$8*0.01)*(1+$T$4*0.01)*0.4/10000</f>
        <v>0</v>
      </c>
      <c r="I34" s="173"/>
      <c r="J34" s="185" t="s">
        <v>109</v>
      </c>
      <c r="K34" s="186"/>
      <c r="L34" s="186"/>
      <c r="M34" s="186"/>
      <c r="N34" s="170"/>
      <c r="O34" s="170"/>
      <c r="P34" s="43"/>
      <c r="Q34" s="43"/>
      <c r="R34" s="43"/>
      <c r="S34" s="43"/>
      <c r="T34" s="43"/>
      <c r="U34" s="8"/>
    </row>
    <row r="38" spans="2:21">
      <c r="E38" s="64"/>
    </row>
    <row r="39" spans="2:21">
      <c r="E39" s="65"/>
    </row>
  </sheetData>
  <mergeCells count="54">
    <mergeCell ref="N16:O16"/>
    <mergeCell ref="E17:F17"/>
    <mergeCell ref="E16:F16"/>
    <mergeCell ref="N29:R29"/>
    <mergeCell ref="N30:R30"/>
    <mergeCell ref="E19:F19"/>
    <mergeCell ref="N26:S26"/>
    <mergeCell ref="N15:P15"/>
    <mergeCell ref="B2:U2"/>
    <mergeCell ref="N18:O18"/>
    <mergeCell ref="D33:E33"/>
    <mergeCell ref="B30:C30"/>
    <mergeCell ref="E20:F20"/>
    <mergeCell ref="E21:F21"/>
    <mergeCell ref="E18:F18"/>
    <mergeCell ref="B3:C3"/>
    <mergeCell ref="B9:C9"/>
    <mergeCell ref="H3:M3"/>
    <mergeCell ref="E3:F3"/>
    <mergeCell ref="O3:P3"/>
    <mergeCell ref="H20:I20"/>
    <mergeCell ref="J20:K20"/>
    <mergeCell ref="S29:U30"/>
    <mergeCell ref="T3:U3"/>
    <mergeCell ref="T4:U4"/>
    <mergeCell ref="E9:F9"/>
    <mergeCell ref="H9:I9"/>
    <mergeCell ref="R3:S3"/>
    <mergeCell ref="R4:S4"/>
    <mergeCell ref="R5:S5"/>
    <mergeCell ref="R6:S6"/>
    <mergeCell ref="R7:S7"/>
    <mergeCell ref="R8:S8"/>
    <mergeCell ref="N9:P9"/>
    <mergeCell ref="N10:O10"/>
    <mergeCell ref="N11:O11"/>
    <mergeCell ref="N13:O13"/>
    <mergeCell ref="N14:O14"/>
    <mergeCell ref="E13:F13"/>
    <mergeCell ref="N12:P12"/>
    <mergeCell ref="D34:E34"/>
    <mergeCell ref="N27:R27"/>
    <mergeCell ref="H21:I21"/>
    <mergeCell ref="J21:K21"/>
    <mergeCell ref="J33:M33"/>
    <mergeCell ref="H33:I33"/>
    <mergeCell ref="H34:I34"/>
    <mergeCell ref="J34:M34"/>
    <mergeCell ref="N33:O34"/>
    <mergeCell ref="F33:G33"/>
    <mergeCell ref="F34:G34"/>
    <mergeCell ref="H26:J26"/>
    <mergeCell ref="C26:G26"/>
    <mergeCell ref="D30:J30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200025</xdr:rowOff>
                  </from>
                  <to>
                    <xdr:col>2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200025</xdr:rowOff>
                  </from>
                  <to>
                    <xdr:col>2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200025</xdr:rowOff>
                  </from>
                  <to>
                    <xdr:col>2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2</xdr:col>
                    <xdr:colOff>228600</xdr:colOff>
                    <xdr:row>11</xdr:row>
                    <xdr:rowOff>200025</xdr:rowOff>
                  </from>
                  <to>
                    <xdr:col>2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200025</xdr:rowOff>
                  </from>
                  <to>
                    <xdr:col>2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2</xdr:col>
                    <xdr:colOff>228600</xdr:colOff>
                    <xdr:row>13</xdr:row>
                    <xdr:rowOff>200025</xdr:rowOff>
                  </from>
                  <to>
                    <xdr:col>2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200025</xdr:rowOff>
                  </from>
                  <to>
                    <xdr:col>2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200025</xdr:rowOff>
                  </from>
                  <to>
                    <xdr:col>2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4" name="Check Box 65">
              <controlPr defaultSize="0" autoFill="0" autoLine="0" autoPict="0">
                <anchor moveWithCells="1">
                  <from>
                    <xdr:col>5</xdr:col>
                    <xdr:colOff>228600</xdr:colOff>
                    <xdr:row>2</xdr:row>
                    <xdr:rowOff>200025</xdr:rowOff>
                  </from>
                  <to>
                    <xdr:col>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5" name="Check Box 66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200025</xdr:rowOff>
                  </from>
                  <to>
                    <xdr:col>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200025</xdr:rowOff>
                  </from>
                  <to>
                    <xdr:col>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7" name="Check Box 68">
              <controlPr defaultSize="0" autoFill="0" autoLine="0" autoPict="0">
                <anchor moveWithCells="1">
                  <from>
                    <xdr:col>15</xdr:col>
                    <xdr:colOff>228600</xdr:colOff>
                    <xdr:row>2</xdr:row>
                    <xdr:rowOff>200025</xdr:rowOff>
                  </from>
                  <to>
                    <xdr:col>15</xdr:col>
                    <xdr:colOff>485775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8" name="Check Box 69">
              <controlPr defaultSize="0" autoFill="0" autoLine="0" autoPict="0">
                <anchor moveWithCells="1">
                  <from>
                    <xdr:col>4</xdr:col>
                    <xdr:colOff>590550</xdr:colOff>
                    <xdr:row>19</xdr:row>
                    <xdr:rowOff>200025</xdr:rowOff>
                  </from>
                  <to>
                    <xdr:col>5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15</xdr:col>
                    <xdr:colOff>228600</xdr:colOff>
                    <xdr:row>8</xdr:row>
                    <xdr:rowOff>200025</xdr:rowOff>
                  </from>
                  <to>
                    <xdr:col>15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15</xdr:col>
                    <xdr:colOff>228600</xdr:colOff>
                    <xdr:row>11</xdr:row>
                    <xdr:rowOff>200025</xdr:rowOff>
                  </from>
                  <to>
                    <xdr:col>15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 moveWithCells="1">
                  <from>
                    <xdr:col>15</xdr:col>
                    <xdr:colOff>228600</xdr:colOff>
                    <xdr:row>12</xdr:row>
                    <xdr:rowOff>200025</xdr:rowOff>
                  </from>
                  <to>
                    <xdr:col>15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2" name="Check Box 76">
              <controlPr defaultSize="0" autoFill="0" autoLine="0" autoPict="0">
                <anchor moveWithCells="1">
                  <from>
                    <xdr:col>15</xdr:col>
                    <xdr:colOff>228600</xdr:colOff>
                    <xdr:row>3</xdr:row>
                    <xdr:rowOff>200025</xdr:rowOff>
                  </from>
                  <to>
                    <xdr:col>15</xdr:col>
                    <xdr:colOff>485775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3" name="Check Box 77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200025</xdr:rowOff>
                  </from>
                  <to>
                    <xdr:col>9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4" name="Check Box 78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200025</xdr:rowOff>
                  </from>
                  <to>
                    <xdr:col>9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5" name="Check Box 79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200025</xdr:rowOff>
                  </from>
                  <to>
                    <xdr:col>9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Check Box 80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200025</xdr:rowOff>
                  </from>
                  <to>
                    <xdr:col>9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7" name="Check Box 81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200025</xdr:rowOff>
                  </from>
                  <to>
                    <xdr:col>9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8" name="Check Box 82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200025</xdr:rowOff>
                  </from>
                  <to>
                    <xdr:col>9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9" name="Check Box 83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0" name="Check Box 84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1" name="Check Box 8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200025</xdr:rowOff>
                  </from>
                  <to>
                    <xdr:col>10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2" name="Check Box 86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200025</xdr:rowOff>
                  </from>
                  <to>
                    <xdr:col>10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3" name="Check Box 87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200025</xdr:rowOff>
                  </from>
                  <to>
                    <xdr:col>10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4" name="Check Box 88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200025</xdr:rowOff>
                  </from>
                  <to>
                    <xdr:col>10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5" name="Check Box 89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200025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6" name="Check Box 90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200025</xdr:rowOff>
                  </from>
                  <to>
                    <xdr:col>10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7" name="Check Box 91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8" name="Check Box 92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9" name="Check Box 93">
              <controlPr defaultSize="0" autoFill="0" autoLine="0" autoPict="0">
                <anchor moveWithCells="1">
                  <from>
                    <xdr:col>11</xdr:col>
                    <xdr:colOff>228600</xdr:colOff>
                    <xdr:row>8</xdr:row>
                    <xdr:rowOff>200025</xdr:rowOff>
                  </from>
                  <to>
                    <xdr:col>11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0" name="Check Box 94">
              <controlPr defaultSize="0" autoFill="0" autoLine="0" autoPict="0">
                <anchor moveWithCells="1">
                  <from>
                    <xdr:col>11</xdr:col>
                    <xdr:colOff>228600</xdr:colOff>
                    <xdr:row>9</xdr:row>
                    <xdr:rowOff>200025</xdr:rowOff>
                  </from>
                  <to>
                    <xdr:col>11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1" name="Check Box 95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200025</xdr:rowOff>
                  </from>
                  <to>
                    <xdr:col>11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2" name="Check Box 96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200025</xdr:rowOff>
                  </from>
                  <to>
                    <xdr:col>11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3" name="Check Box 97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200025</xdr:rowOff>
                  </from>
                  <to>
                    <xdr:col>11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4" name="Check Box 98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200025</xdr:rowOff>
                  </from>
                  <to>
                    <xdr:col>11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5" name="Check Box 99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6" name="Check Box 100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7" name="Check Box 101">
              <controlPr defaultSize="0" autoFill="0" autoLine="0" autoPict="0">
                <anchor moveWithCells="1">
                  <from>
                    <xdr:col>15</xdr:col>
                    <xdr:colOff>228600</xdr:colOff>
                    <xdr:row>4</xdr:row>
                    <xdr:rowOff>200025</xdr:rowOff>
                  </from>
                  <to>
                    <xdr:col>15</xdr:col>
                    <xdr:colOff>485775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8" name="Check Box 102">
              <controlPr defaultSize="0" autoFill="0" autoLine="0" autoPict="0">
                <anchor moveWithCells="1">
                  <from>
                    <xdr:col>14</xdr:col>
                    <xdr:colOff>228600</xdr:colOff>
                    <xdr:row>17</xdr:row>
                    <xdr:rowOff>200025</xdr:rowOff>
                  </from>
                  <to>
                    <xdr:col>14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9" name="Check Box 103">
              <controlPr defaultSize="0" autoFill="0" autoLine="0" autoPict="0">
                <anchor moveWithCells="1">
                  <from>
                    <xdr:col>14</xdr:col>
                    <xdr:colOff>228600</xdr:colOff>
                    <xdr:row>18</xdr:row>
                    <xdr:rowOff>200025</xdr:rowOff>
                  </from>
                  <to>
                    <xdr:col>14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0" name="Check Box 104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200025</xdr:rowOff>
                  </from>
                  <to>
                    <xdr:col>14</xdr:col>
                    <xdr:colOff>485775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1" name="Check Box 105">
              <controlPr defaultSize="0" autoFill="0" autoLine="0" autoPict="0">
                <anchor moveWithCells="1">
                  <from>
                    <xdr:col>14</xdr:col>
                    <xdr:colOff>228600</xdr:colOff>
                    <xdr:row>20</xdr:row>
                    <xdr:rowOff>200025</xdr:rowOff>
                  </from>
                  <to>
                    <xdr:col>14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2" name="Check Box 106">
              <controlPr defaultSize="0" autoFill="0" autoLine="0" autoPict="0">
                <anchor moveWithCells="1">
                  <from>
                    <xdr:col>14</xdr:col>
                    <xdr:colOff>228600</xdr:colOff>
                    <xdr:row>21</xdr:row>
                    <xdr:rowOff>200025</xdr:rowOff>
                  </from>
                  <to>
                    <xdr:col>14</xdr:col>
                    <xdr:colOff>485775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3" name="Check Box 107">
              <controlPr defaultSize="0" autoFill="0" autoLine="0" autoPict="0">
                <anchor moveWithCells="1">
                  <from>
                    <xdr:col>15</xdr:col>
                    <xdr:colOff>228600</xdr:colOff>
                    <xdr:row>9</xdr:row>
                    <xdr:rowOff>200025</xdr:rowOff>
                  </from>
                  <to>
                    <xdr:col>15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4" name="Check Box 109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200025</xdr:rowOff>
                  </from>
                  <to>
                    <xdr:col>2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5" name="Check Box 110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200025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6" name="Check Box 139">
              <controlPr defaultSize="0" autoFill="0" autoLine="0" autoPict="0">
                <anchor moveWithCells="1">
                  <from>
                    <xdr:col>2</xdr:col>
                    <xdr:colOff>228600</xdr:colOff>
                    <xdr:row>19</xdr:row>
                    <xdr:rowOff>200025</xdr:rowOff>
                  </from>
                  <to>
                    <xdr:col>2</xdr:col>
                    <xdr:colOff>485775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7" name="Check Box 143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200025</xdr:rowOff>
                  </from>
                  <to>
                    <xdr:col>15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8" name="Check Box 144">
              <controlPr defaultSize="0" autoFill="0" autoLine="0" autoPict="0">
                <anchor moveWithCells="1">
                  <from>
                    <xdr:col>15</xdr:col>
                    <xdr:colOff>228600</xdr:colOff>
                    <xdr:row>5</xdr:row>
                    <xdr:rowOff>200025</xdr:rowOff>
                  </from>
                  <to>
                    <xdr:col>15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E16C-4CB2-4FCD-978D-7C53ED59C56A}">
  <dimension ref="B1:U39"/>
  <sheetViews>
    <sheetView topLeftCell="A3" zoomScaleNormal="100" workbookViewId="0">
      <selection activeCell="D35" sqref="D35"/>
    </sheetView>
  </sheetViews>
  <sheetFormatPr defaultRowHeight="16.5"/>
  <cols>
    <col min="2" max="2" width="9.875" customWidth="1"/>
    <col min="7" max="7" width="9.5" bestFit="1" customWidth="1"/>
  </cols>
  <sheetData>
    <row r="1" spans="2:21" ht="17.25" thickBot="1"/>
    <row r="2" spans="2:21" ht="17.25" thickBot="1">
      <c r="B2" s="121" t="s">
        <v>92</v>
      </c>
      <c r="C2" s="122"/>
      <c r="D2" s="123"/>
      <c r="E2" s="122"/>
      <c r="F2" s="122"/>
      <c r="G2" s="123"/>
      <c r="H2" s="123"/>
      <c r="I2" s="123"/>
      <c r="J2" s="123"/>
      <c r="K2" s="123"/>
      <c r="L2" s="123"/>
      <c r="M2" s="123"/>
      <c r="N2" s="123"/>
      <c r="O2" s="122"/>
      <c r="P2" s="122"/>
      <c r="Q2" s="123"/>
      <c r="R2" s="123"/>
      <c r="S2" s="122"/>
      <c r="T2" s="122"/>
      <c r="U2" s="124"/>
    </row>
    <row r="3" spans="2:21" ht="17.25" thickBot="1">
      <c r="B3" s="125" t="s">
        <v>4</v>
      </c>
      <c r="C3" s="126"/>
      <c r="D3" s="38"/>
      <c r="E3" s="125" t="s">
        <v>25</v>
      </c>
      <c r="F3" s="126"/>
      <c r="G3" s="38"/>
      <c r="H3" s="125" t="s">
        <v>3</v>
      </c>
      <c r="I3" s="127"/>
      <c r="J3" s="127"/>
      <c r="K3" s="127"/>
      <c r="L3" s="127"/>
      <c r="M3" s="126"/>
      <c r="N3" s="38"/>
      <c r="O3" s="125" t="s">
        <v>35</v>
      </c>
      <c r="P3" s="126"/>
      <c r="Q3" s="38"/>
      <c r="R3" s="128" t="s">
        <v>97</v>
      </c>
      <c r="S3" s="129"/>
      <c r="T3" s="130" t="s">
        <v>99</v>
      </c>
      <c r="U3" s="131"/>
    </row>
    <row r="4" spans="2:21" ht="17.25" thickBot="1">
      <c r="B4" s="3" t="s">
        <v>0</v>
      </c>
      <c r="C4" s="4">
        <v>1550</v>
      </c>
      <c r="D4" s="11"/>
      <c r="E4" s="15" t="s">
        <v>29</v>
      </c>
      <c r="F4" s="16"/>
      <c r="G4" s="39" t="b">
        <v>0</v>
      </c>
      <c r="H4" s="13" t="s">
        <v>5</v>
      </c>
      <c r="I4" s="81">
        <f>$C$4*0.0002147</f>
        <v>0.332785</v>
      </c>
      <c r="J4" s="82" t="s">
        <v>8</v>
      </c>
      <c r="K4" s="81">
        <f>$C$5*0.0003218</f>
        <v>1.80208E-2</v>
      </c>
      <c r="L4" s="82" t="s">
        <v>16</v>
      </c>
      <c r="M4" s="71">
        <f>IF(($M$5+0.344+0.166*$Q$16)&gt;1,1,($M$5+0.344+0.166*$Q$16))</f>
        <v>0.74821499999999996</v>
      </c>
      <c r="N4" s="33">
        <f>($N$5+0.344)</f>
        <v>0.64821499999999999</v>
      </c>
      <c r="O4" s="13" t="s">
        <v>36</v>
      </c>
      <c r="P4" s="4"/>
      <c r="Q4" s="39" t="b">
        <v>1</v>
      </c>
      <c r="R4" s="132">
        <v>42332</v>
      </c>
      <c r="S4" s="133"/>
      <c r="T4" s="134">
        <v>8</v>
      </c>
      <c r="U4" s="135"/>
    </row>
    <row r="5" spans="2:21">
      <c r="B5" s="3" t="s">
        <v>1</v>
      </c>
      <c r="C5" s="4">
        <v>56</v>
      </c>
      <c r="D5" s="11"/>
      <c r="E5" s="12"/>
      <c r="F5" s="11"/>
      <c r="H5" s="13" t="s">
        <v>6</v>
      </c>
      <c r="I5" s="81">
        <f>$C$4/5821</f>
        <v>0.26627727194640094</v>
      </c>
      <c r="J5" s="82" t="s">
        <v>32</v>
      </c>
      <c r="K5" s="81">
        <f>IF($I$5+$G$4*0.1&lt;0.4,$I$5+$G$4*0.1,0.4)</f>
        <v>0.26627727194640094</v>
      </c>
      <c r="L5" s="82" t="s">
        <v>17</v>
      </c>
      <c r="M5" s="71">
        <f>($C$6*0.03579)*0.01+($F$14+$F$15)*0.01+$G$21*0.1+($D$15*0.05+$D$16*0.1+D17*0.15)</f>
        <v>0.40421499999999999</v>
      </c>
      <c r="N5" s="33">
        <f>($C$6*0.03579)*0.01+$G$7*0.25+($F$14+$F$15)*0.01+($D$15*0.05+$D$16*0.1+$D$17*0.15)</f>
        <v>0.30421500000000001</v>
      </c>
      <c r="O5" s="13" t="s">
        <v>74</v>
      </c>
      <c r="P5" s="4"/>
      <c r="Q5" s="39" t="b">
        <v>0</v>
      </c>
      <c r="R5" s="136" t="s">
        <v>95</v>
      </c>
      <c r="S5" s="137"/>
      <c r="T5" s="59"/>
      <c r="U5" s="60"/>
    </row>
    <row r="6" spans="2:21" ht="17.25" thickBot="1">
      <c r="B6" s="3" t="s">
        <v>2</v>
      </c>
      <c r="C6" s="4">
        <v>850</v>
      </c>
      <c r="D6" s="11"/>
      <c r="G6" s="39"/>
      <c r="H6" s="13" t="s">
        <v>7</v>
      </c>
      <c r="I6" s="81">
        <f>$C$7*0.02</f>
        <v>0.14000000000000001</v>
      </c>
      <c r="J6" s="82" t="s">
        <v>9</v>
      </c>
      <c r="K6" s="81">
        <f>2+0.5*$D$11+E17*0.01</f>
        <v>2.5</v>
      </c>
      <c r="L6" s="82" t="s">
        <v>31</v>
      </c>
      <c r="M6" s="71">
        <f>IF($K$5+0.16&lt;0.4,$K$5+0.16,0.4)</f>
        <v>0.4</v>
      </c>
      <c r="N6" s="33"/>
      <c r="O6" s="13" t="s">
        <v>113</v>
      </c>
      <c r="P6" s="4"/>
      <c r="Q6" s="39" t="b">
        <v>0</v>
      </c>
      <c r="R6" s="132">
        <v>29.61</v>
      </c>
      <c r="S6" s="138"/>
      <c r="T6" s="11"/>
      <c r="U6" s="7"/>
    </row>
    <row r="7" spans="2:21" ht="17.25" thickBot="1">
      <c r="B7" s="5" t="s">
        <v>107</v>
      </c>
      <c r="C7" s="66">
        <v>7</v>
      </c>
      <c r="D7" s="85"/>
      <c r="E7" s="11"/>
      <c r="F7" s="11"/>
      <c r="G7" s="39"/>
      <c r="H7" s="14" t="s">
        <v>24</v>
      </c>
      <c r="I7" s="18">
        <f>25*(1-$I$4)*(1-$I$6)*(1-$Q$6)*(1-$Q$10)*(1-$Q$16)+28*(1-$I$4)*(1-$I$6)*$Q$10+21*(1-$I$4)*(1-$I$6)*$Q$6*IF(COUNTIF(Q7,"true")&gt;0,21/22,1)+30*(1-$I$4)*(1-$I$6)*$Q$16</f>
        <v>14.3451225</v>
      </c>
      <c r="J7" s="83" t="s">
        <v>28</v>
      </c>
      <c r="K7" s="24">
        <f>1</f>
        <v>1</v>
      </c>
      <c r="L7" s="83" t="s">
        <v>30</v>
      </c>
      <c r="M7" s="84">
        <f>$K$5</f>
        <v>0.26627727194640094</v>
      </c>
      <c r="N7" s="32"/>
      <c r="O7" s="14" t="s">
        <v>106</v>
      </c>
      <c r="P7" s="6"/>
      <c r="Q7" s="39" t="b">
        <v>0</v>
      </c>
      <c r="R7" s="139" t="s">
        <v>98</v>
      </c>
      <c r="S7" s="140"/>
      <c r="T7" s="11"/>
      <c r="U7" s="7"/>
    </row>
    <row r="8" spans="2:21" ht="17.25" thickBot="1">
      <c r="B8" s="97"/>
      <c r="C8" s="98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07"/>
      <c r="R8" s="119">
        <v>2.5</v>
      </c>
      <c r="S8" s="120"/>
      <c r="T8" s="11"/>
      <c r="U8" s="7"/>
    </row>
    <row r="9" spans="2:21">
      <c r="B9" s="145" t="s">
        <v>10</v>
      </c>
      <c r="C9" s="195"/>
      <c r="D9" s="39"/>
      <c r="E9" s="125" t="s">
        <v>39</v>
      </c>
      <c r="F9" s="126"/>
      <c r="G9" s="11"/>
      <c r="H9" s="125" t="s">
        <v>47</v>
      </c>
      <c r="I9" s="147"/>
      <c r="J9" s="44" t="s">
        <v>77</v>
      </c>
      <c r="K9" s="45" t="s">
        <v>78</v>
      </c>
      <c r="L9" s="45" t="s">
        <v>79</v>
      </c>
      <c r="M9" s="99" t="s">
        <v>94</v>
      </c>
      <c r="N9" s="152" t="s">
        <v>127</v>
      </c>
      <c r="O9" s="192"/>
      <c r="P9" s="149"/>
      <c r="Q9" s="108"/>
      <c r="R9" s="11"/>
      <c r="S9" s="11"/>
      <c r="T9" s="11"/>
      <c r="U9" s="7"/>
    </row>
    <row r="10" spans="2:21">
      <c r="B10" s="3" t="s">
        <v>11</v>
      </c>
      <c r="C10" s="4"/>
      <c r="D10" s="39" t="b">
        <v>1</v>
      </c>
      <c r="E10" s="25" t="s">
        <v>38</v>
      </c>
      <c r="F10" s="21">
        <f>1.15+$Q$4*0.126</f>
        <v>1.2759999999999998</v>
      </c>
      <c r="G10" s="39"/>
      <c r="H10" s="13" t="s">
        <v>38</v>
      </c>
      <c r="I10" s="68">
        <f>3.45*(1+$G$21*0.05)*(1+R18*0.088)*(1+S18*0.14)*(1+M10*0.01)</f>
        <v>3.6225000000000005</v>
      </c>
      <c r="J10" s="29"/>
      <c r="K10" s="1"/>
      <c r="L10" s="1"/>
      <c r="M10" s="86">
        <v>0</v>
      </c>
      <c r="N10" s="188" t="s">
        <v>115</v>
      </c>
      <c r="O10" s="151"/>
      <c r="P10" s="100"/>
      <c r="Q10" s="109" t="b">
        <v>0</v>
      </c>
      <c r="R10" s="39"/>
      <c r="S10" s="39"/>
      <c r="T10" s="39"/>
      <c r="U10" s="7"/>
    </row>
    <row r="11" spans="2:21" ht="17.25" thickBot="1">
      <c r="B11" s="3" t="s">
        <v>12</v>
      </c>
      <c r="C11" s="4"/>
      <c r="D11" s="39" t="b">
        <v>1</v>
      </c>
      <c r="E11" s="26" t="s">
        <v>37</v>
      </c>
      <c r="F11" s="22">
        <v>1.4970000000000001</v>
      </c>
      <c r="G11" s="39"/>
      <c r="H11" s="13" t="s">
        <v>40</v>
      </c>
      <c r="I11" s="68">
        <f>14.2*(1+$G$21*0.05)*(1+R19*0.088)*(1+S19*0.14)*(1+M11*0.01)</f>
        <v>23.796360000000004</v>
      </c>
      <c r="J11" s="29"/>
      <c r="K11" s="1"/>
      <c r="L11" s="1"/>
      <c r="M11" s="86">
        <v>40</v>
      </c>
      <c r="N11" s="188" t="s">
        <v>114</v>
      </c>
      <c r="O11" s="151"/>
      <c r="P11" s="100"/>
      <c r="Q11" s="109" t="b">
        <v>0</v>
      </c>
      <c r="R11" s="39"/>
      <c r="S11" s="39"/>
      <c r="T11" s="39"/>
      <c r="U11" s="7"/>
    </row>
    <row r="12" spans="2:21" ht="17.25" thickBot="1">
      <c r="B12" s="3" t="s">
        <v>13</v>
      </c>
      <c r="C12" s="4"/>
      <c r="D12" s="39" t="b">
        <v>1</v>
      </c>
      <c r="E12" s="41"/>
      <c r="F12" s="41"/>
      <c r="G12" s="39"/>
      <c r="H12" s="13" t="s">
        <v>41</v>
      </c>
      <c r="I12" s="68">
        <f>32.35*(1+$G$21*0.05)*(1+R20*0.088)*(1+S20*0.14)*(1+M12*0.01)</f>
        <v>54.212130000000002</v>
      </c>
      <c r="J12" s="29"/>
      <c r="K12" s="1"/>
      <c r="L12" s="1"/>
      <c r="M12" s="86">
        <v>40</v>
      </c>
      <c r="N12" s="189" t="s">
        <v>126</v>
      </c>
      <c r="O12" s="190"/>
      <c r="P12" s="191"/>
      <c r="Q12" s="110"/>
      <c r="R12" s="39"/>
      <c r="S12" s="39"/>
      <c r="T12" s="39"/>
      <c r="U12" s="7"/>
    </row>
    <row r="13" spans="2:21">
      <c r="B13" s="3" t="s">
        <v>14</v>
      </c>
      <c r="C13" s="4"/>
      <c r="D13" s="39" t="b">
        <v>0</v>
      </c>
      <c r="E13" s="152" t="s">
        <v>48</v>
      </c>
      <c r="F13" s="149"/>
      <c r="G13" s="39"/>
      <c r="H13" s="13" t="s">
        <v>42</v>
      </c>
      <c r="I13" s="68">
        <f>43.98*(1+$G$21*0.05)*(1+S13*0.088)*(1+S21*0.14)*(1+M13*0.01)*(1-$Q$7)+24.43*(1+$G$21*0.05)*(1+S13*0.088)*(1+S21*0.14)*(1+M13*0.01)*$Q$7</f>
        <v>73.701684000000014</v>
      </c>
      <c r="J13" s="29"/>
      <c r="K13" s="1"/>
      <c r="L13" s="1"/>
      <c r="M13" s="86">
        <v>40</v>
      </c>
      <c r="N13" s="188" t="s">
        <v>116</v>
      </c>
      <c r="O13" s="151"/>
      <c r="P13" s="100"/>
      <c r="Q13" s="109" t="b">
        <v>0</v>
      </c>
      <c r="R13" s="39"/>
      <c r="S13" s="39"/>
      <c r="T13" s="39"/>
      <c r="U13" s="7"/>
    </row>
    <row r="14" spans="2:21">
      <c r="B14" s="3" t="s">
        <v>15</v>
      </c>
      <c r="C14" s="4"/>
      <c r="D14" s="39" t="b">
        <v>1</v>
      </c>
      <c r="E14" s="25" t="s">
        <v>49</v>
      </c>
      <c r="F14" s="27">
        <v>0</v>
      </c>
      <c r="G14" s="39"/>
      <c r="H14" s="13" t="s">
        <v>43</v>
      </c>
      <c r="I14" s="68">
        <f>(82.94-39.29*$P$19+59.24*($P$19*0+$P$20/8+$P$21*3/8+$P$22*5/8+$P$23*7/8))*(1+R22*0.088)*(1+S22*0.14)*(1+M14*0.01)</f>
        <v>191.46414000000001</v>
      </c>
      <c r="J14" s="29"/>
      <c r="K14" s="1"/>
      <c r="L14" s="1"/>
      <c r="M14" s="86">
        <v>40</v>
      </c>
      <c r="N14" s="188" t="s">
        <v>117</v>
      </c>
      <c r="O14" s="151"/>
      <c r="P14" s="100"/>
      <c r="Q14" s="109" t="b">
        <v>0</v>
      </c>
      <c r="R14" s="39"/>
      <c r="S14" s="39"/>
      <c r="T14" s="39"/>
      <c r="U14" s="7"/>
    </row>
    <row r="15" spans="2:21" ht="17.25" thickBot="1">
      <c r="B15" s="3" t="s">
        <v>18</v>
      </c>
      <c r="C15" s="4"/>
      <c r="D15" s="39" t="b">
        <v>0</v>
      </c>
      <c r="E15" s="61" t="s">
        <v>50</v>
      </c>
      <c r="F15" s="62"/>
      <c r="G15" s="39"/>
      <c r="H15" s="13" t="s">
        <v>112</v>
      </c>
      <c r="I15" s="68">
        <f>50.31*(1+$G$21*0.05)*(1+R23*0.088)*(1+S23*0.14)*(1+M15*0.01)</f>
        <v>84.309498000000005</v>
      </c>
      <c r="J15" s="29"/>
      <c r="K15" s="1"/>
      <c r="L15" s="1"/>
      <c r="M15" s="86">
        <v>40</v>
      </c>
      <c r="N15" s="189" t="s">
        <v>123</v>
      </c>
      <c r="O15" s="190"/>
      <c r="P15" s="191"/>
      <c r="Q15" s="110"/>
      <c r="R15" s="39"/>
      <c r="S15" s="39"/>
      <c r="T15" s="39"/>
      <c r="U15" s="7"/>
    </row>
    <row r="16" spans="2:21" ht="17.25" thickBot="1">
      <c r="B16" s="3" t="s">
        <v>19</v>
      </c>
      <c r="C16" s="4"/>
      <c r="D16" s="39" t="b">
        <v>0</v>
      </c>
      <c r="E16" s="125" t="s">
        <v>104</v>
      </c>
      <c r="F16" s="126"/>
      <c r="G16" s="39"/>
      <c r="H16" s="14" t="s">
        <v>46</v>
      </c>
      <c r="I16" s="69">
        <f>111*(1+$G$21*0.05)*(1+$K$4)*(1+R24*0.088)*(1+S24*0.14)*(1+M16*0.01)</f>
        <v>189.36591748704004</v>
      </c>
      <c r="J16" s="20"/>
      <c r="K16" s="30"/>
      <c r="L16" s="30"/>
      <c r="M16" s="87">
        <v>40</v>
      </c>
      <c r="N16" s="199" t="s">
        <v>122</v>
      </c>
      <c r="O16" s="200"/>
      <c r="P16" s="101"/>
      <c r="Q16" s="109" t="b">
        <v>0</v>
      </c>
      <c r="R16" s="39"/>
      <c r="S16" s="39"/>
      <c r="T16" s="39"/>
      <c r="U16" s="7"/>
    </row>
    <row r="17" spans="2:21" ht="17.25" thickBot="1">
      <c r="B17" s="3" t="s">
        <v>20</v>
      </c>
      <c r="C17" s="4"/>
      <c r="D17" s="39" t="b">
        <v>0</v>
      </c>
      <c r="E17" s="119"/>
      <c r="F17" s="120"/>
      <c r="G17" s="39"/>
      <c r="H17" s="11"/>
      <c r="I17" s="11"/>
      <c r="J17" s="11"/>
      <c r="K17" s="11"/>
      <c r="L17" s="11"/>
      <c r="M17" s="11"/>
      <c r="N17" s="11"/>
      <c r="O17" s="11"/>
      <c r="P17" s="39"/>
      <c r="Q17" s="111"/>
      <c r="R17" s="39"/>
      <c r="S17" s="39"/>
      <c r="T17" s="39"/>
      <c r="U17" s="7"/>
    </row>
    <row r="18" spans="2:21">
      <c r="B18" s="3" t="s">
        <v>118</v>
      </c>
      <c r="C18" s="4"/>
      <c r="D18" s="39" t="b">
        <v>0</v>
      </c>
      <c r="E18" s="156" t="s">
        <v>51</v>
      </c>
      <c r="F18" s="156"/>
      <c r="G18" s="39"/>
      <c r="H18" s="11"/>
      <c r="I18" s="11"/>
      <c r="J18" s="11"/>
      <c r="K18" s="11"/>
      <c r="L18" s="11"/>
      <c r="M18" s="11"/>
      <c r="N18" s="152" t="s">
        <v>93</v>
      </c>
      <c r="O18" s="149"/>
      <c r="P18" s="39"/>
      <c r="Q18" s="39" t="b">
        <v>0</v>
      </c>
      <c r="R18" s="39"/>
      <c r="S18" s="39"/>
      <c r="T18" s="39"/>
      <c r="U18" s="7"/>
    </row>
    <row r="19" spans="2:21" ht="17.25" thickBot="1">
      <c r="B19" s="3" t="s">
        <v>120</v>
      </c>
      <c r="C19" s="4"/>
      <c r="D19" s="39" t="b">
        <v>0</v>
      </c>
      <c r="E19" s="157" t="s">
        <v>52</v>
      </c>
      <c r="F19" s="157"/>
      <c r="G19" s="39"/>
      <c r="H19" s="11"/>
      <c r="I19" s="11"/>
      <c r="J19" s="11"/>
      <c r="K19" s="11"/>
      <c r="L19" s="11"/>
      <c r="M19" s="11"/>
      <c r="N19" s="46">
        <v>0</v>
      </c>
      <c r="O19" s="4"/>
      <c r="P19" s="39" t="b">
        <v>0</v>
      </c>
      <c r="Q19" s="39" t="b">
        <v>0</v>
      </c>
      <c r="R19" s="39" t="b">
        <v>0</v>
      </c>
      <c r="S19" s="39" t="b">
        <v>1</v>
      </c>
      <c r="T19" s="11"/>
      <c r="U19" s="7"/>
    </row>
    <row r="20" spans="2:21">
      <c r="B20" s="3" t="s">
        <v>119</v>
      </c>
      <c r="C20" s="4"/>
      <c r="D20" s="39" t="b">
        <v>1</v>
      </c>
      <c r="E20" s="125" t="s">
        <v>53</v>
      </c>
      <c r="F20" s="126"/>
      <c r="G20" s="39"/>
      <c r="H20" s="125" t="s">
        <v>81</v>
      </c>
      <c r="I20" s="127"/>
      <c r="J20" s="127" t="s">
        <v>82</v>
      </c>
      <c r="K20" s="126"/>
      <c r="L20" s="11"/>
      <c r="M20" s="11"/>
      <c r="N20" s="46">
        <v>0.25</v>
      </c>
      <c r="O20" s="4"/>
      <c r="P20" s="39" t="b">
        <v>0</v>
      </c>
      <c r="Q20" s="39" t="b">
        <v>0</v>
      </c>
      <c r="R20" s="39" t="b">
        <v>0</v>
      </c>
      <c r="S20" s="39" t="b">
        <v>1</v>
      </c>
      <c r="T20" s="11"/>
      <c r="U20" s="7"/>
    </row>
    <row r="21" spans="2:21" ht="17.25" thickBot="1">
      <c r="B21" s="5" t="s">
        <v>121</v>
      </c>
      <c r="C21" s="6"/>
      <c r="D21" s="39" t="b">
        <v>0</v>
      </c>
      <c r="E21" s="158"/>
      <c r="F21" s="159"/>
      <c r="G21" s="39" t="b">
        <v>1</v>
      </c>
      <c r="H21" s="160">
        <f>6/$I$7</f>
        <v>0.41826063179314082</v>
      </c>
      <c r="I21" s="161"/>
      <c r="J21" s="161">
        <f>IF($I$7&lt;9,($I$7-6)/$I$7,3/$I$7)</f>
        <v>0.20913031589657041</v>
      </c>
      <c r="K21" s="162"/>
      <c r="L21" s="11"/>
      <c r="M21" s="11"/>
      <c r="N21" s="46">
        <v>0.5</v>
      </c>
      <c r="O21" s="4"/>
      <c r="P21" s="39" t="b">
        <v>0</v>
      </c>
      <c r="Q21" s="39" t="b">
        <v>0</v>
      </c>
      <c r="R21" s="39" t="b">
        <v>0</v>
      </c>
      <c r="S21" s="39" t="b">
        <v>1</v>
      </c>
      <c r="T21" s="11"/>
      <c r="U21" s="7"/>
    </row>
    <row r="22" spans="2:21">
      <c r="B22" s="95" t="s">
        <v>34</v>
      </c>
      <c r="C22" s="96">
        <f>(1+$D$10*0.2)*(1+$D$12*($M$6*0.45))*(1+$D$18*0.15+$D$19*0.2+$D$20*0.25)*(1+$D$13*0.16+$D$14*0.18+$D$15*0.018+$D$16*0.036+$D$17*0.06)*(1-$D$11*0.02)</f>
        <v>2.0468280000000001</v>
      </c>
      <c r="D22" s="11"/>
      <c r="E22" s="11"/>
      <c r="F22" s="11"/>
      <c r="G22" s="11"/>
      <c r="H22" s="11"/>
      <c r="I22" s="11"/>
      <c r="J22" s="11"/>
      <c r="K22" s="11"/>
      <c r="L22" s="17"/>
      <c r="M22" s="11"/>
      <c r="N22" s="47">
        <v>0.75</v>
      </c>
      <c r="O22" s="4"/>
      <c r="P22" s="39" t="b">
        <v>1</v>
      </c>
      <c r="Q22" s="39" t="b">
        <v>0</v>
      </c>
      <c r="R22" s="39" t="b">
        <v>0</v>
      </c>
      <c r="S22" s="39" t="b">
        <v>1</v>
      </c>
      <c r="T22" s="11"/>
      <c r="U22" s="7"/>
    </row>
    <row r="23" spans="2:21" ht="17.25" thickBot="1">
      <c r="B23" s="3" t="s">
        <v>33</v>
      </c>
      <c r="C23" s="71">
        <f>(1+$D$10*0.2)*(1+$D$12*($M$7*0.45))*(1+$D$18*0.15+$D$19*0.2+$D$20*0.25)*(1+$D$13*0.16+$D$14*0.18+$D$15*0.018+$D$16*0.036+$D$17*0.06)*(1-$D$11*0.02)</f>
        <v>1.9424480501632022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48">
        <v>1</v>
      </c>
      <c r="O23" s="6"/>
      <c r="P23" s="39" t="b">
        <v>0</v>
      </c>
      <c r="Q23" s="39" t="b">
        <v>0</v>
      </c>
      <c r="R23" s="39" t="b">
        <v>0</v>
      </c>
      <c r="S23" s="39" t="b">
        <v>1</v>
      </c>
      <c r="T23" s="11"/>
      <c r="U23" s="7"/>
    </row>
    <row r="24" spans="2:21" ht="17.25" thickBot="1">
      <c r="B24" s="5" t="s">
        <v>8</v>
      </c>
      <c r="C24" s="72">
        <f>$C$22*(1+$D$21*0.32)*IF(COUNTIF($D$18:$D$20,"True")&gt;0,0,1)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39" t="b">
        <v>0</v>
      </c>
      <c r="R24" s="39" t="b">
        <v>0</v>
      </c>
      <c r="S24" s="39" t="b">
        <v>1</v>
      </c>
      <c r="T24" s="11"/>
      <c r="U24" s="7"/>
    </row>
    <row r="25" spans="2:21" ht="17.25" thickBot="1">
      <c r="B25" s="4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2"/>
      <c r="R25" s="102"/>
      <c r="S25" s="102"/>
      <c r="T25" s="11"/>
      <c r="U25" s="7"/>
    </row>
    <row r="26" spans="2:21">
      <c r="B26" s="2" t="s">
        <v>65</v>
      </c>
      <c r="C26" s="164" t="s">
        <v>63</v>
      </c>
      <c r="D26" s="164"/>
      <c r="E26" s="164"/>
      <c r="F26" s="164"/>
      <c r="G26" s="164"/>
      <c r="H26" s="164" t="s">
        <v>62</v>
      </c>
      <c r="I26" s="164"/>
      <c r="J26" s="164"/>
      <c r="K26" s="104" t="s">
        <v>43</v>
      </c>
      <c r="L26" s="35" t="s">
        <v>124</v>
      </c>
      <c r="M26" s="11"/>
      <c r="N26" s="155" t="s">
        <v>86</v>
      </c>
      <c r="O26" s="155"/>
      <c r="P26" s="155"/>
      <c r="Q26" s="155"/>
      <c r="R26" s="155"/>
      <c r="S26" s="155"/>
      <c r="T26" s="11"/>
      <c r="U26" s="7"/>
    </row>
    <row r="27" spans="2:21">
      <c r="B27" s="3" t="s">
        <v>61</v>
      </c>
      <c r="C27" s="34" t="s">
        <v>40</v>
      </c>
      <c r="D27" s="34" t="s">
        <v>41</v>
      </c>
      <c r="E27" s="34" t="s">
        <v>42</v>
      </c>
      <c r="F27" s="34" t="s">
        <v>112</v>
      </c>
      <c r="G27" s="34" t="s">
        <v>46</v>
      </c>
      <c r="H27" s="34" t="s">
        <v>38</v>
      </c>
      <c r="I27" s="88" t="s">
        <v>112</v>
      </c>
      <c r="J27" s="34" t="s">
        <v>41</v>
      </c>
      <c r="K27" s="34" t="s">
        <v>54</v>
      </c>
      <c r="L27" s="112" t="s">
        <v>125</v>
      </c>
      <c r="M27" s="11"/>
      <c r="N27" s="155" t="s">
        <v>73</v>
      </c>
      <c r="O27" s="155"/>
      <c r="P27" s="155"/>
      <c r="Q27" s="155"/>
      <c r="R27" s="155"/>
      <c r="S27" s="11"/>
      <c r="T27" s="11"/>
      <c r="U27" s="7"/>
    </row>
    <row r="28" spans="2:21">
      <c r="B28" s="73" t="s">
        <v>101</v>
      </c>
      <c r="C28" s="89">
        <f>$I$11*$C$22*($M$4*$K$6+(1-$M$4))*$F$11*($Q$10+$Q$11+$Q$13+$Q$14+$Q$16)*($D$18+$D$19+$D$20)*$K$7</f>
        <v>0</v>
      </c>
      <c r="D28" s="89">
        <f>$I$12*$C$22*(IF($M$4+0.45+0.25*$Q$5&lt;1,$M$4+0.15+0.25*$Q$5,1)*$K$6+(1-IF($M$4+0.45+0.25*$Q$5&lt;1,$M$4+0.15+0.25*$Q$5,1)))*$F$11*($Q$10+$Q$11+$Q$13+$Q$14+$Q$16)*$K$7</f>
        <v>0</v>
      </c>
      <c r="E28" s="89">
        <f>$I$13*$C$22*($K$6*$M$4+(1-$M$4))*$F$11*($Q$10+$Q$11+$Q$13+$Q$14+$Q$16)*$K$7</f>
        <v>0</v>
      </c>
      <c r="F28" s="89">
        <f>$I$15*$C$22*($M$4*$K$6+(1-$M$4))*$F$11*($Q$10+$Q$11+$Q$16+$Q$13/2+$Q$14/3)*$K$7</f>
        <v>0</v>
      </c>
      <c r="G28" s="89">
        <f>$I$16*$C$24*($M$4*$K$6+(1-$M$4))*$F$11*($Q$10+$Q$11+$Q$13+$Q$14)*$K$7</f>
        <v>0</v>
      </c>
      <c r="H28" s="89">
        <f>$I$10*$C$23*($M$4*$K$6+(1-$M$4))*($Q$10+$Q$14+$Q$16)*$K$7</f>
        <v>0</v>
      </c>
      <c r="I28" s="89">
        <f>$I$15*$C$23*($M$4*$K$6+(1-$M$4))*$F$11*($Q$14)/3</f>
        <v>0</v>
      </c>
      <c r="J28" s="89">
        <f>$I$12*$C$23*($M$4*$K$6+(1-$M$4))*$F$10*($Q$10+$Q$16)*$K$7</f>
        <v>0</v>
      </c>
      <c r="K28" s="89">
        <f>($I$14*(($N$4*$K$6+(1-$N$4))*$H$21*$F$11*$C$22+($N$5*$K$6+(1-$N$5))*(1-$H$21)*$J$21*$F$10*$C$23+($N$5*$K$6+(1-$N$5))*(1-$H$21)*(1-$H$21-$J$21)*$C$23)*($R$10+$R$11+$R$13+$R$14+$S$10+$S$11+$S$13+$S$14+$R$16+$S$16))*$K$7</f>
        <v>0</v>
      </c>
      <c r="L28" s="113"/>
      <c r="M28" s="64"/>
      <c r="N28" s="11" t="s">
        <v>75</v>
      </c>
      <c r="O28" s="11">
        <f>IF($M$4+0.45+0.25*$Q$5&lt;1,$M$4+0.45+0.25*$Q$5,1)</f>
        <v>1</v>
      </c>
      <c r="P28" s="11"/>
      <c r="Q28" s="11"/>
      <c r="R28" s="11"/>
      <c r="S28" s="11"/>
      <c r="T28" s="11"/>
      <c r="U28" s="7"/>
    </row>
    <row r="29" spans="2:21" ht="17.25" thickBot="1">
      <c r="B29" s="77" t="s">
        <v>103</v>
      </c>
      <c r="C29" s="57">
        <f>$C$28*$R$4*(1+$R$6*0.01)*(1+$R$8*0.01)*(1+$T$4*0.01)*0.4/10000</f>
        <v>0</v>
      </c>
      <c r="D29" s="57">
        <f>$D$28*$R$4*(1+$R$6*0.01)*(1+$R$8*0.01)*(1+$T$4*0.01)*0.4/10000</f>
        <v>0</v>
      </c>
      <c r="E29" s="57">
        <f>$E$28*$R$4*(1+$R$6*0.01)*(1+$R$8*0.01)*(1+$T$4*0.01)*0.4/10000</f>
        <v>0</v>
      </c>
      <c r="F29" s="57">
        <f>$F$28*$R$4*(1+$R$6*0.01)*(1+$R$8*0.01)*(1+$T$4*0.01)*0.4/10000</f>
        <v>0</v>
      </c>
      <c r="G29" s="57">
        <f>$G$28*$R$4*(1+$R$6*0.01)*(1+$R$8*0.01)*(1+$T$4*0.01)*0.4/10000</f>
        <v>0</v>
      </c>
      <c r="H29" s="57">
        <f>$H$28*$R$4*(1+$R$6*0.01)*(1+$R$8*0.01)*(1+$T$4*0.01)*0.4/10000</f>
        <v>0</v>
      </c>
      <c r="I29" s="57">
        <f>$I$28*$R$4*(1+$R$6*0.01)*(1+$R$8*0.01)*(1+$T$4*0.01)*0.4/10000</f>
        <v>0</v>
      </c>
      <c r="J29" s="57">
        <f>$J$28*$R$4*(1+$R$6*0.01)*(1+$R$8*0.01)*(1+$T$4*0.01)*0.4/10000</f>
        <v>0</v>
      </c>
      <c r="K29" s="57">
        <f>$K$28*$R$4*(1+$R$6*0.01)*(1+$R$8*0.01)*(1+$T$4*0.01)*0.4/10000</f>
        <v>0</v>
      </c>
      <c r="L29" s="114"/>
      <c r="M29" s="64"/>
      <c r="N29" s="155" t="s">
        <v>83</v>
      </c>
      <c r="O29" s="155"/>
      <c r="P29" s="155"/>
      <c r="Q29" s="155"/>
      <c r="R29" s="155"/>
      <c r="S29" s="155" t="s">
        <v>85</v>
      </c>
      <c r="T29" s="155"/>
      <c r="U29" s="165"/>
    </row>
    <row r="30" spans="2:21">
      <c r="B30" s="193" t="s">
        <v>91</v>
      </c>
      <c r="C30" s="194"/>
      <c r="D30" s="193" t="s">
        <v>64</v>
      </c>
      <c r="E30" s="201"/>
      <c r="F30" s="201"/>
      <c r="G30" s="201"/>
      <c r="H30" s="201"/>
      <c r="I30" s="201"/>
      <c r="J30" s="202"/>
      <c r="K30" s="94"/>
      <c r="L30" s="64"/>
      <c r="M30" s="64"/>
      <c r="N30" s="155" t="s">
        <v>84</v>
      </c>
      <c r="O30" s="155"/>
      <c r="P30" s="155"/>
      <c r="Q30" s="155"/>
      <c r="R30" s="155"/>
      <c r="S30" s="155"/>
      <c r="T30" s="155"/>
      <c r="U30" s="165"/>
    </row>
    <row r="31" spans="2:21">
      <c r="B31" s="73" t="s">
        <v>87</v>
      </c>
      <c r="C31" s="68">
        <f>SUM(C28:K28)</f>
        <v>0</v>
      </c>
      <c r="D31" s="74" t="s">
        <v>38</v>
      </c>
      <c r="E31" s="75" t="s">
        <v>40</v>
      </c>
      <c r="F31" s="75" t="s">
        <v>41</v>
      </c>
      <c r="G31" s="75" t="s">
        <v>42</v>
      </c>
      <c r="H31" s="75" t="s">
        <v>43</v>
      </c>
      <c r="I31" s="103" t="s">
        <v>112</v>
      </c>
      <c r="J31" s="76" t="s">
        <v>46</v>
      </c>
      <c r="K31" s="12"/>
      <c r="L31" s="64"/>
      <c r="M31" s="64"/>
      <c r="N31" s="11"/>
      <c r="O31" s="11"/>
      <c r="P31" s="11"/>
      <c r="Q31" s="11"/>
      <c r="R31" s="11"/>
      <c r="S31" s="11"/>
      <c r="T31" s="11"/>
      <c r="U31" s="7"/>
    </row>
    <row r="32" spans="2:21" ht="17.25" thickBot="1">
      <c r="B32" s="73" t="s">
        <v>88</v>
      </c>
      <c r="C32" s="50" t="e">
        <f>G28/C31</f>
        <v>#DIV/0!</v>
      </c>
      <c r="D32" s="93" t="e">
        <f>$H$28/SUM($C$28:$K$28)</f>
        <v>#DIV/0!</v>
      </c>
      <c r="E32" s="23" t="e">
        <f>$C$28/SUM($C$28:$K$28)</f>
        <v>#DIV/0!</v>
      </c>
      <c r="F32" s="23" t="e">
        <f>SUM($D$28,$J$28)/SUM($C$28:$K$28)</f>
        <v>#DIV/0!</v>
      </c>
      <c r="G32" s="23" t="e">
        <f>$E$28/SUM($C$28:$K$28)</f>
        <v>#DIV/0!</v>
      </c>
      <c r="H32" s="23" t="e">
        <f>$K$28/SUM($C$28:$K$28)</f>
        <v>#DIV/0!</v>
      </c>
      <c r="I32" s="23" t="e">
        <f>SUM($F$28,$I$28)/SUM($C$28:$K$28)</f>
        <v>#DIV/0!</v>
      </c>
      <c r="J32" s="19" t="e">
        <f>$G$28/SUM($C$28:$K$28)</f>
        <v>#DIV/0!</v>
      </c>
      <c r="K32" s="12"/>
      <c r="L32" s="64"/>
      <c r="M32" s="64"/>
      <c r="N32" s="11"/>
      <c r="O32" s="11"/>
      <c r="P32" s="11"/>
      <c r="Q32" s="11"/>
      <c r="R32" s="11"/>
      <c r="S32" s="11"/>
      <c r="T32" s="11"/>
      <c r="U32" s="7"/>
    </row>
    <row r="33" spans="2:21">
      <c r="B33" s="73" t="s">
        <v>89</v>
      </c>
      <c r="C33" s="50" t="e">
        <f>K28/C31</f>
        <v>#DIV/0!</v>
      </c>
      <c r="D33" s="183" t="s">
        <v>96</v>
      </c>
      <c r="E33" s="187"/>
      <c r="F33" s="183" t="s">
        <v>102</v>
      </c>
      <c r="G33" s="187"/>
      <c r="H33" s="183" t="s">
        <v>105</v>
      </c>
      <c r="I33" s="184"/>
      <c r="J33" s="181" t="s">
        <v>37</v>
      </c>
      <c r="K33" s="182"/>
      <c r="L33" s="182"/>
      <c r="M33" s="182"/>
      <c r="N33" s="155" t="s">
        <v>108</v>
      </c>
      <c r="O33" s="155"/>
      <c r="P33" s="11"/>
      <c r="Q33" s="11"/>
      <c r="R33" s="11"/>
      <c r="S33" s="11"/>
      <c r="T33" s="11"/>
      <c r="U33" s="7"/>
    </row>
    <row r="34" spans="2:21" ht="17.25" thickBot="1">
      <c r="B34" s="77" t="s">
        <v>90</v>
      </c>
      <c r="C34" s="51" t="e">
        <f>SUM(C28:G28)/SUM(C28:J28)</f>
        <v>#DIV/0!</v>
      </c>
      <c r="D34" s="171">
        <f>$C$31*$R$4/$I$7*(1+$R$6*0.01)*(1+$R$8*0.01)*(1+$T$4*0.01)*0.4</f>
        <v>0</v>
      </c>
      <c r="E34" s="172"/>
      <c r="F34" s="171">
        <f>$C$31*$R$4*(1+$R$6*0.01)*(1+$R$8*0.01)*(1+$T$4*0.01)*0.4/10000</f>
        <v>0</v>
      </c>
      <c r="G34" s="172"/>
      <c r="H34" s="171">
        <f>($I$13*$C$22*$K$6*$F$11*($Q$10+$Q$11+$Q$12+$Q$13+$Q$14+$Q$15)*$K$7)*$R$4*(1+$R$6*0.01)*(1+$R$8*0.01)*(1+$T$4*0.01)*0.4/10000</f>
        <v>0</v>
      </c>
      <c r="I34" s="173"/>
      <c r="J34" s="185"/>
      <c r="K34" s="186"/>
      <c r="L34" s="186"/>
      <c r="M34" s="186"/>
      <c r="N34" s="170"/>
      <c r="O34" s="170"/>
      <c r="P34" s="43"/>
      <c r="Q34" s="43"/>
      <c r="R34" s="43"/>
      <c r="S34" s="43"/>
      <c r="T34" s="43"/>
      <c r="U34" s="8"/>
    </row>
    <row r="38" spans="2:21">
      <c r="E38" s="64"/>
    </row>
    <row r="39" spans="2:21">
      <c r="E39" s="65"/>
    </row>
  </sheetData>
  <mergeCells count="53">
    <mergeCell ref="D33:E33"/>
    <mergeCell ref="F33:G33"/>
    <mergeCell ref="H33:I33"/>
    <mergeCell ref="N33:O34"/>
    <mergeCell ref="D34:E34"/>
    <mergeCell ref="F34:G34"/>
    <mergeCell ref="H34:I34"/>
    <mergeCell ref="J33:M34"/>
    <mergeCell ref="N27:R27"/>
    <mergeCell ref="N29:R29"/>
    <mergeCell ref="S29:U30"/>
    <mergeCell ref="B30:C30"/>
    <mergeCell ref="D30:J30"/>
    <mergeCell ref="N30:R30"/>
    <mergeCell ref="N26:S26"/>
    <mergeCell ref="E17:F17"/>
    <mergeCell ref="E18:F18"/>
    <mergeCell ref="N18:O18"/>
    <mergeCell ref="E19:F19"/>
    <mergeCell ref="E20:F20"/>
    <mergeCell ref="H20:I20"/>
    <mergeCell ref="J20:K20"/>
    <mergeCell ref="E21:F21"/>
    <mergeCell ref="H21:I21"/>
    <mergeCell ref="J21:K21"/>
    <mergeCell ref="C26:G26"/>
    <mergeCell ref="H26:J26"/>
    <mergeCell ref="E16:F16"/>
    <mergeCell ref="N16:O16"/>
    <mergeCell ref="B9:C9"/>
    <mergeCell ref="E9:F9"/>
    <mergeCell ref="H9:I9"/>
    <mergeCell ref="N9:P9"/>
    <mergeCell ref="N10:O10"/>
    <mergeCell ref="N11:O11"/>
    <mergeCell ref="N12:P12"/>
    <mergeCell ref="E13:F13"/>
    <mergeCell ref="N13:O13"/>
    <mergeCell ref="N14:O14"/>
    <mergeCell ref="N15:P15"/>
    <mergeCell ref="R8:S8"/>
    <mergeCell ref="B2:U2"/>
    <mergeCell ref="B3:C3"/>
    <mergeCell ref="E3:F3"/>
    <mergeCell ref="H3:M3"/>
    <mergeCell ref="O3:P3"/>
    <mergeCell ref="R3:S3"/>
    <mergeCell ref="T3:U3"/>
    <mergeCell ref="R4:S4"/>
    <mergeCell ref="T4:U4"/>
    <mergeCell ref="R5:S5"/>
    <mergeCell ref="R6:S6"/>
    <mergeCell ref="R7:S7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8</xdr:row>
                    <xdr:rowOff>200025</xdr:rowOff>
                  </from>
                  <to>
                    <xdr:col>2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9</xdr:row>
                    <xdr:rowOff>200025</xdr:rowOff>
                  </from>
                  <to>
                    <xdr:col>2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10</xdr:row>
                    <xdr:rowOff>200025</xdr:rowOff>
                  </from>
                  <to>
                    <xdr:col>2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11</xdr:row>
                    <xdr:rowOff>200025</xdr:rowOff>
                  </from>
                  <to>
                    <xdr:col>2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12</xdr:row>
                    <xdr:rowOff>200025</xdr:rowOff>
                  </from>
                  <to>
                    <xdr:col>2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13</xdr:row>
                    <xdr:rowOff>200025</xdr:rowOff>
                  </from>
                  <to>
                    <xdr:col>2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14</xdr:row>
                    <xdr:rowOff>200025</xdr:rowOff>
                  </from>
                  <to>
                    <xdr:col>2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15</xdr:row>
                    <xdr:rowOff>200025</xdr:rowOff>
                  </from>
                  <to>
                    <xdr:col>2</xdr:col>
                    <xdr:colOff>485775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16</xdr:row>
                    <xdr:rowOff>200025</xdr:rowOff>
                  </from>
                  <to>
                    <xdr:col>2</xdr:col>
                    <xdr:colOff>485775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5</xdr:col>
                    <xdr:colOff>228600</xdr:colOff>
                    <xdr:row>2</xdr:row>
                    <xdr:rowOff>200025</xdr:rowOff>
                  </from>
                  <to>
                    <xdr:col>5</xdr:col>
                    <xdr:colOff>485775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5" name="Check Box 13">
              <controlPr defaultSize="0" autoFill="0" autoLine="0" autoPict="0">
                <anchor moveWithCells="1">
                  <from>
                    <xdr:col>5</xdr:col>
                    <xdr:colOff>228600</xdr:colOff>
                    <xdr:row>2</xdr:row>
                    <xdr:rowOff>200025</xdr:rowOff>
                  </from>
                  <to>
                    <xdr:col>5</xdr:col>
                    <xdr:colOff>485775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6" name="Check Box 14">
              <controlPr defaultSize="0" autoFill="0" autoLine="0" autoPict="0">
                <anchor moveWithCells="1">
                  <from>
                    <xdr:col>15</xdr:col>
                    <xdr:colOff>228600</xdr:colOff>
                    <xdr:row>2</xdr:row>
                    <xdr:rowOff>200025</xdr:rowOff>
                  </from>
                  <to>
                    <xdr:col>15</xdr:col>
                    <xdr:colOff>485775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7" name="Check Box 15">
              <controlPr defaultSize="0" autoFill="0" autoLine="0" autoPict="0">
                <anchor moveWithCells="1">
                  <from>
                    <xdr:col>4</xdr:col>
                    <xdr:colOff>590550</xdr:colOff>
                    <xdr:row>19</xdr:row>
                    <xdr:rowOff>200025</xdr:rowOff>
                  </from>
                  <to>
                    <xdr:col>5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8" name="Check Box 16">
              <controlPr defaultSize="0" autoFill="0" autoLine="0" autoPict="0">
                <anchor moveWithCells="1">
                  <from>
                    <xdr:col>15</xdr:col>
                    <xdr:colOff>228600</xdr:colOff>
                    <xdr:row>8</xdr:row>
                    <xdr:rowOff>200025</xdr:rowOff>
                  </from>
                  <to>
                    <xdr:col>15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9" name="Check Box 17">
              <controlPr defaultSize="0" autoFill="0" autoLine="0" autoPict="0">
                <anchor moveWithCells="1">
                  <from>
                    <xdr:col>15</xdr:col>
                    <xdr:colOff>228600</xdr:colOff>
                    <xdr:row>11</xdr:row>
                    <xdr:rowOff>200025</xdr:rowOff>
                  </from>
                  <to>
                    <xdr:col>15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0" name="Check Box 18">
              <controlPr defaultSize="0" autoFill="0" autoLine="0" autoPict="0">
                <anchor moveWithCells="1">
                  <from>
                    <xdr:col>15</xdr:col>
                    <xdr:colOff>228600</xdr:colOff>
                    <xdr:row>12</xdr:row>
                    <xdr:rowOff>200025</xdr:rowOff>
                  </from>
                  <to>
                    <xdr:col>15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1" name="Check Box 19">
              <controlPr defaultSize="0" autoFill="0" autoLine="0" autoPict="0">
                <anchor moveWithCells="1">
                  <from>
                    <xdr:col>15</xdr:col>
                    <xdr:colOff>228600</xdr:colOff>
                    <xdr:row>3</xdr:row>
                    <xdr:rowOff>200025</xdr:rowOff>
                  </from>
                  <to>
                    <xdr:col>15</xdr:col>
                    <xdr:colOff>485775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2" name="Check Box 20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200025</xdr:rowOff>
                  </from>
                  <to>
                    <xdr:col>9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3" name="Check Box 21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200025</xdr:rowOff>
                  </from>
                  <to>
                    <xdr:col>9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4" name="Check Box 22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200025</xdr:rowOff>
                  </from>
                  <to>
                    <xdr:col>9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5" name="Check Box 23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200025</xdr:rowOff>
                  </from>
                  <to>
                    <xdr:col>9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6" name="Check Box 24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200025</xdr:rowOff>
                  </from>
                  <to>
                    <xdr:col>9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7" name="Check Box 25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200025</xdr:rowOff>
                  </from>
                  <to>
                    <xdr:col>9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8" name="Check Box 26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9" name="Check Box 27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200025</xdr:rowOff>
                  </from>
                  <to>
                    <xdr:col>9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0" name="Check Box 28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200025</xdr:rowOff>
                  </from>
                  <to>
                    <xdr:col>10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1" name="Check Box 29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200025</xdr:rowOff>
                  </from>
                  <to>
                    <xdr:col>10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2" name="Check Box 30">
              <controlPr defaultSize="0" autoFill="0" autoLine="0" autoPict="0">
                <anchor moveWithCells="1">
                  <from>
                    <xdr:col>10</xdr:col>
                    <xdr:colOff>228600</xdr:colOff>
                    <xdr:row>10</xdr:row>
                    <xdr:rowOff>200025</xdr:rowOff>
                  </from>
                  <to>
                    <xdr:col>10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3" name="Check Box 31">
              <controlPr defaultSize="0" autoFill="0" autoLine="0" autoPict="0">
                <anchor moveWithCells="1">
                  <from>
                    <xdr:col>10</xdr:col>
                    <xdr:colOff>228600</xdr:colOff>
                    <xdr:row>11</xdr:row>
                    <xdr:rowOff>200025</xdr:rowOff>
                  </from>
                  <to>
                    <xdr:col>10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4" name="Check Box 32">
              <controlPr defaultSize="0" autoFill="0" autoLine="0" autoPict="0">
                <anchor moveWithCells="1">
                  <from>
                    <xdr:col>10</xdr:col>
                    <xdr:colOff>228600</xdr:colOff>
                    <xdr:row>12</xdr:row>
                    <xdr:rowOff>200025</xdr:rowOff>
                  </from>
                  <to>
                    <xdr:col>10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5" name="Check Box 33">
              <controlPr defaultSize="0" autoFill="0" autoLine="0" autoPict="0">
                <anchor moveWithCells="1">
                  <from>
                    <xdr:col>10</xdr:col>
                    <xdr:colOff>228600</xdr:colOff>
                    <xdr:row>13</xdr:row>
                    <xdr:rowOff>200025</xdr:rowOff>
                  </from>
                  <to>
                    <xdr:col>10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6" name="Check Box 34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7" name="Check Box 35">
              <controlPr defaultSize="0" autoFill="0" autoLine="0" autoPict="0">
                <anchor moveWithCells="1">
                  <from>
                    <xdr:col>10</xdr:col>
                    <xdr:colOff>228600</xdr:colOff>
                    <xdr:row>14</xdr:row>
                    <xdr:rowOff>200025</xdr:rowOff>
                  </from>
                  <to>
                    <xdr:col>10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8" name="Check Box 36">
              <controlPr defaultSize="0" autoFill="0" autoLine="0" autoPict="0">
                <anchor moveWithCells="1">
                  <from>
                    <xdr:col>11</xdr:col>
                    <xdr:colOff>228600</xdr:colOff>
                    <xdr:row>8</xdr:row>
                    <xdr:rowOff>200025</xdr:rowOff>
                  </from>
                  <to>
                    <xdr:col>11</xdr:col>
                    <xdr:colOff>485775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9" name="Check Box 37">
              <controlPr defaultSize="0" autoFill="0" autoLine="0" autoPict="0">
                <anchor moveWithCells="1">
                  <from>
                    <xdr:col>11</xdr:col>
                    <xdr:colOff>228600</xdr:colOff>
                    <xdr:row>9</xdr:row>
                    <xdr:rowOff>200025</xdr:rowOff>
                  </from>
                  <to>
                    <xdr:col>11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0" name="Check Box 38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200025</xdr:rowOff>
                  </from>
                  <to>
                    <xdr:col>11</xdr:col>
                    <xdr:colOff>485775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1" name="Check Box 39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200025</xdr:rowOff>
                  </from>
                  <to>
                    <xdr:col>11</xdr:col>
                    <xdr:colOff>485775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11</xdr:col>
                    <xdr:colOff>228600</xdr:colOff>
                    <xdr:row>12</xdr:row>
                    <xdr:rowOff>200025</xdr:rowOff>
                  </from>
                  <to>
                    <xdr:col>11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11</xdr:col>
                    <xdr:colOff>228600</xdr:colOff>
                    <xdr:row>13</xdr:row>
                    <xdr:rowOff>200025</xdr:rowOff>
                  </from>
                  <to>
                    <xdr:col>11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200025</xdr:rowOff>
                  </from>
                  <to>
                    <xdr:col>11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15</xdr:col>
                    <xdr:colOff>228600</xdr:colOff>
                    <xdr:row>4</xdr:row>
                    <xdr:rowOff>200025</xdr:rowOff>
                  </from>
                  <to>
                    <xdr:col>15</xdr:col>
                    <xdr:colOff>485775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14</xdr:col>
                    <xdr:colOff>228600</xdr:colOff>
                    <xdr:row>17</xdr:row>
                    <xdr:rowOff>200025</xdr:rowOff>
                  </from>
                  <to>
                    <xdr:col>14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14</xdr:col>
                    <xdr:colOff>228600</xdr:colOff>
                    <xdr:row>18</xdr:row>
                    <xdr:rowOff>200025</xdr:rowOff>
                  </from>
                  <to>
                    <xdr:col>14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200025</xdr:rowOff>
                  </from>
                  <to>
                    <xdr:col>14</xdr:col>
                    <xdr:colOff>485775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>
                  <from>
                    <xdr:col>14</xdr:col>
                    <xdr:colOff>228600</xdr:colOff>
                    <xdr:row>20</xdr:row>
                    <xdr:rowOff>200025</xdr:rowOff>
                  </from>
                  <to>
                    <xdr:col>14</xdr:col>
                    <xdr:colOff>485775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>
                  <from>
                    <xdr:col>14</xdr:col>
                    <xdr:colOff>228600</xdr:colOff>
                    <xdr:row>21</xdr:row>
                    <xdr:rowOff>200025</xdr:rowOff>
                  </from>
                  <to>
                    <xdr:col>14</xdr:col>
                    <xdr:colOff>485775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>
                  <from>
                    <xdr:col>15</xdr:col>
                    <xdr:colOff>228600</xdr:colOff>
                    <xdr:row>9</xdr:row>
                    <xdr:rowOff>200025</xdr:rowOff>
                  </from>
                  <to>
                    <xdr:col>15</xdr:col>
                    <xdr:colOff>485775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200025</xdr:rowOff>
                  </from>
                  <to>
                    <xdr:col>2</xdr:col>
                    <xdr:colOff>485775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>
                  <from>
                    <xdr:col>2</xdr:col>
                    <xdr:colOff>228600</xdr:colOff>
                    <xdr:row>18</xdr:row>
                    <xdr:rowOff>200025</xdr:rowOff>
                  </from>
                  <to>
                    <xdr:col>2</xdr:col>
                    <xdr:colOff>485775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>
                  <from>
                    <xdr:col>2</xdr:col>
                    <xdr:colOff>228600</xdr:colOff>
                    <xdr:row>19</xdr:row>
                    <xdr:rowOff>200025</xdr:rowOff>
                  </from>
                  <to>
                    <xdr:col>2</xdr:col>
                    <xdr:colOff>485775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>
                  <from>
                    <xdr:col>15</xdr:col>
                    <xdr:colOff>228600</xdr:colOff>
                    <xdr:row>14</xdr:row>
                    <xdr:rowOff>200025</xdr:rowOff>
                  </from>
                  <to>
                    <xdr:col>15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>
                  <from>
                    <xdr:col>15</xdr:col>
                    <xdr:colOff>228600</xdr:colOff>
                    <xdr:row>5</xdr:row>
                    <xdr:rowOff>200025</xdr:rowOff>
                  </from>
                  <to>
                    <xdr:col>15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3059D-0E3A-4573-BF85-B8770A1CD9BC}">
  <dimension ref="B3:M14"/>
  <sheetViews>
    <sheetView workbookViewId="0">
      <selection activeCell="G9" sqref="G9:J9"/>
    </sheetView>
  </sheetViews>
  <sheetFormatPr defaultRowHeight="16.5"/>
  <sheetData>
    <row r="3" spans="2:13">
      <c r="B3" s="203" t="s">
        <v>59</v>
      </c>
      <c r="C3" s="203"/>
      <c r="D3" s="203"/>
    </row>
    <row r="4" spans="2:13" ht="17.25" thickBot="1"/>
    <row r="5" spans="2:13">
      <c r="B5" s="204" t="s">
        <v>55</v>
      </c>
      <c r="C5" s="205"/>
      <c r="D5" s="205"/>
      <c r="E5" s="206"/>
    </row>
    <row r="6" spans="2:13" ht="17.25" thickBot="1">
      <c r="B6" s="134">
        <v>82.94</v>
      </c>
      <c r="C6" s="207"/>
      <c r="D6" s="207"/>
      <c r="E6" s="135"/>
    </row>
    <row r="7" spans="2:13" ht="17.25" thickBot="1"/>
    <row r="8" spans="2:13">
      <c r="B8" s="204" t="s">
        <v>56</v>
      </c>
      <c r="C8" s="205"/>
      <c r="D8" s="205"/>
      <c r="E8" s="206"/>
      <c r="G8" s="204" t="s">
        <v>58</v>
      </c>
      <c r="H8" s="205"/>
      <c r="I8" s="205"/>
      <c r="J8" s="206"/>
    </row>
    <row r="9" spans="2:13" ht="17.25" thickBot="1">
      <c r="B9" s="208">
        <f>B6/40/1.4</f>
        <v>1.4810714285714288</v>
      </c>
      <c r="C9" s="209"/>
      <c r="D9" s="209"/>
      <c r="E9" s="210"/>
      <c r="G9" s="208">
        <f>B9*40</f>
        <v>59.242857142857154</v>
      </c>
      <c r="H9" s="209"/>
      <c r="I9" s="209"/>
      <c r="J9" s="210"/>
    </row>
    <row r="11" spans="2:13">
      <c r="B11" s="203" t="s">
        <v>57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</row>
    <row r="12" spans="2:13" ht="17.25" thickBot="1"/>
    <row r="13" spans="2:13">
      <c r="B13" s="204" t="s">
        <v>60</v>
      </c>
      <c r="C13" s="205"/>
      <c r="D13" s="205"/>
      <c r="E13" s="206"/>
    </row>
    <row r="14" spans="2:13" ht="17.25" thickBot="1">
      <c r="B14" s="134">
        <f>G9*7/8</f>
        <v>51.837500000000013</v>
      </c>
      <c r="C14" s="207"/>
      <c r="D14" s="207"/>
      <c r="E14" s="135"/>
    </row>
  </sheetData>
  <mergeCells count="10">
    <mergeCell ref="B3:D3"/>
    <mergeCell ref="B13:E13"/>
    <mergeCell ref="B14:E14"/>
    <mergeCell ref="B5:E5"/>
    <mergeCell ref="B6:E6"/>
    <mergeCell ref="B8:E8"/>
    <mergeCell ref="B9:E9"/>
    <mergeCell ref="B11:M11"/>
    <mergeCell ref="G8:J8"/>
    <mergeCell ref="G9:J9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9CE4-FD34-4928-B75B-52FC58681183}">
  <dimension ref="A1:Z39"/>
  <sheetViews>
    <sheetView tabSelected="1" zoomScaleNormal="100" workbookViewId="0">
      <selection activeCell="G32" sqref="G32"/>
    </sheetView>
  </sheetViews>
  <sheetFormatPr defaultRowHeight="16.5"/>
  <cols>
    <col min="2" max="2" width="8.625" customWidth="1"/>
    <col min="3" max="4" width="4.625" customWidth="1"/>
    <col min="7" max="7" width="9.5" bestFit="1" customWidth="1"/>
  </cols>
  <sheetData>
    <row r="1" spans="1:26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6">
      <c r="A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6">
      <c r="A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6">
      <c r="A4" s="117"/>
      <c r="B4" s="212" t="s">
        <v>129</v>
      </c>
      <c r="C4" s="212"/>
      <c r="D4" s="212"/>
      <c r="E4" s="117"/>
      <c r="F4" s="212" t="s">
        <v>137</v>
      </c>
      <c r="G4" s="212"/>
      <c r="H4" s="117"/>
      <c r="I4" s="212" t="s">
        <v>3</v>
      </c>
      <c r="J4" s="212"/>
      <c r="K4" s="212"/>
      <c r="L4" s="212"/>
      <c r="M4" s="212"/>
      <c r="N4" s="212"/>
      <c r="O4" s="212"/>
      <c r="P4" s="212"/>
      <c r="Q4" s="117"/>
      <c r="R4" s="117"/>
      <c r="S4" s="117"/>
      <c r="T4" s="117"/>
      <c r="U4" s="117"/>
    </row>
    <row r="5" spans="1:26">
      <c r="A5" s="117"/>
      <c r="B5" s="106" t="s">
        <v>0</v>
      </c>
      <c r="C5" s="203">
        <v>1800</v>
      </c>
      <c r="D5" s="203"/>
      <c r="E5" s="117"/>
      <c r="F5" s="117" t="s">
        <v>36</v>
      </c>
      <c r="G5" s="118" t="b">
        <v>0</v>
      </c>
      <c r="H5" s="117"/>
      <c r="I5" s="116" t="s">
        <v>5</v>
      </c>
      <c r="J5" s="214">
        <f>$C$5*0.0002147</f>
        <v>0.38645999999999997</v>
      </c>
      <c r="K5" s="116" t="s">
        <v>8</v>
      </c>
      <c r="L5" s="223">
        <f>$C$6*0.0003218</f>
        <v>1.609E-2</v>
      </c>
      <c r="M5" s="116" t="s">
        <v>142</v>
      </c>
      <c r="N5" s="214">
        <f>IF($C$7*0.0003579+$C$11*0.25+$P$10*0.1+$D$20*0.05+$D$21*0.1+$D$22*0.15+$N$10*0.01&gt;1,1,$C$7*0.0003579+$C$11*0.25+$P$10*0.1+$D$20*0.05+$D$21*0.1+$D$22*0.15+$N$10*0.01)</f>
        <v>0.33263500000000001</v>
      </c>
      <c r="O5" s="116" t="s">
        <v>144</v>
      </c>
      <c r="P5" s="214">
        <f>IF($J$6+$P$11*0.1&gt;0.4,0.4,$J$6+$P$11*0.1)</f>
        <v>0.30922521903453015</v>
      </c>
      <c r="Q5" s="117"/>
      <c r="R5" s="117"/>
      <c r="S5" s="117"/>
      <c r="T5" s="117"/>
      <c r="U5" s="117"/>
    </row>
    <row r="6" spans="1:26">
      <c r="A6" s="117"/>
      <c r="B6" s="106" t="s">
        <v>1</v>
      </c>
      <c r="C6" s="203">
        <v>50</v>
      </c>
      <c r="D6" s="203"/>
      <c r="E6" s="117"/>
      <c r="F6" s="117" t="s">
        <v>74</v>
      </c>
      <c r="G6" s="118" t="b">
        <v>0</v>
      </c>
      <c r="H6" s="117"/>
      <c r="I6" s="116" t="s">
        <v>6</v>
      </c>
      <c r="J6" s="214">
        <f>$C$5/5821</f>
        <v>0.30922521903453015</v>
      </c>
      <c r="K6" s="116" t="s">
        <v>176</v>
      </c>
      <c r="L6" s="216">
        <f>(1+$C$15*0.2)*(1+$C$17*0.45*$P$6)*(1+$C$18*0.16+$C$19*0.18+$D$20*0.018+$D$21*0.036+$D$22*0.06)*(1+$D$23*0.15+$D$24*0.2+$D$25*0.25)</f>
        <v>1.7218559999999998</v>
      </c>
      <c r="M6" s="116" t="s">
        <v>143</v>
      </c>
      <c r="N6" s="214">
        <f>IF($N$5+0.346+0.166*$G$13&gt;1,1,$N$5+0.346+0.166*$G$13)</f>
        <v>0.67863499999999999</v>
      </c>
      <c r="O6" s="116" t="s">
        <v>160</v>
      </c>
      <c r="P6" s="214">
        <f>IF($J$6+0.16+$P$11*0.1&gt;0.4,0.4,$J$6+0.16+$P$11*0.1)</f>
        <v>0.4</v>
      </c>
      <c r="Q6" s="117"/>
      <c r="R6" s="117"/>
      <c r="S6" s="117"/>
      <c r="T6" s="117"/>
      <c r="U6" s="117"/>
    </row>
    <row r="7" spans="1:26">
      <c r="A7" s="117"/>
      <c r="B7" s="106" t="s">
        <v>2</v>
      </c>
      <c r="C7" s="203">
        <v>650</v>
      </c>
      <c r="D7" s="203"/>
      <c r="E7" s="117"/>
      <c r="F7" s="117" t="s">
        <v>139</v>
      </c>
      <c r="G7" s="118" t="b">
        <v>0</v>
      </c>
      <c r="H7" s="117"/>
      <c r="I7" s="116" t="s">
        <v>146</v>
      </c>
      <c r="J7" s="215">
        <f>$J$10*(1-$J$5)*(1-$C$10*0.18)*(1-$L$10*0.02)</f>
        <v>8.85460928</v>
      </c>
      <c r="K7" s="116" t="s">
        <v>177</v>
      </c>
      <c r="L7" s="214">
        <f>(1+$C$15*0.2)*(1+$C$17*0.45*$P$5)*(1+$C$18*0.16+$C$19*0.18+$D$20*0.018+$D$21*0.036+$D$22*0.06)*(1+$D$23*0.15+$D$24*0.2+$D$25*0.25)</f>
        <v>1.6622496478268338</v>
      </c>
      <c r="M7" t="s">
        <v>145</v>
      </c>
      <c r="N7" s="214">
        <f>2+$C$16*0.5+$N$11*0.01</f>
        <v>2.5</v>
      </c>
      <c r="O7" s="116" t="s">
        <v>171</v>
      </c>
      <c r="P7" s="216">
        <f>IF($J$6+$P$11*0.1&gt;0.4,0.4,$J$6+$P$11*0.1)</f>
        <v>0.30922521903453015</v>
      </c>
      <c r="Q7" s="117"/>
      <c r="R7" s="117"/>
      <c r="S7" s="117"/>
      <c r="T7" s="117"/>
      <c r="U7" s="117"/>
    </row>
    <row r="8" spans="1:26">
      <c r="A8" s="117"/>
      <c r="C8" s="117"/>
      <c r="D8" s="117"/>
      <c r="E8" s="117"/>
      <c r="F8" s="117" t="s">
        <v>80</v>
      </c>
      <c r="G8" s="118" t="b">
        <v>0</v>
      </c>
      <c r="H8" s="117"/>
      <c r="L8" s="117"/>
      <c r="M8" s="217">
        <f>$C$7*0.0003579+$C$11*0.25+$D$20*0.05+$D$21*0.1+$D$22*0.15+$N$10*0.01</f>
        <v>0.33263500000000001</v>
      </c>
      <c r="N8" s="217">
        <f>IF($M$8+0.346+0.166*$G$13&gt;1,1,$M$8+0.346+0.166*$G$13)</f>
        <v>0.67863499999999999</v>
      </c>
      <c r="O8" s="117"/>
      <c r="P8" s="117"/>
      <c r="Q8" s="117"/>
      <c r="R8" s="117"/>
      <c r="S8" s="117"/>
      <c r="T8" s="117"/>
      <c r="U8" s="117"/>
    </row>
    <row r="9" spans="1:26">
      <c r="A9" s="117"/>
      <c r="B9" s="212" t="s">
        <v>130</v>
      </c>
      <c r="C9" s="212"/>
      <c r="D9" s="212"/>
      <c r="E9" s="117"/>
      <c r="F9" s="117" t="s">
        <v>140</v>
      </c>
      <c r="G9" s="118" t="b">
        <v>0</v>
      </c>
      <c r="H9" s="117"/>
      <c r="I9" s="212" t="s">
        <v>146</v>
      </c>
      <c r="J9" s="212"/>
      <c r="K9" s="212"/>
      <c r="L9" s="212"/>
      <c r="M9" s="212" t="s">
        <v>156</v>
      </c>
      <c r="N9" s="212"/>
      <c r="O9" s="212"/>
      <c r="P9" s="212"/>
      <c r="Q9" s="117"/>
      <c r="R9" s="117"/>
      <c r="S9" s="117"/>
      <c r="T9" s="117"/>
      <c r="U9" s="117"/>
    </row>
    <row r="10" spans="1:26">
      <c r="A10" s="117"/>
      <c r="B10" s="106" t="s">
        <v>26</v>
      </c>
      <c r="C10" s="211" t="b">
        <v>1</v>
      </c>
      <c r="D10" s="211"/>
      <c r="E10" s="117"/>
      <c r="F10" s="117" t="s">
        <v>106</v>
      </c>
      <c r="G10" s="118" t="b">
        <v>0</v>
      </c>
      <c r="H10" s="117"/>
      <c r="I10" s="213" t="s">
        <v>149</v>
      </c>
      <c r="J10" s="203">
        <v>22</v>
      </c>
      <c r="K10" s="203" t="s">
        <v>147</v>
      </c>
      <c r="L10" s="203">
        <v>10</v>
      </c>
      <c r="M10" t="s">
        <v>48</v>
      </c>
      <c r="O10" s="117" t="s">
        <v>155</v>
      </c>
      <c r="P10" s="118" t="b">
        <v>0</v>
      </c>
      <c r="Q10" s="117"/>
      <c r="R10" s="117"/>
      <c r="S10" s="117"/>
      <c r="T10" s="117"/>
      <c r="U10" s="117"/>
    </row>
    <row r="11" spans="1:26">
      <c r="A11" s="117"/>
      <c r="B11" s="106" t="s">
        <v>27</v>
      </c>
      <c r="C11" s="211" t="b">
        <v>0</v>
      </c>
      <c r="D11" s="211"/>
      <c r="E11" s="117"/>
      <c r="F11" s="117" t="s">
        <v>141</v>
      </c>
      <c r="G11" s="118" t="b">
        <v>0</v>
      </c>
      <c r="H11" s="117"/>
      <c r="I11" s="203"/>
      <c r="J11" s="203"/>
      <c r="K11" s="203"/>
      <c r="L11" s="203"/>
      <c r="M11" s="117" t="s">
        <v>104</v>
      </c>
      <c r="O11" s="117" t="s">
        <v>158</v>
      </c>
      <c r="P11" s="118" t="b">
        <v>0</v>
      </c>
      <c r="Q11" s="117"/>
      <c r="R11" s="117"/>
      <c r="S11" s="117"/>
      <c r="T11" s="117"/>
      <c r="U11" s="117"/>
    </row>
    <row r="12" spans="1:26">
      <c r="A12" s="117"/>
      <c r="B12" s="106" t="s">
        <v>124</v>
      </c>
      <c r="C12" s="211" t="b">
        <v>0</v>
      </c>
      <c r="D12" s="211"/>
      <c r="E12" s="117"/>
      <c r="F12" s="117" t="s">
        <v>138</v>
      </c>
      <c r="G12" s="118" t="b">
        <v>0</v>
      </c>
      <c r="H12" s="117"/>
      <c r="I12" s="117" t="s">
        <v>169</v>
      </c>
      <c r="J12" s="222">
        <f>1.497</f>
        <v>1.4970000000000001</v>
      </c>
      <c r="K12" s="117" t="s">
        <v>36</v>
      </c>
      <c r="L12" s="222">
        <f>1.15+$G$5*0.126</f>
        <v>1.1499999999999999</v>
      </c>
      <c r="M12" s="117" t="s">
        <v>157</v>
      </c>
      <c r="N12">
        <v>4</v>
      </c>
      <c r="O12" s="117" t="s">
        <v>99</v>
      </c>
      <c r="P12" s="117">
        <v>8</v>
      </c>
      <c r="Q12" s="117"/>
      <c r="R12" s="117"/>
      <c r="S12" s="117"/>
      <c r="T12" s="117"/>
      <c r="U12" s="219"/>
      <c r="V12" s="12"/>
      <c r="W12" s="12"/>
      <c r="X12" s="12"/>
    </row>
    <row r="13" spans="1:26">
      <c r="A13" s="117"/>
      <c r="C13" s="117"/>
      <c r="D13" s="225">
        <f>$C$10*1.51+$C$11*1.29</f>
        <v>1.51</v>
      </c>
      <c r="E13" s="117"/>
      <c r="F13" s="117" t="s">
        <v>159</v>
      </c>
      <c r="G13" s="118" t="b">
        <v>0</v>
      </c>
      <c r="H13" s="117"/>
      <c r="I13" s="216">
        <f>6/J7</f>
        <v>0.67761318543464855</v>
      </c>
      <c r="J13" s="221">
        <f>IF(3/(J7-6)&gt;1,(J7-6)/J7,3/J7)</f>
        <v>0.32238681456535145</v>
      </c>
      <c r="L13" s="117"/>
      <c r="M13" s="117"/>
      <c r="N13" s="117"/>
      <c r="O13" s="117"/>
      <c r="P13" s="117"/>
      <c r="Q13" s="117"/>
      <c r="R13" s="117"/>
      <c r="S13" s="117"/>
      <c r="T13" s="117"/>
      <c r="U13" s="219"/>
      <c r="V13" s="12"/>
      <c r="W13" s="12"/>
      <c r="X13" s="12"/>
    </row>
    <row r="14" spans="1:26">
      <c r="A14" s="117"/>
      <c r="B14" s="212" t="s">
        <v>10</v>
      </c>
      <c r="C14" s="212"/>
      <c r="D14" s="212"/>
      <c r="E14" s="117"/>
      <c r="G14" s="117"/>
      <c r="H14" s="117"/>
      <c r="I14" s="212" t="s">
        <v>61</v>
      </c>
      <c r="J14" s="212"/>
      <c r="K14" s="212"/>
      <c r="L14" s="212"/>
      <c r="M14" s="212"/>
      <c r="N14" s="212"/>
      <c r="O14" s="212" t="s">
        <v>153</v>
      </c>
      <c r="P14" s="212"/>
      <c r="Q14" s="117"/>
      <c r="R14" s="117"/>
      <c r="S14" s="117"/>
      <c r="T14" s="117"/>
      <c r="U14" s="219"/>
      <c r="V14" s="12"/>
      <c r="W14" s="220"/>
      <c r="X14" s="12"/>
    </row>
    <row r="15" spans="1:26">
      <c r="A15" s="117"/>
      <c r="B15" s="105" t="s">
        <v>11</v>
      </c>
      <c r="C15" s="211" t="b">
        <v>1</v>
      </c>
      <c r="D15" s="211"/>
      <c r="E15" s="117"/>
      <c r="F15" s="117"/>
      <c r="G15" s="117"/>
      <c r="H15" s="117"/>
      <c r="I15" s="203" t="s">
        <v>150</v>
      </c>
      <c r="J15" s="203" t="s">
        <v>151</v>
      </c>
      <c r="K15" s="203" t="s">
        <v>152</v>
      </c>
      <c r="L15" s="203"/>
      <c r="M15" s="203" t="s">
        <v>161</v>
      </c>
      <c r="N15" s="203" t="s">
        <v>162</v>
      </c>
      <c r="O15" s="203" t="s">
        <v>154</v>
      </c>
      <c r="P15" s="203" t="s">
        <v>38</v>
      </c>
      <c r="Q15" s="117"/>
      <c r="V15" s="12"/>
      <c r="W15" s="220"/>
      <c r="X15" s="12"/>
    </row>
    <row r="16" spans="1:26">
      <c r="A16" s="117"/>
      <c r="B16" s="105" t="s">
        <v>12</v>
      </c>
      <c r="C16" s="211" t="b">
        <v>1</v>
      </c>
      <c r="D16" s="211"/>
      <c r="E16" s="117"/>
      <c r="F16" s="117"/>
      <c r="G16" s="117"/>
      <c r="H16" s="117"/>
      <c r="I16" s="203"/>
      <c r="J16" s="203"/>
      <c r="K16" s="218">
        <v>11</v>
      </c>
      <c r="L16" s="117">
        <v>12</v>
      </c>
      <c r="M16" s="203"/>
      <c r="N16" s="203"/>
      <c r="O16" s="203"/>
      <c r="P16" s="203"/>
      <c r="Q16" s="117"/>
      <c r="R16" s="212" t="s">
        <v>170</v>
      </c>
      <c r="S16" s="212"/>
      <c r="T16" s="212"/>
      <c r="U16" s="212"/>
      <c r="V16" s="219"/>
      <c r="W16" s="237" t="s">
        <v>180</v>
      </c>
      <c r="X16" s="237"/>
      <c r="Y16" s="237"/>
      <c r="Z16" s="237"/>
    </row>
    <row r="17" spans="1:26">
      <c r="A17" s="117"/>
      <c r="B17" s="105" t="s">
        <v>13</v>
      </c>
      <c r="C17" s="211" t="b">
        <v>1</v>
      </c>
      <c r="D17" s="211"/>
      <c r="E17" s="117"/>
      <c r="F17" s="117"/>
      <c r="G17" s="117"/>
      <c r="H17" s="117"/>
      <c r="I17" s="116" t="s">
        <v>38</v>
      </c>
      <c r="J17" s="64">
        <f>3.45*(1+$P$10*0.05)*(1+K17*0.088)*(1+L17*0.14)*(1+M17*0.01)*N17</f>
        <v>3.45</v>
      </c>
      <c r="K17" s="118" t="b">
        <v>0</v>
      </c>
      <c r="L17" s="118" t="b">
        <v>0</v>
      </c>
      <c r="M17" s="117">
        <v>0</v>
      </c>
      <c r="N17" s="117">
        <v>1</v>
      </c>
      <c r="O17" s="232" t="b">
        <v>0</v>
      </c>
      <c r="P17" s="232" t="b">
        <v>0</v>
      </c>
      <c r="Q17" s="117"/>
      <c r="R17" s="203" t="s">
        <v>154</v>
      </c>
      <c r="S17" s="203"/>
      <c r="T17" s="203" t="s">
        <v>38</v>
      </c>
      <c r="U17" s="203"/>
      <c r="V17" s="12"/>
      <c r="W17" s="235" t="s">
        <v>178</v>
      </c>
      <c r="X17" s="235"/>
      <c r="Y17" s="203" t="s">
        <v>181</v>
      </c>
      <c r="Z17" s="203"/>
    </row>
    <row r="18" spans="1:26">
      <c r="A18" s="117"/>
      <c r="B18" s="105" t="s">
        <v>14</v>
      </c>
      <c r="C18" s="211" t="b">
        <v>0</v>
      </c>
      <c r="D18" s="211"/>
      <c r="E18" s="117"/>
      <c r="F18" s="212" t="s">
        <v>148</v>
      </c>
      <c r="G18" s="212"/>
      <c r="H18" s="64"/>
      <c r="I18" s="116" t="s">
        <v>40</v>
      </c>
      <c r="J18" s="64">
        <f>14.2*(1+$P$10*0.05)*(1+K18*0.088)*(1+L18*0.14)*(1+M18*0.01)*N18</f>
        <v>19.587480000000003</v>
      </c>
      <c r="K18" s="118" t="b">
        <v>0</v>
      </c>
      <c r="L18" s="118" t="b">
        <v>1</v>
      </c>
      <c r="M18" s="117">
        <v>21</v>
      </c>
      <c r="N18" s="117">
        <v>1</v>
      </c>
      <c r="O18" s="232" t="b">
        <v>1</v>
      </c>
      <c r="P18" s="232" t="b">
        <v>0</v>
      </c>
      <c r="Q18" s="117"/>
      <c r="R18" s="117" t="s">
        <v>40</v>
      </c>
      <c r="S18" s="224">
        <f>J18*($N$6*$N$7+(1-$N$6))*$J$12*$L$6*O18</f>
        <v>101.88450362973197</v>
      </c>
      <c r="T18" s="117" t="s">
        <v>40</v>
      </c>
      <c r="U18" s="224">
        <f>J18*($N$6*$N$7+(1-$N$6))*$L$12*$L$6*P18</f>
        <v>0</v>
      </c>
      <c r="V18" s="12"/>
      <c r="W18" s="117" t="s">
        <v>40</v>
      </c>
      <c r="X18" s="220">
        <f>$T$27/SUM(S18+U18)</f>
        <v>27.112443615461878</v>
      </c>
      <c r="Y18" s="117" t="s">
        <v>40</v>
      </c>
      <c r="Z18" s="236">
        <f>SUM(S18+U18)*(1+$N$12*0.01)*(1+$P$12*0.01)*(1+$F$19*0.01)*$F$21*$D$13/10000*0.4</f>
        <v>386.61781531856036</v>
      </c>
    </row>
    <row r="19" spans="1:26">
      <c r="A19" s="117"/>
      <c r="B19" s="105" t="s">
        <v>15</v>
      </c>
      <c r="C19" s="211" t="b">
        <v>1</v>
      </c>
      <c r="D19" s="211"/>
      <c r="E19" s="117"/>
      <c r="F19" s="203">
        <v>29.61</v>
      </c>
      <c r="G19" s="203"/>
      <c r="H19" s="64"/>
      <c r="I19" s="116" t="s">
        <v>41</v>
      </c>
      <c r="J19" s="64">
        <f>32.35*(1+$P$10*0.05)*(1+K19*0.088)*(1+L19*0.14)*(1+M19*0.01)*N19</f>
        <v>51.630600000000001</v>
      </c>
      <c r="K19" s="118" t="b">
        <v>0</v>
      </c>
      <c r="L19" s="118" t="b">
        <v>1</v>
      </c>
      <c r="M19" s="117">
        <v>40</v>
      </c>
      <c r="N19" s="117">
        <v>1</v>
      </c>
      <c r="O19" s="232" t="b">
        <v>1</v>
      </c>
      <c r="P19" s="232" t="b">
        <v>0</v>
      </c>
      <c r="Q19" s="117"/>
      <c r="R19" s="117" t="s">
        <v>41</v>
      </c>
      <c r="S19" s="224">
        <f>J19*($N$6*$N$7+(1-$N$6))*$J$12*$L$6*O19</f>
        <v>268.5571626929671</v>
      </c>
      <c r="T19" s="117" t="s">
        <v>41</v>
      </c>
      <c r="U19" s="224">
        <f>J19*($N$6*$N$7+(1-$N$6))*$L$12*$L$7*P19</f>
        <v>0</v>
      </c>
      <c r="V19" s="12"/>
      <c r="W19" s="117" t="s">
        <v>41</v>
      </c>
      <c r="X19" s="220">
        <f>$T$27/SUM(S19+U19)</f>
        <v>10.285846902205034</v>
      </c>
      <c r="Y19" s="117" t="s">
        <v>41</v>
      </c>
      <c r="Z19" s="236">
        <f>SUM(S19+U19)*(1+$N$12*0.01)*(1+$P$12*0.01)*(1+$F$19*0.01)*$F$21*$D$13/10000*0.4</f>
        <v>1019.0851388533118</v>
      </c>
    </row>
    <row r="20" spans="1:26">
      <c r="A20" s="117"/>
      <c r="B20" s="142" t="s">
        <v>132</v>
      </c>
      <c r="C20" s="116" t="s">
        <v>134</v>
      </c>
      <c r="D20" s="118" t="b">
        <v>0</v>
      </c>
      <c r="E20" s="117"/>
      <c r="F20" s="212" t="s">
        <v>168</v>
      </c>
      <c r="G20" s="212"/>
      <c r="H20" s="64"/>
      <c r="I20" s="116" t="s">
        <v>42</v>
      </c>
      <c r="J20" s="64">
        <f>43.98*(1+$P$10*0.05)*(1+K20*0.088)*(1+L20*0.14)*(1+M20*0.01)*(1-G10)*N20+24.43*(1+$P$10*0.05)*(1+K20*0.088)*(1+L20*0.14)*(1+M20*0.01)*G10*N20</f>
        <v>70.19207999999999</v>
      </c>
      <c r="K20" s="118" t="b">
        <v>0</v>
      </c>
      <c r="L20" s="118" t="b">
        <v>1</v>
      </c>
      <c r="M20" s="117">
        <v>40</v>
      </c>
      <c r="N20" s="117">
        <v>1</v>
      </c>
      <c r="O20" s="232" t="b">
        <v>1</v>
      </c>
      <c r="P20" s="232" t="b">
        <v>0</v>
      </c>
      <c r="Q20" s="117"/>
      <c r="R20" s="117" t="s">
        <v>42</v>
      </c>
      <c r="S20" s="224">
        <f>J20*($N$6*$N$7+(1-$N$6))*$J$12*$L$6*O20</f>
        <v>365.1049154632671</v>
      </c>
      <c r="T20" s="117" t="s">
        <v>42</v>
      </c>
      <c r="U20" s="224">
        <f>J20*($N$6*$N$7+(1-$N$6))*$L$12*$L$7*P20</f>
        <v>0</v>
      </c>
      <c r="V20" s="12"/>
      <c r="W20" s="117" t="s">
        <v>42</v>
      </c>
      <c r="X20" s="220">
        <f>$T$27/SUM(S20+U20)</f>
        <v>7.5658741993254415</v>
      </c>
      <c r="Y20" s="117" t="s">
        <v>42</v>
      </c>
      <c r="Z20" s="236">
        <f>SUM(S20+U20)*(1+$N$12*0.01)*(1+$P$12*0.01)*(1+$F$19*0.01)*$F$21*$D$13/10000*0.4</f>
        <v>1385.4517590964033</v>
      </c>
    </row>
    <row r="21" spans="1:26">
      <c r="A21" s="117"/>
      <c r="B21" s="142"/>
      <c r="C21" s="116" t="s">
        <v>135</v>
      </c>
      <c r="D21" s="118" t="b">
        <v>1</v>
      </c>
      <c r="E21" s="117"/>
      <c r="F21" s="203">
        <v>43156</v>
      </c>
      <c r="G21" s="203"/>
      <c r="H21" s="64"/>
      <c r="I21" s="116" t="s">
        <v>112</v>
      </c>
      <c r="J21" s="64">
        <f>50.31*(1+$P$10*0.05)*(1+K21*0.088)*(1+L21*0.14)*(1+M21*0.01)*N21</f>
        <v>60.875100000000003</v>
      </c>
      <c r="K21" s="118" t="b">
        <v>0</v>
      </c>
      <c r="L21" s="118" t="b">
        <v>0</v>
      </c>
      <c r="M21" s="117">
        <v>21</v>
      </c>
      <c r="N21" s="117">
        <v>1</v>
      </c>
      <c r="O21" s="232" t="b">
        <v>0</v>
      </c>
      <c r="P21" s="232" t="b">
        <v>0</v>
      </c>
      <c r="Q21" s="117"/>
      <c r="R21" s="117" t="s">
        <v>112</v>
      </c>
      <c r="S21" s="224">
        <f>J21*($N$6*$N$7+(1-$N$6))*$J$12*$L$6*O21</f>
        <v>0</v>
      </c>
      <c r="T21" s="117" t="s">
        <v>112</v>
      </c>
      <c r="U21" s="224">
        <f>J21*($N$6*$N$7+(1-$N$6))*$L$12*$L$7*P21</f>
        <v>0</v>
      </c>
      <c r="V21" s="12"/>
      <c r="W21" s="117" t="s">
        <v>112</v>
      </c>
      <c r="X21" s="220" t="e">
        <f>$T$27/SUM(S21+U21)</f>
        <v>#DIV/0!</v>
      </c>
      <c r="Y21" s="117" t="s">
        <v>112</v>
      </c>
      <c r="Z21" s="236">
        <f>SUM(S21+U21)*(1+$N$12*0.01)*(1+$P$12*0.01)*(1+$F$19*0.01)*$F$21*$D$13/10000*0.4</f>
        <v>0</v>
      </c>
    </row>
    <row r="22" spans="1:26">
      <c r="A22" s="117"/>
      <c r="B22" s="142"/>
      <c r="C22" s="116" t="s">
        <v>136</v>
      </c>
      <c r="D22" s="118" t="b">
        <v>0</v>
      </c>
      <c r="E22" s="117"/>
      <c r="F22" s="117"/>
      <c r="G22" s="117"/>
      <c r="H22" s="64"/>
      <c r="I22" s="116" t="s">
        <v>43</v>
      </c>
      <c r="J22" s="64">
        <f>(82.94-39.29*$G$24+59.24*($G$24*0+$G$25/8+$G$26*3/8+$G$27*5/8+$G$28*7/8))*(1+$K$22*0.088)*(1+$L$22*0.14)*(1+$M$22*0.01)*$N$22</f>
        <v>177.78813000000002</v>
      </c>
      <c r="K22" s="118" t="b">
        <v>0</v>
      </c>
      <c r="L22" s="118" t="b">
        <v>1</v>
      </c>
      <c r="M22" s="117">
        <v>30</v>
      </c>
      <c r="N22" s="117">
        <v>1</v>
      </c>
      <c r="O22" s="233" t="b">
        <v>0</v>
      </c>
      <c r="P22" s="233"/>
      <c r="Q22" s="117"/>
      <c r="R22" s="117" t="s">
        <v>43</v>
      </c>
      <c r="S22" s="224">
        <f>J22*($N$6*$N$7+(1-$N$6))*$J$12*$L$6*$I$13</f>
        <v>626.63432161987021</v>
      </c>
      <c r="T22" s="117" t="s">
        <v>43</v>
      </c>
      <c r="U22" s="224">
        <f>J22*($N$5*$N$7+(1-$N$5))*$L$12*$L$7*$J$13</f>
        <v>164.23359286573898</v>
      </c>
      <c r="V22" s="12"/>
      <c r="W22" s="117" t="s">
        <v>43</v>
      </c>
      <c r="X22" s="220">
        <f>$T$27/SUM(S22+U22+S27)</f>
        <v>3.4927929295843159</v>
      </c>
      <c r="Y22" s="117" t="s">
        <v>43</v>
      </c>
      <c r="Z22" s="236">
        <f>SUM(S22+U22+S27)*(1+$N$12*0.01)*(1+$P$12*0.01)*(1+$F$19*0.01)*$F$21*$D$13/10000*0.4</f>
        <v>3001.0807768684499</v>
      </c>
    </row>
    <row r="23" spans="1:26">
      <c r="A23" s="117"/>
      <c r="B23" s="142" t="s">
        <v>133</v>
      </c>
      <c r="C23" s="116" t="s">
        <v>134</v>
      </c>
      <c r="D23" s="118" t="b">
        <v>0</v>
      </c>
      <c r="E23" s="117"/>
      <c r="F23" s="212" t="s">
        <v>163</v>
      </c>
      <c r="G23" s="212"/>
      <c r="H23" s="64"/>
      <c r="I23" s="116" t="s">
        <v>46</v>
      </c>
      <c r="J23" s="64">
        <f>111*(1+$P$10*0.05)*(1+$L$5)*(1+K23*0.088)*(1+L23*0.14)*(1+M23*0.01)*N23</f>
        <v>180.00644004</v>
      </c>
      <c r="K23" s="118" t="b">
        <v>0</v>
      </c>
      <c r="L23" s="118" t="b">
        <v>1</v>
      </c>
      <c r="M23" s="117">
        <v>40</v>
      </c>
      <c r="N23" s="117">
        <v>1</v>
      </c>
      <c r="O23" s="232" t="b">
        <v>1</v>
      </c>
      <c r="P23" s="232" t="b">
        <v>0</v>
      </c>
      <c r="Q23" s="117"/>
      <c r="R23" s="117" t="s">
        <v>46</v>
      </c>
      <c r="S23" s="224">
        <f>J23*($N$6*$N$7+(1-$N$6))*$J$12*$L$6*(1+$D$26*0.32+$D$27*0.4+$D$28*0.48)*O23</f>
        <v>1235.9233636788535</v>
      </c>
      <c r="T23" s="117" t="s">
        <v>46</v>
      </c>
      <c r="U23" s="224">
        <f>J23*($N$6*$N$7+(1-$N$6))*$L$12*$L$7*P23</f>
        <v>0</v>
      </c>
      <c r="V23" s="12"/>
      <c r="W23" s="117" t="s">
        <v>46</v>
      </c>
      <c r="X23" s="220">
        <f>$T$27/SUM(S23+U23)</f>
        <v>2.2350397614687409</v>
      </c>
      <c r="Y23" s="117" t="s">
        <v>46</v>
      </c>
      <c r="Z23" s="236">
        <f>SUM(S23+U23)*(1+$N$12*0.01)*(1+$P$12*0.01)*(1+$F$19*0.01)*$F$21*$D$13/10000*0.4</f>
        <v>4689.9182284207991</v>
      </c>
    </row>
    <row r="24" spans="1:26">
      <c r="A24" s="117"/>
      <c r="B24" s="142"/>
      <c r="C24" s="116" t="s">
        <v>135</v>
      </c>
      <c r="D24" s="118" t="b">
        <v>0</v>
      </c>
      <c r="E24" s="117"/>
      <c r="F24" s="117">
        <v>0</v>
      </c>
      <c r="G24" s="118" t="b">
        <v>0</v>
      </c>
      <c r="H24" s="64"/>
      <c r="I24" s="116" t="s">
        <v>44</v>
      </c>
      <c r="J24" s="64">
        <f>45.19*(1+$P$10*0.05)*(1+$L$5)*(1+K24*0.088)*(1+L24*0.14)*(1+M24*0.01)*N24</f>
        <v>55.55969959099999</v>
      </c>
      <c r="K24" s="118" t="b">
        <v>0</v>
      </c>
      <c r="L24" s="118" t="b">
        <v>0</v>
      </c>
      <c r="M24" s="117">
        <v>21</v>
      </c>
      <c r="N24" s="117">
        <v>1</v>
      </c>
      <c r="O24" s="232" t="b">
        <v>0</v>
      </c>
      <c r="P24" s="232" t="b">
        <v>0</v>
      </c>
      <c r="Q24" s="117"/>
      <c r="R24" s="117" t="s">
        <v>44</v>
      </c>
      <c r="S24" s="224">
        <f>J24*($N$6*$N$7+(1-$N$6))*$J$12*$L$6*(1+$D$26*0.32+$D$27*0.4+$D$28*0.48)*O24</f>
        <v>0</v>
      </c>
      <c r="T24" s="117" t="s">
        <v>44</v>
      </c>
      <c r="U24" s="224">
        <f>J24*($N$6*$N$7+(1-$N$6))*$L$12*$L$7*$P$24</f>
        <v>0</v>
      </c>
      <c r="V24" s="12"/>
      <c r="W24" s="117" t="s">
        <v>44</v>
      </c>
      <c r="X24" s="220" t="e">
        <f>$T$27/SUM(S24+U24)</f>
        <v>#DIV/0!</v>
      </c>
      <c r="Y24" s="117" t="s">
        <v>44</v>
      </c>
      <c r="Z24" s="236">
        <f>SUM(S24+U24)*(1+$N$12*0.01)*(1+$P$12*0.01)*(1+$F$19*0.01)*$F$21*$D$13/10000*0.4</f>
        <v>0</v>
      </c>
    </row>
    <row r="25" spans="1:26">
      <c r="A25" s="117"/>
      <c r="B25" s="142"/>
      <c r="C25" s="116" t="s">
        <v>136</v>
      </c>
      <c r="D25" s="118" t="b">
        <v>0</v>
      </c>
      <c r="E25" s="117"/>
      <c r="F25" s="117">
        <v>25</v>
      </c>
      <c r="G25" s="118" t="b">
        <v>0</v>
      </c>
      <c r="H25" s="64"/>
      <c r="I25" s="116" t="s">
        <v>45</v>
      </c>
      <c r="J25" s="64">
        <f>72.31*(1+$P$10*0.05)*(1+$L$5)*(1+K25*0.088)*(1+L25*0.14)*(1+M25*0.01)*N25*G7+85.91*(1+$P$10*0.05)*(1+$L$5)*(1+K25*0.088)*(1+L25*0.14)*(1+M25*0.01)*N25*G8</f>
        <v>0</v>
      </c>
      <c r="K25" s="118" t="b">
        <v>0</v>
      </c>
      <c r="L25" s="118" t="b">
        <v>0</v>
      </c>
      <c r="M25" s="117">
        <v>21</v>
      </c>
      <c r="N25" s="117">
        <v>1</v>
      </c>
      <c r="O25" s="232" t="b">
        <v>0</v>
      </c>
      <c r="P25" s="232" t="b">
        <v>0</v>
      </c>
      <c r="Q25" s="117"/>
      <c r="R25" s="117" t="s">
        <v>45</v>
      </c>
      <c r="S25" s="224">
        <f>J25*($N$6*$N$7+(1-$N$6))*$J$12*$L$6*(1+$D$26*0.32+$D$27*0.4+$D$28*0.48)*O25</f>
        <v>0</v>
      </c>
      <c r="T25" s="117" t="s">
        <v>45</v>
      </c>
      <c r="U25" s="224">
        <f>J25*($N$6*$N$7+(1-$N$6))*$L$12*$L$7*P25</f>
        <v>0</v>
      </c>
      <c r="V25" s="12"/>
      <c r="W25" s="117" t="s">
        <v>45</v>
      </c>
      <c r="X25" s="220" t="e">
        <f>$T$27/SUM(S25+U25)</f>
        <v>#DIV/0!</v>
      </c>
      <c r="Y25" s="117" t="s">
        <v>45</v>
      </c>
      <c r="Z25" s="236">
        <f>SUM(S25+U25)*(1+$N$12*0.01)*(1+$P$12*0.01)*(1+$F$19*0.01)*$F$21*$D$13/10000*0.4</f>
        <v>0</v>
      </c>
    </row>
    <row r="26" spans="1:26" ht="17.25" thickBot="1">
      <c r="A26" s="117"/>
      <c r="B26" s="203" t="s">
        <v>131</v>
      </c>
      <c r="C26" s="116" t="s">
        <v>134</v>
      </c>
      <c r="D26" s="118" t="b">
        <v>1</v>
      </c>
      <c r="E26" s="117"/>
      <c r="F26" s="117">
        <v>50</v>
      </c>
      <c r="G26" s="118" t="b">
        <v>0</v>
      </c>
      <c r="H26" s="117"/>
      <c r="I26" s="117"/>
      <c r="J26" s="117"/>
      <c r="K26" s="117"/>
      <c r="L26" s="117"/>
      <c r="M26" s="117"/>
      <c r="N26" s="117"/>
      <c r="O26" s="118" t="b">
        <v>0</v>
      </c>
      <c r="P26" s="118" t="b">
        <v>0</v>
      </c>
      <c r="Q26" s="117"/>
      <c r="R26" s="212" t="s">
        <v>175</v>
      </c>
      <c r="S26" s="212"/>
      <c r="T26" s="212" t="s">
        <v>179</v>
      </c>
      <c r="U26" s="212"/>
      <c r="V26" s="12"/>
      <c r="W26" s="238" t="s">
        <v>183</v>
      </c>
      <c r="X26" s="238"/>
      <c r="Y26" s="212" t="s">
        <v>182</v>
      </c>
      <c r="Z26" s="212"/>
    </row>
    <row r="27" spans="1:26">
      <c r="A27" s="117"/>
      <c r="B27" s="203"/>
      <c r="C27" s="116" t="s">
        <v>135</v>
      </c>
      <c r="D27" s="118" t="b">
        <v>0</v>
      </c>
      <c r="E27" s="117"/>
      <c r="F27" s="117">
        <v>75</v>
      </c>
      <c r="G27" s="118" t="b">
        <v>1</v>
      </c>
      <c r="H27" s="117"/>
      <c r="K27" s="226" t="s">
        <v>174</v>
      </c>
      <c r="L27" s="227"/>
      <c r="M27" s="228" t="s">
        <v>172</v>
      </c>
      <c r="N27" s="229">
        <f>1.16/1.32</f>
        <v>0.87878787878787867</v>
      </c>
      <c r="O27" s="117"/>
      <c r="P27" s="117"/>
      <c r="Q27" s="117"/>
      <c r="R27" s="117" t="s">
        <v>43</v>
      </c>
      <c r="S27" s="224">
        <f>J22*($N$5*$N$7+(1-$N$5))*$L$7*(1-$I$13-$J$13)</f>
        <v>0</v>
      </c>
      <c r="T27" s="234">
        <f>SUM(S18:S25,U18:U25,S27)</f>
        <v>2762.337859950429</v>
      </c>
      <c r="U27" s="203"/>
      <c r="V27" s="12"/>
      <c r="W27" s="240">
        <f>$J$20*$N$7*$J$12*$L$6*O20*(1+$N$12*0.01)*(1+$P$12*0.01)*(1+$F$19*0.01)*$F$21*$D$13/10000*0.4</f>
        <v>1716.4077934148638</v>
      </c>
      <c r="X27" s="240"/>
      <c r="Y27" s="239">
        <f>$T$27*(1+$N$12*0.01)*(1+$P$12*0.01)*(1+$F$19*0.01)*$F$21*$D$13/10000*0.4/J7</f>
        <v>1183.807595241235</v>
      </c>
      <c r="Z27" s="239"/>
    </row>
    <row r="28" spans="1:26" ht="17.25" thickBot="1">
      <c r="A28" s="117"/>
      <c r="B28" s="203"/>
      <c r="C28" s="116" t="s">
        <v>136</v>
      </c>
      <c r="D28" s="118" t="b">
        <v>0</v>
      </c>
      <c r="E28" s="117"/>
      <c r="F28" s="117">
        <v>100</v>
      </c>
      <c r="G28" s="118" t="b">
        <v>0</v>
      </c>
      <c r="H28" s="117"/>
      <c r="K28" s="230"/>
      <c r="L28" s="170"/>
      <c r="M28" s="115" t="s">
        <v>173</v>
      </c>
      <c r="N28" s="231">
        <f>1.24/1.32</f>
        <v>0.93939393939393934</v>
      </c>
      <c r="O28" s="117"/>
      <c r="P28" s="117"/>
      <c r="Q28" s="117"/>
      <c r="R28" s="117"/>
      <c r="S28" s="117"/>
      <c r="T28" s="117"/>
      <c r="U28" s="219"/>
      <c r="V28" s="12"/>
      <c r="W28" s="220"/>
      <c r="X28" s="12"/>
    </row>
    <row r="29" spans="1:26">
      <c r="A29" s="117"/>
      <c r="B29" s="117"/>
      <c r="C29" s="117"/>
      <c r="D29" s="118"/>
      <c r="E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219"/>
      <c r="V29" s="12"/>
      <c r="W29" s="220"/>
      <c r="X29" s="12"/>
    </row>
    <row r="30" spans="1:26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219"/>
      <c r="V30" s="12"/>
      <c r="W30" s="12"/>
      <c r="X30" s="12"/>
    </row>
    <row r="31" spans="1:26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219"/>
      <c r="V31" s="12"/>
      <c r="W31" s="12"/>
      <c r="X31" s="12"/>
    </row>
    <row r="32" spans="1:26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219"/>
      <c r="V32" s="12"/>
      <c r="W32" s="12"/>
      <c r="X32" s="12"/>
    </row>
    <row r="33" spans="1:2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</row>
    <row r="34" spans="1:2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  <row r="38" spans="1:2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</row>
    <row r="39" spans="1:21">
      <c r="E39" s="65"/>
    </row>
  </sheetData>
  <mergeCells count="54">
    <mergeCell ref="T26:U26"/>
    <mergeCell ref="T27:U27"/>
    <mergeCell ref="W16:Z16"/>
    <mergeCell ref="W17:X17"/>
    <mergeCell ref="Y17:Z17"/>
    <mergeCell ref="W26:X26"/>
    <mergeCell ref="W27:X27"/>
    <mergeCell ref="Y26:Z26"/>
    <mergeCell ref="Y27:Z27"/>
    <mergeCell ref="T17:U17"/>
    <mergeCell ref="R16:U16"/>
    <mergeCell ref="K27:L28"/>
    <mergeCell ref="R26:S26"/>
    <mergeCell ref="O22:P22"/>
    <mergeCell ref="F23:G23"/>
    <mergeCell ref="F20:G20"/>
    <mergeCell ref="F21:G21"/>
    <mergeCell ref="R17:S17"/>
    <mergeCell ref="F18:G18"/>
    <mergeCell ref="F19:G19"/>
    <mergeCell ref="I14:N14"/>
    <mergeCell ref="O14:P14"/>
    <mergeCell ref="M9:P9"/>
    <mergeCell ref="K15:L15"/>
    <mergeCell ref="J15:J16"/>
    <mergeCell ref="I15:I16"/>
    <mergeCell ref="M15:M16"/>
    <mergeCell ref="N15:N16"/>
    <mergeCell ref="O15:O16"/>
    <mergeCell ref="P15:P16"/>
    <mergeCell ref="I9:L9"/>
    <mergeCell ref="K10:K11"/>
    <mergeCell ref="L10:L11"/>
    <mergeCell ref="I4:P4"/>
    <mergeCell ref="I10:I11"/>
    <mergeCell ref="J10:J11"/>
    <mergeCell ref="B20:B22"/>
    <mergeCell ref="B23:B25"/>
    <mergeCell ref="B26:B28"/>
    <mergeCell ref="B4:D4"/>
    <mergeCell ref="C5:D5"/>
    <mergeCell ref="C6:D6"/>
    <mergeCell ref="C7:D7"/>
    <mergeCell ref="C10:D10"/>
    <mergeCell ref="C11:D11"/>
    <mergeCell ref="C18:D18"/>
    <mergeCell ref="C19:D19"/>
    <mergeCell ref="F4:G4"/>
    <mergeCell ref="C12:D12"/>
    <mergeCell ref="B9:D9"/>
    <mergeCell ref="B14:D14"/>
    <mergeCell ref="C15:D15"/>
    <mergeCell ref="C16:D16"/>
    <mergeCell ref="C17:D17"/>
  </mergeCells>
  <phoneticPr fontId="3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49" r:id="rId4" name="Check Box 57">
              <controlPr defaultSize="0" autoFill="0" autoLine="0" autoPict="0">
                <anchor moveWithCells="1">
                  <from>
                    <xdr:col>2</xdr:col>
                    <xdr:colOff>247650</xdr:colOff>
                    <xdr:row>8</xdr:row>
                    <xdr:rowOff>200025</xdr:rowOff>
                  </from>
                  <to>
                    <xdr:col>3</xdr:col>
                    <xdr:colOff>152400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5" name="Check Box 58">
              <controlPr defaultSize="0" autoFill="0" autoLine="0" autoPict="0">
                <anchor moveWithCells="1">
                  <from>
                    <xdr:col>2</xdr:col>
                    <xdr:colOff>247650</xdr:colOff>
                    <xdr:row>9</xdr:row>
                    <xdr:rowOff>200025</xdr:rowOff>
                  </from>
                  <to>
                    <xdr:col>3</xdr:col>
                    <xdr:colOff>152400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6" name="Check Box 59">
              <controlPr defaultSize="0" autoFill="0" autoLine="0" autoPict="0">
                <anchor moveWithCells="1">
                  <from>
                    <xdr:col>2</xdr:col>
                    <xdr:colOff>247650</xdr:colOff>
                    <xdr:row>10</xdr:row>
                    <xdr:rowOff>200025</xdr:rowOff>
                  </from>
                  <to>
                    <xdr:col>3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7" name="Check Box 74">
              <controlPr defaultSize="0" autoFill="0" autoLine="0" autoPict="0">
                <anchor moveWithCells="1">
                  <from>
                    <xdr:col>2</xdr:col>
                    <xdr:colOff>247650</xdr:colOff>
                    <xdr:row>13</xdr:row>
                    <xdr:rowOff>200025</xdr:rowOff>
                  </from>
                  <to>
                    <xdr:col>3</xdr:col>
                    <xdr:colOff>152400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8" name="Check Box 75">
              <controlPr defaultSize="0" autoFill="0" autoLine="0" autoPict="0">
                <anchor moveWithCells="1">
                  <from>
                    <xdr:col>2</xdr:col>
                    <xdr:colOff>247650</xdr:colOff>
                    <xdr:row>14</xdr:row>
                    <xdr:rowOff>200025</xdr:rowOff>
                  </from>
                  <to>
                    <xdr:col>3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9" name="Check Box 76">
              <controlPr defaultSize="0" autoFill="0" autoLine="0" autoPict="0">
                <anchor moveWithCells="1">
                  <from>
                    <xdr:col>2</xdr:col>
                    <xdr:colOff>247650</xdr:colOff>
                    <xdr:row>15</xdr:row>
                    <xdr:rowOff>200025</xdr:rowOff>
                  </from>
                  <to>
                    <xdr:col>3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10" name="Check Box 77">
              <controlPr defaultSize="0" autoFill="0" autoLine="0" autoPict="0">
                <anchor moveWithCells="1">
                  <from>
                    <xdr:col>2</xdr:col>
                    <xdr:colOff>247650</xdr:colOff>
                    <xdr:row>16</xdr:row>
                    <xdr:rowOff>200025</xdr:rowOff>
                  </from>
                  <to>
                    <xdr:col>3</xdr:col>
                    <xdr:colOff>152400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1" name="Check Box 78">
              <controlPr defaultSize="0" autoFill="0" autoLine="0" autoPict="0">
                <anchor moveWithCells="1">
                  <from>
                    <xdr:col>2</xdr:col>
                    <xdr:colOff>247650</xdr:colOff>
                    <xdr:row>17</xdr:row>
                    <xdr:rowOff>200025</xdr:rowOff>
                  </from>
                  <to>
                    <xdr:col>3</xdr:col>
                    <xdr:colOff>152400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2" name="Check Box 79">
              <controlPr defaultSize="0" autoFill="0" autoLine="0" autoPict="0">
                <anchor moveWithCells="1">
                  <from>
                    <xdr:col>3</xdr:col>
                    <xdr:colOff>66675</xdr:colOff>
                    <xdr:row>18</xdr:row>
                    <xdr:rowOff>190500</xdr:rowOff>
                  </from>
                  <to>
                    <xdr:col>3</xdr:col>
                    <xdr:colOff>323850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13" name="Check Box 80">
              <controlPr defaultSize="0" autoFill="0" autoLine="0" autoPict="0">
                <anchor moveWithCells="1">
                  <from>
                    <xdr:col>3</xdr:col>
                    <xdr:colOff>66675</xdr:colOff>
                    <xdr:row>19</xdr:row>
                    <xdr:rowOff>190500</xdr:rowOff>
                  </from>
                  <to>
                    <xdr:col>3</xdr:col>
                    <xdr:colOff>323850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14" name="Check Box 81">
              <controlPr defaultSize="0" autoFill="0" autoLine="0" autoPict="0">
                <anchor moveWithCells="1">
                  <from>
                    <xdr:col>3</xdr:col>
                    <xdr:colOff>66675</xdr:colOff>
                    <xdr:row>20</xdr:row>
                    <xdr:rowOff>190500</xdr:rowOff>
                  </from>
                  <to>
                    <xdr:col>3</xdr:col>
                    <xdr:colOff>323850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15" name="Check Box 82">
              <controlPr defaultSize="0" autoFill="0" autoLine="0" autoPict="0">
                <anchor moveWithCells="1">
                  <from>
                    <xdr:col>3</xdr:col>
                    <xdr:colOff>66675</xdr:colOff>
                    <xdr:row>21</xdr:row>
                    <xdr:rowOff>190500</xdr:rowOff>
                  </from>
                  <to>
                    <xdr:col>3</xdr:col>
                    <xdr:colOff>323850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16" name="Check Box 83">
              <controlPr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190500</xdr:rowOff>
                  </from>
                  <to>
                    <xdr:col>3</xdr:col>
                    <xdr:colOff>323850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17" name="Check Box 84">
              <controlPr defaultSize="0" autoFill="0" autoLine="0" autoPict="0">
                <anchor moveWithCells="1">
                  <from>
                    <xdr:col>3</xdr:col>
                    <xdr:colOff>66675</xdr:colOff>
                    <xdr:row>23</xdr:row>
                    <xdr:rowOff>190500</xdr:rowOff>
                  </from>
                  <to>
                    <xdr:col>3</xdr:col>
                    <xdr:colOff>323850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18" name="Check Box 85">
              <controlPr defaultSize="0" autoFill="0" autoLine="0" autoPict="0">
                <anchor moveWithCells="1">
                  <from>
                    <xdr:col>3</xdr:col>
                    <xdr:colOff>66675</xdr:colOff>
                    <xdr:row>24</xdr:row>
                    <xdr:rowOff>190500</xdr:rowOff>
                  </from>
                  <to>
                    <xdr:col>3</xdr:col>
                    <xdr:colOff>323850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19" name="Check Box 86">
              <controlPr defaultSize="0" autoFill="0" autoLine="0" autoPict="0">
                <anchor moveWithCells="1">
                  <from>
                    <xdr:col>3</xdr:col>
                    <xdr:colOff>66675</xdr:colOff>
                    <xdr:row>25</xdr:row>
                    <xdr:rowOff>190500</xdr:rowOff>
                  </from>
                  <to>
                    <xdr:col>3</xdr:col>
                    <xdr:colOff>323850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20" name="Check Box 87">
              <controlPr defaultSize="0" autoFill="0" autoLine="0" autoPict="0">
                <anchor moveWithCells="1">
                  <from>
                    <xdr:col>3</xdr:col>
                    <xdr:colOff>66675</xdr:colOff>
                    <xdr:row>26</xdr:row>
                    <xdr:rowOff>190500</xdr:rowOff>
                  </from>
                  <to>
                    <xdr:col>3</xdr:col>
                    <xdr:colOff>323850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21" name="Check Box 88">
              <controlPr defaultSize="0" autoFill="0" autoLine="0" autoPict="0">
                <anchor moveWithCells="1">
                  <from>
                    <xdr:col>15</xdr:col>
                    <xdr:colOff>247650</xdr:colOff>
                    <xdr:row>8</xdr:row>
                    <xdr:rowOff>190500</xdr:rowOff>
                  </from>
                  <to>
                    <xdr:col>15</xdr:col>
                    <xdr:colOff>504825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22" name="Check Box 89">
              <controlPr defaultSize="0" autoFill="0" autoLine="0" autoPict="0">
                <anchor moveWithCells="1">
                  <from>
                    <xdr:col>15</xdr:col>
                    <xdr:colOff>247650</xdr:colOff>
                    <xdr:row>9</xdr:row>
                    <xdr:rowOff>190500</xdr:rowOff>
                  </from>
                  <to>
                    <xdr:col>15</xdr:col>
                    <xdr:colOff>504825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23" name="Check Box 90">
              <controlPr defaultSize="0" autoFill="0" autoLine="0" autoPict="0">
                <anchor moveWithCells="1">
                  <from>
                    <xdr:col>6</xdr:col>
                    <xdr:colOff>247650</xdr:colOff>
                    <xdr:row>3</xdr:row>
                    <xdr:rowOff>190500</xdr:rowOff>
                  </from>
                  <to>
                    <xdr:col>6</xdr:col>
                    <xdr:colOff>504825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24" name="Check Box 91">
              <controlPr defaultSize="0" autoFill="0" autoLine="0" autoPict="0">
                <anchor moveWithCells="1">
                  <from>
                    <xdr:col>6</xdr:col>
                    <xdr:colOff>247650</xdr:colOff>
                    <xdr:row>4</xdr:row>
                    <xdr:rowOff>190500</xdr:rowOff>
                  </from>
                  <to>
                    <xdr:col>6</xdr:col>
                    <xdr:colOff>504825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25" name="Check Box 92">
              <controlPr defaultSize="0" autoFill="0" autoLine="0" autoPict="0">
                <anchor moveWithCells="1">
                  <from>
                    <xdr:col>6</xdr:col>
                    <xdr:colOff>247650</xdr:colOff>
                    <xdr:row>5</xdr:row>
                    <xdr:rowOff>190500</xdr:rowOff>
                  </from>
                  <to>
                    <xdr:col>6</xdr:col>
                    <xdr:colOff>504825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26" name="Check Box 93">
              <controlPr defaultSize="0" autoFill="0" autoLine="0" autoPict="0">
                <anchor moveWithCells="1">
                  <from>
                    <xdr:col>6</xdr:col>
                    <xdr:colOff>247650</xdr:colOff>
                    <xdr:row>6</xdr:row>
                    <xdr:rowOff>190500</xdr:rowOff>
                  </from>
                  <to>
                    <xdr:col>6</xdr:col>
                    <xdr:colOff>504825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27" name="Check Box 94">
              <controlPr defaultSize="0" autoFill="0" autoLine="0" autoPict="0">
                <anchor moveWithCells="1">
                  <from>
                    <xdr:col>6</xdr:col>
                    <xdr:colOff>247650</xdr:colOff>
                    <xdr:row>7</xdr:row>
                    <xdr:rowOff>190500</xdr:rowOff>
                  </from>
                  <to>
                    <xdr:col>6</xdr:col>
                    <xdr:colOff>504825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28" name="Check Box 95">
              <controlPr defaultSize="0" autoFill="0" autoLine="0" autoPict="0">
                <anchor moveWithCells="1">
                  <from>
                    <xdr:col>6</xdr:col>
                    <xdr:colOff>247650</xdr:colOff>
                    <xdr:row>8</xdr:row>
                    <xdr:rowOff>190500</xdr:rowOff>
                  </from>
                  <to>
                    <xdr:col>6</xdr:col>
                    <xdr:colOff>504825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29" name="Check Box 96">
              <controlPr defaultSize="0" autoFill="0" autoLine="0" autoPict="0">
                <anchor moveWithCells="1">
                  <from>
                    <xdr:col>6</xdr:col>
                    <xdr:colOff>247650</xdr:colOff>
                    <xdr:row>9</xdr:row>
                    <xdr:rowOff>190500</xdr:rowOff>
                  </from>
                  <to>
                    <xdr:col>6</xdr:col>
                    <xdr:colOff>504825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30" name="Check Box 97">
              <controlPr defaultSize="0" autoFill="0" autoLine="0" autoPict="0">
                <anchor moveWithCells="1">
                  <from>
                    <xdr:col>6</xdr:col>
                    <xdr:colOff>247650</xdr:colOff>
                    <xdr:row>10</xdr:row>
                    <xdr:rowOff>190500</xdr:rowOff>
                  </from>
                  <to>
                    <xdr:col>6</xdr:col>
                    <xdr:colOff>504825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31" name="Check Box 98">
              <controlPr defaultSize="0" autoFill="0" autoLine="0" autoPict="0">
                <anchor moveWithCells="1">
                  <from>
                    <xdr:col>6</xdr:col>
                    <xdr:colOff>247650</xdr:colOff>
                    <xdr:row>11</xdr:row>
                    <xdr:rowOff>190500</xdr:rowOff>
                  </from>
                  <to>
                    <xdr:col>6</xdr:col>
                    <xdr:colOff>504825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8" r:id="rId32" name="Check Box 126">
              <controlPr defaultSize="0" autoFill="0" autoLine="0" autoPict="0">
                <anchor moveWithCells="1">
                  <from>
                    <xdr:col>10</xdr:col>
                    <xdr:colOff>247650</xdr:colOff>
                    <xdr:row>15</xdr:row>
                    <xdr:rowOff>190500</xdr:rowOff>
                  </from>
                  <to>
                    <xdr:col>10</xdr:col>
                    <xdr:colOff>504825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9" r:id="rId33" name="Check Box 127">
              <controlPr defaultSize="0" autoFill="0" autoLine="0" autoPict="0">
                <anchor moveWithCells="1">
                  <from>
                    <xdr:col>11</xdr:col>
                    <xdr:colOff>247650</xdr:colOff>
                    <xdr:row>15</xdr:row>
                    <xdr:rowOff>190500</xdr:rowOff>
                  </from>
                  <to>
                    <xdr:col>11</xdr:col>
                    <xdr:colOff>504825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0" r:id="rId34" name="Check Box 128">
              <controlPr defaultSize="0" autoFill="0" autoLine="0" autoPict="0">
                <anchor moveWithCells="1">
                  <from>
                    <xdr:col>10</xdr:col>
                    <xdr:colOff>247650</xdr:colOff>
                    <xdr:row>16</xdr:row>
                    <xdr:rowOff>190500</xdr:rowOff>
                  </from>
                  <to>
                    <xdr:col>10</xdr:col>
                    <xdr:colOff>504825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1" r:id="rId35" name="Check Box 129">
              <controlPr defaultSize="0" autoFill="0" autoLine="0" autoPict="0">
                <anchor moveWithCells="1">
                  <from>
                    <xdr:col>11</xdr:col>
                    <xdr:colOff>247650</xdr:colOff>
                    <xdr:row>16</xdr:row>
                    <xdr:rowOff>190500</xdr:rowOff>
                  </from>
                  <to>
                    <xdr:col>11</xdr:col>
                    <xdr:colOff>504825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2" r:id="rId36" name="Check Box 130">
              <controlPr defaultSize="0" autoFill="0" autoLine="0" autoPict="0">
                <anchor moveWithCells="1">
                  <from>
                    <xdr:col>10</xdr:col>
                    <xdr:colOff>247650</xdr:colOff>
                    <xdr:row>17</xdr:row>
                    <xdr:rowOff>190500</xdr:rowOff>
                  </from>
                  <to>
                    <xdr:col>10</xdr:col>
                    <xdr:colOff>504825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3" r:id="rId37" name="Check Box 131">
              <controlPr defaultSize="0" autoFill="0" autoLine="0" autoPict="0">
                <anchor moveWithCells="1">
                  <from>
                    <xdr:col>11</xdr:col>
                    <xdr:colOff>247650</xdr:colOff>
                    <xdr:row>17</xdr:row>
                    <xdr:rowOff>190500</xdr:rowOff>
                  </from>
                  <to>
                    <xdr:col>11</xdr:col>
                    <xdr:colOff>504825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4" r:id="rId38" name="Check Box 132">
              <controlPr defaultSize="0" autoFill="0" autoLine="0" autoPict="0">
                <anchor moveWithCells="1">
                  <from>
                    <xdr:col>10</xdr:col>
                    <xdr:colOff>247650</xdr:colOff>
                    <xdr:row>18</xdr:row>
                    <xdr:rowOff>190500</xdr:rowOff>
                  </from>
                  <to>
                    <xdr:col>10</xdr:col>
                    <xdr:colOff>504825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5" r:id="rId39" name="Check Box 133">
              <controlPr defaultSize="0" autoFill="0" autoLine="0" autoPict="0">
                <anchor moveWithCells="1">
                  <from>
                    <xdr:col>11</xdr:col>
                    <xdr:colOff>247650</xdr:colOff>
                    <xdr:row>18</xdr:row>
                    <xdr:rowOff>190500</xdr:rowOff>
                  </from>
                  <to>
                    <xdr:col>11</xdr:col>
                    <xdr:colOff>504825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6" r:id="rId40" name="Check Box 134">
              <controlPr defaultSize="0" autoFill="0" autoLine="0" autoPict="0">
                <anchor moveWithCells="1">
                  <from>
                    <xdr:col>10</xdr:col>
                    <xdr:colOff>247650</xdr:colOff>
                    <xdr:row>19</xdr:row>
                    <xdr:rowOff>190500</xdr:rowOff>
                  </from>
                  <to>
                    <xdr:col>10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27" r:id="rId41" name="Check Box 135">
              <controlPr defaultSize="0" autoFill="0" autoLine="0" autoPict="0">
                <anchor moveWithCells="1">
                  <from>
                    <xdr:col>11</xdr:col>
                    <xdr:colOff>247650</xdr:colOff>
                    <xdr:row>19</xdr:row>
                    <xdr:rowOff>190500</xdr:rowOff>
                  </from>
                  <to>
                    <xdr:col>11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7" r:id="rId42" name="Check Box 145">
              <controlPr defaultSize="0" autoFill="0" autoLine="0" autoPict="0">
                <anchor moveWithCells="1">
                  <from>
                    <xdr:col>11</xdr:col>
                    <xdr:colOff>247650</xdr:colOff>
                    <xdr:row>19</xdr:row>
                    <xdr:rowOff>190500</xdr:rowOff>
                  </from>
                  <to>
                    <xdr:col>11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8" r:id="rId43" name="Check Box 146">
              <controlPr defaultSize="0" autoFill="0" autoLine="0" autoPict="0">
                <anchor moveWithCells="1">
                  <from>
                    <xdr:col>11</xdr:col>
                    <xdr:colOff>247650</xdr:colOff>
                    <xdr:row>20</xdr:row>
                    <xdr:rowOff>190500</xdr:rowOff>
                  </from>
                  <to>
                    <xdr:col>11</xdr:col>
                    <xdr:colOff>504825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39" r:id="rId44" name="Check Box 147">
              <controlPr defaultSize="0" autoFill="0" autoLine="0" autoPict="0">
                <anchor moveWithCells="1">
                  <from>
                    <xdr:col>11</xdr:col>
                    <xdr:colOff>247650</xdr:colOff>
                    <xdr:row>21</xdr:row>
                    <xdr:rowOff>190500</xdr:rowOff>
                  </from>
                  <to>
                    <xdr:col>11</xdr:col>
                    <xdr:colOff>504825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0" r:id="rId45" name="Check Box 148">
              <controlPr defaultSize="0" autoFill="0" autoLine="0" autoPict="0">
                <anchor moveWithCells="1">
                  <from>
                    <xdr:col>11</xdr:col>
                    <xdr:colOff>247650</xdr:colOff>
                    <xdr:row>22</xdr:row>
                    <xdr:rowOff>190500</xdr:rowOff>
                  </from>
                  <to>
                    <xdr:col>11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1" r:id="rId46" name="Check Box 149">
              <controlPr defaultSize="0" autoFill="0" autoLine="0" autoPict="0">
                <anchor moveWithCells="1">
                  <from>
                    <xdr:col>11</xdr:col>
                    <xdr:colOff>247650</xdr:colOff>
                    <xdr:row>23</xdr:row>
                    <xdr:rowOff>190500</xdr:rowOff>
                  </from>
                  <to>
                    <xdr:col>11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2" r:id="rId47" name="Check Box 150">
              <controlPr defaultSize="0" autoFill="0" autoLine="0" autoPict="0">
                <anchor moveWithCells="1">
                  <from>
                    <xdr:col>10</xdr:col>
                    <xdr:colOff>247650</xdr:colOff>
                    <xdr:row>20</xdr:row>
                    <xdr:rowOff>190500</xdr:rowOff>
                  </from>
                  <to>
                    <xdr:col>10</xdr:col>
                    <xdr:colOff>504825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3" r:id="rId48" name="Check Box 151">
              <controlPr defaultSize="0" autoFill="0" autoLine="0" autoPict="0">
                <anchor moveWithCells="1">
                  <from>
                    <xdr:col>10</xdr:col>
                    <xdr:colOff>247650</xdr:colOff>
                    <xdr:row>21</xdr:row>
                    <xdr:rowOff>190500</xdr:rowOff>
                  </from>
                  <to>
                    <xdr:col>10</xdr:col>
                    <xdr:colOff>504825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4" r:id="rId49" name="Check Box 152">
              <controlPr defaultSize="0" autoFill="0" autoLine="0" autoPict="0">
                <anchor moveWithCells="1">
                  <from>
                    <xdr:col>10</xdr:col>
                    <xdr:colOff>247650</xdr:colOff>
                    <xdr:row>22</xdr:row>
                    <xdr:rowOff>190500</xdr:rowOff>
                  </from>
                  <to>
                    <xdr:col>10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5" r:id="rId50" name="Check Box 153">
              <controlPr defaultSize="0" autoFill="0" autoLine="0" autoPict="0">
                <anchor moveWithCells="1">
                  <from>
                    <xdr:col>10</xdr:col>
                    <xdr:colOff>247650</xdr:colOff>
                    <xdr:row>23</xdr:row>
                    <xdr:rowOff>190500</xdr:rowOff>
                  </from>
                  <to>
                    <xdr:col>10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6" r:id="rId51" name="Check Box 154">
              <controlPr defaultSize="0" autoFill="0" autoLine="0" autoPict="0">
                <anchor moveWithCells="1">
                  <from>
                    <xdr:col>6</xdr:col>
                    <xdr:colOff>247650</xdr:colOff>
                    <xdr:row>22</xdr:row>
                    <xdr:rowOff>190500</xdr:rowOff>
                  </from>
                  <to>
                    <xdr:col>6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7" r:id="rId52" name="Check Box 155">
              <controlPr defaultSize="0" autoFill="0" autoLine="0" autoPict="0">
                <anchor moveWithCells="1">
                  <from>
                    <xdr:col>6</xdr:col>
                    <xdr:colOff>247650</xdr:colOff>
                    <xdr:row>23</xdr:row>
                    <xdr:rowOff>190500</xdr:rowOff>
                  </from>
                  <to>
                    <xdr:col>6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8" r:id="rId53" name="Check Box 156">
              <controlPr defaultSize="0" autoFill="0" autoLine="0" autoPict="0">
                <anchor moveWithCells="1">
                  <from>
                    <xdr:col>6</xdr:col>
                    <xdr:colOff>247650</xdr:colOff>
                    <xdr:row>24</xdr:row>
                    <xdr:rowOff>190500</xdr:rowOff>
                  </from>
                  <to>
                    <xdr:col>6</xdr:col>
                    <xdr:colOff>504825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49" r:id="rId54" name="Check Box 157">
              <controlPr defaultSize="0" autoFill="0" autoLine="0" autoPict="0">
                <anchor moveWithCells="1">
                  <from>
                    <xdr:col>6</xdr:col>
                    <xdr:colOff>247650</xdr:colOff>
                    <xdr:row>25</xdr:row>
                    <xdr:rowOff>190500</xdr:rowOff>
                  </from>
                  <to>
                    <xdr:col>6</xdr:col>
                    <xdr:colOff>504825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0" r:id="rId55" name="Check Box 158">
              <controlPr defaultSize="0" autoFill="0" autoLine="0" autoPict="0">
                <anchor moveWithCells="1">
                  <from>
                    <xdr:col>6</xdr:col>
                    <xdr:colOff>247650</xdr:colOff>
                    <xdr:row>26</xdr:row>
                    <xdr:rowOff>190500</xdr:rowOff>
                  </from>
                  <to>
                    <xdr:col>6</xdr:col>
                    <xdr:colOff>504825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1" r:id="rId56" name="Check Box 159">
              <controlPr defaultSize="0" autoFill="0" autoLine="0" autoPict="0">
                <anchor moveWithCells="1">
                  <from>
                    <xdr:col>14</xdr:col>
                    <xdr:colOff>247650</xdr:colOff>
                    <xdr:row>15</xdr:row>
                    <xdr:rowOff>190500</xdr:rowOff>
                  </from>
                  <to>
                    <xdr:col>14</xdr:col>
                    <xdr:colOff>504825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2" r:id="rId57" name="Check Box 160">
              <controlPr defaultSize="0" autoFill="0" autoLine="0" autoPict="0">
                <anchor moveWithCells="1">
                  <from>
                    <xdr:col>14</xdr:col>
                    <xdr:colOff>247650</xdr:colOff>
                    <xdr:row>16</xdr:row>
                    <xdr:rowOff>190500</xdr:rowOff>
                  </from>
                  <to>
                    <xdr:col>14</xdr:col>
                    <xdr:colOff>504825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3" r:id="rId58" name="Check Box 161">
              <controlPr defaultSize="0" autoFill="0" autoLine="0" autoPict="0">
                <anchor moveWithCells="1">
                  <from>
                    <xdr:col>14</xdr:col>
                    <xdr:colOff>247650</xdr:colOff>
                    <xdr:row>17</xdr:row>
                    <xdr:rowOff>190500</xdr:rowOff>
                  </from>
                  <to>
                    <xdr:col>14</xdr:col>
                    <xdr:colOff>504825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4" r:id="rId59" name="Check Box 162">
              <controlPr defaultSize="0" autoFill="0" autoLine="0" autoPict="0">
                <anchor moveWithCells="1">
                  <from>
                    <xdr:col>14</xdr:col>
                    <xdr:colOff>247650</xdr:colOff>
                    <xdr:row>18</xdr:row>
                    <xdr:rowOff>190500</xdr:rowOff>
                  </from>
                  <to>
                    <xdr:col>14</xdr:col>
                    <xdr:colOff>504825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5" r:id="rId60" name="Check Box 163">
              <controlPr defaultSize="0" autoFill="0" autoLine="0" autoPict="0">
                <anchor moveWithCells="1">
                  <from>
                    <xdr:col>14</xdr:col>
                    <xdr:colOff>247650</xdr:colOff>
                    <xdr:row>19</xdr:row>
                    <xdr:rowOff>190500</xdr:rowOff>
                  </from>
                  <to>
                    <xdr:col>14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7" r:id="rId61" name="Check Box 165">
              <controlPr defaultSize="0" autoFill="0" autoLine="0" autoPict="0">
                <anchor moveWithCells="1">
                  <from>
                    <xdr:col>14</xdr:col>
                    <xdr:colOff>247650</xdr:colOff>
                    <xdr:row>21</xdr:row>
                    <xdr:rowOff>190500</xdr:rowOff>
                  </from>
                  <to>
                    <xdr:col>14</xdr:col>
                    <xdr:colOff>504825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8" r:id="rId62" name="Check Box 166">
              <controlPr defaultSize="0" autoFill="0" autoLine="0" autoPict="0">
                <anchor moveWithCells="1">
                  <from>
                    <xdr:col>14</xdr:col>
                    <xdr:colOff>247650</xdr:colOff>
                    <xdr:row>22</xdr:row>
                    <xdr:rowOff>190500</xdr:rowOff>
                  </from>
                  <to>
                    <xdr:col>14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59" r:id="rId63" name="Check Box 167">
              <controlPr defaultSize="0" autoFill="0" autoLine="0" autoPict="0">
                <anchor moveWithCells="1">
                  <from>
                    <xdr:col>14</xdr:col>
                    <xdr:colOff>247650</xdr:colOff>
                    <xdr:row>23</xdr:row>
                    <xdr:rowOff>190500</xdr:rowOff>
                  </from>
                  <to>
                    <xdr:col>14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1" r:id="rId64" name="Check Box 169">
              <controlPr defaultSize="0" autoFill="0" autoLine="0" autoPict="0">
                <anchor moveWithCells="1">
                  <from>
                    <xdr:col>15</xdr:col>
                    <xdr:colOff>247650</xdr:colOff>
                    <xdr:row>15</xdr:row>
                    <xdr:rowOff>190500</xdr:rowOff>
                  </from>
                  <to>
                    <xdr:col>15</xdr:col>
                    <xdr:colOff>504825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2" r:id="rId65" name="Check Box 170">
              <controlPr defaultSize="0" autoFill="0" autoLine="0" autoPict="0">
                <anchor moveWithCells="1">
                  <from>
                    <xdr:col>15</xdr:col>
                    <xdr:colOff>247650</xdr:colOff>
                    <xdr:row>16</xdr:row>
                    <xdr:rowOff>190500</xdr:rowOff>
                  </from>
                  <to>
                    <xdr:col>15</xdr:col>
                    <xdr:colOff>504825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3" r:id="rId66" name="Check Box 171">
              <controlPr defaultSize="0" autoFill="0" autoLine="0" autoPict="0">
                <anchor moveWithCells="1">
                  <from>
                    <xdr:col>15</xdr:col>
                    <xdr:colOff>247650</xdr:colOff>
                    <xdr:row>17</xdr:row>
                    <xdr:rowOff>190500</xdr:rowOff>
                  </from>
                  <to>
                    <xdr:col>15</xdr:col>
                    <xdr:colOff>504825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4" r:id="rId67" name="Check Box 172">
              <controlPr defaultSize="0" autoFill="0" autoLine="0" autoPict="0">
                <anchor moveWithCells="1">
                  <from>
                    <xdr:col>15</xdr:col>
                    <xdr:colOff>247650</xdr:colOff>
                    <xdr:row>18</xdr:row>
                    <xdr:rowOff>190500</xdr:rowOff>
                  </from>
                  <to>
                    <xdr:col>15</xdr:col>
                    <xdr:colOff>504825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5" r:id="rId68" name="Check Box 173">
              <controlPr defaultSize="0" autoFill="0" autoLine="0" autoPict="0">
                <anchor moveWithCells="1">
                  <from>
                    <xdr:col>15</xdr:col>
                    <xdr:colOff>247650</xdr:colOff>
                    <xdr:row>19</xdr:row>
                    <xdr:rowOff>190500</xdr:rowOff>
                  </from>
                  <to>
                    <xdr:col>15</xdr:col>
                    <xdr:colOff>504825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7" r:id="rId69" name="Check Box 175">
              <controlPr defaultSize="0" autoFill="0" autoLine="0" autoPict="0">
                <anchor moveWithCells="1">
                  <from>
                    <xdr:col>15</xdr:col>
                    <xdr:colOff>247650</xdr:colOff>
                    <xdr:row>21</xdr:row>
                    <xdr:rowOff>190500</xdr:rowOff>
                  </from>
                  <to>
                    <xdr:col>15</xdr:col>
                    <xdr:colOff>504825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8" r:id="rId70" name="Check Box 176">
              <controlPr defaultSize="0" autoFill="0" autoLine="0" autoPict="0">
                <anchor moveWithCells="1">
                  <from>
                    <xdr:col>15</xdr:col>
                    <xdr:colOff>247650</xdr:colOff>
                    <xdr:row>22</xdr:row>
                    <xdr:rowOff>190500</xdr:rowOff>
                  </from>
                  <to>
                    <xdr:col>15</xdr:col>
                    <xdr:colOff>504825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69" r:id="rId71" name="Check Box 177">
              <controlPr defaultSize="0" autoFill="0" autoLine="0" autoPict="0">
                <anchor moveWithCells="1">
                  <from>
                    <xdr:col>15</xdr:col>
                    <xdr:colOff>247650</xdr:colOff>
                    <xdr:row>23</xdr:row>
                    <xdr:rowOff>190500</xdr:rowOff>
                  </from>
                  <to>
                    <xdr:col>15</xdr:col>
                    <xdr:colOff>504825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바속빠준</vt:lpstr>
      <vt:lpstr>방천</vt:lpstr>
      <vt:lpstr>매혹</vt:lpstr>
      <vt:lpstr>내연 딜 계산</vt:lpstr>
      <vt:lpstr>자율 제작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Jongho Lee</dc:creator>
  <cp:lastModifiedBy>Jongho Lee</cp:lastModifiedBy>
  <dcterms:created xsi:type="dcterms:W3CDTF">2021-12-13T09:30:43Z</dcterms:created>
  <dcterms:modified xsi:type="dcterms:W3CDTF">2022-01-04T13:05:14Z</dcterms:modified>
</cp:coreProperties>
</file>