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5joono\Desktop\maple\"/>
    </mc:Choice>
  </mc:AlternateContent>
  <bookViews>
    <workbookView xWindow="0" yWindow="0" windowWidth="8310" windowHeight="2580"/>
  </bookViews>
  <sheets>
    <sheet name="일반템" sheetId="1" r:id="rId1"/>
    <sheet name="타일런트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6" i="1"/>
  <c r="F1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K21" i="1"/>
  <c r="K20" i="1"/>
  <c r="K19" i="1"/>
  <c r="K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  <c r="K6" i="1"/>
  <c r="J6" i="1"/>
  <c r="K3" i="1"/>
  <c r="J3" i="1"/>
  <c r="C34" i="1" l="1"/>
  <c r="J19" i="1" s="1"/>
  <c r="C35" i="1"/>
  <c r="J20" i="1" s="1"/>
  <c r="C36" i="1"/>
  <c r="J21" i="1" s="1"/>
  <c r="C37" i="1"/>
  <c r="J22" i="1" s="1"/>
  <c r="C33" i="1"/>
  <c r="J18" i="1" s="1"/>
  <c r="F19" i="2" l="1"/>
  <c r="I19" i="2" s="1"/>
  <c r="H19" i="2" s="1"/>
  <c r="F18" i="2"/>
  <c r="I18" i="2" s="1"/>
  <c r="H18" i="2" s="1"/>
  <c r="F17" i="2"/>
  <c r="F16" i="2"/>
  <c r="I16" i="2" s="1"/>
  <c r="H16" i="2" s="1"/>
  <c r="F15" i="2"/>
  <c r="F14" i="2"/>
  <c r="I14" i="2" s="1"/>
  <c r="H14" i="2" s="1"/>
  <c r="F9" i="2"/>
  <c r="H9" i="2" s="1"/>
  <c r="F10" i="2"/>
  <c r="I10" i="2" s="1"/>
  <c r="H10" i="2" s="1"/>
  <c r="F11" i="2"/>
  <c r="I11" i="2" s="1"/>
  <c r="H11" i="2" s="1"/>
  <c r="F12" i="2"/>
  <c r="I12" i="2" s="1"/>
  <c r="H12" i="2" s="1"/>
  <c r="F13" i="2"/>
  <c r="I13" i="2" s="1"/>
  <c r="H13" i="2" s="1"/>
  <c r="F8" i="2"/>
  <c r="H8" i="2" s="1"/>
  <c r="F7" i="2"/>
  <c r="H7" i="2" s="1"/>
  <c r="F6" i="2"/>
  <c r="H6" i="2" s="1"/>
  <c r="F5" i="2"/>
  <c r="G5" i="2" s="1"/>
  <c r="F3" i="1"/>
  <c r="L6" i="1"/>
  <c r="F17" i="1"/>
  <c r="F15" i="1"/>
  <c r="F13" i="1"/>
  <c r="F9" i="1"/>
  <c r="F7" i="1"/>
  <c r="L5" i="2" l="1"/>
  <c r="M5" i="2" s="1"/>
  <c r="L6" i="2" s="1"/>
  <c r="I15" i="2"/>
  <c r="H15" i="2" s="1"/>
  <c r="I17" i="2"/>
  <c r="H17" i="2" s="1"/>
  <c r="N5" i="2"/>
  <c r="N6" i="2" s="1"/>
  <c r="N7" i="2" s="1"/>
  <c r="N8" i="2" s="1"/>
  <c r="N9" i="2" s="1"/>
  <c r="N10" i="2" s="1"/>
  <c r="N11" i="2" s="1"/>
  <c r="N12" i="2" s="1"/>
  <c r="N13" i="2" s="1"/>
  <c r="N14" i="2" s="1"/>
  <c r="H3" i="1"/>
  <c r="F30" i="1"/>
  <c r="I30" i="1" s="1"/>
  <c r="H30" i="1" s="1"/>
  <c r="F29" i="1"/>
  <c r="I29" i="1" s="1"/>
  <c r="H29" i="1" s="1"/>
  <c r="F28" i="1"/>
  <c r="I28" i="1" s="1"/>
  <c r="H28" i="1" s="1"/>
  <c r="I21" i="1"/>
  <c r="G21" i="1" s="1"/>
  <c r="F22" i="1"/>
  <c r="I22" i="1" s="1"/>
  <c r="H22" i="1" s="1"/>
  <c r="F23" i="1"/>
  <c r="I23" i="1" s="1"/>
  <c r="H23" i="1" s="1"/>
  <c r="F24" i="1"/>
  <c r="I24" i="1" s="1"/>
  <c r="H24" i="1" s="1"/>
  <c r="F25" i="1"/>
  <c r="I25" i="1" s="1"/>
  <c r="H25" i="1" s="1"/>
  <c r="F26" i="1"/>
  <c r="I26" i="1" s="1"/>
  <c r="G26" i="1" s="1"/>
  <c r="F27" i="1"/>
  <c r="I27" i="1" s="1"/>
  <c r="H27" i="1" s="1"/>
  <c r="F20" i="1"/>
  <c r="I20" i="1" s="1"/>
  <c r="H20" i="1" s="1"/>
  <c r="F19" i="1"/>
  <c r="I19" i="1" s="1"/>
  <c r="H19" i="1" s="1"/>
  <c r="F18" i="1"/>
  <c r="I18" i="1" s="1"/>
  <c r="H18" i="1" s="1"/>
  <c r="H17" i="1"/>
  <c r="F14" i="1"/>
  <c r="F12" i="1"/>
  <c r="F10" i="1"/>
  <c r="F8" i="1"/>
  <c r="F6" i="1"/>
  <c r="N6" i="1" s="1"/>
  <c r="N15" i="2" l="1"/>
  <c r="N16" i="2" s="1"/>
  <c r="N17" i="2" s="1"/>
  <c r="N18" i="2" s="1"/>
  <c r="N19" i="2" s="1"/>
  <c r="M6" i="2" l="1"/>
  <c r="L7" i="2" l="1"/>
  <c r="M7" i="2" l="1"/>
  <c r="L8" i="2" l="1"/>
  <c r="M8" i="2" l="1"/>
  <c r="L9" i="2" l="1"/>
  <c r="M9" i="2" l="1"/>
  <c r="L10" i="2" l="1"/>
  <c r="M10" i="2" s="1"/>
  <c r="L11" i="2" l="1"/>
  <c r="M11" i="2" l="1"/>
  <c r="L12" i="2" l="1"/>
  <c r="M12" i="2" s="1"/>
  <c r="L13" i="2" l="1"/>
  <c r="M13" i="2" l="1"/>
  <c r="L14" i="2" l="1"/>
  <c r="M14" i="2" s="1"/>
  <c r="L15" i="2" l="1"/>
  <c r="M15" i="2" l="1"/>
  <c r="L16" i="2" l="1"/>
  <c r="M16" i="2" l="1"/>
  <c r="L17" i="2" l="1"/>
  <c r="M17" i="2" l="1"/>
  <c r="L18" i="2" s="1"/>
  <c r="M18" i="2" l="1"/>
  <c r="L19" i="2" s="1"/>
  <c r="M19" i="2" l="1"/>
  <c r="G7" i="1" l="1"/>
  <c r="G8" i="1"/>
  <c r="G9" i="1"/>
  <c r="G10" i="1"/>
  <c r="G11" i="1"/>
  <c r="G12" i="1"/>
  <c r="G13" i="1"/>
  <c r="G14" i="1"/>
  <c r="G15" i="1"/>
  <c r="G16" i="1"/>
  <c r="G6" i="1"/>
  <c r="L7" i="1" s="1"/>
  <c r="M6" i="1"/>
  <c r="L8" i="1" l="1"/>
  <c r="L9" i="1" s="1"/>
  <c r="L10" i="1" s="1"/>
  <c r="L11" i="1" s="1"/>
  <c r="L12" i="1" s="1"/>
  <c r="L13" i="1" s="1"/>
  <c r="L14" i="1" s="1"/>
  <c r="L15" i="1" s="1"/>
  <c r="L16" i="1" s="1"/>
  <c r="L17" i="1" s="1"/>
  <c r="M7" i="1"/>
  <c r="N7" i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M8" i="1" l="1"/>
  <c r="M9" i="1" s="1"/>
  <c r="M10" i="1" s="1"/>
  <c r="M11" i="1" s="1"/>
  <c r="M12" i="1" s="1"/>
  <c r="M13" i="1" s="1"/>
  <c r="M14" i="1" s="1"/>
  <c r="M15" i="1" s="1"/>
  <c r="M16" i="1" s="1"/>
  <c r="M17" i="1" s="1"/>
  <c r="L18" i="1" s="1"/>
  <c r="M18" i="1" l="1"/>
  <c r="L19" i="1" s="1"/>
  <c r="M19" i="1" s="1"/>
  <c r="L20" i="1" l="1"/>
  <c r="M20" i="1" s="1"/>
  <c r="L21" i="1" l="1"/>
  <c r="M21" i="1" s="1"/>
  <c r="L22" i="1" s="1"/>
  <c r="M22" i="1" l="1"/>
  <c r="L23" i="1" s="1"/>
  <c r="M23" i="1" l="1"/>
  <c r="L24" i="1" s="1"/>
  <c r="M24" i="1" l="1"/>
  <c r="L25" i="1" s="1"/>
  <c r="M25" i="1" l="1"/>
  <c r="L26" i="1" s="1"/>
  <c r="M26" i="1" l="1"/>
  <c r="L27" i="1" s="1"/>
  <c r="M27" i="1" l="1"/>
  <c r="L28" i="1" s="1"/>
  <c r="M28" i="1" l="1"/>
  <c r="L29" i="1" s="1"/>
  <c r="M29" i="1" l="1"/>
  <c r="L30" i="1" s="1"/>
  <c r="M30" i="1" l="1"/>
</calcChain>
</file>

<file path=xl/sharedStrings.xml><?xml version="1.0" encoding="utf-8"?>
<sst xmlns="http://schemas.openxmlformats.org/spreadsheetml/2006/main" count="53" uniqueCount="29">
  <si>
    <t>조건 설정</t>
    <phoneticPr fontId="2" type="noConversion"/>
  </si>
  <si>
    <t>O</t>
  </si>
  <si>
    <t>노작값</t>
    <phoneticPr fontId="2" type="noConversion"/>
  </si>
  <si>
    <t>스타캐치</t>
    <phoneticPr fontId="2" type="noConversion"/>
  </si>
  <si>
    <t>MVP 할인</t>
    <phoneticPr fontId="2" type="noConversion"/>
  </si>
  <si>
    <t>PC방 할인</t>
    <phoneticPr fontId="2" type="noConversion"/>
  </si>
  <si>
    <t>이벤트 할인</t>
    <phoneticPr fontId="2" type="noConversion"/>
  </si>
  <si>
    <t>파방 12&gt;13</t>
    <phoneticPr fontId="2" type="noConversion"/>
  </si>
  <si>
    <t>파방 13&gt;14</t>
    <phoneticPr fontId="2" type="noConversion"/>
  </si>
  <si>
    <t>파방 14&gt;15</t>
    <phoneticPr fontId="2" type="noConversion"/>
  </si>
  <si>
    <t>파방 15&gt;16</t>
    <phoneticPr fontId="2" type="noConversion"/>
  </si>
  <si>
    <t>파방 16&gt;17</t>
    <phoneticPr fontId="2" type="noConversion"/>
  </si>
  <si>
    <t>레벨 제한</t>
    <phoneticPr fontId="2" type="noConversion"/>
  </si>
  <si>
    <t>강화 단계</t>
    <phoneticPr fontId="2" type="noConversion"/>
  </si>
  <si>
    <t>성공</t>
    <phoneticPr fontId="2" type="noConversion"/>
  </si>
  <si>
    <t>유지</t>
    <phoneticPr fontId="2" type="noConversion"/>
  </si>
  <si>
    <t>하락</t>
    <phoneticPr fontId="2" type="noConversion"/>
  </si>
  <si>
    <t>파괴</t>
    <phoneticPr fontId="2" type="noConversion"/>
  </si>
  <si>
    <t>1회 강화비용</t>
    <phoneticPr fontId="2" type="noConversion"/>
  </si>
  <si>
    <t>기대비용(구간)</t>
    <phoneticPr fontId="2" type="noConversion"/>
  </si>
  <si>
    <t>기대비용(누적)</t>
    <phoneticPr fontId="2" type="noConversion"/>
  </si>
  <si>
    <t>평균 파괴횟수</t>
    <phoneticPr fontId="2" type="noConversion"/>
  </si>
  <si>
    <t>노파방 1회강화</t>
    <phoneticPr fontId="2" type="noConversion"/>
  </si>
  <si>
    <t>파방 원클릭</t>
    <phoneticPr fontId="2" type="noConversion"/>
  </si>
  <si>
    <t>실제 적용되는 파방</t>
    <phoneticPr fontId="2" type="noConversion"/>
  </si>
  <si>
    <t>MVP 할인
실버 = 3%
골드 = 5%
다이아 = 10%
파방 원클릭을 "개별"로 설정하면
각 단계별로 파방을 설정할 수 있습니다.</t>
    <phoneticPr fontId="2" type="noConversion"/>
  </si>
  <si>
    <t>Edited by 프파애니
Thanks to 판단능력, 펜톨</t>
    <phoneticPr fontId="2" type="noConversion"/>
  </si>
  <si>
    <t>없음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</si>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</sst>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0.00_);[Red]\(0.00\)"/>
    <numFmt numFmtId="177" formatCode="#,##0_ "/>
    <numFmt numFmtId="178" formatCode="#,##0.00_);[Red]\(#,##0.00\)"/>
    <numFmt numFmtId="179" formatCode="#,##0_);[Red]\(#,##0\)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0"/>
      <color rgb="FF9900CC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9FCE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1C1"/>
        <bgColor indexed="64"/>
      </patternFill>
    </fill>
    <fill>
      <patternFill patternType="solid">
        <fgColor rgb="FFFFE0C1"/>
        <bgColor indexed="64"/>
      </patternFill>
    </fill>
    <fill>
      <patternFill patternType="solid">
        <fgColor rgb="FFE4C1FF"/>
        <bgColor indexed="64"/>
      </patternFill>
    </fill>
  </fills>
  <borders count="44">
    <border>
      <left/>
      <right/>
      <top/>
      <bottom/>
      <diagonal/>
    </border>
    <border>
      <left style="medium">
        <color theme="0" tint="-0.34998626667073579"/>
      </left>
      <right style="hair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/>
      <bottom style="hair">
        <color theme="0" tint="-0.34998626667073579"/>
      </bottom>
      <diagonal/>
    </border>
    <border>
      <left style="medium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 style="hair">
        <color theme="0" tint="-0.34998626667073579"/>
      </top>
      <bottom/>
      <diagonal/>
    </border>
    <border>
      <left style="medium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medium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hair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hair">
        <color theme="0" tint="-0.34998626667073579"/>
      </right>
      <top style="medium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medium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thin">
        <color theme="0"/>
      </right>
      <top style="medium">
        <color theme="0" tint="-0.34998626667073579"/>
      </top>
      <bottom style="thin">
        <color theme="0"/>
      </bottom>
      <diagonal/>
    </border>
    <border>
      <left style="thin">
        <color theme="0"/>
      </left>
      <right/>
      <top style="medium">
        <color theme="0" tint="-0.34998626667073579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 style="medium">
        <color theme="0"/>
      </right>
      <top style="medium">
        <color theme="0" tint="-0.34998626667073579"/>
      </top>
      <bottom/>
      <diagonal/>
    </border>
    <border>
      <left style="medium">
        <color theme="0"/>
      </left>
      <right/>
      <top style="medium">
        <color theme="0" tint="-0.34998626667073579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0" fontId="3" fillId="0" borderId="6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176" fontId="3" fillId="2" borderId="7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178" fontId="3" fillId="2" borderId="7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10" fontId="3" fillId="0" borderId="12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178" fontId="3" fillId="2" borderId="13" xfId="0" applyNumberFormat="1" applyFont="1" applyFill="1" applyBorder="1" applyAlignment="1">
      <alignment horizontal="center" vertical="center"/>
    </xf>
    <xf numFmtId="176" fontId="0" fillId="2" borderId="0" xfId="0" applyNumberFormat="1" applyFill="1">
      <alignment vertical="center"/>
    </xf>
    <xf numFmtId="176" fontId="0" fillId="0" borderId="0" xfId="0" applyNumberFormat="1">
      <alignment vertical="center"/>
    </xf>
    <xf numFmtId="9" fontId="7" fillId="4" borderId="7" xfId="0" applyNumberFormat="1" applyFont="1" applyFill="1" applyBorder="1" applyAlignment="1" applyProtection="1">
      <alignment horizontal="center" vertical="center"/>
      <protection locked="0"/>
    </xf>
    <xf numFmtId="0" fontId="7" fillId="4" borderId="7" xfId="0" applyNumberFormat="1" applyFont="1" applyFill="1" applyBorder="1" applyAlignment="1" applyProtection="1">
      <alignment horizontal="center" vertical="center"/>
      <protection locked="0"/>
    </xf>
    <xf numFmtId="0" fontId="7" fillId="4" borderId="9" xfId="0" applyNumberFormat="1" applyFont="1" applyFill="1" applyBorder="1" applyAlignment="1" applyProtection="1">
      <alignment horizontal="center" vertical="center"/>
      <protection locked="0"/>
    </xf>
    <xf numFmtId="0" fontId="7" fillId="4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176" fontId="5" fillId="3" borderId="23" xfId="0" applyNumberFormat="1" applyFont="1" applyFill="1" applyBorder="1" applyAlignment="1">
      <alignment horizontal="center" vertical="center"/>
    </xf>
    <xf numFmtId="0" fontId="7" fillId="4" borderId="19" xfId="0" applyNumberFormat="1" applyFont="1" applyFill="1" applyBorder="1" applyAlignment="1" applyProtection="1">
      <alignment horizontal="center" vertical="center"/>
      <protection locked="0"/>
    </xf>
    <xf numFmtId="0" fontId="5" fillId="3" borderId="26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10" fontId="3" fillId="0" borderId="28" xfId="0" applyNumberFormat="1" applyFont="1" applyBorder="1" applyAlignment="1">
      <alignment horizontal="center" vertical="center"/>
    </xf>
    <xf numFmtId="177" fontId="3" fillId="0" borderId="28" xfId="0" applyNumberFormat="1" applyFont="1" applyBorder="1" applyAlignment="1">
      <alignment horizontal="center" vertical="center"/>
    </xf>
    <xf numFmtId="177" fontId="3" fillId="0" borderId="29" xfId="0" applyNumberFormat="1" applyFont="1" applyBorder="1" applyAlignment="1">
      <alignment horizontal="center" vertical="center"/>
    </xf>
    <xf numFmtId="176" fontId="3" fillId="2" borderId="27" xfId="0" applyNumberFormat="1" applyFont="1" applyFill="1" applyBorder="1" applyAlignment="1">
      <alignment horizontal="center" vertical="center"/>
    </xf>
    <xf numFmtId="176" fontId="3" fillId="2" borderId="13" xfId="0" applyNumberFormat="1" applyFont="1" applyFill="1" applyBorder="1" applyAlignment="1">
      <alignment horizontal="center" vertical="center"/>
    </xf>
    <xf numFmtId="179" fontId="7" fillId="4" borderId="9" xfId="1" applyNumberFormat="1" applyFont="1" applyFill="1" applyBorder="1" applyAlignment="1" applyProtection="1">
      <alignment horizontal="center" vertical="center"/>
      <protection locked="0"/>
    </xf>
    <xf numFmtId="9" fontId="7" fillId="4" borderId="27" xfId="0" applyNumberFormat="1" applyFont="1" applyFill="1" applyBorder="1" applyAlignment="1" applyProtection="1">
      <alignment horizontal="center" vertical="center"/>
      <protection locked="0"/>
    </xf>
    <xf numFmtId="177" fontId="3" fillId="0" borderId="12" xfId="0" applyNumberFormat="1" applyFont="1" applyFill="1" applyBorder="1" applyAlignment="1">
      <alignment horizontal="center" vertical="center"/>
    </xf>
    <xf numFmtId="177" fontId="3" fillId="5" borderId="6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9" fontId="7" fillId="4" borderId="7" xfId="1" applyNumberFormat="1" applyFont="1" applyFill="1" applyBorder="1" applyAlignment="1" applyProtection="1">
      <alignment horizontal="center" vertical="center"/>
      <protection locked="0"/>
    </xf>
    <xf numFmtId="9" fontId="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0" fillId="2" borderId="35" xfId="0" applyFill="1" applyBorder="1">
      <alignment vertical="center"/>
    </xf>
    <xf numFmtId="0" fontId="0" fillId="2" borderId="36" xfId="0" applyFill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7" fontId="3" fillId="7" borderId="8" xfId="0" applyNumberFormat="1" applyFont="1" applyFill="1" applyBorder="1" applyAlignment="1">
      <alignment horizontal="center" vertical="center"/>
    </xf>
    <xf numFmtId="177" fontId="9" fillId="8" borderId="8" xfId="0" applyNumberFormat="1" applyFont="1" applyFill="1" applyBorder="1" applyAlignment="1">
      <alignment horizontal="center" vertical="center"/>
    </xf>
    <xf numFmtId="177" fontId="3" fillId="9" borderId="14" xfId="0" applyNumberFormat="1" applyFont="1" applyFill="1" applyBorder="1" applyAlignment="1">
      <alignment horizontal="center" vertical="center"/>
    </xf>
    <xf numFmtId="177" fontId="3" fillId="6" borderId="8" xfId="0" applyNumberFormat="1" applyFont="1" applyFill="1" applyBorder="1" applyAlignment="1">
      <alignment horizontal="center" vertical="center"/>
    </xf>
    <xf numFmtId="177" fontId="3" fillId="10" borderId="15" xfId="0" applyNumberFormat="1" applyFont="1" applyFill="1" applyBorder="1" applyAlignment="1">
      <alignment horizontal="center" vertical="center"/>
    </xf>
    <xf numFmtId="0" fontId="7" fillId="4" borderId="30" xfId="0" applyNumberFormat="1" applyFont="1" applyFill="1" applyBorder="1" applyAlignment="1" applyProtection="1">
      <alignment horizontal="center" vertical="center"/>
      <protection locked="0"/>
    </xf>
    <xf numFmtId="0" fontId="7" fillId="4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1">
    <dxf>
      <font>
        <strike val="0"/>
        <color theme="0" tint="-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E4C1FF"/>
      <color rgb="FFFFE0C1"/>
      <color rgb="FFFFC1C1"/>
      <color rgb="FFFF91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9"/>
  <sheetViews>
    <sheetView tabSelected="1" workbookViewId="0">
      <selection activeCell="C6" sqref="C6"/>
    </sheetView>
  </sheetViews>
  <sheetFormatPr defaultRowHeight="16.5" x14ac:dyDescent="0.3"/>
  <cols>
    <col min="1" max="1" width="2.625" customWidth="1"/>
    <col min="2" max="2" width="16.625" customWidth="1"/>
    <col min="3" max="3" width="17.5" customWidth="1"/>
    <col min="4" max="4" width="2.625" customWidth="1"/>
    <col min="10" max="10" width="14.625" customWidth="1"/>
    <col min="11" max="11" width="14.625" hidden="1" customWidth="1"/>
    <col min="12" max="13" width="17.625" customWidth="1"/>
    <col min="14" max="14" width="11.625" style="26" customWidth="1"/>
    <col min="15" max="15" width="10.625" customWidth="1"/>
    <col min="16" max="16" width="12.75" customWidth="1"/>
    <col min="17" max="17" width="11.75" customWidth="1"/>
    <col min="20" max="20" width="16.625" customWidth="1"/>
  </cols>
  <sheetData>
    <row r="1" spans="1:34" ht="17.25" thickBot="1" x14ac:dyDescent="0.3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1"/>
      <c r="P1" s="81"/>
      <c r="Q1" s="8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7.25" thickBot="1" x14ac:dyDescent="0.35">
      <c r="A2" s="1"/>
      <c r="B2" s="73" t="s">
        <v>0</v>
      </c>
      <c r="C2" s="74"/>
      <c r="D2" s="2"/>
      <c r="E2" s="34" t="s">
        <v>13</v>
      </c>
      <c r="F2" s="35" t="s">
        <v>14</v>
      </c>
      <c r="G2" s="35" t="s">
        <v>15</v>
      </c>
      <c r="H2" s="35" t="s">
        <v>16</v>
      </c>
      <c r="I2" s="35" t="s">
        <v>17</v>
      </c>
      <c r="J2" s="35" t="s">
        <v>18</v>
      </c>
      <c r="K2" s="35" t="s">
        <v>22</v>
      </c>
      <c r="L2" s="35" t="s">
        <v>19</v>
      </c>
      <c r="M2" s="36" t="s">
        <v>20</v>
      </c>
      <c r="N2" s="37" t="s">
        <v>21</v>
      </c>
      <c r="O2" s="1"/>
      <c r="P2" s="5"/>
      <c r="Q2" s="5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idden="1" x14ac:dyDescent="0.3">
      <c r="A3" s="1"/>
      <c r="B3" s="31"/>
      <c r="C3" s="32"/>
      <c r="D3" s="2"/>
      <c r="E3" s="9">
        <v>12</v>
      </c>
      <c r="F3" s="10">
        <f>IF($C$8="O",1.05,1)*45%</f>
        <v>0.47250000000000003</v>
      </c>
      <c r="G3" s="10">
        <v>0</v>
      </c>
      <c r="H3" s="10">
        <f>1-F3-I3</f>
        <v>0.52749999999999997</v>
      </c>
      <c r="I3" s="10">
        <v>0</v>
      </c>
      <c r="J3" s="11">
        <f>ROUND(1000+($E3^2.7)/400*$C$6^3,-2)*IF(OR($C$11="전구간 30% 할인",$C$11="샤이닝 스타포스"),0.7,1)*(1-$C$9-$C$10)</f>
        <v>8397300</v>
      </c>
      <c r="K3" s="11">
        <f>ROUND(1000+($E3^2.7)/400*$C$6^3,-2)*IF(OR($C$11="전구간 30% 할인",$C$11="샤이닝 스타포스"),0.7,1)*(1-$C$9-$C$10)</f>
        <v>8397300</v>
      </c>
      <c r="L3" s="11"/>
      <c r="M3" s="12"/>
      <c r="N3" s="13"/>
      <c r="O3" s="1"/>
      <c r="P3" s="5"/>
      <c r="Q3" s="5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idden="1" x14ac:dyDescent="0.3">
      <c r="A4" s="1"/>
      <c r="B4" s="31"/>
      <c r="C4" s="32"/>
      <c r="D4" s="2"/>
      <c r="E4" s="9">
        <v>-1</v>
      </c>
      <c r="F4" s="10">
        <v>1</v>
      </c>
      <c r="G4" s="10">
        <v>0</v>
      </c>
      <c r="H4" s="10">
        <v>0</v>
      </c>
      <c r="I4" s="10">
        <v>0</v>
      </c>
      <c r="J4" s="11">
        <v>0</v>
      </c>
      <c r="K4" s="11">
        <v>0</v>
      </c>
      <c r="L4" s="11">
        <v>0</v>
      </c>
      <c r="M4" s="11">
        <v>0</v>
      </c>
      <c r="N4" s="13">
        <v>0</v>
      </c>
      <c r="O4" s="1"/>
      <c r="P4" s="5"/>
      <c r="Q4" s="5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7.25" hidden="1" thickBot="1" x14ac:dyDescent="0.35">
      <c r="A5" s="1"/>
      <c r="B5" s="31"/>
      <c r="C5" s="32"/>
      <c r="D5" s="2"/>
      <c r="E5" s="9">
        <v>0</v>
      </c>
      <c r="F5" s="10">
        <v>1</v>
      </c>
      <c r="G5" s="10">
        <v>0</v>
      </c>
      <c r="H5" s="10">
        <v>0</v>
      </c>
      <c r="I5" s="10">
        <v>0</v>
      </c>
      <c r="J5" s="11">
        <v>0</v>
      </c>
      <c r="K5" s="11">
        <v>0</v>
      </c>
      <c r="L5" s="11">
        <v>0</v>
      </c>
      <c r="M5" s="11">
        <v>0</v>
      </c>
      <c r="N5" s="13">
        <v>0</v>
      </c>
      <c r="O5" s="1"/>
      <c r="P5" s="5"/>
      <c r="Q5" s="5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x14ac:dyDescent="0.3">
      <c r="A6" s="1"/>
      <c r="B6" s="8" t="s">
        <v>12</v>
      </c>
      <c r="C6" s="28">
        <v>160</v>
      </c>
      <c r="D6" s="2"/>
      <c r="E6" s="40">
        <v>1</v>
      </c>
      <c r="F6" s="41">
        <f>IF($C$8="O",1.05,1)*95%</f>
        <v>0.99749999999999994</v>
      </c>
      <c r="G6" s="41">
        <f>1-F6</f>
        <v>2.5000000000000577E-3</v>
      </c>
      <c r="H6" s="41">
        <v>0</v>
      </c>
      <c r="I6" s="41">
        <v>0</v>
      </c>
      <c r="J6" s="42">
        <f>ROUND(1000+$C$6^3*$E6/25,-2)*IF(OR($C$11="전구간 30% 할인",$C$11="샤이닝 스타포스"),0.7,1)*(1-$C$9-$C$10)</f>
        <v>164800</v>
      </c>
      <c r="K6" s="42">
        <f>ROUND(1000+$C$6^3*$E6/25,-2)*IF(OR($C$11="전구간 30% 할인",$C$11="샤이닝 스타포스"),0.7,1)*(1-$C$9-$C$10)</f>
        <v>164800</v>
      </c>
      <c r="L6" s="42">
        <f t="shared" ref="L6:L17" si="0">($J6+$H6*$J5+$H6*$G5*$L5+$H6*$H5*($K4+$L5))/$F6</f>
        <v>165213.03258145365</v>
      </c>
      <c r="M6" s="42">
        <f>$M5+$L6</f>
        <v>165213.03258145365</v>
      </c>
      <c r="N6" s="44">
        <f t="shared" ref="N6:N17" si="1">$N5+($H6*($G5+$H5)*($N5-$N4)+($I6+$H6*$I5)*(1+$N5))/$F6</f>
        <v>0</v>
      </c>
      <c r="O6" s="1"/>
      <c r="P6" s="7"/>
      <c r="Q6" s="7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7.25" thickBot="1" x14ac:dyDescent="0.35">
      <c r="A7" s="1"/>
      <c r="B7" s="16" t="s">
        <v>2</v>
      </c>
      <c r="C7" s="46">
        <v>100000000</v>
      </c>
      <c r="D7" s="2"/>
      <c r="E7" s="9">
        <v>2</v>
      </c>
      <c r="F7" s="10">
        <f>IF($C$11="10성 이하 강화시 1+1",1,IF($C$8="O",1.05,1)*90%)</f>
        <v>0.94500000000000006</v>
      </c>
      <c r="G7" s="10">
        <f t="shared" ref="G7:G16" si="2">1-F7</f>
        <v>5.4999999999999938E-2</v>
      </c>
      <c r="H7" s="10">
        <v>0</v>
      </c>
      <c r="I7" s="10">
        <v>0</v>
      </c>
      <c r="J7" s="11">
        <f>ROUND(1000+$C$6^3*$E7/25,-2)*IF(OR($C$11="전구간 30% 할인",$C$11="샤이닝 스타포스"),0.7,1)*(1-$C$9-$C$10)*IF($C$11="10성 이하 강화시 1+1",0,1)</f>
        <v>328700</v>
      </c>
      <c r="K7" s="11">
        <f>ROUND(1000+$C$6^3*$E7/25,-2)*IF(OR($C$11="전구간 30% 할인",$C$11="샤이닝 스타포스"),0.7,1)*(1-$C$9-$C$10)*IF($C$11="10성 이하 강화시 1+1",0,1)</f>
        <v>328700</v>
      </c>
      <c r="L7" s="11">
        <f t="shared" si="0"/>
        <v>347830.68783068779</v>
      </c>
      <c r="M7" s="11">
        <f t="shared" ref="M7:M30" si="3">$M6+$L7</f>
        <v>513043.72041214141</v>
      </c>
      <c r="N7" s="13">
        <f t="shared" si="1"/>
        <v>0</v>
      </c>
      <c r="O7" s="1"/>
      <c r="P7" s="7"/>
      <c r="Q7" s="7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x14ac:dyDescent="0.3">
      <c r="A8" s="1"/>
      <c r="B8" s="39" t="s">
        <v>3</v>
      </c>
      <c r="C8" s="47" t="s">
        <v>1</v>
      </c>
      <c r="D8" s="2"/>
      <c r="E8" s="9">
        <v>3</v>
      </c>
      <c r="F8" s="10">
        <f>IF($C$8="O",1.05,1)*85%</f>
        <v>0.89249999999999996</v>
      </c>
      <c r="G8" s="10">
        <f t="shared" si="2"/>
        <v>0.10750000000000004</v>
      </c>
      <c r="H8" s="10">
        <v>0</v>
      </c>
      <c r="I8" s="10">
        <v>0</v>
      </c>
      <c r="J8" s="11">
        <f>ROUND(1000+$C$6^3*$E8/25,-2)*IF(OR($C$11="전구간 30% 할인",$C$11="샤이닝 스타포스"),0.7,1)*(1-$C$9-$C$10)</f>
        <v>492500</v>
      </c>
      <c r="K8" s="11">
        <f>ROUND(1000+$C$6^3*$E8/25,-2)*IF(OR($C$11="전구간 30% 할인",$C$11="샤이닝 스타포스"),0.7,1)*(1-$C$9-$C$10)</f>
        <v>492500</v>
      </c>
      <c r="L8" s="11">
        <f t="shared" si="0"/>
        <v>551820.72829131654</v>
      </c>
      <c r="M8" s="11">
        <f t="shared" si="3"/>
        <v>1064864.4487034581</v>
      </c>
      <c r="N8" s="13">
        <f t="shared" si="1"/>
        <v>0</v>
      </c>
      <c r="O8" s="1"/>
      <c r="P8" s="7"/>
      <c r="Q8" s="7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x14ac:dyDescent="0.3">
      <c r="A9" s="1"/>
      <c r="B9" s="8" t="s">
        <v>4</v>
      </c>
      <c r="C9" s="27">
        <v>0</v>
      </c>
      <c r="D9" s="2"/>
      <c r="E9" s="9">
        <v>4</v>
      </c>
      <c r="F9" s="10">
        <f>IF($C$11="10성 이하 강화시 1+1",1,IF($C$8="O",1.05,1)*85%)</f>
        <v>0.89249999999999996</v>
      </c>
      <c r="G9" s="10">
        <f t="shared" si="2"/>
        <v>0.10750000000000004</v>
      </c>
      <c r="H9" s="10">
        <v>0</v>
      </c>
      <c r="I9" s="10">
        <v>0</v>
      </c>
      <c r="J9" s="11">
        <f>ROUND(1000+$C$6^3*$E9/25,-2)*IF(OR($C$11="전구간 30% 할인",$C$11="샤이닝 스타포스"),0.7,1)*(1-$C$9-$C$10)*IF($C$11="10성 이하 강화시 1+1",0,1)</f>
        <v>656400</v>
      </c>
      <c r="K9" s="11">
        <f>ROUND(1000+$C$6^3*$E9/25,-2)*IF(OR($C$11="전구간 30% 할인",$C$11="샤이닝 스타포스"),0.7,1)*(1-$C$9-$C$10)*IF($C$11="10성 이하 강화시 1+1",0,1)</f>
        <v>656400</v>
      </c>
      <c r="L9" s="11">
        <f t="shared" si="0"/>
        <v>735462.18487394962</v>
      </c>
      <c r="M9" s="11">
        <f t="shared" si="3"/>
        <v>1800326.6335774078</v>
      </c>
      <c r="N9" s="13">
        <f t="shared" si="1"/>
        <v>0</v>
      </c>
      <c r="O9" s="1"/>
      <c r="P9" s="7"/>
      <c r="Q9" s="7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x14ac:dyDescent="0.3">
      <c r="A10" s="1"/>
      <c r="B10" s="8" t="s">
        <v>5</v>
      </c>
      <c r="C10" s="27">
        <v>0</v>
      </c>
      <c r="D10" s="2"/>
      <c r="E10" s="9">
        <v>5</v>
      </c>
      <c r="F10" s="10">
        <f>IF($C$8="O",1.05,1)*80%</f>
        <v>0.84000000000000008</v>
      </c>
      <c r="G10" s="10">
        <f t="shared" si="2"/>
        <v>0.15999999999999992</v>
      </c>
      <c r="H10" s="10">
        <v>0</v>
      </c>
      <c r="I10" s="10">
        <v>0</v>
      </c>
      <c r="J10" s="11">
        <f>ROUND(1000+$C$6^3*$E10/25,-2)*IF(OR($C$11="전구간 30% 할인",$C$11="샤이닝 스타포스"),0.7,1)*(1-$C$9-$C$10)</f>
        <v>820200</v>
      </c>
      <c r="K10" s="11">
        <f>ROUND(1000+$C$6^3*$E10/25,-2)*IF(OR($C$11="전구간 30% 할인",$C$11="샤이닝 스타포스"),0.7,1)*(1-$C$9-$C$10)</f>
        <v>820200</v>
      </c>
      <c r="L10" s="11">
        <f t="shared" si="0"/>
        <v>976428.57142857136</v>
      </c>
      <c r="M10" s="11">
        <f t="shared" si="3"/>
        <v>2776755.2050059792</v>
      </c>
      <c r="N10" s="13">
        <f t="shared" si="1"/>
        <v>0</v>
      </c>
      <c r="O10" s="1"/>
      <c r="P10" s="7"/>
      <c r="Q10" s="7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x14ac:dyDescent="0.3">
      <c r="A11" s="1"/>
      <c r="B11" s="16" t="s">
        <v>6</v>
      </c>
      <c r="C11" s="29" t="s">
        <v>27</v>
      </c>
      <c r="D11" s="2"/>
      <c r="E11" s="9">
        <v>6</v>
      </c>
      <c r="F11" s="10">
        <f>IF(OR($C$11="10성 이하 강화시 1+1",OR($C$11="5/10/15 확정 성공",$C$11="샤이닝 스타포스")),1,IF($C$8="O",1.05,1)*75%)</f>
        <v>0.78750000000000009</v>
      </c>
      <c r="G11" s="10">
        <f t="shared" si="2"/>
        <v>0.21249999999999991</v>
      </c>
      <c r="H11" s="10">
        <v>0</v>
      </c>
      <c r="I11" s="10">
        <v>0</v>
      </c>
      <c r="J11" s="11">
        <f>ROUND(1000+$C$6^3*$E11/25,-2)*IF(OR($C$11="전구간 30% 할인",$C$11="샤이닝 스타포스"),0.7,1)*(1-$C$9-$C$10)*IF($C$11="10성 이하 강화시 1+1",0,1)</f>
        <v>984000</v>
      </c>
      <c r="K11" s="11">
        <f>ROUND(1000+$C$6^3*$E11/25,-2)*IF(OR($C$11="전구간 30% 할인",$C$11="샤이닝 스타포스"),0.7,1)*(1-$C$9-$C$10)*IF($C$11="10성 이하 강화시 1+1",0,1)</f>
        <v>984000</v>
      </c>
      <c r="L11" s="11">
        <f t="shared" si="0"/>
        <v>1249523.8095238095</v>
      </c>
      <c r="M11" s="11">
        <f t="shared" si="3"/>
        <v>4026279.0145297889</v>
      </c>
      <c r="N11" s="13">
        <f t="shared" si="1"/>
        <v>0</v>
      </c>
      <c r="O11" s="1"/>
      <c r="P11" s="7"/>
      <c r="Q11" s="7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7.25" thickBot="1" x14ac:dyDescent="0.35">
      <c r="A12" s="1"/>
      <c r="B12" s="17" t="s">
        <v>23</v>
      </c>
      <c r="C12" s="30" t="s">
        <v>28</v>
      </c>
      <c r="D12" s="2"/>
      <c r="E12" s="9">
        <v>7</v>
      </c>
      <c r="F12" s="10">
        <f>IF($C$8="O",1.05,1)*70%</f>
        <v>0.73499999999999999</v>
      </c>
      <c r="G12" s="10">
        <f t="shared" si="2"/>
        <v>0.26500000000000001</v>
      </c>
      <c r="H12" s="10">
        <v>0</v>
      </c>
      <c r="I12" s="10">
        <v>0</v>
      </c>
      <c r="J12" s="11">
        <f>ROUND(1000+$C$6^3*$E12/25,-2)*IF(OR($C$11="전구간 30% 할인",$C$11="샤이닝 스타포스"),0.7,1)*(1-$C$9-$C$10)</f>
        <v>1147900</v>
      </c>
      <c r="K12" s="11">
        <f>ROUND(1000+$C$6^3*$E12/25,-2)*IF(OR($C$11="전구간 30% 할인",$C$11="샤이닝 스타포스"),0.7,1)*(1-$C$9-$C$10)</f>
        <v>1147900</v>
      </c>
      <c r="L12" s="11">
        <f t="shared" si="0"/>
        <v>1561768.7074829931</v>
      </c>
      <c r="M12" s="11">
        <f t="shared" si="3"/>
        <v>5588047.7220127825</v>
      </c>
      <c r="N12" s="13">
        <f t="shared" si="1"/>
        <v>0</v>
      </c>
      <c r="O12" s="1"/>
      <c r="P12" s="7"/>
      <c r="Q12" s="7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x14ac:dyDescent="0.3">
      <c r="A13" s="1"/>
      <c r="B13" s="33" t="s">
        <v>7</v>
      </c>
      <c r="C13" s="38" t="s">
        <v>1</v>
      </c>
      <c r="D13" s="2"/>
      <c r="E13" s="9">
        <v>8</v>
      </c>
      <c r="F13" s="10">
        <f>IF($C$11="10성 이하 강화시 1+1",1,IF($C$8="O",1.05,1)*65%)</f>
        <v>0.68250000000000011</v>
      </c>
      <c r="G13" s="10">
        <f t="shared" si="2"/>
        <v>0.31749999999999989</v>
      </c>
      <c r="H13" s="10">
        <v>0</v>
      </c>
      <c r="I13" s="10">
        <v>0</v>
      </c>
      <c r="J13" s="11">
        <f>ROUND(1000+$C$6^3*$E13/25,-2)*IF(OR($C$11="전구간 30% 할인",$C$11="샤이닝 스타포스"),0.7,1)*(1-$C$9-$C$10)*IF($C$11="10성 이하 강화시 1+1",0,1)</f>
        <v>1311700</v>
      </c>
      <c r="K13" s="11">
        <f>ROUND(1000+$C$6^3*$E13/25,-2)*IF(OR($C$11="전구간 30% 할인",$C$11="샤이닝 스타포스"),0.7,1)*(1-$C$9-$C$10)*IF($C$11="10성 이하 강화시 1+1",0,1)</f>
        <v>1311700</v>
      </c>
      <c r="L13" s="11">
        <f t="shared" si="0"/>
        <v>1921904.7619047617</v>
      </c>
      <c r="M13" s="11">
        <f t="shared" si="3"/>
        <v>7509952.4839175437</v>
      </c>
      <c r="N13" s="13">
        <f t="shared" si="1"/>
        <v>0</v>
      </c>
      <c r="O13" s="1"/>
      <c r="P13" s="7"/>
      <c r="Q13" s="7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x14ac:dyDescent="0.3">
      <c r="A14" s="1"/>
      <c r="B14" s="16" t="s">
        <v>8</v>
      </c>
      <c r="C14" s="29" t="s">
        <v>1</v>
      </c>
      <c r="D14" s="2"/>
      <c r="E14" s="9">
        <v>9</v>
      </c>
      <c r="F14" s="10">
        <f>IF($C$8="O",1.05,1)*60%</f>
        <v>0.63</v>
      </c>
      <c r="G14" s="10">
        <f t="shared" si="2"/>
        <v>0.37</v>
      </c>
      <c r="H14" s="10">
        <v>0</v>
      </c>
      <c r="I14" s="10">
        <v>0</v>
      </c>
      <c r="J14" s="11">
        <f>ROUND(1000+$C$6^3*$E14/25,-2)*IF(OR($C$11="전구간 30% 할인",$C$11="샤이닝 스타포스"),0.7,1)*(1-$C$9-$C$10)</f>
        <v>1475600</v>
      </c>
      <c r="K14" s="11">
        <f>ROUND(1000+$C$6^3*$E14/25,-2)*IF(OR($C$11="전구간 30% 할인",$C$11="샤이닝 스타포스"),0.7,1)*(1-$C$9-$C$10)</f>
        <v>1475600</v>
      </c>
      <c r="L14" s="11">
        <f t="shared" si="0"/>
        <v>2342222.222222222</v>
      </c>
      <c r="M14" s="11">
        <f t="shared" si="3"/>
        <v>9852174.7061397657</v>
      </c>
      <c r="N14" s="13">
        <f t="shared" si="1"/>
        <v>0</v>
      </c>
      <c r="O14" s="1"/>
      <c r="P14" s="7"/>
      <c r="Q14" s="7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7.25" thickBot="1" x14ac:dyDescent="0.35">
      <c r="A15" s="1"/>
      <c r="B15" s="16" t="s">
        <v>9</v>
      </c>
      <c r="C15" s="29" t="s">
        <v>1</v>
      </c>
      <c r="D15" s="2"/>
      <c r="E15" s="20">
        <v>10</v>
      </c>
      <c r="F15" s="21">
        <f>IF($C$11="10성 이하 강화시 1+1",1,IF($C$8="O",1.05,1)*55%)</f>
        <v>0.57750000000000012</v>
      </c>
      <c r="G15" s="21">
        <f t="shared" si="2"/>
        <v>0.42249999999999988</v>
      </c>
      <c r="H15" s="21">
        <v>0</v>
      </c>
      <c r="I15" s="21">
        <v>0</v>
      </c>
      <c r="J15" s="22">
        <f>ROUND(1000+$C$6^3*$E15/25,-2)*IF(OR($C$11="전구간 30% 할인",$C$11="샤이닝 스타포스"),0.7,1)*(1-$C$9-$C$10)*IF($C$11="10성 이하 강화시 1+1",0,1)</f>
        <v>1639400</v>
      </c>
      <c r="K15" s="22">
        <f>ROUND(1000+$C$6^3*$E15/25,-2)*IF(OR($C$11="전구간 30% 할인",$C$11="샤이닝 스타포스"),0.7,1)*(1-$C$9-$C$10)*IF($C$11="10성 이하 강화시 1+1",0,1)</f>
        <v>1639400</v>
      </c>
      <c r="L15" s="22">
        <f t="shared" si="0"/>
        <v>2838787.878787878</v>
      </c>
      <c r="M15" s="22">
        <f t="shared" si="3"/>
        <v>12690962.584927645</v>
      </c>
      <c r="N15" s="45">
        <f t="shared" si="1"/>
        <v>0</v>
      </c>
      <c r="O15" s="1"/>
      <c r="P15" s="7"/>
      <c r="Q15" s="7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x14ac:dyDescent="0.3">
      <c r="A16" s="1"/>
      <c r="B16" s="16" t="s">
        <v>10</v>
      </c>
      <c r="C16" s="29" t="s">
        <v>1</v>
      </c>
      <c r="D16" s="2"/>
      <c r="E16" s="40">
        <v>11</v>
      </c>
      <c r="F16" s="41">
        <f>IF(OR($C$11="5/10/15 확정 성공",$C$11="샤이닝 스타포스"),1,IF($C$8="O",1.05,1)*50%)</f>
        <v>0.52500000000000002</v>
      </c>
      <c r="G16" s="41">
        <f t="shared" si="2"/>
        <v>0.47499999999999998</v>
      </c>
      <c r="H16" s="41">
        <v>0</v>
      </c>
      <c r="I16" s="41">
        <v>0</v>
      </c>
      <c r="J16" s="42">
        <f>ROUND(1000+($E16^2.7)/400*$C$6^3,-2)*IF(OR($C$11="전구간 30% 할인",$C$11="샤이닝 스타포스"),0.7,1)*(1-$C$9-$C$10)</f>
        <v>6639400</v>
      </c>
      <c r="K16" s="42">
        <f>ROUND(1000+($E16^2.7)/400*$C$6^3,-2)*IF(OR($C$11="전구간 30% 할인",$C$11="샤이닝 스타포스"),0.7,1)*(1-$C$9-$C$10)</f>
        <v>6639400</v>
      </c>
      <c r="L16" s="42">
        <f t="shared" si="0"/>
        <v>12646476.19047619</v>
      </c>
      <c r="M16" s="43">
        <f t="shared" si="3"/>
        <v>25337438.775403835</v>
      </c>
      <c r="N16" s="44">
        <f t="shared" si="1"/>
        <v>0</v>
      </c>
      <c r="O16" s="1"/>
      <c r="P16" s="7"/>
      <c r="Q16" s="7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7.25" thickBot="1" x14ac:dyDescent="0.35">
      <c r="A17" s="1"/>
      <c r="B17" s="17" t="s">
        <v>11</v>
      </c>
      <c r="C17" s="30" t="s">
        <v>1</v>
      </c>
      <c r="D17" s="2"/>
      <c r="E17" s="9">
        <v>12</v>
      </c>
      <c r="F17" s="10">
        <f>IF($C$11="10성 이하 강화시 1+1",1,IF($C$8="O",1.05,1)*45%)</f>
        <v>0.47250000000000003</v>
      </c>
      <c r="G17" s="10">
        <v>0</v>
      </c>
      <c r="H17" s="10">
        <f>1-F17-I17</f>
        <v>0.52749999999999997</v>
      </c>
      <c r="I17" s="10">
        <v>0</v>
      </c>
      <c r="J17" s="11">
        <f>ROUND(1000+($E17^2.7)/400*$C$6^3,-2)*IF(OR($C$11="전구간 30% 할인",$C$11="샤이닝 스타포스"),0.7,1)*(1-$C$9-$C$10)*IF($C$11="10성 이하 강화시 1+1",0,1)</f>
        <v>8397300</v>
      </c>
      <c r="K17" s="11">
        <f>ROUND(1000+($E17^2.7)/400*$C$6^3,-2)*IF(OR($C$11="전구간 30% 할인",$C$11="샤이닝 스타포스"),0.7,1)*(1-$C$9-$C$10)*IF($C$11="10성 이하 강화시 1+1",0,1)</f>
        <v>8397300</v>
      </c>
      <c r="L17" s="11">
        <f t="shared" si="0"/>
        <v>31890616.276140083</v>
      </c>
      <c r="M17" s="12">
        <f t="shared" si="3"/>
        <v>57228055.051543921</v>
      </c>
      <c r="N17" s="13">
        <f t="shared" si="1"/>
        <v>0</v>
      </c>
      <c r="O17" s="1"/>
      <c r="P17" s="7"/>
      <c r="Q17" s="7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7.25" thickBot="1" x14ac:dyDescent="0.35">
      <c r="A18" s="1"/>
      <c r="B18" s="2"/>
      <c r="C18" s="2"/>
      <c r="D18" s="2"/>
      <c r="E18" s="9">
        <v>13</v>
      </c>
      <c r="F18" s="10">
        <f>IF($C$8="O",1.05,1)*40%</f>
        <v>0.42000000000000004</v>
      </c>
      <c r="G18" s="10">
        <v>0</v>
      </c>
      <c r="H18" s="10">
        <f t="shared" ref="H18:H30" si="4">1-F18-I18</f>
        <v>0.57419999999999993</v>
      </c>
      <c r="I18" s="10">
        <f>IF($C33="O",0,1%)*(1-F18)</f>
        <v>5.7999999999999996E-3</v>
      </c>
      <c r="J18" s="11">
        <f>ROUND(1000+($E18^2.7)/400*$C$6^3,-2)*(IF(OR($C$11="전구간 30% 할인",$C$11="샤이닝 스타포스"),0.7,1)*(1-$C$9-$C$10)+IF($C33="O",1,0))</f>
        <v>10422900</v>
      </c>
      <c r="K18" s="11">
        <f>ROUND(1000+($E18^2.7)/400*$C$6^3,-2)*(IF(OR($C$11="전구간 30% 할인",$C$11="샤이닝 스타포스"),0.7,1)*(1-$C$9-$C$10))</f>
        <v>10422900</v>
      </c>
      <c r="L18" s="11">
        <f>IF($C$11="10성 이하 강화시 1+1",($J18+$H18*$J3+$H18*$G3*$L17+$H18*$H3*($K16+$L17)+($I18+$H18*$I3)*($C$7-$M$17+$M17))/$F18,($J18+$H18*$J17+$H18*$G17*$L17+$H18*$H17*($K16+$L17)+($I18+$H18*$I17)*($C$7-$M$17+$M17))/$F18)</f>
        <v>65464298.94021</v>
      </c>
      <c r="M18" s="12">
        <f t="shared" si="3"/>
        <v>122692353.99175392</v>
      </c>
      <c r="N18" s="13">
        <f>$N17+($H18*($G17+$H17)*($N17-$N16)+($I18+$H18*$I17)*(1+$N17))/$F18</f>
        <v>1.3809523809523808E-2</v>
      </c>
      <c r="O18" s="1"/>
      <c r="P18" s="7"/>
      <c r="Q18" s="7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7.25" customHeight="1" x14ac:dyDescent="0.3">
      <c r="A19" s="1"/>
      <c r="B19" s="75" t="s">
        <v>25</v>
      </c>
      <c r="C19" s="76"/>
      <c r="D19" s="2"/>
      <c r="E19" s="9">
        <v>14</v>
      </c>
      <c r="F19" s="10">
        <f>IF($C$8="O",1.05,1)*35%</f>
        <v>0.36749999999999999</v>
      </c>
      <c r="G19" s="10">
        <v>0</v>
      </c>
      <c r="H19" s="10">
        <f t="shared" si="4"/>
        <v>0.61985000000000001</v>
      </c>
      <c r="I19" s="10">
        <f>IF($C34="O",0,2%)*(1-F19)</f>
        <v>1.2650000000000002E-2</v>
      </c>
      <c r="J19" s="11">
        <f>ROUND(1000+($E19^2.7)/400*$C$6^3,-2)*(IF(OR($C$11="전구간 30% 할인",$C$11="샤이닝 스타포스"),0.7,1)*(1-$C$9-$C$10)+IF($C34="O",1,0))</f>
        <v>12731500</v>
      </c>
      <c r="K19" s="11">
        <f>ROUND(1000+($E19^2.7)/400*$C$6^3,-2)*(IF(OR($C$11="전구간 30% 할인",$C$11="샤이닝 스타포스"),0.7,1)*(1-$C$9-$C$10))</f>
        <v>12731500</v>
      </c>
      <c r="L19" s="11">
        <f>($J19+$H19*$J18+$H19*$G18*$L18+$H19*$H18*($K3+$L18)+($I19+$H19*$I18)*($C$7-$M$17+$M18))/$F19</f>
        <v>131071528.11220782</v>
      </c>
      <c r="M19" s="12">
        <f t="shared" si="3"/>
        <v>253763882.10396174</v>
      </c>
      <c r="N19" s="13">
        <f t="shared" ref="N19:N30" si="5">$N18+($H19*($G18+$H18)*($N18-$N17)+($I19+$H19*$I18)*(1+$N18))/$F19</f>
        <v>7.1998704243602191E-2</v>
      </c>
      <c r="O19" s="1"/>
      <c r="P19" s="7"/>
      <c r="Q19" s="7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7.25" thickBot="1" x14ac:dyDescent="0.35">
      <c r="A20" s="1"/>
      <c r="B20" s="77"/>
      <c r="C20" s="78"/>
      <c r="D20" s="2"/>
      <c r="E20" s="20">
        <v>15</v>
      </c>
      <c r="F20" s="21">
        <f t="shared" ref="F20:F27" si="6">IF($C$8="O",1.05,1)*30%</f>
        <v>0.315</v>
      </c>
      <c r="G20" s="21">
        <v>0</v>
      </c>
      <c r="H20" s="10">
        <f t="shared" si="4"/>
        <v>0.67130000000000001</v>
      </c>
      <c r="I20" s="21">
        <f>IF($C35="O",0,2%)*(1-F20)</f>
        <v>1.3700000000000002E-2</v>
      </c>
      <c r="J20" s="11">
        <f>ROUND(1000+($E20^2.7)/400*$C$6^3,-2)*(IF(OR($C$11="전구간 30% 할인",$C$11="샤이닝 스타포스"),0.7,1)*(1-$C$9-$C$10)+IF($C35="O",1,0))</f>
        <v>15338200</v>
      </c>
      <c r="K20" s="11">
        <f>ROUND(1000+($E20^2.7)/400*$C$6^3,-2)*(IF(OR($C$11="전구간 30% 할인",$C$11="샤이닝 스타포스"),0.7,1)*(1-$C$9-$C$10))</f>
        <v>15338200</v>
      </c>
      <c r="L20" s="22">
        <f t="shared" ref="L20:L30" si="7">($J20+$H20*$J19+$H20*$G19*$L19+$H20*$H19*($K18+$L19)+($I20+$H20*$I19)*($C$7-$M$17+$M19))/$F20</f>
        <v>283625856.7616114</v>
      </c>
      <c r="M20" s="68">
        <f t="shared" si="3"/>
        <v>537389738.86557317</v>
      </c>
      <c r="N20" s="45">
        <f t="shared" si="5"/>
        <v>0.22438779299556255</v>
      </c>
      <c r="O20" s="1"/>
      <c r="P20" s="7"/>
      <c r="Q20" s="7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x14ac:dyDescent="0.3">
      <c r="A21" s="1"/>
      <c r="B21" s="77"/>
      <c r="C21" s="78"/>
      <c r="D21" s="2"/>
      <c r="E21" s="40">
        <v>16</v>
      </c>
      <c r="F21" s="41">
        <f>IF(OR($C$11="5/10/15 확정 성공",$C$11="샤이닝 스타포스"),1,IF($C$8="O",1.05,1)*30%)</f>
        <v>0.315</v>
      </c>
      <c r="G21" s="41">
        <f>1-F21-I21</f>
        <v>0.6644500000000001</v>
      </c>
      <c r="H21" s="41">
        <v>0</v>
      </c>
      <c r="I21" s="41">
        <f>IF($C36="O",0,3%)*(1-F21)</f>
        <v>2.0550000000000002E-2</v>
      </c>
      <c r="J21" s="42">
        <f>ROUND(1000+($E21^2.7)/200*$C$6^3,-2)*(IF(OR($C$11="전구간 30% 할인",$C$11="샤이닝 스타포스"),0.7,1)*(1-$C$9-$C$10)+IF(AND($C36="O",AND($C$11&lt;&gt;"5/10/15 확정 성공",$C$11&lt;&gt;"샤이닝 스타포스")),1,0))</f>
        <v>36514500</v>
      </c>
      <c r="K21" s="42">
        <f>ROUND(1000+($E21^2.7)/200*$C$6^3,-2)*(IF(OR($C$11="전구간 30% 할인",$C$11="샤이닝 스타포스"),0.7,1)*(1-$C$9-$C$10))</f>
        <v>36514500</v>
      </c>
      <c r="L21" s="42">
        <f t="shared" si="7"/>
        <v>153767690.80120096</v>
      </c>
      <c r="M21" s="43">
        <f t="shared" si="3"/>
        <v>691157429.66677415</v>
      </c>
      <c r="N21" s="44">
        <f t="shared" si="5"/>
        <v>0.30426452044336832</v>
      </c>
      <c r="O21" s="1"/>
      <c r="P21" s="7"/>
      <c r="Q21" s="7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x14ac:dyDescent="0.3">
      <c r="A22" s="1"/>
      <c r="B22" s="77"/>
      <c r="C22" s="78"/>
      <c r="D22" s="2"/>
      <c r="E22" s="9">
        <v>17</v>
      </c>
      <c r="F22" s="10">
        <f t="shared" si="6"/>
        <v>0.315</v>
      </c>
      <c r="G22" s="10">
        <v>0</v>
      </c>
      <c r="H22" s="10">
        <f t="shared" si="4"/>
        <v>0.6644500000000001</v>
      </c>
      <c r="I22" s="10">
        <f>IF($C37="O",0,3%)*(1-F22)</f>
        <v>2.0550000000000002E-2</v>
      </c>
      <c r="J22" s="11">
        <f>ROUND(1000+($E22^2.7)/200*$C$6^3,-2)*(IF(OR($C$11="전구간 30% 할인",$C$11="샤이닝 스타포스"),0.7,1)*(1-$C$9-$C$10)+IF($C37="O",1,0))</f>
        <v>43008300</v>
      </c>
      <c r="K22" s="11">
        <f>ROUND(1000+($E22^2.7)/200*$C$6^3,-2)*(IF(OR($C$11="전구간 30% 할인",$C$11="샤이닝 스타포스"),0.7,1)*(1-$C$9-$C$10))</f>
        <v>43008300</v>
      </c>
      <c r="L22" s="11">
        <f t="shared" si="7"/>
        <v>508766637.4641301</v>
      </c>
      <c r="M22" s="64">
        <f t="shared" si="3"/>
        <v>1199924067.1309042</v>
      </c>
      <c r="N22" s="13">
        <f t="shared" si="5"/>
        <v>0.55784143297608502</v>
      </c>
      <c r="O22" s="1"/>
      <c r="P22" s="7"/>
      <c r="Q22" s="7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x14ac:dyDescent="0.3">
      <c r="A23" s="1"/>
      <c r="B23" s="77"/>
      <c r="C23" s="78"/>
      <c r="D23" s="2"/>
      <c r="E23" s="9">
        <v>18</v>
      </c>
      <c r="F23" s="10">
        <f t="shared" si="6"/>
        <v>0.315</v>
      </c>
      <c r="G23" s="10">
        <v>0</v>
      </c>
      <c r="H23" s="10">
        <f t="shared" si="4"/>
        <v>0.6644500000000001</v>
      </c>
      <c r="I23" s="10">
        <f>3%*(1-F23)</f>
        <v>2.0550000000000002E-2</v>
      </c>
      <c r="J23" s="11">
        <f t="shared" ref="J23:K30" si="8">ROUND(1000+($E23^2.7)/200*$C$6^3,-2)*IF(OR($C$11="전구간 30% 할인",$C$11="샤이닝 스타포스"),0.7,1)</f>
        <v>50185100</v>
      </c>
      <c r="K23" s="11">
        <f t="shared" si="8"/>
        <v>50185100</v>
      </c>
      <c r="L23" s="11">
        <f t="shared" si="7"/>
        <v>1149225200.7910855</v>
      </c>
      <c r="M23" s="67">
        <f t="shared" si="3"/>
        <v>2349149267.9219894</v>
      </c>
      <c r="N23" s="13">
        <f t="shared" si="5"/>
        <v>1.0824056896358765</v>
      </c>
      <c r="O23" s="1"/>
      <c r="P23" s="7"/>
      <c r="Q23" s="7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7.25" thickBot="1" x14ac:dyDescent="0.35">
      <c r="A24" s="1"/>
      <c r="B24" s="79"/>
      <c r="C24" s="80"/>
      <c r="D24" s="2"/>
      <c r="E24" s="9">
        <v>19</v>
      </c>
      <c r="F24" s="10">
        <f t="shared" si="6"/>
        <v>0.315</v>
      </c>
      <c r="G24" s="10">
        <v>0</v>
      </c>
      <c r="H24" s="10">
        <f t="shared" si="4"/>
        <v>0.65760000000000007</v>
      </c>
      <c r="I24" s="10">
        <f>4%*(1-F24)</f>
        <v>2.7400000000000004E-2</v>
      </c>
      <c r="J24" s="11">
        <f t="shared" si="8"/>
        <v>58072700</v>
      </c>
      <c r="K24" s="11">
        <f t="shared" si="8"/>
        <v>58072700</v>
      </c>
      <c r="L24" s="11">
        <f t="shared" si="7"/>
        <v>2253568230.685626</v>
      </c>
      <c r="M24" s="12">
        <f t="shared" si="3"/>
        <v>4602717498.6076155</v>
      </c>
      <c r="N24" s="13">
        <f t="shared" si="5"/>
        <v>2.0805110969690395</v>
      </c>
      <c r="O24" s="1"/>
      <c r="P24" s="7"/>
      <c r="Q24" s="7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6.5" customHeight="1" thickBot="1" x14ac:dyDescent="0.35">
      <c r="A25" s="1"/>
      <c r="B25" s="75" t="s">
        <v>26</v>
      </c>
      <c r="C25" s="76"/>
      <c r="D25" s="2"/>
      <c r="E25" s="20">
        <v>20</v>
      </c>
      <c r="F25" s="21">
        <f t="shared" si="6"/>
        <v>0.315</v>
      </c>
      <c r="G25" s="21">
        <v>0</v>
      </c>
      <c r="H25" s="21">
        <f t="shared" si="4"/>
        <v>0.65760000000000007</v>
      </c>
      <c r="I25" s="21">
        <f>4%*(1-F25)</f>
        <v>2.7400000000000004E-2</v>
      </c>
      <c r="J25" s="22">
        <f t="shared" si="8"/>
        <v>66698700</v>
      </c>
      <c r="K25" s="22">
        <f t="shared" si="8"/>
        <v>66698700</v>
      </c>
      <c r="L25" s="22">
        <f t="shared" si="7"/>
        <v>4165419656.8226285</v>
      </c>
      <c r="M25" s="23">
        <f t="shared" si="3"/>
        <v>8768137155.4302444</v>
      </c>
      <c r="N25" s="45">
        <f t="shared" si="5"/>
        <v>3.8948916014637818</v>
      </c>
      <c r="O25" s="1"/>
      <c r="P25" s="7"/>
      <c r="Q25" s="7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6.5" customHeight="1" x14ac:dyDescent="0.3">
      <c r="A26" s="1"/>
      <c r="B26" s="77"/>
      <c r="C26" s="78"/>
      <c r="D26" s="2"/>
      <c r="E26" s="14">
        <v>21</v>
      </c>
      <c r="F26" s="15">
        <f t="shared" si="6"/>
        <v>0.315</v>
      </c>
      <c r="G26" s="15">
        <f>1-F26-I26</f>
        <v>0.61650000000000005</v>
      </c>
      <c r="H26" s="15">
        <v>0</v>
      </c>
      <c r="I26" s="15">
        <f>10%*(1-F26)</f>
        <v>6.8500000000000005E-2</v>
      </c>
      <c r="J26" s="6">
        <f t="shared" si="8"/>
        <v>76090000</v>
      </c>
      <c r="K26" s="6">
        <f t="shared" si="8"/>
        <v>76090000</v>
      </c>
      <c r="L26" s="6">
        <f t="shared" si="7"/>
        <v>2157578645.637908</v>
      </c>
      <c r="M26" s="66">
        <f t="shared" si="3"/>
        <v>10925715801.068153</v>
      </c>
      <c r="N26" s="18">
        <f t="shared" si="5"/>
        <v>4.9593362830519379</v>
      </c>
      <c r="O26" s="1"/>
      <c r="P26" s="7"/>
      <c r="Q26" s="7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x14ac:dyDescent="0.3">
      <c r="A27" s="1"/>
      <c r="B27" s="77"/>
      <c r="C27" s="78"/>
      <c r="D27" s="2"/>
      <c r="E27" s="9">
        <v>22</v>
      </c>
      <c r="F27" s="10">
        <f t="shared" si="6"/>
        <v>0.315</v>
      </c>
      <c r="G27" s="10">
        <v>0</v>
      </c>
      <c r="H27" s="10">
        <f t="shared" si="4"/>
        <v>0.61650000000000005</v>
      </c>
      <c r="I27" s="10">
        <f>10%*(1-F27)</f>
        <v>6.8500000000000005E-2</v>
      </c>
      <c r="J27" s="11">
        <f t="shared" si="8"/>
        <v>86273300</v>
      </c>
      <c r="K27" s="11">
        <f t="shared" si="8"/>
        <v>86273300</v>
      </c>
      <c r="L27" s="11">
        <f t="shared" si="7"/>
        <v>6881783954.4060574</v>
      </c>
      <c r="M27" s="65">
        <f t="shared" si="3"/>
        <v>17807499755.474213</v>
      </c>
      <c r="N27" s="13">
        <f t="shared" si="5"/>
        <v>8.338525748411163</v>
      </c>
      <c r="O27" s="1"/>
      <c r="P27" s="7"/>
      <c r="Q27" s="7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x14ac:dyDescent="0.3">
      <c r="A28" s="1"/>
      <c r="B28" s="77"/>
      <c r="C28" s="78"/>
      <c r="D28" s="2"/>
      <c r="E28" s="9">
        <v>23</v>
      </c>
      <c r="F28" s="10">
        <f>IF($C$8="O",1.05,1)*3%</f>
        <v>3.15E-2</v>
      </c>
      <c r="G28" s="10">
        <v>0</v>
      </c>
      <c r="H28" s="10">
        <f t="shared" si="4"/>
        <v>0.77480000000000004</v>
      </c>
      <c r="I28" s="10">
        <f>20%*(1-F28)</f>
        <v>0.19370000000000001</v>
      </c>
      <c r="J28" s="11">
        <f t="shared" si="8"/>
        <v>97274600</v>
      </c>
      <c r="K28" s="11">
        <f t="shared" si="8"/>
        <v>97274600</v>
      </c>
      <c r="L28" s="11">
        <f t="shared" si="7"/>
        <v>250559550079.93555</v>
      </c>
      <c r="M28" s="12">
        <f t="shared" si="3"/>
        <v>268367049835.40976</v>
      </c>
      <c r="N28" s="19">
        <f t="shared" si="5"/>
        <v>132.73920250880826</v>
      </c>
      <c r="O28" s="1"/>
      <c r="P28" s="7"/>
      <c r="Q28" s="7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x14ac:dyDescent="0.3">
      <c r="A29" s="1"/>
      <c r="B29" s="77"/>
      <c r="C29" s="78"/>
      <c r="D29" s="2"/>
      <c r="E29" s="9">
        <v>24</v>
      </c>
      <c r="F29" s="10">
        <f>IF($C$8="O",1.05,1)*2%</f>
        <v>2.1000000000000001E-2</v>
      </c>
      <c r="G29" s="10">
        <v>0</v>
      </c>
      <c r="H29" s="10">
        <f t="shared" si="4"/>
        <v>0.68530000000000002</v>
      </c>
      <c r="I29" s="10">
        <f>30%*(1-F29)</f>
        <v>0.29369999999999996</v>
      </c>
      <c r="J29" s="11">
        <f t="shared" si="8"/>
        <v>109120000</v>
      </c>
      <c r="K29" s="11">
        <f t="shared" si="8"/>
        <v>109120000</v>
      </c>
      <c r="L29" s="11">
        <f t="shared" si="7"/>
        <v>11796318588439.879</v>
      </c>
      <c r="M29" s="12">
        <f t="shared" si="3"/>
        <v>12064685638275.289</v>
      </c>
      <c r="N29" s="19">
        <f t="shared" si="5"/>
        <v>5993.9380907440727</v>
      </c>
      <c r="O29" s="1"/>
      <c r="P29" s="7"/>
      <c r="Q29" s="7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7.25" thickBot="1" x14ac:dyDescent="0.35">
      <c r="A30" s="1"/>
      <c r="B30" s="79"/>
      <c r="C30" s="80"/>
      <c r="D30" s="2"/>
      <c r="E30" s="20">
        <v>25</v>
      </c>
      <c r="F30" s="21">
        <f>IF($C$8="O",1.05,1)*1%</f>
        <v>1.0500000000000001E-2</v>
      </c>
      <c r="G30" s="21">
        <v>0</v>
      </c>
      <c r="H30" s="21">
        <f t="shared" si="4"/>
        <v>0.59370000000000001</v>
      </c>
      <c r="I30" s="21">
        <f>40%*(1-F30)</f>
        <v>0.39580000000000004</v>
      </c>
      <c r="J30" s="22">
        <f t="shared" si="8"/>
        <v>121834900</v>
      </c>
      <c r="K30" s="22">
        <f t="shared" si="8"/>
        <v>121834900</v>
      </c>
      <c r="L30" s="22">
        <f t="shared" si="7"/>
        <v>1112252345115740.3</v>
      </c>
      <c r="M30" s="23">
        <f t="shared" si="3"/>
        <v>1124317030754015.5</v>
      </c>
      <c r="N30" s="24">
        <f t="shared" si="5"/>
        <v>558644.85905886185</v>
      </c>
      <c r="O30" s="1"/>
      <c r="P30" s="7"/>
      <c r="Q30" s="7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x14ac:dyDescent="0.3">
      <c r="A31" s="1"/>
      <c r="B31" s="71"/>
      <c r="C31" s="72"/>
      <c r="D31" s="2"/>
      <c r="E31" s="2"/>
      <c r="F31" s="2"/>
      <c r="G31" s="2"/>
      <c r="H31" s="2"/>
      <c r="I31" s="2"/>
      <c r="J31" s="2"/>
      <c r="K31" s="2"/>
      <c r="L31" s="2"/>
      <c r="M31" s="2"/>
      <c r="N31" s="3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7.25" hidden="1" thickBot="1" x14ac:dyDescent="0.35">
      <c r="A32" s="1"/>
      <c r="B32" s="73" t="s">
        <v>24</v>
      </c>
      <c r="C32" s="74"/>
      <c r="D32" s="1"/>
      <c r="E32" s="1"/>
      <c r="F32" s="1"/>
      <c r="G32" s="1"/>
      <c r="H32" s="1"/>
      <c r="I32" s="1"/>
      <c r="J32" s="1"/>
      <c r="K32" s="1"/>
      <c r="L32" s="1"/>
      <c r="M32" s="1"/>
      <c r="N32" s="25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idden="1" x14ac:dyDescent="0.3">
      <c r="A33" s="1"/>
      <c r="B33" s="4" t="s">
        <v>7</v>
      </c>
      <c r="C33" s="69" t="str">
        <f>IF($C$12="개별",$C13,$C$12)</f>
        <v>X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25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idden="1" x14ac:dyDescent="0.3">
      <c r="A34" s="1"/>
      <c r="B34" s="16" t="s">
        <v>8</v>
      </c>
      <c r="C34" s="38" t="str">
        <f>IF($C$12="개별",$C14,$C$12)</f>
        <v>X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25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idden="1" x14ac:dyDescent="0.3">
      <c r="A35" s="1"/>
      <c r="B35" s="16" t="s">
        <v>9</v>
      </c>
      <c r="C35" s="38" t="str">
        <f>IF($C$12="개별",$C15,$C$12)</f>
        <v>X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25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idden="1" x14ac:dyDescent="0.3">
      <c r="A36" s="1"/>
      <c r="B36" s="16" t="s">
        <v>10</v>
      </c>
      <c r="C36" s="38" t="str">
        <f>IF($C$12="개별",$C16,$C$12)</f>
        <v>X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25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7.25" hidden="1" thickBot="1" x14ac:dyDescent="0.35">
      <c r="A37" s="1"/>
      <c r="B37" s="17" t="s">
        <v>11</v>
      </c>
      <c r="C37" s="70" t="str">
        <f>IF($C$12="개별",$C17,$C$12)</f>
        <v>X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25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25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25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5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25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25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5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25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25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25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25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25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5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25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5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5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5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5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5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25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5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25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25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5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5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25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25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25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25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5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5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5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5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5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25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25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5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25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25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25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25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25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25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25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25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25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25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25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25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25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25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25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25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25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25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25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25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25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25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25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25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25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25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25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25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25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25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25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25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25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25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25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25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25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25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25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25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25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25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25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25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25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25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25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25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25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25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25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25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25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25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25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25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25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25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25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25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25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25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25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25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25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25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25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25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25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25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25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25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25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25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25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25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25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25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25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25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25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25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25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25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25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25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25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25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25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25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25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25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25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25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25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25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25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25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25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25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25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25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25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25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25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25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25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25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25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25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25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25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25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25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25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25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25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25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25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25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25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25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25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25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25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25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25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25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25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25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25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25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25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25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25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25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25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25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25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25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25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25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25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25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25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25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25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25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25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25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25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25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25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25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25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25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25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25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25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25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25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25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25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25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25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25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25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25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25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25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25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25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25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25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25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</sheetData>
  <sheetProtection selectLockedCells="1"/>
  <mergeCells count="5">
    <mergeCell ref="B32:C32"/>
    <mergeCell ref="B19:C24"/>
    <mergeCell ref="B25:C30"/>
    <mergeCell ref="P1:Q1"/>
    <mergeCell ref="B2:C2"/>
  </mergeCells>
  <phoneticPr fontId="2" type="noConversion"/>
  <conditionalFormatting sqref="C13:C17">
    <cfRule type="expression" dxfId="0" priority="1">
      <formula>NOT($C$12="개별")</formula>
    </cfRule>
  </conditionalFormatting>
  <dataValidations count="5">
    <dataValidation type="list" allowBlank="1" showInputMessage="1" showErrorMessage="1" sqref="C10">
      <formula1>"0%, 5%"</formula1>
    </dataValidation>
    <dataValidation type="list" allowBlank="1" showInputMessage="1" showErrorMessage="1" sqref="C11">
      <formula1>"없음,전구간 30% 할인, 5/10/15 확정 성공, 10성 이하 강화시 1+1, 샤이닝 스타포스"</formula1>
    </dataValidation>
    <dataValidation type="list" allowBlank="1" showInputMessage="1" showErrorMessage="1" sqref="C8 C13:C17">
      <formula1>"X, O"</formula1>
    </dataValidation>
    <dataValidation type="list" allowBlank="1" showInputMessage="1" showErrorMessage="1" sqref="C9">
      <formula1>"0%, 3%, 5%, 10%"</formula1>
    </dataValidation>
    <dataValidation type="list" allowBlank="1" showInputMessage="1" showErrorMessage="1" sqref="C12">
      <formula1>"X, O, 개별"</formula1>
    </dataValidation>
  </dataValidations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35"/>
  <sheetViews>
    <sheetView workbookViewId="0">
      <selection activeCell="C39" sqref="C39"/>
    </sheetView>
  </sheetViews>
  <sheetFormatPr defaultRowHeight="16.5" x14ac:dyDescent="0.3"/>
  <cols>
    <col min="1" max="1" width="2.625" customWidth="1"/>
    <col min="2" max="2" width="16.625" customWidth="1"/>
    <col min="3" max="3" width="17.5" customWidth="1"/>
    <col min="4" max="4" width="2.625" customWidth="1"/>
    <col min="10" max="10" width="14.625" customWidth="1"/>
    <col min="11" max="11" width="14.625" hidden="1" customWidth="1"/>
    <col min="12" max="13" width="17.625" customWidth="1"/>
    <col min="14" max="14" width="11.625" style="26" customWidth="1"/>
    <col min="15" max="15" width="10.625" customWidth="1"/>
    <col min="16" max="16" width="12.75" customWidth="1"/>
    <col min="17" max="17" width="11.75" customWidth="1"/>
    <col min="20" max="20" width="16.625" customWidth="1"/>
  </cols>
  <sheetData>
    <row r="1" spans="1:34" ht="17.25" thickBot="1" x14ac:dyDescent="0.3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1"/>
      <c r="P1" s="81"/>
      <c r="Q1" s="8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7.25" thickBot="1" x14ac:dyDescent="0.35">
      <c r="A2" s="1"/>
      <c r="B2" s="82" t="s">
        <v>0</v>
      </c>
      <c r="C2" s="83"/>
      <c r="D2" s="2"/>
      <c r="E2" s="34" t="s">
        <v>13</v>
      </c>
      <c r="F2" s="35" t="s">
        <v>14</v>
      </c>
      <c r="G2" s="35" t="s">
        <v>15</v>
      </c>
      <c r="H2" s="35" t="s">
        <v>16</v>
      </c>
      <c r="I2" s="35" t="s">
        <v>17</v>
      </c>
      <c r="J2" s="35" t="s">
        <v>18</v>
      </c>
      <c r="K2" s="35" t="s">
        <v>22</v>
      </c>
      <c r="L2" s="35" t="s">
        <v>19</v>
      </c>
      <c r="M2" s="36" t="s">
        <v>20</v>
      </c>
      <c r="N2" s="37" t="s">
        <v>21</v>
      </c>
      <c r="O2" s="1"/>
      <c r="P2" s="5"/>
      <c r="Q2" s="5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idden="1" x14ac:dyDescent="0.3">
      <c r="A3" s="1"/>
      <c r="B3" s="62"/>
      <c r="C3" s="63"/>
      <c r="D3" s="2"/>
      <c r="E3" s="40">
        <v>-1</v>
      </c>
      <c r="F3" s="41">
        <v>1</v>
      </c>
      <c r="G3" s="41">
        <v>0</v>
      </c>
      <c r="H3" s="41">
        <v>0</v>
      </c>
      <c r="I3" s="41">
        <v>0</v>
      </c>
      <c r="J3" s="42">
        <v>0</v>
      </c>
      <c r="K3" s="42">
        <v>0</v>
      </c>
      <c r="L3" s="42">
        <v>0</v>
      </c>
      <c r="M3" s="42">
        <v>0</v>
      </c>
      <c r="N3" s="44">
        <v>0</v>
      </c>
      <c r="O3" s="1"/>
      <c r="P3" s="5"/>
      <c r="Q3" s="5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7.25" hidden="1" thickBot="1" x14ac:dyDescent="0.35">
      <c r="A4" s="1"/>
      <c r="B4" s="50"/>
      <c r="C4" s="51"/>
      <c r="D4" s="2"/>
      <c r="E4" s="20">
        <v>0</v>
      </c>
      <c r="F4" s="21">
        <v>1</v>
      </c>
      <c r="G4" s="21">
        <v>0</v>
      </c>
      <c r="H4" s="21">
        <v>0</v>
      </c>
      <c r="I4" s="21">
        <v>0</v>
      </c>
      <c r="J4" s="22">
        <v>0</v>
      </c>
      <c r="K4" s="22">
        <v>0</v>
      </c>
      <c r="L4" s="22">
        <v>0</v>
      </c>
      <c r="M4" s="22">
        <v>0</v>
      </c>
      <c r="N4" s="45">
        <v>0</v>
      </c>
      <c r="O4" s="1"/>
      <c r="P4" s="5"/>
      <c r="Q4" s="5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x14ac:dyDescent="0.3">
      <c r="A5" s="1"/>
      <c r="B5" s="8" t="s">
        <v>2</v>
      </c>
      <c r="C5" s="52">
        <v>100000000</v>
      </c>
      <c r="D5" s="2"/>
      <c r="E5" s="14">
        <v>1</v>
      </c>
      <c r="F5" s="15">
        <f>IF($C$6="O",1.05,1)*50%</f>
        <v>0.52500000000000002</v>
      </c>
      <c r="G5" s="15">
        <f>1-$F5</f>
        <v>0.47499999999999998</v>
      </c>
      <c r="H5" s="15">
        <v>0</v>
      </c>
      <c r="I5" s="15">
        <v>0</v>
      </c>
      <c r="J5" s="6">
        <v>55832200</v>
      </c>
      <c r="K5" s="6">
        <v>55832200</v>
      </c>
      <c r="L5" s="6">
        <f t="shared" ref="L5:L19" si="0">($J5+$H5*$J4+$H5*$G4*$L4+$H5*$H4*($K3+$L4)+($I5+$H5*$I4)*($C$5+$M4))/F5</f>
        <v>106347047.61904761</v>
      </c>
      <c r="M5" s="6">
        <f t="shared" ref="M5:M19" si="1">$M4+$L5</f>
        <v>106347047.61904761</v>
      </c>
      <c r="N5" s="18">
        <f t="shared" ref="N5:N19" si="2">$N4+($H5*($G4+$H4)*($N4-$N3)+($I5+$H5*$I4)*(1+$N4))/$F5</f>
        <v>0</v>
      </c>
      <c r="O5" s="1"/>
      <c r="P5" s="7"/>
      <c r="Q5" s="7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7.25" thickBot="1" x14ac:dyDescent="0.35">
      <c r="A6" s="1"/>
      <c r="B6" s="17" t="s">
        <v>3</v>
      </c>
      <c r="C6" s="53" t="s">
        <v>1</v>
      </c>
      <c r="D6" s="2"/>
      <c r="E6" s="9">
        <v>2</v>
      </c>
      <c r="F6" s="10">
        <f>IF($C$6="O",1.05,1)*50%</f>
        <v>0.52500000000000002</v>
      </c>
      <c r="G6" s="10">
        <v>0</v>
      </c>
      <c r="H6" s="10">
        <f>1-F6-I6</f>
        <v>0.47499999999999998</v>
      </c>
      <c r="I6" s="10">
        <v>0</v>
      </c>
      <c r="J6" s="11">
        <v>55832200</v>
      </c>
      <c r="K6" s="11">
        <v>55832200</v>
      </c>
      <c r="L6" s="11">
        <f t="shared" si="0"/>
        <v>202565804.98866212</v>
      </c>
      <c r="M6" s="11">
        <f t="shared" si="1"/>
        <v>308912852.60770977</v>
      </c>
      <c r="N6" s="13">
        <f t="shared" si="2"/>
        <v>0</v>
      </c>
      <c r="O6" s="1"/>
      <c r="P6" s="7"/>
      <c r="Q6" s="7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x14ac:dyDescent="0.3">
      <c r="A7" s="1"/>
      <c r="B7" s="54"/>
      <c r="C7" s="55"/>
      <c r="D7" s="2"/>
      <c r="E7" s="9">
        <v>3</v>
      </c>
      <c r="F7" s="10">
        <f>IF($C$6="O",1.05,1)*45%</f>
        <v>0.47250000000000003</v>
      </c>
      <c r="G7" s="10">
        <v>0</v>
      </c>
      <c r="H7" s="10">
        <f t="shared" ref="H7:H19" si="3">1-F7-I7</f>
        <v>0.52749999999999997</v>
      </c>
      <c r="I7" s="10">
        <v>0</v>
      </c>
      <c r="J7" s="11">
        <v>55832200</v>
      </c>
      <c r="K7" s="11">
        <v>55832200</v>
      </c>
      <c r="L7" s="11">
        <f t="shared" si="0"/>
        <v>317520710.31740028</v>
      </c>
      <c r="M7" s="11">
        <f t="shared" si="1"/>
        <v>626433562.9251101</v>
      </c>
      <c r="N7" s="13">
        <f t="shared" si="2"/>
        <v>0</v>
      </c>
      <c r="O7" s="1"/>
      <c r="P7" s="7"/>
      <c r="Q7" s="7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x14ac:dyDescent="0.3">
      <c r="A8" s="1"/>
      <c r="B8" s="56"/>
      <c r="C8" s="57"/>
      <c r="D8" s="2"/>
      <c r="E8" s="9">
        <v>4</v>
      </c>
      <c r="F8" s="10">
        <f t="shared" ref="F8:F13" si="4">IF($C$6="O",1.05,1)*40%</f>
        <v>0.42000000000000004</v>
      </c>
      <c r="G8" s="10">
        <v>0</v>
      </c>
      <c r="H8" s="10">
        <f t="shared" si="3"/>
        <v>0.57999999999999996</v>
      </c>
      <c r="I8" s="10">
        <v>0</v>
      </c>
      <c r="J8" s="11">
        <v>55832200</v>
      </c>
      <c r="K8" s="11">
        <v>55832200</v>
      </c>
      <c r="L8" s="11">
        <f t="shared" si="0"/>
        <v>482005235.5038299</v>
      </c>
      <c r="M8" s="11">
        <f t="shared" si="1"/>
        <v>1108438798.4289401</v>
      </c>
      <c r="N8" s="13">
        <f t="shared" si="2"/>
        <v>0</v>
      </c>
      <c r="O8" s="1"/>
      <c r="P8" s="7"/>
      <c r="Q8" s="7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x14ac:dyDescent="0.3">
      <c r="A9" s="1"/>
      <c r="B9" s="56"/>
      <c r="C9" s="57"/>
      <c r="D9" s="2"/>
      <c r="E9" s="9">
        <v>5</v>
      </c>
      <c r="F9" s="10">
        <f t="shared" si="4"/>
        <v>0.42000000000000004</v>
      </c>
      <c r="G9" s="10">
        <v>0</v>
      </c>
      <c r="H9" s="10">
        <f t="shared" si="3"/>
        <v>0.57999999999999996</v>
      </c>
      <c r="I9" s="10">
        <v>0</v>
      </c>
      <c r="J9" s="11">
        <v>55832200</v>
      </c>
      <c r="K9" s="11">
        <v>55832200</v>
      </c>
      <c r="L9" s="11">
        <f t="shared" si="0"/>
        <v>640817593.57973421</v>
      </c>
      <c r="M9" s="11">
        <f t="shared" si="1"/>
        <v>1749256392.0086741</v>
      </c>
      <c r="N9" s="13">
        <f t="shared" si="2"/>
        <v>0</v>
      </c>
      <c r="O9" s="1"/>
      <c r="P9" s="7"/>
      <c r="Q9" s="7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x14ac:dyDescent="0.3">
      <c r="A10" s="1"/>
      <c r="B10" s="56"/>
      <c r="C10" s="57"/>
      <c r="D10" s="2"/>
      <c r="E10" s="9">
        <v>6</v>
      </c>
      <c r="F10" s="10">
        <f t="shared" si="4"/>
        <v>0.42000000000000004</v>
      </c>
      <c r="G10" s="10">
        <v>0</v>
      </c>
      <c r="H10" s="10">
        <f t="shared" si="3"/>
        <v>0.56259999999999999</v>
      </c>
      <c r="I10" s="10">
        <f>(1-$F10)*3%</f>
        <v>1.7399999999999999E-2</v>
      </c>
      <c r="J10" s="11">
        <v>55832200</v>
      </c>
      <c r="K10" s="11">
        <v>55832200</v>
      </c>
      <c r="L10" s="11">
        <f t="shared" si="0"/>
        <v>825578232.8199209</v>
      </c>
      <c r="M10" s="11">
        <f t="shared" si="1"/>
        <v>2574834624.8285952</v>
      </c>
      <c r="N10" s="13">
        <f t="shared" si="2"/>
        <v>4.1428571428571419E-2</v>
      </c>
      <c r="O10" s="1"/>
      <c r="P10" s="7"/>
      <c r="Q10" s="7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x14ac:dyDescent="0.3">
      <c r="A11" s="1"/>
      <c r="B11" s="56"/>
      <c r="C11" s="57"/>
      <c r="D11" s="2"/>
      <c r="E11" s="9">
        <v>7</v>
      </c>
      <c r="F11" s="10">
        <f t="shared" si="4"/>
        <v>0.42000000000000004</v>
      </c>
      <c r="G11" s="10">
        <v>0</v>
      </c>
      <c r="H11" s="10">
        <f t="shared" si="3"/>
        <v>0.55099999999999993</v>
      </c>
      <c r="I11" s="10">
        <f>(1-$F11)*5%</f>
        <v>2.8999999999999998E-2</v>
      </c>
      <c r="J11" s="11">
        <v>55832200</v>
      </c>
      <c r="K11" s="11">
        <v>55832200</v>
      </c>
      <c r="L11" s="11">
        <f t="shared" si="0"/>
        <v>1102479446.5216272</v>
      </c>
      <c r="M11" s="11">
        <f t="shared" si="1"/>
        <v>3677314071.3502226</v>
      </c>
      <c r="N11" s="13">
        <f t="shared" si="2"/>
        <v>0.16768707482993192</v>
      </c>
      <c r="O11" s="1"/>
      <c r="P11" s="7"/>
      <c r="Q11" s="7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x14ac:dyDescent="0.3">
      <c r="A12" s="1"/>
      <c r="B12" s="56"/>
      <c r="C12" s="57"/>
      <c r="D12" s="2"/>
      <c r="E12" s="9">
        <v>8</v>
      </c>
      <c r="F12" s="10">
        <f t="shared" si="4"/>
        <v>0.42000000000000004</v>
      </c>
      <c r="G12" s="10">
        <v>0</v>
      </c>
      <c r="H12" s="10">
        <f t="shared" si="3"/>
        <v>0.53939999999999999</v>
      </c>
      <c r="I12" s="10">
        <f>(1-$F12)*7%</f>
        <v>4.0600000000000004E-2</v>
      </c>
      <c r="J12" s="11">
        <v>55832200</v>
      </c>
      <c r="K12" s="11">
        <v>55832200</v>
      </c>
      <c r="L12" s="11">
        <f t="shared" si="0"/>
        <v>1530131339.392921</v>
      </c>
      <c r="M12" s="11">
        <f t="shared" si="1"/>
        <v>5207445410.7431431</v>
      </c>
      <c r="N12" s="13">
        <f t="shared" si="2"/>
        <v>0.41339891081956581</v>
      </c>
      <c r="O12" s="1"/>
      <c r="P12" s="7"/>
      <c r="Q12" s="7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x14ac:dyDescent="0.3">
      <c r="A13" s="1"/>
      <c r="B13" s="56"/>
      <c r="C13" s="57"/>
      <c r="D13" s="2"/>
      <c r="E13" s="9">
        <v>9</v>
      </c>
      <c r="F13" s="10">
        <f t="shared" si="4"/>
        <v>0.42000000000000004</v>
      </c>
      <c r="G13" s="10">
        <v>0</v>
      </c>
      <c r="H13" s="10">
        <f t="shared" si="3"/>
        <v>0.52200000000000002</v>
      </c>
      <c r="I13" s="10">
        <f>(1-$F13)*10%</f>
        <v>5.7999999999999996E-2</v>
      </c>
      <c r="J13" s="11">
        <v>55832200</v>
      </c>
      <c r="K13" s="11">
        <v>55832200</v>
      </c>
      <c r="L13" s="11">
        <f t="shared" si="0"/>
        <v>2266297316.680006</v>
      </c>
      <c r="M13" s="11">
        <f t="shared" si="1"/>
        <v>7473742727.4231491</v>
      </c>
      <c r="N13" s="13">
        <f t="shared" si="2"/>
        <v>0.84462719178633261</v>
      </c>
      <c r="O13" s="1"/>
      <c r="P13" s="7"/>
      <c r="Q13" s="7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x14ac:dyDescent="0.3">
      <c r="A14" s="1"/>
      <c r="B14" s="56"/>
      <c r="C14" s="57"/>
      <c r="D14" s="2"/>
      <c r="E14" s="9">
        <v>10</v>
      </c>
      <c r="F14" s="10">
        <f>IF($C$6="O",1.05,1)*37%</f>
        <v>0.38850000000000001</v>
      </c>
      <c r="G14" s="10">
        <v>0</v>
      </c>
      <c r="H14" s="10">
        <f t="shared" si="3"/>
        <v>0.51977499999999999</v>
      </c>
      <c r="I14" s="10">
        <f>(1-$F14)*15%</f>
        <v>9.1724999999999987E-2</v>
      </c>
      <c r="J14" s="11">
        <v>55832200</v>
      </c>
      <c r="K14" s="11">
        <v>55832200</v>
      </c>
      <c r="L14" s="11">
        <f t="shared" si="0"/>
        <v>4216023883.2439232</v>
      </c>
      <c r="M14" s="11">
        <f t="shared" si="1"/>
        <v>11689766610.667072</v>
      </c>
      <c r="N14" s="13">
        <f t="shared" si="2"/>
        <v>1.7244477058404997</v>
      </c>
      <c r="O14" s="1"/>
      <c r="P14" s="7"/>
      <c r="Q14" s="7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x14ac:dyDescent="0.3">
      <c r="A15" s="1"/>
      <c r="B15" s="56"/>
      <c r="C15" s="57"/>
      <c r="D15" s="2"/>
      <c r="E15" s="9">
        <v>11</v>
      </c>
      <c r="F15" s="10">
        <f>IF($C$6="O",1.05,1)*35%</f>
        <v>0.36749999999999999</v>
      </c>
      <c r="G15" s="10">
        <v>0</v>
      </c>
      <c r="H15" s="10">
        <f t="shared" si="3"/>
        <v>0.50600000000000001</v>
      </c>
      <c r="I15" s="10">
        <f>(1-$F15)*20%</f>
        <v>0.12650000000000003</v>
      </c>
      <c r="J15" s="11">
        <v>55832200</v>
      </c>
      <c r="K15" s="11">
        <v>55832200</v>
      </c>
      <c r="L15" s="11">
        <f t="shared" si="0"/>
        <v>8833224110.1859798</v>
      </c>
      <c r="M15" s="11">
        <f t="shared" si="1"/>
        <v>20522990720.85305</v>
      </c>
      <c r="N15" s="13">
        <f t="shared" si="2"/>
        <v>3.6359857292017237</v>
      </c>
      <c r="O15" s="1"/>
      <c r="P15" s="7"/>
      <c r="Q15" s="7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x14ac:dyDescent="0.3">
      <c r="A16" s="1"/>
      <c r="B16" s="56"/>
      <c r="C16" s="57"/>
      <c r="D16" s="2"/>
      <c r="E16" s="9">
        <v>12</v>
      </c>
      <c r="F16" s="10">
        <f>IF($C$6="O",1.05,1)*35%</f>
        <v>0.36749999999999999</v>
      </c>
      <c r="G16" s="10">
        <v>0</v>
      </c>
      <c r="H16" s="10">
        <f t="shared" si="3"/>
        <v>0.47437500000000005</v>
      </c>
      <c r="I16" s="10">
        <f>(1-$F16)*25%</f>
        <v>0.15812500000000002</v>
      </c>
      <c r="J16" s="11">
        <v>55832200</v>
      </c>
      <c r="K16" s="11">
        <v>55832200</v>
      </c>
      <c r="L16" s="11">
        <f t="shared" si="0"/>
        <v>18270897897.796963</v>
      </c>
      <c r="M16" s="49">
        <f t="shared" si="1"/>
        <v>38793888618.650009</v>
      </c>
      <c r="N16" s="13">
        <f t="shared" si="2"/>
        <v>7.6362500647845772</v>
      </c>
      <c r="O16" s="1"/>
      <c r="P16" s="7"/>
      <c r="Q16" s="7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x14ac:dyDescent="0.3">
      <c r="A17" s="1"/>
      <c r="B17" s="56"/>
      <c r="C17" s="57"/>
      <c r="D17" s="2"/>
      <c r="E17" s="9">
        <v>13</v>
      </c>
      <c r="F17" s="10">
        <f>IF($C$6="O",1.05,1)*3%</f>
        <v>3.15E-2</v>
      </c>
      <c r="G17" s="10">
        <v>0</v>
      </c>
      <c r="H17" s="10">
        <f t="shared" si="3"/>
        <v>0.48425000000000001</v>
      </c>
      <c r="I17" s="10">
        <f>(1-$F17)*50%</f>
        <v>0.48425000000000001</v>
      </c>
      <c r="J17" s="11">
        <v>55832200</v>
      </c>
      <c r="K17" s="11">
        <v>55832200</v>
      </c>
      <c r="L17" s="11">
        <f t="shared" si="0"/>
        <v>828741695569.81055</v>
      </c>
      <c r="M17" s="11">
        <f t="shared" si="1"/>
        <v>867535584188.46057</v>
      </c>
      <c r="N17" s="13">
        <f t="shared" si="2"/>
        <v>190.56718342519613</v>
      </c>
      <c r="O17" s="1"/>
      <c r="P17" s="7"/>
      <c r="Q17" s="7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x14ac:dyDescent="0.3">
      <c r="A18" s="1"/>
      <c r="B18" s="58"/>
      <c r="C18" s="59"/>
      <c r="D18" s="2"/>
      <c r="E18" s="9">
        <v>14</v>
      </c>
      <c r="F18" s="10">
        <f>IF($C$6="O",1.05,1)*2%</f>
        <v>2.1000000000000001E-2</v>
      </c>
      <c r="G18" s="10">
        <v>0</v>
      </c>
      <c r="H18" s="10">
        <f t="shared" si="3"/>
        <v>0.48949999999999999</v>
      </c>
      <c r="I18" s="10">
        <f t="shared" ref="I18:I19" si="5">(1-$F18)*50%</f>
        <v>0.48949999999999999</v>
      </c>
      <c r="J18" s="11">
        <v>55832200</v>
      </c>
      <c r="K18" s="11">
        <v>55832200</v>
      </c>
      <c r="L18" s="11">
        <f t="shared" si="0"/>
        <v>39376853406817</v>
      </c>
      <c r="M18" s="11">
        <f t="shared" si="1"/>
        <v>40244388991005.461</v>
      </c>
      <c r="N18" s="13">
        <f t="shared" si="2"/>
        <v>8883.1057703912775</v>
      </c>
      <c r="O18" s="1"/>
      <c r="P18" s="7"/>
      <c r="Q18" s="7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7.25" thickBot="1" x14ac:dyDescent="0.35">
      <c r="A19" s="1"/>
      <c r="B19" s="58"/>
      <c r="C19" s="59"/>
      <c r="D19" s="2"/>
      <c r="E19" s="20">
        <v>15</v>
      </c>
      <c r="F19" s="21">
        <f>IF($C$6="O",1.05,1)*1%</f>
        <v>1.0500000000000001E-2</v>
      </c>
      <c r="G19" s="21">
        <v>0</v>
      </c>
      <c r="H19" s="21">
        <f t="shared" si="3"/>
        <v>0.49475000000000002</v>
      </c>
      <c r="I19" s="21">
        <f t="shared" si="5"/>
        <v>0.49475000000000002</v>
      </c>
      <c r="J19" s="22">
        <v>55832200</v>
      </c>
      <c r="K19" s="22">
        <v>55832200</v>
      </c>
      <c r="L19" s="22">
        <f t="shared" si="0"/>
        <v>3732739481857382</v>
      </c>
      <c r="M19" s="48">
        <f t="shared" si="1"/>
        <v>3772983870848387.5</v>
      </c>
      <c r="N19" s="45">
        <f t="shared" si="2"/>
        <v>832895.03505100403</v>
      </c>
      <c r="O19" s="1"/>
      <c r="P19" s="7"/>
      <c r="Q19" s="7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x14ac:dyDescent="0.3">
      <c r="A20" s="1"/>
      <c r="B20" s="60"/>
      <c r="C20" s="61"/>
      <c r="D20" s="1"/>
      <c r="E20" s="1"/>
      <c r="F20" s="1"/>
      <c r="G20" s="1"/>
      <c r="H20" s="1"/>
      <c r="I20" s="1"/>
      <c r="J20" s="1"/>
      <c r="K20" s="1"/>
      <c r="L20" s="1"/>
      <c r="M20" s="1"/>
      <c r="N20" s="25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5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5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5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5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5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5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5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5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5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5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25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25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5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5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25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25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25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25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5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25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25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5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25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25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25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25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25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5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25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5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5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5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5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5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25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5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25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25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5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5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25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25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25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25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5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5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5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5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5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25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25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5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25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25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25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25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25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25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25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25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25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25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25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25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25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25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25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25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25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25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25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25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25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25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25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25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25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25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25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25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25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25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25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25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25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25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25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25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25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25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25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25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25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25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25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25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25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25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25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25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25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25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25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25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25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25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25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25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25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25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25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25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25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25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25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25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25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25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25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25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25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25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25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25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25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25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25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25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25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25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25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25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25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25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25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25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25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25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25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25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25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25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25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25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25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25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25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25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25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25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25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25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25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25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25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25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25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25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25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25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25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25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25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25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25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25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25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25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25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25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25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25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25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25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25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25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25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25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25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25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25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25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25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25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25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25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25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25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25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25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25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25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25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25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25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25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25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25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25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25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25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25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25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25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25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25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25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25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25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25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25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25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25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</sheetData>
  <sheetProtection selectLockedCells="1"/>
  <mergeCells count="2">
    <mergeCell ref="P1:Q1"/>
    <mergeCell ref="B2:C2"/>
  </mergeCells>
  <phoneticPr fontId="2" type="noConversion"/>
  <dataValidations count="1">
    <dataValidation type="list" allowBlank="1" showInputMessage="1" showErrorMessage="1" sqref="C6">
      <formula1>"X, 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일반템</vt:lpstr>
      <vt:lpstr>타일런트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2021-12-07T08:26:57Z</dcterms:created>
  <dcterms:modified xsi:type="dcterms:W3CDTF">2022-01-10T22:59:55Z</dcterms:modified>
</cp:coreProperties>
</file>