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O\Downloads\"/>
    </mc:Choice>
  </mc:AlternateContent>
  <xr:revisionPtr revIDLastSave="0" documentId="13_ncr:1_{05A0F9B9-2A11-4847-B3D2-D367A2FCD504}" xr6:coauthVersionLast="47" xr6:coauthVersionMax="47" xr10:uidLastSave="{00000000-0000-0000-0000-000000000000}"/>
  <bookViews>
    <workbookView xWindow="38280" yWindow="-120" windowWidth="29040" windowHeight="15840" firstSheet="13" activeTab="13" xr2:uid="{00000000-000D-0000-FFFF-FFFF00000000}"/>
  </bookViews>
  <sheets>
    <sheet name="방키 엘상 사선" sheetId="1" state="hidden" r:id="rId1"/>
    <sheet name="방키 안상" sheetId="8" state="hidden" r:id="rId2"/>
    <sheet name="방키 샨드라" sheetId="7" state="hidden" r:id="rId3"/>
    <sheet name="반키 엘상 사선" sheetId="5" state="hidden" r:id="rId4"/>
    <sheet name="반키 안상" sheetId="9" state="hidden" r:id="rId5"/>
    <sheet name="반키 샨드라" sheetId="4" state="hidden" r:id="rId6"/>
    <sheet name="광수 엘상 사선" sheetId="14" state="hidden" r:id="rId7"/>
    <sheet name="광수 안상 사선" sheetId="15" state="hidden" r:id="rId8"/>
    <sheet name="광수 샨드라" sheetId="16" state="hidden" r:id="rId9"/>
    <sheet name="공팟 엘상" sheetId="10" state="hidden" r:id="rId10"/>
    <sheet name="공팟 안상" sheetId="11" state="hidden" r:id="rId11"/>
    <sheet name="공팟 샨드라" sheetId="12" state="hidden" r:id="rId12"/>
    <sheet name="공팟 기타" sheetId="13" state="hidden" r:id="rId13"/>
    <sheet name="인던별 천장 계산기" sheetId="2" r:id="rId14"/>
    <sheet name="템 레벨 계산기" sheetId="17" r:id="rId15"/>
    <sheet name="강화 수치 별 템 레벨" sheetId="18" state="hidden" r:id="rId16"/>
  </sheets>
  <definedNames>
    <definedName name="_xlnm._FilterDatabase" localSheetId="13" hidden="1">'인던별 천장 계산기'!$A$3:$I$8</definedName>
    <definedName name="_xlnm._FilterDatabase" localSheetId="14" hidden="1">'템 레벨 계산기'!$D$1:$D$14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26" i="12"/>
  <c r="C26" i="11"/>
  <c r="C26" i="10"/>
  <c r="C32" i="13"/>
  <c r="C31" i="13"/>
  <c r="C29" i="13"/>
  <c r="E2" i="13" s="1"/>
  <c r="C28" i="13"/>
  <c r="C27" i="13"/>
  <c r="C32" i="12"/>
  <c r="C31" i="12"/>
  <c r="C29" i="12"/>
  <c r="E2" i="12" s="1"/>
  <c r="C28" i="12"/>
  <c r="C27" i="12"/>
  <c r="C32" i="11"/>
  <c r="C31" i="11"/>
  <c r="C29" i="11"/>
  <c r="E2" i="11" s="1"/>
  <c r="C28" i="11"/>
  <c r="C27" i="11"/>
  <c r="C31" i="10"/>
  <c r="C32" i="10"/>
  <c r="B5" i="1"/>
  <c r="C29" i="10"/>
  <c r="E2" i="10" s="1"/>
  <c r="C28" i="10"/>
  <c r="C27" i="10"/>
  <c r="M9" i="18"/>
  <c r="I9" i="18"/>
  <c r="M4" i="18"/>
  <c r="K3" i="18"/>
  <c r="J3" i="18"/>
  <c r="I3" i="18"/>
  <c r="I4" i="18" s="1"/>
  <c r="H3" i="18"/>
  <c r="H4" i="18" s="1"/>
  <c r="D2" i="12" l="1"/>
  <c r="D2" i="10"/>
  <c r="D2" i="11"/>
  <c r="D2" i="13"/>
  <c r="J4" i="18"/>
  <c r="L4" i="17" s="1"/>
  <c r="F2" i="5"/>
  <c r="B8" i="2"/>
  <c r="E5" i="16"/>
  <c r="C12" i="16" s="1"/>
  <c r="C15" i="16" s="1"/>
  <c r="G3" i="16"/>
  <c r="G2" i="16" s="1"/>
  <c r="B5" i="16" s="1"/>
  <c r="B9" i="16" s="1"/>
  <c r="F3" i="16"/>
  <c r="F2" i="16" s="1"/>
  <c r="C5" i="16" s="1"/>
  <c r="C9" i="16" s="1"/>
  <c r="L2" i="16"/>
  <c r="K2" i="16"/>
  <c r="I5" i="16" s="1"/>
  <c r="E5" i="15"/>
  <c r="G3" i="15"/>
  <c r="F3" i="15"/>
  <c r="L2" i="15"/>
  <c r="K2" i="15"/>
  <c r="I5" i="15" s="1"/>
  <c r="G2" i="15"/>
  <c r="B5" i="15" s="1"/>
  <c r="B9" i="15" s="1"/>
  <c r="F2" i="15"/>
  <c r="C5" i="15" s="1"/>
  <c r="C9" i="15" s="1"/>
  <c r="E5" i="14"/>
  <c r="C12" i="14" s="1"/>
  <c r="C15" i="14" s="1"/>
  <c r="G3" i="14"/>
  <c r="F3" i="14"/>
  <c r="L2" i="14"/>
  <c r="K2" i="14"/>
  <c r="I5" i="14" s="1"/>
  <c r="G2" i="14"/>
  <c r="B5" i="14" s="1"/>
  <c r="B9" i="14" s="1"/>
  <c r="F2" i="14"/>
  <c r="C5" i="14" s="1"/>
  <c r="C9" i="14" s="1"/>
  <c r="A2" i="13"/>
  <c r="B12" i="13"/>
  <c r="E5" i="13" s="1"/>
  <c r="L2" i="13"/>
  <c r="K2" i="13"/>
  <c r="I5" i="13" s="1"/>
  <c r="C2" i="13"/>
  <c r="B2" i="13"/>
  <c r="C2" i="12"/>
  <c r="F3" i="12" s="1"/>
  <c r="F2" i="12" s="1"/>
  <c r="C2" i="11"/>
  <c r="B2" i="12"/>
  <c r="G3" i="12" s="1"/>
  <c r="B2" i="11"/>
  <c r="G3" i="11" s="1"/>
  <c r="G2" i="11" s="1"/>
  <c r="B2" i="10"/>
  <c r="G3" i="10" s="1"/>
  <c r="G2" i="10" s="1"/>
  <c r="B12" i="12"/>
  <c r="B12" i="11"/>
  <c r="E5" i="11" s="1"/>
  <c r="B12" i="10"/>
  <c r="C2" i="10"/>
  <c r="L2" i="12"/>
  <c r="K2" i="12"/>
  <c r="I5" i="12" s="1"/>
  <c r="L2" i="11"/>
  <c r="K2" i="11"/>
  <c r="I5" i="11" s="1"/>
  <c r="L2" i="10"/>
  <c r="K2" i="10"/>
  <c r="I5" i="10" s="1"/>
  <c r="E5" i="9"/>
  <c r="C12" i="9" s="1"/>
  <c r="C15" i="9" s="1"/>
  <c r="G3" i="9"/>
  <c r="G2" i="9" s="1"/>
  <c r="B5" i="9" s="1"/>
  <c r="B9" i="9" s="1"/>
  <c r="F3" i="9"/>
  <c r="F2" i="9" s="1"/>
  <c r="C5" i="9" s="1"/>
  <c r="C9" i="9" s="1"/>
  <c r="L2" i="9"/>
  <c r="K2" i="9"/>
  <c r="I5" i="9" s="1"/>
  <c r="C15" i="8"/>
  <c r="C12" i="8"/>
  <c r="E5" i="8"/>
  <c r="G3" i="8"/>
  <c r="G2" i="8" s="1"/>
  <c r="B5" i="8" s="1"/>
  <c r="B9" i="8" s="1"/>
  <c r="F3" i="8"/>
  <c r="L2" i="8"/>
  <c r="K2" i="8"/>
  <c r="I5" i="8" s="1"/>
  <c r="F2" i="8"/>
  <c r="C5" i="8" s="1"/>
  <c r="C9" i="8" s="1"/>
  <c r="L2" i="4"/>
  <c r="L2" i="5"/>
  <c r="K2" i="4"/>
  <c r="K2" i="5"/>
  <c r="L2" i="7"/>
  <c r="K2" i="7"/>
  <c r="I5" i="7" s="1"/>
  <c r="K2" i="1"/>
  <c r="L2" i="1"/>
  <c r="E5" i="7"/>
  <c r="C12" i="7" s="1"/>
  <c r="C15" i="7" s="1"/>
  <c r="G3" i="7"/>
  <c r="G2" i="7" s="1"/>
  <c r="B5" i="7" s="1"/>
  <c r="B9" i="7" s="1"/>
  <c r="F3" i="7"/>
  <c r="F2" i="7" s="1"/>
  <c r="C5" i="7" s="1"/>
  <c r="C9" i="7" s="1"/>
  <c r="C5" i="12" l="1"/>
  <c r="C9" i="12" s="1"/>
  <c r="B5" i="11"/>
  <c r="B9" i="11" s="1"/>
  <c r="C12" i="11"/>
  <c r="C15" i="11" s="1"/>
  <c r="E5" i="12"/>
  <c r="C12" i="12" s="1"/>
  <c r="C15" i="12" s="1"/>
  <c r="F11" i="12" s="1"/>
  <c r="H8" i="2" s="1"/>
  <c r="G2" i="12"/>
  <c r="B5" i="12" s="1"/>
  <c r="B9" i="12" s="1"/>
  <c r="F7" i="12" s="1"/>
  <c r="H7" i="2" s="1"/>
  <c r="E5" i="10"/>
  <c r="C12" i="10" s="1"/>
  <c r="C15" i="10" s="1"/>
  <c r="C12" i="15"/>
  <c r="C15" i="15" s="1"/>
  <c r="F11" i="15" s="1"/>
  <c r="G6" i="2" s="1"/>
  <c r="F11" i="14"/>
  <c r="F6" i="2" s="1"/>
  <c r="F7" i="14"/>
  <c r="F7" i="16"/>
  <c r="F11" i="16"/>
  <c r="H6" i="2" s="1"/>
  <c r="F7" i="15"/>
  <c r="F3" i="13"/>
  <c r="G3" i="13"/>
  <c r="C12" i="13"/>
  <c r="C15" i="13" s="1"/>
  <c r="F3" i="11"/>
  <c r="B5" i="10"/>
  <c r="B9" i="10" s="1"/>
  <c r="F3" i="10"/>
  <c r="F11" i="9"/>
  <c r="F7" i="9"/>
  <c r="G5" i="2" s="1"/>
  <c r="F11" i="8"/>
  <c r="F7" i="8"/>
  <c r="G4" i="2" s="1"/>
  <c r="F11" i="7"/>
  <c r="F7" i="7"/>
  <c r="H4" i="2" s="1"/>
  <c r="F2" i="10" l="1"/>
  <c r="C5" i="10" s="1"/>
  <c r="C9" i="10" s="1"/>
  <c r="G2" i="13"/>
  <c r="B5" i="13" s="1"/>
  <c r="B9" i="13" s="1"/>
  <c r="F2" i="13"/>
  <c r="C5" i="13" s="1"/>
  <c r="C9" i="13" s="1"/>
  <c r="F11" i="13" s="1"/>
  <c r="I8" i="2" s="1"/>
  <c r="F2" i="11"/>
  <c r="C5" i="11" s="1"/>
  <c r="C9" i="11" s="1"/>
  <c r="E5" i="5"/>
  <c r="C12" i="5" s="1"/>
  <c r="C15" i="5" s="1"/>
  <c r="G3" i="5"/>
  <c r="G2" i="5" s="1"/>
  <c r="B5" i="5" s="1"/>
  <c r="B9" i="5" s="1"/>
  <c r="F3" i="5"/>
  <c r="C5" i="5" s="1"/>
  <c r="C9" i="5" s="1"/>
  <c r="I5" i="5"/>
  <c r="E5" i="4"/>
  <c r="C12" i="4" s="1"/>
  <c r="C15" i="4" s="1"/>
  <c r="G3" i="4"/>
  <c r="G2" i="4" s="1"/>
  <c r="B5" i="4" s="1"/>
  <c r="B9" i="4" s="1"/>
  <c r="F3" i="4"/>
  <c r="F2" i="4" s="1"/>
  <c r="C5" i="4" s="1"/>
  <c r="C9" i="4" s="1"/>
  <c r="I5" i="4"/>
  <c r="F3" i="1"/>
  <c r="F2" i="1" s="1"/>
  <c r="G3" i="1"/>
  <c r="G2" i="1" s="1"/>
  <c r="E5" i="1"/>
  <c r="C12" i="1" s="1"/>
  <c r="C15" i="1" s="1"/>
  <c r="F7" i="11" l="1"/>
  <c r="G7" i="2" s="1"/>
  <c r="F11" i="11"/>
  <c r="G8" i="2" s="1"/>
  <c r="F7" i="13"/>
  <c r="I7" i="2" s="1"/>
  <c r="F11" i="10"/>
  <c r="F8" i="2" s="1"/>
  <c r="F7" i="10"/>
  <c r="F7" i="2" s="1"/>
  <c r="F11" i="5"/>
  <c r="F7" i="5"/>
  <c r="F5" i="2" s="1"/>
  <c r="F11" i="4"/>
  <c r="F7" i="4"/>
  <c r="H5" i="2" s="1"/>
  <c r="C5" i="1"/>
  <c r="C9" i="1" s="1"/>
  <c r="B9" i="1"/>
  <c r="I5" i="1" l="1"/>
  <c r="F7" i="1" l="1"/>
  <c r="F4" i="2" s="1"/>
  <c r="F11" i="1"/>
</calcChain>
</file>

<file path=xl/sharedStrings.xml><?xml version="1.0" encoding="utf-8"?>
<sst xmlns="http://schemas.openxmlformats.org/spreadsheetml/2006/main" count="635" uniqueCount="134">
  <si>
    <t>힐 저항</t>
    <phoneticPr fontId="2" type="noConversion"/>
  </si>
  <si>
    <t>관통↓</t>
    <phoneticPr fontId="2" type="noConversion"/>
  </si>
  <si>
    <t>저항무시↓</t>
    <phoneticPr fontId="2" type="noConversion"/>
  </si>
  <si>
    <t>본인 스펙→</t>
    <phoneticPr fontId="2" type="noConversion"/>
  </si>
  <si>
    <t>몹저항</t>
    <phoneticPr fontId="2" type="noConversion"/>
  </si>
  <si>
    <t>관통력(%)↓</t>
    <phoneticPr fontId="2" type="noConversion"/>
  </si>
  <si>
    <t>탱 &amp; 힐러 와인</t>
    <phoneticPr fontId="2" type="noConversion"/>
  </si>
  <si>
    <t>노랑배경+빨간글씨 부분만 
수치건드리시면 됩니다.</t>
    <phoneticPr fontId="2" type="noConversion"/>
  </si>
  <si>
    <t>검정배경+빨간글씨는 건들지마세요,,
노랑배경에 본인스펙,탱+힐저항+몹저항 수치만 
수정하세요</t>
    <phoneticPr fontId="2" type="noConversion"/>
  </si>
  <si>
    <t>와인+관통수치</t>
    <phoneticPr fontId="2" type="noConversion"/>
  </si>
  <si>
    <t>옵션 계산</t>
    <phoneticPr fontId="2" type="noConversion"/>
  </si>
  <si>
    <t>몹저항은 가시는 던전에 따라서 바꿔주세요.</t>
    <phoneticPr fontId="2" type="noConversion"/>
  </si>
  <si>
    <t>만년설의저주V</t>
    <phoneticPr fontId="2" type="noConversion"/>
  </si>
  <si>
    <t>힐[꿈의노래-달빛]V 4.5%</t>
    <phoneticPr fontId="2" type="noConversion"/>
  </si>
  <si>
    <t>힐[꿈의노래-노을]V 관통</t>
    <phoneticPr fontId="2" type="noConversion"/>
  </si>
  <si>
    <t>힐 저항+꿈의노래+와인</t>
    <phoneticPr fontId="2" type="noConversion"/>
  </si>
  <si>
    <t>최종값[힐]</t>
    <phoneticPr fontId="2" type="noConversion"/>
  </si>
  <si>
    <t>옵션 계산 칸에 본인스펙 넣으시면됩니다 -&gt;</t>
    <phoneticPr fontId="2" type="noConversion"/>
  </si>
  <si>
    <t>↑궁수 외 다른직업은 위에 125 지우세요</t>
    <phoneticPr fontId="2" type="noConversion"/>
  </si>
  <si>
    <t>그밑에 칸은 스왑용 수치 적어두세요~</t>
    <phoneticPr fontId="2" type="noConversion"/>
  </si>
  <si>
    <t>물치5셋</t>
    <phoneticPr fontId="2" type="noConversion"/>
  </si>
  <si>
    <t>서클스왑</t>
    <phoneticPr fontId="2" type="noConversion"/>
  </si>
  <si>
    <t>목걸스왑</t>
    <phoneticPr fontId="2" type="noConversion"/>
  </si>
  <si>
    <t>서클+목걸스왑</t>
    <phoneticPr fontId="2" type="noConversion"/>
  </si>
  <si>
    <t xml:space="preserve">만년설저주 없는 기준으로 
저항값 맞추시고싶은분은
위에 만년설저주 부분 0으로 수정하시면됩니다.
</t>
    <phoneticPr fontId="2" type="noConversion"/>
  </si>
  <si>
    <t>힐[꿈의노래-햇살]V 증폭 4.5%</t>
    <phoneticPr fontId="2" type="noConversion"/>
  </si>
  <si>
    <t>권증폭+꿈햇살+와인</t>
    <phoneticPr fontId="2" type="noConversion"/>
  </si>
  <si>
    <t>권술사 결과값 =</t>
    <phoneticPr fontId="2" type="noConversion"/>
  </si>
  <si>
    <t>창기사 결과값 =</t>
    <phoneticPr fontId="2" type="noConversion"/>
  </si>
  <si>
    <t>몹저항 중급(코하,투하)=92.500
상급(듀상,엘상,성좌)= 118,000
최상급 샨드라 기준 = 132,000
최대치 = -33,333 입니다. 
결과값이 -33,333 넘어갈시 오버스펙입니다.</t>
    <phoneticPr fontId="2" type="noConversion"/>
  </si>
  <si>
    <t>2022-01-08
권술사 결과값 추가..</t>
    <phoneticPr fontId="2" type="noConversion"/>
  </si>
  <si>
    <t>창기사 저항</t>
    <phoneticPr fontId="2" type="noConversion"/>
  </si>
  <si>
    <t>창기사저항+꿈의노래+와인</t>
    <phoneticPr fontId="2" type="noConversion"/>
  </si>
  <si>
    <t>최종값[창기사]</t>
    <phoneticPr fontId="2" type="noConversion"/>
  </si>
  <si>
    <t>권술사 최종값</t>
    <phoneticPr fontId="2" type="noConversion"/>
  </si>
  <si>
    <t>권술사 증폭</t>
    <phoneticPr fontId="2" type="noConversion"/>
  </si>
  <si>
    <t>권와인 증폭</t>
    <phoneticPr fontId="2" type="noConversion"/>
  </si>
  <si>
    <t>탱[꿈의노래 -별빛]V 3%</t>
    <phoneticPr fontId="2" type="noConversion"/>
  </si>
  <si>
    <t>관통</t>
    <phoneticPr fontId="2" type="noConversion"/>
  </si>
  <si>
    <t>저항 무시</t>
    <phoneticPr fontId="2" type="noConversion"/>
  </si>
  <si>
    <t>안상</t>
    <phoneticPr fontId="2" type="noConversion"/>
  </si>
  <si>
    <t>샨드라</t>
    <phoneticPr fontId="2" type="noConversion"/>
  </si>
  <si>
    <t>+125 된 값 (이걸 노란색에 입력)</t>
    <phoneticPr fontId="2" type="noConversion"/>
  </si>
  <si>
    <t>만년설의저주V+사형선고</t>
    <phoneticPr fontId="2" type="noConversion"/>
  </si>
  <si>
    <t>with 공팟 창기</t>
    <phoneticPr fontId="2" type="noConversion"/>
  </si>
  <si>
    <t>with 공팟 권술</t>
    <phoneticPr fontId="2" type="noConversion"/>
  </si>
  <si>
    <r>
      <t xml:space="preserve">공팟 창기 </t>
    </r>
    <r>
      <rPr>
        <b/>
        <sz val="11"/>
        <color rgb="FFFF0000"/>
        <rFont val="맑은 고딕"/>
        <family val="3"/>
        <charset val="129"/>
        <scheme val="minor"/>
      </rPr>
      <t>저항</t>
    </r>
    <phoneticPr fontId="2" type="noConversion"/>
  </si>
  <si>
    <r>
      <t xml:space="preserve">공팟 권술 </t>
    </r>
    <r>
      <rPr>
        <b/>
        <sz val="11"/>
        <color rgb="FF3B7CFF"/>
        <rFont val="맑은 고딕"/>
        <family val="3"/>
        <charset val="129"/>
        <scheme val="minor"/>
      </rPr>
      <t>물증</t>
    </r>
    <phoneticPr fontId="2" type="noConversion"/>
  </si>
  <si>
    <r>
      <t xml:space="preserve">공팟 힐러 </t>
    </r>
    <r>
      <rPr>
        <b/>
        <sz val="11"/>
        <color rgb="FFFF0000"/>
        <rFont val="맑은 고딕"/>
        <family val="3"/>
        <charset val="129"/>
        <scheme val="minor"/>
      </rPr>
      <t>저항</t>
    </r>
    <phoneticPr fontId="2" type="noConversion"/>
  </si>
  <si>
    <t>엘상</t>
    <phoneticPr fontId="2" type="noConversion"/>
  </si>
  <si>
    <t>그 외 던전용</t>
    <phoneticPr fontId="2" type="noConversion"/>
  </si>
  <si>
    <t>힐러 장갑에서 관통 올려주는거 다 적용되니까 P 눌러서 나온 값만 노란색에 입력 (노와인 기준)</t>
    <phoneticPr fontId="2" type="noConversion"/>
  </si>
  <si>
    <r>
      <rPr>
        <b/>
        <sz val="18"/>
        <color theme="1"/>
        <rFont val="맑은 고딕"/>
        <family val="3"/>
        <charset val="129"/>
        <scheme val="minor"/>
      </rPr>
      <t>궁수</t>
    </r>
    <r>
      <rPr>
        <sz val="11"/>
        <color theme="1"/>
        <rFont val="맑은 고딕"/>
        <family val="2"/>
        <charset val="129"/>
        <scheme val="minor"/>
      </rPr>
      <t>는 여기에 본인 관통 입력</t>
    </r>
    <phoneticPr fontId="2" type="noConversion"/>
  </si>
  <si>
    <t>-33333 수치를 너무 오버하면 관통이나 저무 빼서 치위 올리기</t>
    <phoneticPr fontId="2" type="noConversion"/>
  </si>
  <si>
    <r>
      <t xml:space="preserve">위의 수치 </t>
    </r>
    <r>
      <rPr>
        <b/>
        <sz val="11"/>
        <color rgb="FF00B050"/>
        <rFont val="맑은 고딕"/>
        <family val="3"/>
        <charset val="129"/>
        <scheme val="minor"/>
      </rPr>
      <t>녹색</t>
    </r>
    <r>
      <rPr>
        <sz val="11"/>
        <color theme="1"/>
        <rFont val="맑은 고딕"/>
        <family val="2"/>
        <charset val="129"/>
        <scheme val="minor"/>
      </rPr>
      <t xml:space="preserve"> 뜨면 천장 O.K / </t>
    </r>
    <r>
      <rPr>
        <b/>
        <sz val="11"/>
        <color rgb="FFFF0000"/>
        <rFont val="맑은 고딕"/>
        <family val="3"/>
        <charset val="129"/>
        <scheme val="minor"/>
      </rPr>
      <t xml:space="preserve">빨간색 </t>
    </r>
    <r>
      <rPr>
        <sz val="11"/>
        <color theme="1"/>
        <rFont val="맑은 고딕"/>
        <family val="2"/>
        <charset val="129"/>
        <scheme val="minor"/>
      </rPr>
      <t>뜨면 천장 부족 (-33333 기준)</t>
    </r>
    <phoneticPr fontId="2" type="noConversion"/>
  </si>
  <si>
    <t>그 외 던전</t>
    <phoneticPr fontId="2" type="noConversion"/>
  </si>
  <si>
    <t>몹 저항</t>
    <phoneticPr fontId="2" type="noConversion"/>
  </si>
  <si>
    <t>코코아길드 추천 셋팅</t>
    <phoneticPr fontId="2" type="noConversion"/>
  </si>
  <si>
    <t>관통</t>
    <phoneticPr fontId="2" type="noConversion"/>
  </si>
  <si>
    <t>저항무시</t>
    <phoneticPr fontId="2" type="noConversion"/>
  </si>
  <si>
    <t>엘상</t>
    <phoneticPr fontId="2" type="noConversion"/>
  </si>
  <si>
    <t>공팟 (25만창기+30만힐)</t>
    <phoneticPr fontId="2" type="noConversion"/>
  </si>
  <si>
    <t>안상</t>
    <phoneticPr fontId="2" type="noConversion"/>
  </si>
  <si>
    <t>샨드라</t>
    <phoneticPr fontId="2" type="noConversion"/>
  </si>
  <si>
    <t>길드팟 (방키+뽀리)</t>
    <phoneticPr fontId="2" type="noConversion"/>
  </si>
  <si>
    <t>길드팟은 탱/힐 고정이므로 컷트라인만 맞춰도 가능
공팟은 탱/힐러 옵션이나 지저 유무 차이가 있을 수 있으므로 커트라인보다 여유롭게 셋팅</t>
    <phoneticPr fontId="2" type="noConversion"/>
  </si>
  <si>
    <t>with 칵</t>
    <phoneticPr fontId="2" type="noConversion"/>
  </si>
  <si>
    <t>서리 장비 / 찬란 악세 기준
(탱은 마흐12 장갑 선택 가능)</t>
    <phoneticPr fontId="2" type="noConversion"/>
  </si>
  <si>
    <t>던전 별 템레벨</t>
    <phoneticPr fontId="2" type="noConversion"/>
  </si>
  <si>
    <t>마르샤</t>
    <phoneticPr fontId="2" type="noConversion"/>
  </si>
  <si>
    <t>귀걸이</t>
    <phoneticPr fontId="2" type="noConversion"/>
  </si>
  <si>
    <t>서클릿</t>
    <phoneticPr fontId="2" type="noConversion"/>
  </si>
  <si>
    <t>가면</t>
    <phoneticPr fontId="2" type="noConversion"/>
  </si>
  <si>
    <t>Total 템 레벨</t>
    <phoneticPr fontId="2" type="noConversion"/>
  </si>
  <si>
    <t>최상급</t>
    <phoneticPr fontId="2" type="noConversion"/>
  </si>
  <si>
    <t>상급</t>
    <phoneticPr fontId="2" type="noConversion"/>
  </si>
  <si>
    <t>중급</t>
    <phoneticPr fontId="2" type="noConversion"/>
  </si>
  <si>
    <t>하급</t>
    <phoneticPr fontId="2" type="noConversion"/>
  </si>
  <si>
    <t>포근</t>
    <phoneticPr fontId="2" type="noConversion"/>
  </si>
  <si>
    <t>무기</t>
    <phoneticPr fontId="2" type="noConversion"/>
  </si>
  <si>
    <t>목걸이</t>
    <phoneticPr fontId="2" type="noConversion"/>
  </si>
  <si>
    <t>브로치</t>
    <phoneticPr fontId="2" type="noConversion"/>
  </si>
  <si>
    <t>갑옷</t>
    <phoneticPr fontId="2" type="noConversion"/>
  </si>
  <si>
    <t>샨상</t>
    <phoneticPr fontId="2" type="noConversion"/>
  </si>
  <si>
    <t>얼하</t>
    <phoneticPr fontId="2" type="noConversion"/>
  </si>
  <si>
    <t>투하</t>
    <phoneticPr fontId="2" type="noConversion"/>
  </si>
  <si>
    <t>사하</t>
    <phoneticPr fontId="2" type="noConversion"/>
  </si>
  <si>
    <t>속옷</t>
    <phoneticPr fontId="2" type="noConversion"/>
  </si>
  <si>
    <t>허리띠</t>
    <phoneticPr fontId="2" type="noConversion"/>
  </si>
  <si>
    <t>얼상</t>
    <phoneticPr fontId="2" type="noConversion"/>
  </si>
  <si>
    <t>코하</t>
    <phoneticPr fontId="2" type="noConversion"/>
  </si>
  <si>
    <t>데하</t>
    <phoneticPr fontId="2" type="noConversion"/>
  </si>
  <si>
    <t>신발</t>
    <phoneticPr fontId="2" type="noConversion"/>
  </si>
  <si>
    <t>성물</t>
    <phoneticPr fontId="2" type="noConversion"/>
  </si>
  <si>
    <t>유물</t>
    <phoneticPr fontId="2" type="noConversion"/>
  </si>
  <si>
    <t>장갑</t>
    <phoneticPr fontId="2" type="noConversion"/>
  </si>
  <si>
    <t>듀상</t>
    <phoneticPr fontId="2" type="noConversion"/>
  </si>
  <si>
    <t>반지</t>
  </si>
  <si>
    <t>반지</t>
    <phoneticPr fontId="2" type="noConversion"/>
  </si>
  <si>
    <t>노란 배경에 본인 강화 수치 선택
(탱의 경우 마흐12 사선장갑 착용하면 마흐 12 선택)</t>
    <phoneticPr fontId="2" type="noConversion"/>
  </si>
  <si>
    <t>마흐12</t>
    <phoneticPr fontId="2" type="noConversion"/>
  </si>
  <si>
    <t>템 레벨 추출</t>
    <phoneticPr fontId="2" type="noConversion"/>
  </si>
  <si>
    <t>with 방키+뽀리</t>
    <phoneticPr fontId="2" type="noConversion"/>
  </si>
  <si>
    <t>with 반키+설</t>
    <phoneticPr fontId="2" type="noConversion"/>
  </si>
  <si>
    <t>창기 갑옷</t>
    <phoneticPr fontId="2" type="noConversion"/>
  </si>
  <si>
    <t>1단</t>
    <phoneticPr fontId="2" type="noConversion"/>
  </si>
  <si>
    <t>2단</t>
    <phoneticPr fontId="2" type="noConversion"/>
  </si>
  <si>
    <t>3단</t>
    <phoneticPr fontId="2" type="noConversion"/>
  </si>
  <si>
    <t>4단</t>
    <phoneticPr fontId="2" type="noConversion"/>
  </si>
  <si>
    <t>5단</t>
    <phoneticPr fontId="2" type="noConversion"/>
  </si>
  <si>
    <t>창기 갑옷 / 힐러 무기, 신발 단수 선택
(노도핑, 노와인 기준)</t>
    <phoneticPr fontId="2" type="noConversion"/>
  </si>
  <si>
    <t>힐러 무기</t>
    <phoneticPr fontId="2" type="noConversion"/>
  </si>
  <si>
    <t>창기 갑옷 옵션
(물리 저항)</t>
    <phoneticPr fontId="2" type="noConversion"/>
  </si>
  <si>
    <t>힐러 무기 옵션
(물리 증폭)</t>
    <phoneticPr fontId="2" type="noConversion"/>
  </si>
  <si>
    <t>힐러 신발 옵션
(마법 저항)</t>
    <phoneticPr fontId="2" type="noConversion"/>
  </si>
  <si>
    <t>만년설의 저주</t>
    <phoneticPr fontId="2" type="noConversion"/>
  </si>
  <si>
    <t>O</t>
  </si>
  <si>
    <t>O</t>
    <phoneticPr fontId="2" type="noConversion"/>
  </si>
  <si>
    <t>X</t>
  </si>
  <si>
    <t>X</t>
    <phoneticPr fontId="2" type="noConversion"/>
  </si>
  <si>
    <t>사형 선고</t>
    <phoneticPr fontId="2" type="noConversion"/>
  </si>
  <si>
    <t>힐러 신발</t>
    <phoneticPr fontId="2" type="noConversion"/>
  </si>
  <si>
    <t>힐러 장갑 옵션
(관통)</t>
    <phoneticPr fontId="2" type="noConversion"/>
  </si>
  <si>
    <t>힐러 장갑</t>
    <phoneticPr fontId="2" type="noConversion"/>
  </si>
  <si>
    <t>저주</t>
    <phoneticPr fontId="2" type="noConversion"/>
  </si>
  <si>
    <t>사선</t>
    <phoneticPr fontId="2" type="noConversion"/>
  </si>
  <si>
    <t>탱 저항 깎</t>
    <phoneticPr fontId="2" type="noConversion"/>
  </si>
  <si>
    <t>힐[꿈의노래-달빛]</t>
    <phoneticPr fontId="2" type="noConversion"/>
  </si>
  <si>
    <t>탱[꿈의노래 -별빛]</t>
    <phoneticPr fontId="2" type="noConversion"/>
  </si>
  <si>
    <t>힐[꿈의노래-노을]</t>
    <phoneticPr fontId="2" type="noConversion"/>
  </si>
  <si>
    <t>5단</t>
  </si>
  <si>
    <r>
      <t>아룬의 영광</t>
    </r>
    <r>
      <rPr>
        <b/>
        <sz val="16"/>
        <color theme="1"/>
        <rFont val="맑은 고딕"/>
        <family val="3"/>
        <charset val="129"/>
        <scheme val="minor"/>
      </rPr>
      <t xml:space="preserve"> 코코아 길드</t>
    </r>
    <r>
      <rPr>
        <sz val="16"/>
        <color theme="1"/>
        <rFont val="맑은 고딕"/>
        <family val="3"/>
        <charset val="129"/>
        <scheme val="minor"/>
      </rPr>
      <t xml:space="preserve">
Original by </t>
    </r>
    <r>
      <rPr>
        <b/>
        <sz val="16"/>
        <color theme="1"/>
        <rFont val="맑은 고딕"/>
        <family val="3"/>
        <charset val="129"/>
        <scheme val="minor"/>
      </rPr>
      <t>하양</t>
    </r>
    <r>
      <rPr>
        <sz val="16"/>
        <color theme="1"/>
        <rFont val="맑은 고딕"/>
        <family val="3"/>
        <charset val="129"/>
        <scheme val="minor"/>
      </rPr>
      <t xml:space="preserve">
Modify by </t>
    </r>
    <r>
      <rPr>
        <b/>
        <sz val="16"/>
        <color theme="1"/>
        <rFont val="맑은 고딕"/>
        <family val="3"/>
        <charset val="129"/>
        <scheme val="minor"/>
      </rPr>
      <t>방키</t>
    </r>
    <phoneticPr fontId="2" type="noConversion"/>
  </si>
  <si>
    <t>3단</t>
  </si>
  <si>
    <r>
      <t xml:space="preserve">아룬의 영광 </t>
    </r>
    <r>
      <rPr>
        <b/>
        <sz val="16"/>
        <color theme="1"/>
        <rFont val="맑은 고딕"/>
        <family val="3"/>
        <charset val="129"/>
        <scheme val="minor"/>
      </rPr>
      <t>코코아 길드</t>
    </r>
    <r>
      <rPr>
        <sz val="16"/>
        <color theme="1"/>
        <rFont val="맑은 고딕"/>
        <family val="3"/>
        <charset val="129"/>
        <scheme val="minor"/>
      </rPr>
      <t xml:space="preserve">
Made by</t>
    </r>
    <r>
      <rPr>
        <b/>
        <sz val="16"/>
        <color theme="1"/>
        <rFont val="맑은 고딕"/>
        <family val="3"/>
        <charset val="129"/>
        <scheme val="minor"/>
      </rPr>
      <t xml:space="preserve"> 방키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</si>
</sst>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_ "/>
    <numFmt numFmtId="178" formatCode="0.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rgb="FFFF0000"/>
      <name val="맑은 고딕"/>
      <family val="2"/>
      <charset val="129"/>
      <scheme val="minor"/>
    </font>
    <font>
      <sz val="16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5" tint="0.79998168889431442"/>
      <name val="맑은 고딕"/>
      <family val="2"/>
      <charset val="129"/>
      <scheme val="minor"/>
    </font>
    <font>
      <sz val="18"/>
      <color rgb="FFFF0000"/>
      <name val="맑은 고딕"/>
      <family val="3"/>
      <charset val="129"/>
      <scheme val="minor"/>
    </font>
    <font>
      <b/>
      <u/>
      <sz val="24"/>
      <color rgb="FFFF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3B7CFF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30"/>
      <color rgb="FFFFFF00"/>
      <name val="맑은 고딕"/>
      <family val="3"/>
      <charset val="129"/>
      <scheme val="minor"/>
    </font>
    <font>
      <b/>
      <sz val="11"/>
      <color rgb="FFFFFF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2" borderId="0" xfId="0" applyFont="1" applyFill="1">
      <alignment vertical="center"/>
    </xf>
    <xf numFmtId="10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12" fontId="5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3" fontId="6" fillId="2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7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2" borderId="0" xfId="0" applyNumberFormat="1" applyFont="1" applyFill="1" applyAlignment="1">
      <alignment vertical="center"/>
    </xf>
    <xf numFmtId="177" fontId="13" fillId="7" borderId="13" xfId="0" applyNumberFormat="1" applyFont="1" applyFill="1" applyBorder="1" applyAlignment="1" applyProtection="1">
      <alignment horizontal="center" vertical="center"/>
    </xf>
    <xf numFmtId="177" fontId="13" fillId="7" borderId="5" xfId="0" applyNumberFormat="1" applyFont="1" applyFill="1" applyBorder="1" applyAlignment="1" applyProtection="1">
      <alignment horizontal="center" vertical="center"/>
    </xf>
    <xf numFmtId="177" fontId="13" fillId="7" borderId="12" xfId="0" applyNumberFormat="1" applyFont="1" applyFill="1" applyBorder="1" applyAlignment="1" applyProtection="1">
      <alignment horizontal="center" vertical="center"/>
    </xf>
    <xf numFmtId="177" fontId="13" fillId="7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8" borderId="31" xfId="0" applyFill="1" applyBorder="1" applyAlignment="1" applyProtection="1">
      <alignment horizontal="center" vertical="center"/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0" fillId="11" borderId="33" xfId="0" applyFill="1" applyBorder="1" applyAlignment="1" applyProtection="1">
      <alignment horizontal="center" vertical="center"/>
      <protection locked="0"/>
    </xf>
    <xf numFmtId="0" fontId="0" fillId="11" borderId="32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7" fontId="13" fillId="7" borderId="35" xfId="0" applyNumberFormat="1" applyFont="1" applyFill="1" applyBorder="1" applyAlignment="1" applyProtection="1">
      <alignment horizontal="center" vertical="center"/>
    </xf>
    <xf numFmtId="177" fontId="13" fillId="4" borderId="23" xfId="0" applyNumberFormat="1" applyFont="1" applyFill="1" applyBorder="1" applyAlignment="1" applyProtection="1">
      <alignment horizontal="center" vertical="center"/>
    </xf>
    <xf numFmtId="177" fontId="13" fillId="7" borderId="4" xfId="0" applyNumberFormat="1" applyFont="1" applyFill="1" applyBorder="1" applyAlignment="1" applyProtection="1">
      <alignment horizontal="center" vertical="center"/>
    </xf>
    <xf numFmtId="177" fontId="13" fillId="4" borderId="25" xfId="0" applyNumberFormat="1" applyFont="1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177" fontId="13" fillId="7" borderId="29" xfId="0" applyNumberFormat="1" applyFon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  <protection locked="0"/>
    </xf>
    <xf numFmtId="177" fontId="13" fillId="7" borderId="25" xfId="0" applyNumberFormat="1" applyFont="1" applyFill="1" applyBorder="1" applyAlignment="1" applyProtection="1">
      <alignment horizontal="center" vertical="center"/>
    </xf>
    <xf numFmtId="177" fontId="13" fillId="4" borderId="4" xfId="0" applyNumberFormat="1" applyFont="1" applyFill="1" applyBorder="1" applyAlignment="1" applyProtection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178" fontId="21" fillId="0" borderId="0" xfId="0" applyNumberFormat="1" applyFo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10" borderId="41" xfId="0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9" xfId="0" quotePrefix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 wrapText="1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0" xfId="0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178" fontId="21" fillId="13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1">
    <cellStyle name="표준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B7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</xdr:colOff>
      <xdr:row>5</xdr:row>
      <xdr:rowOff>423918</xdr:rowOff>
    </xdr:from>
    <xdr:to>
      <xdr:col>26</xdr:col>
      <xdr:colOff>3176</xdr:colOff>
      <xdr:row>20</xdr:row>
      <xdr:rowOff>100853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39279F28-696B-4133-A158-8C7D11EC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376" y="2037565"/>
          <a:ext cx="2690682" cy="3923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270846</xdr:colOff>
      <xdr:row>6</xdr:row>
      <xdr:rowOff>412711</xdr:rowOff>
    </xdr:from>
    <xdr:to>
      <xdr:col>19</xdr:col>
      <xdr:colOff>1606</xdr:colOff>
      <xdr:row>15</xdr:row>
      <xdr:rowOff>399601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102851BF-8EB1-4B56-A88B-91757AE2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8140" y="2743535"/>
          <a:ext cx="2692587" cy="3920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N76"/>
  <sheetViews>
    <sheetView workbookViewId="0">
      <selection activeCell="D2" sqref="D2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4.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8" t="s">
        <v>43</v>
      </c>
      <c r="E1" s="18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118000</v>
      </c>
      <c r="B2" s="16">
        <v>310160</v>
      </c>
      <c r="C2" s="16">
        <v>307663</v>
      </c>
      <c r="D2" s="3">
        <v>14600</v>
      </c>
      <c r="E2" s="3">
        <v>1468</v>
      </c>
      <c r="F2" s="13">
        <f>F3*4.5%</f>
        <v>14024.834999999999</v>
      </c>
      <c r="G2" s="13">
        <f>G3*3%</f>
        <v>9424.7999999999993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311663</v>
      </c>
      <c r="G3" s="22">
        <f>B2+D5</f>
        <v>314160</v>
      </c>
      <c r="J3" s="9" t="s">
        <v>10</v>
      </c>
      <c r="K3" s="6">
        <v>10000</v>
      </c>
      <c r="L3" s="6">
        <v>9000</v>
      </c>
      <c r="M3" s="10"/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7" t="s">
        <v>20</v>
      </c>
      <c r="K4" s="7">
        <v>11373</v>
      </c>
      <c r="L4" s="7">
        <v>17304</v>
      </c>
    </row>
    <row r="5" spans="1:14" x14ac:dyDescent="0.4">
      <c r="A5" s="21"/>
      <c r="B5" s="12">
        <f>(B2+G2)+D5</f>
        <v>323584.8</v>
      </c>
      <c r="C5" s="12">
        <f>(C2+F2)+D5</f>
        <v>325687.83500000002</v>
      </c>
      <c r="D5" s="8">
        <v>4000</v>
      </c>
      <c r="E5" s="14">
        <f>B12*4.5%</f>
        <v>20250</v>
      </c>
      <c r="F5" s="21"/>
      <c r="G5" s="23" t="s">
        <v>19</v>
      </c>
      <c r="I5" s="2">
        <f>(K2+E2)/(K2+10000+E2)</f>
        <v>0.56078706957132818</v>
      </c>
      <c r="J5" s="7" t="s">
        <v>21</v>
      </c>
      <c r="K5" s="7">
        <v>13124</v>
      </c>
      <c r="L5" s="7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7" t="s">
        <v>22</v>
      </c>
      <c r="K6" s="7">
        <v>12752</v>
      </c>
      <c r="L6" s="7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-44458.137709416726</v>
      </c>
      <c r="G7" s="26"/>
      <c r="J7" s="7" t="s">
        <v>23</v>
      </c>
      <c r="K7" s="7">
        <v>14502</v>
      </c>
      <c r="L7" s="7">
        <v>18434</v>
      </c>
    </row>
    <row r="8" spans="1:14" ht="16.5" customHeight="1" x14ac:dyDescent="0.4">
      <c r="A8" s="21"/>
      <c r="B8" s="18" t="s">
        <v>33</v>
      </c>
      <c r="C8" s="18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32358.48</v>
      </c>
      <c r="C9" s="18">
        <f>C5*10%</f>
        <v>32568.783500000005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131">
        <f>(A2-(A2*I5))-(C15+C9+D2)-L2</f>
        <v>-36012.15770941673</v>
      </c>
      <c r="G11" s="131"/>
      <c r="I11" s="125"/>
      <c r="J11" s="125"/>
      <c r="K11" s="125"/>
      <c r="L11" s="125"/>
    </row>
    <row r="12" spans="1:14" ht="16.5" customHeight="1" x14ac:dyDescent="0.4">
      <c r="A12" s="21"/>
      <c r="B12" s="12">
        <v>450000</v>
      </c>
      <c r="C12" s="16">
        <f>(B12+E5)+D9</f>
        <v>478250</v>
      </c>
      <c r="D12" s="21"/>
      <c r="E12" s="127"/>
      <c r="F12" s="131"/>
      <c r="G12" s="131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131"/>
      <c r="G13" s="131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23912.5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11"/>
      <c r="F66" s="11"/>
    </row>
    <row r="67" spans="5:8" x14ac:dyDescent="0.4">
      <c r="E67" s="11"/>
      <c r="F67" s="11"/>
    </row>
    <row r="75" spans="5:8" x14ac:dyDescent="0.4">
      <c r="F75" s="11"/>
      <c r="G75" s="11"/>
      <c r="H75" s="11"/>
    </row>
    <row r="76" spans="5:8" x14ac:dyDescent="0.4">
      <c r="F76" s="11"/>
      <c r="G76" s="11"/>
      <c r="H76" s="11"/>
    </row>
  </sheetData>
  <mergeCells count="9">
    <mergeCell ref="K25:N29"/>
    <mergeCell ref="I8:L14"/>
    <mergeCell ref="B16:N23"/>
    <mergeCell ref="E7:E9"/>
    <mergeCell ref="D25:G32"/>
    <mergeCell ref="H25:J29"/>
    <mergeCell ref="H30:J32"/>
    <mergeCell ref="E11:E13"/>
    <mergeCell ref="F11:G1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2B11-EFC4-4E50-9835-524BC89592C3}">
  <sheetPr>
    <tabColor theme="5" tint="-0.249977111117893"/>
  </sheetPr>
  <dimension ref="A1:N76"/>
  <sheetViews>
    <sheetView topLeftCell="B1" zoomScaleNormal="100" workbookViewId="0">
      <selection activeCell="G2" sqref="G2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14.6992187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10" t="s">
        <v>126</v>
      </c>
      <c r="E1" s="30" t="s">
        <v>129</v>
      </c>
      <c r="F1" s="8" t="s">
        <v>127</v>
      </c>
      <c r="G1" s="8" t="s">
        <v>128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118000</v>
      </c>
      <c r="B2" s="16">
        <f>'인던별 천장 계산기'!K5</f>
        <v>299615</v>
      </c>
      <c r="C2" s="16">
        <f>'인던별 천장 계산기'!M5</f>
        <v>290000</v>
      </c>
      <c r="D2" s="3">
        <f>C31+C32</f>
        <v>9600</v>
      </c>
      <c r="E2" s="3">
        <f>C29</f>
        <v>1468</v>
      </c>
      <c r="F2" s="8">
        <f>F3*C27</f>
        <v>13230</v>
      </c>
      <c r="G2" s="8">
        <f>G3*C26</f>
        <v>13662.674999999999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294000</v>
      </c>
      <c r="G3" s="22">
        <f>B2+D5</f>
        <v>303615</v>
      </c>
      <c r="J3" s="31" t="s">
        <v>10</v>
      </c>
      <c r="K3" s="6">
        <v>10303</v>
      </c>
      <c r="L3" s="6">
        <v>21109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317277.67499999999</v>
      </c>
      <c r="C5" s="12">
        <f>(C2+F2)+D5</f>
        <v>307230</v>
      </c>
      <c r="D5" s="8">
        <v>4000</v>
      </c>
      <c r="E5" s="14">
        <f>B12*C28</f>
        <v>15400.000000000002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-36981.641709416726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30" t="s">
        <v>33</v>
      </c>
      <c r="C8" s="30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31727.767500000002</v>
      </c>
      <c r="C9" s="30">
        <f>C5*10%</f>
        <v>30723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-28423.874209416725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f>'인던별 천장 계산기'!L5</f>
        <v>440000</v>
      </c>
      <c r="C12" s="16">
        <f>(B12+E5)+D9</f>
        <v>463400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C15" s="8">
        <f>(C12*5%)</f>
        <v>23170</v>
      </c>
      <c r="D15" s="32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B26" s="38" t="s">
        <v>104</v>
      </c>
      <c r="C26" s="117">
        <f>VLOOKUP('인던별 천장 계산기'!K7,'인던별 천장 계산기'!R:S,2,0)</f>
        <v>4.4999999999999998E-2</v>
      </c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B27" s="38" t="s">
        <v>121</v>
      </c>
      <c r="C27" s="117">
        <f>VLOOKUP('인던별 천장 계산기'!M9,'인던별 천장 계산기'!R:S,2,0)</f>
        <v>4.4999999999999998E-2</v>
      </c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B28" s="38" t="s">
        <v>111</v>
      </c>
      <c r="C28" s="117">
        <f>VLOOKUP('인던별 천장 계산기'!L7,'인던별 천장 계산기'!R:S,2,0)</f>
        <v>3.5000000000000003E-2</v>
      </c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B29" s="38" t="s">
        <v>123</v>
      </c>
      <c r="C29" s="116">
        <f>VLOOKUP('인던별 천장 계산기'!M7,'인던별 천장 계산기'!V:W,2,0)</f>
        <v>1468</v>
      </c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B30" s="38"/>
      <c r="C30" s="117"/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B31" s="38" t="s">
        <v>124</v>
      </c>
      <c r="C31" s="116">
        <f>VLOOKUP('인던별 천장 계산기'!K9,'인던별 천장 계산기'!T:U,2,0)</f>
        <v>9600</v>
      </c>
      <c r="D31" s="129"/>
      <c r="E31" s="129"/>
      <c r="F31" s="129"/>
      <c r="G31" s="129"/>
      <c r="H31" s="123"/>
      <c r="I31" s="123"/>
      <c r="J31" s="123"/>
    </row>
    <row r="32" spans="2:14" x14ac:dyDescent="0.4">
      <c r="B32" s="38" t="s">
        <v>125</v>
      </c>
      <c r="C32" s="116">
        <f>VLOOKUP('인던별 천장 계산기'!K11,'인던별 천장 계산기'!X:Y,2,0)</f>
        <v>0</v>
      </c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9F78-0E37-43F6-9782-3B9940909FBE}">
  <sheetPr>
    <tabColor theme="5" tint="-0.249977111117893"/>
  </sheetPr>
  <dimension ref="A1:N76"/>
  <sheetViews>
    <sheetView workbookViewId="0">
      <selection activeCell="G2" sqref="G2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14.6992187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10" t="s">
        <v>126</v>
      </c>
      <c r="E1" s="110" t="s">
        <v>129</v>
      </c>
      <c r="F1" s="8" t="s">
        <v>127</v>
      </c>
      <c r="G1" s="8" t="s">
        <v>128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129500</v>
      </c>
      <c r="B2" s="16">
        <f>'인던별 천장 계산기'!K5</f>
        <v>299615</v>
      </c>
      <c r="C2" s="16">
        <f>'인던별 천장 계산기'!M5</f>
        <v>290000</v>
      </c>
      <c r="D2" s="3">
        <f>C31+C32</f>
        <v>9600</v>
      </c>
      <c r="E2" s="3">
        <f>C29</f>
        <v>1468</v>
      </c>
      <c r="F2" s="8">
        <f>F3*C27</f>
        <v>13230</v>
      </c>
      <c r="G2" s="8">
        <f>G3*C26</f>
        <v>13662.674999999999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294000</v>
      </c>
      <c r="G3" s="22">
        <f>B2+D5</f>
        <v>303615</v>
      </c>
      <c r="J3" s="31" t="s">
        <v>10</v>
      </c>
      <c r="K3" s="6">
        <v>12000</v>
      </c>
      <c r="L3" s="6">
        <v>23000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317277.67499999999</v>
      </c>
      <c r="C5" s="12">
        <f>(C2+F2)+D5</f>
        <v>307230</v>
      </c>
      <c r="D5" s="8">
        <v>4000</v>
      </c>
      <c r="E5" s="14">
        <f>B12*C28</f>
        <v>15400.000000000002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-31930.693009487004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30" t="s">
        <v>33</v>
      </c>
      <c r="C8" s="30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31727.767500000002</v>
      </c>
      <c r="C9" s="30">
        <f>C5*10%</f>
        <v>30723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-23372.925509487002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f>'인던별 천장 계산기'!L5</f>
        <v>440000</v>
      </c>
      <c r="C12" s="16">
        <f>(B12+E5)+D9</f>
        <v>463400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23170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B26" s="38" t="s">
        <v>104</v>
      </c>
      <c r="C26" s="117">
        <f>VLOOKUP('인던별 천장 계산기'!K7,'인던별 천장 계산기'!R:S,2,0)</f>
        <v>4.4999999999999998E-2</v>
      </c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B27" s="38" t="s">
        <v>121</v>
      </c>
      <c r="C27" s="117">
        <f>VLOOKUP('인던별 천장 계산기'!M9,'인던별 천장 계산기'!R:S,2,0)</f>
        <v>4.4999999999999998E-2</v>
      </c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B28" s="38" t="s">
        <v>111</v>
      </c>
      <c r="C28" s="117">
        <f>VLOOKUP('인던별 천장 계산기'!L7,'인던별 천장 계산기'!R:S,2,0)</f>
        <v>3.5000000000000003E-2</v>
      </c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B29" s="38" t="s">
        <v>123</v>
      </c>
      <c r="C29" s="116">
        <f>VLOOKUP('인던별 천장 계산기'!M7,'인던별 천장 계산기'!V:W,2,0)</f>
        <v>1468</v>
      </c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B30" s="38"/>
      <c r="C30" s="117"/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B31" s="38" t="s">
        <v>124</v>
      </c>
      <c r="C31" s="116">
        <f>VLOOKUP('인던별 천장 계산기'!K9,'인던별 천장 계산기'!T:U,2,0)</f>
        <v>9600</v>
      </c>
      <c r="D31" s="129"/>
      <c r="E31" s="129"/>
      <c r="F31" s="129"/>
      <c r="G31" s="129"/>
      <c r="H31" s="123"/>
      <c r="I31" s="123"/>
      <c r="J31" s="123"/>
    </row>
    <row r="32" spans="2:14" x14ac:dyDescent="0.4">
      <c r="B32" s="38" t="s">
        <v>125</v>
      </c>
      <c r="C32" s="116">
        <f>VLOOKUP('인던별 천장 계산기'!K11,'인던별 천장 계산기'!X:Y,2,0)</f>
        <v>0</v>
      </c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137A-3F3A-42A6-8330-1557A55E308A}">
  <sheetPr>
    <tabColor theme="5" tint="-0.249977111117893"/>
  </sheetPr>
  <dimension ref="A1:N76"/>
  <sheetViews>
    <sheetView workbookViewId="0">
      <selection activeCell="G2" sqref="G2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14.6992187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10" t="s">
        <v>126</v>
      </c>
      <c r="E1" s="110" t="s">
        <v>129</v>
      </c>
      <c r="F1" s="8" t="s">
        <v>127</v>
      </c>
      <c r="G1" s="8" t="s">
        <v>128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132000</v>
      </c>
      <c r="B2" s="16">
        <f>'인던별 천장 계산기'!K5</f>
        <v>299615</v>
      </c>
      <c r="C2" s="16">
        <f>'인던별 천장 계산기'!M5</f>
        <v>290000</v>
      </c>
      <c r="D2" s="3">
        <f>C31+C32</f>
        <v>9600</v>
      </c>
      <c r="E2" s="3">
        <f>C29</f>
        <v>1468</v>
      </c>
      <c r="F2" s="8">
        <f>F3*C27</f>
        <v>13230</v>
      </c>
      <c r="G2" s="8">
        <f>G3*C26</f>
        <v>13662.674999999999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294000</v>
      </c>
      <c r="G3" s="22">
        <f>B2+D5</f>
        <v>303615</v>
      </c>
      <c r="J3" s="31" t="s">
        <v>10</v>
      </c>
      <c r="K3" s="6">
        <v>12000</v>
      </c>
      <c r="L3" s="6">
        <v>23000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317277.67499999999</v>
      </c>
      <c r="C5" s="12">
        <f>(C2+F2)+D5</f>
        <v>307230</v>
      </c>
      <c r="D5" s="8">
        <v>4000</v>
      </c>
      <c r="E5" s="14">
        <f>B12*C28</f>
        <v>15400.000000000002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-30832.660683415321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30" t="s">
        <v>33</v>
      </c>
      <c r="C8" s="30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31727.767500000002</v>
      </c>
      <c r="C9" s="30">
        <f>C5*10%</f>
        <v>30723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-22274.893183415319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f>'인던별 천장 계산기'!L5</f>
        <v>440000</v>
      </c>
      <c r="C12" s="16">
        <f>(B12+E5)+D9</f>
        <v>463400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23170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B26" s="38" t="s">
        <v>104</v>
      </c>
      <c r="C26" s="117">
        <f>VLOOKUP('인던별 천장 계산기'!K7,'인던별 천장 계산기'!R:S,2,0)</f>
        <v>4.4999999999999998E-2</v>
      </c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B27" s="38" t="s">
        <v>121</v>
      </c>
      <c r="C27" s="117">
        <f>VLOOKUP('인던별 천장 계산기'!M9,'인던별 천장 계산기'!R:S,2,0)</f>
        <v>4.4999999999999998E-2</v>
      </c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B28" s="38" t="s">
        <v>111</v>
      </c>
      <c r="C28" s="117">
        <f>VLOOKUP('인던별 천장 계산기'!L7,'인던별 천장 계산기'!R:S,2,0)</f>
        <v>3.5000000000000003E-2</v>
      </c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B29" s="38" t="s">
        <v>123</v>
      </c>
      <c r="C29" s="116">
        <f>VLOOKUP('인던별 천장 계산기'!M7,'인던별 천장 계산기'!V:W,2,0)</f>
        <v>1468</v>
      </c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B30" s="38"/>
      <c r="C30" s="117"/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B31" s="38" t="s">
        <v>124</v>
      </c>
      <c r="C31" s="116">
        <f>VLOOKUP('인던별 천장 계산기'!K9,'인던별 천장 계산기'!T:U,2,0)</f>
        <v>9600</v>
      </c>
      <c r="D31" s="129"/>
      <c r="E31" s="129"/>
      <c r="F31" s="129"/>
      <c r="G31" s="129"/>
      <c r="H31" s="123"/>
      <c r="I31" s="123"/>
      <c r="J31" s="123"/>
    </row>
    <row r="32" spans="2:14" x14ac:dyDescent="0.4">
      <c r="B32" s="38" t="s">
        <v>125</v>
      </c>
      <c r="C32" s="116">
        <f>VLOOKUP('인던별 천장 계산기'!K11,'인던별 천장 계산기'!X:Y,2,0)</f>
        <v>0</v>
      </c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7C78-1C23-47BF-A0E5-D9301A9EBDD9}">
  <sheetPr>
    <tabColor theme="5" tint="-0.249977111117893"/>
  </sheetPr>
  <dimension ref="A1:N76"/>
  <sheetViews>
    <sheetView workbookViewId="0">
      <selection activeCell="G2" sqref="G2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14.6992187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10" t="s">
        <v>126</v>
      </c>
      <c r="E1" s="110" t="s">
        <v>129</v>
      </c>
      <c r="F1" s="8" t="s">
        <v>127</v>
      </c>
      <c r="G1" s="8" t="s">
        <v>128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f>'인던별 천장 계산기'!N5</f>
        <v>100000</v>
      </c>
      <c r="B2" s="16">
        <f>'인던별 천장 계산기'!K5</f>
        <v>299615</v>
      </c>
      <c r="C2" s="16">
        <f>'인던별 천장 계산기'!M5</f>
        <v>290000</v>
      </c>
      <c r="D2" s="3">
        <f>C31+C32</f>
        <v>9600</v>
      </c>
      <c r="E2" s="3">
        <f>C29</f>
        <v>1468</v>
      </c>
      <c r="F2" s="8">
        <f>F3*C27</f>
        <v>13230</v>
      </c>
      <c r="G2" s="8">
        <f>G3*C26</f>
        <v>13662.674999999999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294000</v>
      </c>
      <c r="G3" s="22">
        <f>B2+D5</f>
        <v>303615</v>
      </c>
      <c r="J3" s="31" t="s">
        <v>10</v>
      </c>
      <c r="K3" s="6">
        <v>12000</v>
      </c>
      <c r="L3" s="6">
        <v>23000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317277.67499999999</v>
      </c>
      <c r="C5" s="12">
        <f>(C2+F2)+D5</f>
        <v>307230</v>
      </c>
      <c r="D5" s="8">
        <v>4000</v>
      </c>
      <c r="E5" s="14">
        <f>B12*C28</f>
        <v>15400.000000000002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-44887.474457132819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30" t="s">
        <v>33</v>
      </c>
      <c r="C8" s="30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31727.767500000002</v>
      </c>
      <c r="C9" s="30">
        <f>C5*10%</f>
        <v>30723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-36329.706957132817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f>'인던별 천장 계산기'!L5</f>
        <v>440000</v>
      </c>
      <c r="C12" s="16">
        <f>(B12+E5)+D9</f>
        <v>463400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23170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B26" s="38" t="s">
        <v>104</v>
      </c>
      <c r="C26" s="117">
        <f>VLOOKUP('인던별 천장 계산기'!K7,'인던별 천장 계산기'!R:S,2,0)</f>
        <v>4.4999999999999998E-2</v>
      </c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B27" s="38" t="s">
        <v>121</v>
      </c>
      <c r="C27" s="117">
        <f>VLOOKUP('인던별 천장 계산기'!M9,'인던별 천장 계산기'!R:S,2,0)</f>
        <v>4.4999999999999998E-2</v>
      </c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B28" s="38" t="s">
        <v>111</v>
      </c>
      <c r="C28" s="117">
        <f>VLOOKUP('인던별 천장 계산기'!L7,'인던별 천장 계산기'!R:S,2,0)</f>
        <v>3.5000000000000003E-2</v>
      </c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B29" s="38" t="s">
        <v>123</v>
      </c>
      <c r="C29" s="116">
        <f>VLOOKUP('인던별 천장 계산기'!M7,'인던별 천장 계산기'!V:W,2,0)</f>
        <v>1468</v>
      </c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B30" s="38"/>
      <c r="C30" s="117"/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B31" s="38" t="s">
        <v>124</v>
      </c>
      <c r="C31" s="116">
        <f>VLOOKUP('인던별 천장 계산기'!K9,'인던별 천장 계산기'!T:U,2,0)</f>
        <v>9600</v>
      </c>
      <c r="D31" s="129"/>
      <c r="E31" s="129"/>
      <c r="F31" s="129"/>
      <c r="G31" s="129"/>
      <c r="H31" s="123"/>
      <c r="I31" s="123"/>
      <c r="J31" s="123"/>
    </row>
    <row r="32" spans="2:14" x14ac:dyDescent="0.4">
      <c r="B32" s="38" t="s">
        <v>125</v>
      </c>
      <c r="C32" s="116">
        <f>VLOOKUP('인던별 천장 계산기'!K11,'인던별 천장 계산기'!X:Y,2,0)</f>
        <v>0</v>
      </c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Z27"/>
  <sheetViews>
    <sheetView tabSelected="1" zoomScale="85" zoomScaleNormal="85" workbookViewId="0">
      <selection activeCell="L14" sqref="L14"/>
    </sheetView>
  </sheetViews>
  <sheetFormatPr defaultColWidth="8.69921875" defaultRowHeight="17.399999999999999" x14ac:dyDescent="0.4"/>
  <cols>
    <col min="1" max="1" width="31.09765625" style="38" bestFit="1" customWidth="1"/>
    <col min="2" max="2" width="8.69921875" style="38"/>
    <col min="3" max="3" width="11" style="38" customWidth="1"/>
    <col min="4" max="4" width="2.8984375" style="38" customWidth="1"/>
    <col min="5" max="5" width="14.19921875" style="38" bestFit="1" customWidth="1"/>
    <col min="6" max="9" width="12.59765625" style="38" customWidth="1"/>
    <col min="10" max="10" width="2.8984375" style="38" customWidth="1"/>
    <col min="11" max="11" width="14.296875" style="38" bestFit="1" customWidth="1"/>
    <col min="12" max="12" width="14.296875" style="38" customWidth="1"/>
    <col min="13" max="13" width="14.296875" style="38" bestFit="1" customWidth="1"/>
    <col min="14" max="14" width="12.296875" style="38" bestFit="1" customWidth="1"/>
    <col min="15" max="17" width="8.69921875" style="38"/>
    <col min="18" max="25" width="8.69921875" style="38" hidden="1" customWidth="1"/>
    <col min="26" max="26" width="8.69921875" style="38" customWidth="1"/>
    <col min="27" max="16384" width="8.69921875" style="38"/>
  </cols>
  <sheetData>
    <row r="2" spans="1:25" ht="25.8" thickBot="1" x14ac:dyDescent="0.45">
      <c r="B2" s="151" t="s">
        <v>51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R2" s="38" t="s">
        <v>119</v>
      </c>
      <c r="S2" s="38">
        <v>0</v>
      </c>
      <c r="V2" s="38" t="s">
        <v>119</v>
      </c>
      <c r="W2" s="38">
        <v>0</v>
      </c>
    </row>
    <row r="3" spans="1:25" ht="34.5" customHeight="1" thickBot="1" x14ac:dyDescent="0.45">
      <c r="B3" s="138"/>
      <c r="C3" s="138"/>
      <c r="E3" s="39"/>
      <c r="F3" s="40" t="s">
        <v>49</v>
      </c>
      <c r="G3" s="41" t="s">
        <v>40</v>
      </c>
      <c r="H3" s="41" t="s">
        <v>41</v>
      </c>
      <c r="I3" s="86" t="s">
        <v>55</v>
      </c>
      <c r="K3" s="152" t="s">
        <v>110</v>
      </c>
      <c r="L3" s="153"/>
      <c r="M3" s="154"/>
      <c r="N3" s="42" t="s">
        <v>50</v>
      </c>
      <c r="R3" s="38" t="s">
        <v>105</v>
      </c>
      <c r="S3" s="114">
        <v>2.5000000000000001E-2</v>
      </c>
      <c r="T3" s="38" t="s">
        <v>117</v>
      </c>
      <c r="U3" s="38">
        <v>9600</v>
      </c>
      <c r="V3" s="38" t="s">
        <v>105</v>
      </c>
      <c r="W3" s="38">
        <v>733</v>
      </c>
      <c r="X3" s="38" t="s">
        <v>117</v>
      </c>
      <c r="Y3" s="38">
        <v>5000</v>
      </c>
    </row>
    <row r="4" spans="1:25" ht="24.6" thickBot="1" x14ac:dyDescent="0.45">
      <c r="B4" s="43" t="s">
        <v>38</v>
      </c>
      <c r="C4" s="44" t="s">
        <v>39</v>
      </c>
      <c r="E4" s="54" t="s">
        <v>102</v>
      </c>
      <c r="F4" s="36">
        <f>'방키 엘상 사선'!F7</f>
        <v>-44458.137709416726</v>
      </c>
      <c r="G4" s="37">
        <f>'방키 안상'!F7</f>
        <v>-34175.954009487017</v>
      </c>
      <c r="H4" s="37">
        <f>'방키 샨드라'!F7</f>
        <v>-33077.921683415334</v>
      </c>
      <c r="I4" s="85"/>
      <c r="K4" s="45" t="s">
        <v>46</v>
      </c>
      <c r="L4" s="46" t="s">
        <v>47</v>
      </c>
      <c r="M4" s="47" t="s">
        <v>48</v>
      </c>
      <c r="N4" s="48" t="s">
        <v>56</v>
      </c>
      <c r="R4" s="38" t="s">
        <v>106</v>
      </c>
      <c r="S4" s="115">
        <v>0.03</v>
      </c>
      <c r="T4" s="38" t="s">
        <v>119</v>
      </c>
      <c r="U4" s="38">
        <v>0</v>
      </c>
      <c r="V4" s="38" t="s">
        <v>106</v>
      </c>
      <c r="W4" s="38">
        <v>916</v>
      </c>
      <c r="X4" s="38" t="s">
        <v>119</v>
      </c>
      <c r="Y4" s="38">
        <v>0</v>
      </c>
    </row>
    <row r="5" spans="1:25" ht="24.6" thickBot="1" x14ac:dyDescent="0.45">
      <c r="B5" s="49">
        <v>11300</v>
      </c>
      <c r="C5" s="50">
        <v>16758</v>
      </c>
      <c r="E5" s="88" t="s">
        <v>103</v>
      </c>
      <c r="F5" s="87">
        <f>'반키 엘상 사선'!F7</f>
        <v>-36917.285209416732</v>
      </c>
      <c r="G5" s="82">
        <f>'반키 안상'!F7</f>
        <v>-26866.33650948701</v>
      </c>
      <c r="H5" s="82">
        <f>'반키 샨드라'!F7</f>
        <v>-25768.304183415326</v>
      </c>
      <c r="I5" s="83"/>
      <c r="K5" s="111">
        <v>299615</v>
      </c>
      <c r="L5" s="52">
        <v>440000</v>
      </c>
      <c r="M5" s="80">
        <v>290000</v>
      </c>
      <c r="N5" s="53">
        <v>100000</v>
      </c>
      <c r="R5" s="38" t="s">
        <v>107</v>
      </c>
      <c r="S5" s="114">
        <v>3.5000000000000003E-2</v>
      </c>
      <c r="V5" s="38" t="s">
        <v>107</v>
      </c>
      <c r="W5" s="38">
        <v>1100</v>
      </c>
    </row>
    <row r="6" spans="1:25" ht="35.4" thickBot="1" x14ac:dyDescent="0.45">
      <c r="B6" s="81"/>
      <c r="C6" s="81"/>
      <c r="E6" s="51" t="s">
        <v>66</v>
      </c>
      <c r="F6" s="34">
        <f>'광수 엘상 사선'!F11</f>
        <v>-36212.536459416733</v>
      </c>
      <c r="G6" s="35">
        <f>'광수 안상 사선'!F11</f>
        <v>-31161.587759487011</v>
      </c>
      <c r="H6" s="35">
        <f>'광수 샨드라'!F11</f>
        <v>-25063.555433415328</v>
      </c>
      <c r="I6" s="90"/>
      <c r="K6" s="118" t="s">
        <v>112</v>
      </c>
      <c r="L6" s="118" t="s">
        <v>113</v>
      </c>
      <c r="M6" s="118" t="s">
        <v>122</v>
      </c>
      <c r="N6" s="81"/>
      <c r="R6" s="38" t="s">
        <v>108</v>
      </c>
      <c r="S6" s="115">
        <v>0.04</v>
      </c>
      <c r="V6" s="38" t="s">
        <v>108</v>
      </c>
      <c r="W6" s="38">
        <v>1283</v>
      </c>
    </row>
    <row r="7" spans="1:25" ht="28.2" thickBot="1" x14ac:dyDescent="0.45">
      <c r="A7" s="55" t="s">
        <v>52</v>
      </c>
      <c r="B7" s="38">
        <v>12642</v>
      </c>
      <c r="E7" s="54" t="s">
        <v>44</v>
      </c>
      <c r="F7" s="36">
        <f>'공팟 엘상'!F7</f>
        <v>-36981.641709416726</v>
      </c>
      <c r="G7" s="37">
        <f>'공팟 안상'!F7</f>
        <v>-31930.693009487004</v>
      </c>
      <c r="H7" s="37">
        <f>'공팟 샨드라'!F7</f>
        <v>-30832.660683415321</v>
      </c>
      <c r="I7" s="89">
        <f>'공팟 기타'!F7</f>
        <v>-44887.474457132819</v>
      </c>
      <c r="K7" s="113" t="s">
        <v>130</v>
      </c>
      <c r="L7" s="112" t="s">
        <v>132</v>
      </c>
      <c r="M7" s="113" t="s">
        <v>130</v>
      </c>
      <c r="R7" s="38" t="s">
        <v>109</v>
      </c>
      <c r="S7" s="114">
        <v>4.4999999999999998E-2</v>
      </c>
      <c r="V7" s="38" t="s">
        <v>109</v>
      </c>
      <c r="W7" s="38">
        <v>1468</v>
      </c>
    </row>
    <row r="8" spans="1:25" ht="35.4" thickBot="1" x14ac:dyDescent="0.45">
      <c r="A8" s="56" t="s">
        <v>42</v>
      </c>
      <c r="B8" s="57">
        <f>B7+125</f>
        <v>12767</v>
      </c>
      <c r="E8" s="51" t="s">
        <v>45</v>
      </c>
      <c r="F8" s="34">
        <f>'공팟 엘상'!F11</f>
        <v>-28423.874209416725</v>
      </c>
      <c r="G8" s="35">
        <f>'공팟 안상'!F11</f>
        <v>-23372.925509487002</v>
      </c>
      <c r="H8" s="35">
        <f>'공팟 샨드라'!F11</f>
        <v>-22274.893183415319</v>
      </c>
      <c r="I8" s="84">
        <f>'공팟 기타'!F11</f>
        <v>-36329.706957132817</v>
      </c>
      <c r="K8" s="155" t="s">
        <v>115</v>
      </c>
      <c r="L8" s="156"/>
      <c r="M8" s="119" t="s">
        <v>114</v>
      </c>
    </row>
    <row r="9" spans="1:25" ht="25.8" thickBot="1" x14ac:dyDescent="0.45">
      <c r="K9" s="157" t="s">
        <v>116</v>
      </c>
      <c r="L9" s="158"/>
      <c r="M9" s="112" t="s">
        <v>130</v>
      </c>
    </row>
    <row r="10" spans="1:25" ht="25.8" thickBot="1" x14ac:dyDescent="0.45">
      <c r="E10" s="147" t="s">
        <v>54</v>
      </c>
      <c r="F10" s="148"/>
      <c r="G10" s="148"/>
      <c r="H10" s="148"/>
      <c r="I10" s="149"/>
      <c r="K10" s="155" t="s">
        <v>120</v>
      </c>
      <c r="L10" s="156"/>
      <c r="P10" s="120"/>
    </row>
    <row r="11" spans="1:25" ht="25.8" thickBot="1" x14ac:dyDescent="0.45">
      <c r="E11" s="150" t="s">
        <v>53</v>
      </c>
      <c r="F11" s="148"/>
      <c r="G11" s="148"/>
      <c r="H11" s="148"/>
      <c r="I11" s="149"/>
      <c r="K11" s="157" t="s">
        <v>118</v>
      </c>
      <c r="L11" s="158"/>
    </row>
    <row r="12" spans="1:25" ht="18" thickBot="1" x14ac:dyDescent="0.45"/>
    <row r="13" spans="1:25" ht="18" thickBot="1" x14ac:dyDescent="0.45">
      <c r="E13" s="139" t="s">
        <v>57</v>
      </c>
      <c r="F13" s="140"/>
      <c r="G13" s="140"/>
      <c r="H13" s="140"/>
      <c r="I13" s="141"/>
      <c r="K13" s="138" t="s">
        <v>65</v>
      </c>
    </row>
    <row r="14" spans="1:25" x14ac:dyDescent="0.4">
      <c r="E14" s="134"/>
      <c r="F14" s="143" t="s">
        <v>64</v>
      </c>
      <c r="G14" s="144"/>
      <c r="H14" s="145" t="s">
        <v>61</v>
      </c>
      <c r="I14" s="146"/>
      <c r="K14" s="138"/>
    </row>
    <row r="15" spans="1:25" ht="18" thickBot="1" x14ac:dyDescent="0.45">
      <c r="E15" s="137"/>
      <c r="F15" s="58" t="s">
        <v>58</v>
      </c>
      <c r="G15" s="59" t="s">
        <v>59</v>
      </c>
      <c r="H15" s="68" t="s">
        <v>58</v>
      </c>
      <c r="I15" s="69" t="s">
        <v>59</v>
      </c>
      <c r="K15" s="138"/>
    </row>
    <row r="16" spans="1:25" x14ac:dyDescent="0.4">
      <c r="E16" s="142" t="s">
        <v>60</v>
      </c>
      <c r="F16" s="60">
        <v>15000</v>
      </c>
      <c r="G16" s="61">
        <v>0</v>
      </c>
      <c r="H16" s="70">
        <v>15000</v>
      </c>
      <c r="I16" s="71">
        <v>10500</v>
      </c>
      <c r="K16" s="138"/>
    </row>
    <row r="17" spans="5:26" x14ac:dyDescent="0.4">
      <c r="E17" s="135"/>
      <c r="F17" s="62">
        <v>12000</v>
      </c>
      <c r="G17" s="63">
        <v>5000</v>
      </c>
      <c r="H17" s="72">
        <v>12000</v>
      </c>
      <c r="I17" s="73">
        <v>16000</v>
      </c>
      <c r="K17" s="138"/>
    </row>
    <row r="18" spans="5:26" x14ac:dyDescent="0.4">
      <c r="E18" s="135"/>
      <c r="F18" s="62">
        <v>10000</v>
      </c>
      <c r="G18" s="63">
        <v>9000</v>
      </c>
      <c r="H18" s="72">
        <v>10000</v>
      </c>
      <c r="I18" s="73">
        <v>22000</v>
      </c>
      <c r="K18" s="138"/>
    </row>
    <row r="19" spans="5:26" ht="18" thickBot="1" x14ac:dyDescent="0.45">
      <c r="E19" s="136"/>
      <c r="F19" s="64">
        <v>7000</v>
      </c>
      <c r="G19" s="65">
        <v>18000</v>
      </c>
      <c r="H19" s="74">
        <v>7000</v>
      </c>
      <c r="I19" s="75">
        <v>30000</v>
      </c>
      <c r="K19" s="138"/>
    </row>
    <row r="20" spans="5:26" x14ac:dyDescent="0.4">
      <c r="E20" s="142" t="s">
        <v>62</v>
      </c>
      <c r="F20" s="60">
        <v>15000</v>
      </c>
      <c r="G20" s="61">
        <v>8000</v>
      </c>
      <c r="H20" s="70">
        <v>15000</v>
      </c>
      <c r="I20" s="71">
        <v>14500</v>
      </c>
      <c r="K20" s="138"/>
    </row>
    <row r="21" spans="5:26" x14ac:dyDescent="0.4">
      <c r="E21" s="135"/>
      <c r="F21" s="62">
        <v>12000</v>
      </c>
      <c r="G21" s="63">
        <v>14500</v>
      </c>
      <c r="H21" s="72">
        <v>12000</v>
      </c>
      <c r="I21" s="73">
        <v>21000</v>
      </c>
      <c r="K21" s="138"/>
      <c r="O21" s="132" t="s">
        <v>131</v>
      </c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5:26" x14ac:dyDescent="0.4">
      <c r="E22" s="135"/>
      <c r="F22" s="62">
        <v>10000</v>
      </c>
      <c r="G22" s="63">
        <v>20000</v>
      </c>
      <c r="H22" s="72">
        <v>10000</v>
      </c>
      <c r="I22" s="73">
        <v>26000</v>
      </c>
      <c r="K22" s="138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5:26" ht="18" thickBot="1" x14ac:dyDescent="0.45">
      <c r="E23" s="136"/>
      <c r="F23" s="64">
        <v>7000</v>
      </c>
      <c r="G23" s="65">
        <v>29500</v>
      </c>
      <c r="H23" s="74">
        <v>7000</v>
      </c>
      <c r="I23" s="75">
        <v>36000</v>
      </c>
      <c r="K23" s="138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5:26" x14ac:dyDescent="0.4">
      <c r="E24" s="134" t="s">
        <v>63</v>
      </c>
      <c r="F24" s="66">
        <v>15000</v>
      </c>
      <c r="G24" s="67">
        <v>9000</v>
      </c>
      <c r="H24" s="76">
        <v>15000</v>
      </c>
      <c r="I24" s="77">
        <v>15500</v>
      </c>
      <c r="K24" s="138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5:26" x14ac:dyDescent="0.4">
      <c r="E25" s="135"/>
      <c r="F25" s="62">
        <v>12000</v>
      </c>
      <c r="G25" s="63">
        <v>15500</v>
      </c>
      <c r="H25" s="72">
        <v>12000</v>
      </c>
      <c r="I25" s="73">
        <v>22000</v>
      </c>
      <c r="K25" s="138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5:26" x14ac:dyDescent="0.4">
      <c r="E26" s="135"/>
      <c r="F26" s="62">
        <v>10000</v>
      </c>
      <c r="G26" s="63">
        <v>21000</v>
      </c>
      <c r="H26" s="72">
        <v>10000</v>
      </c>
      <c r="I26" s="73">
        <v>27000</v>
      </c>
      <c r="K26" s="138"/>
    </row>
    <row r="27" spans="5:26" ht="18" thickBot="1" x14ac:dyDescent="0.45">
      <c r="E27" s="136"/>
      <c r="F27" s="64">
        <v>7000</v>
      </c>
      <c r="G27" s="65">
        <v>31000</v>
      </c>
      <c r="H27" s="74">
        <v>7000</v>
      </c>
      <c r="I27" s="75">
        <v>37000</v>
      </c>
      <c r="K27" s="138"/>
    </row>
  </sheetData>
  <protectedRanges>
    <protectedRange algorithmName="SHA-512" hashValue="CmheNw/HIIxj7eZdT/pREBFNGrFtnWT6mt9Qzx9dqg5zEw/NT4P6/ZqRuS7W1bdc6g4ql07b0qvs872Q5XhswQ==" saltValue="gHfit+ipbEM13N5si9TsZA==" spinCount="100000" sqref="F4:I8" name="범위1"/>
  </protectedRanges>
  <mergeCells count="18">
    <mergeCell ref="E10:I10"/>
    <mergeCell ref="E11:I11"/>
    <mergeCell ref="B2:L2"/>
    <mergeCell ref="K3:M3"/>
    <mergeCell ref="B3:C3"/>
    <mergeCell ref="K8:L8"/>
    <mergeCell ref="K9:L9"/>
    <mergeCell ref="K10:L10"/>
    <mergeCell ref="K11:L11"/>
    <mergeCell ref="O21:Z25"/>
    <mergeCell ref="E24:E27"/>
    <mergeCell ref="E14:E15"/>
    <mergeCell ref="K13:K27"/>
    <mergeCell ref="E13:I13"/>
    <mergeCell ref="E16:E19"/>
    <mergeCell ref="E20:E23"/>
    <mergeCell ref="F14:G14"/>
    <mergeCell ref="H14:I14"/>
  </mergeCells>
  <phoneticPr fontId="2" type="noConversion"/>
  <conditionalFormatting sqref="F7:I8 F4:H6">
    <cfRule type="cellIs" dxfId="27" priority="3" operator="greaterThanOrEqual">
      <formula>-33332</formula>
    </cfRule>
  </conditionalFormatting>
  <conditionalFormatting sqref="F4:I8">
    <cfRule type="cellIs" dxfId="26" priority="1" operator="lessThanOrEqual">
      <formula>-33333</formula>
    </cfRule>
  </conditionalFormatting>
  <dataValidations count="2">
    <dataValidation type="list" allowBlank="1" showInputMessage="1" showErrorMessage="1" sqref="K9 K11" xr:uid="{E7A46C7F-8FF1-46EE-B1D1-8C16EE174698}">
      <formula1>$T$3:$T$4</formula1>
    </dataValidation>
    <dataValidation type="list" allowBlank="1" showInputMessage="1" showErrorMessage="1" sqref="K7 M7 M9 L7" xr:uid="{356976EF-4463-40BE-A694-96AFE3B56B1B}">
      <formula1>$R$2:$R$7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5B1A-6623-460D-AA1E-2EA0FE702D28}">
  <sheetPr>
    <tabColor rgb="FF00B050"/>
  </sheetPr>
  <dimension ref="B1:W15"/>
  <sheetViews>
    <sheetView zoomScaleNormal="100" workbookViewId="0">
      <selection activeCell="X11" sqref="X11"/>
    </sheetView>
  </sheetViews>
  <sheetFormatPr defaultRowHeight="34.950000000000003" customHeight="1" x14ac:dyDescent="0.4"/>
  <cols>
    <col min="1" max="1" width="4.3984375" customWidth="1"/>
    <col min="2" max="3" width="8.69921875" hidden="1" customWidth="1"/>
    <col min="4" max="4" width="3.69921875" hidden="1" customWidth="1"/>
    <col min="6" max="6" width="11.3984375" customWidth="1"/>
    <col min="9" max="9" width="11.3984375" customWidth="1"/>
    <col min="11" max="11" width="3.5" customWidth="1"/>
    <col min="15" max="15" width="3.796875" customWidth="1"/>
  </cols>
  <sheetData>
    <row r="1" spans="2:23" ht="11.55" customHeight="1" thickBot="1" x14ac:dyDescent="0.45"/>
    <row r="2" spans="2:23" ht="34.950000000000003" customHeight="1" thickBot="1" x14ac:dyDescent="0.45">
      <c r="C2">
        <v>0</v>
      </c>
      <c r="D2">
        <v>0</v>
      </c>
      <c r="E2" s="163" t="s">
        <v>67</v>
      </c>
      <c r="F2" s="164"/>
      <c r="G2" s="164"/>
      <c r="H2" s="164"/>
      <c r="I2" s="164"/>
      <c r="J2" s="164"/>
      <c r="P2" s="165" t="s">
        <v>68</v>
      </c>
      <c r="Q2" s="166"/>
      <c r="R2" s="166"/>
      <c r="S2" s="166"/>
      <c r="T2" s="166"/>
      <c r="U2" s="166"/>
      <c r="V2" s="166"/>
      <c r="W2" s="167"/>
    </row>
    <row r="3" spans="2:23" ht="34.950000000000003" customHeight="1" thickBot="1" x14ac:dyDescent="0.45">
      <c r="B3" t="s">
        <v>69</v>
      </c>
      <c r="C3">
        <v>1</v>
      </c>
      <c r="D3">
        <v>1</v>
      </c>
      <c r="E3" s="91" t="s">
        <v>70</v>
      </c>
      <c r="F3" s="92"/>
      <c r="G3" s="91" t="s">
        <v>71</v>
      </c>
      <c r="H3" s="93" t="s">
        <v>72</v>
      </c>
      <c r="I3" s="92"/>
      <c r="J3" s="91" t="s">
        <v>70</v>
      </c>
      <c r="L3" s="164" t="s">
        <v>73</v>
      </c>
      <c r="M3" s="164"/>
      <c r="N3" s="164"/>
      <c r="P3" s="165" t="s">
        <v>74</v>
      </c>
      <c r="Q3" s="168"/>
      <c r="R3" s="165" t="s">
        <v>75</v>
      </c>
      <c r="S3" s="167"/>
      <c r="T3" s="169" t="s">
        <v>76</v>
      </c>
      <c r="U3" s="168"/>
      <c r="V3" s="165" t="s">
        <v>77</v>
      </c>
      <c r="W3" s="167"/>
    </row>
    <row r="4" spans="2:23" ht="34.950000000000003" customHeight="1" thickBot="1" x14ac:dyDescent="0.45">
      <c r="B4" t="s">
        <v>78</v>
      </c>
      <c r="C4">
        <v>2</v>
      </c>
      <c r="D4">
        <v>2</v>
      </c>
      <c r="E4" s="94" t="s">
        <v>79</v>
      </c>
      <c r="F4" s="95">
        <v>9</v>
      </c>
      <c r="G4" s="91" t="s">
        <v>80</v>
      </c>
      <c r="H4" s="93" t="s">
        <v>81</v>
      </c>
      <c r="I4" s="95">
        <v>9</v>
      </c>
      <c r="J4" s="94" t="s">
        <v>82</v>
      </c>
      <c r="L4" s="160">
        <f>ROUNDDOWN(SUM('강화 수치 별 템 레벨'!H4,'강화 수치 별 템 레벨'!I4,'강화 수치 별 템 레벨'!J4:K4,'강화 수치 별 템 레벨'!M4,'강화 수치 별 템 레벨'!I9),1)</f>
        <v>524.29999999999995</v>
      </c>
      <c r="M4" s="160"/>
      <c r="N4" s="160"/>
      <c r="P4" s="96" t="s">
        <v>83</v>
      </c>
      <c r="Q4" s="97">
        <v>526</v>
      </c>
      <c r="R4" s="96" t="s">
        <v>84</v>
      </c>
      <c r="S4" s="98">
        <v>522</v>
      </c>
      <c r="T4" s="99" t="s">
        <v>85</v>
      </c>
      <c r="U4" s="97">
        <v>517</v>
      </c>
      <c r="V4" s="96" t="s">
        <v>86</v>
      </c>
      <c r="W4" s="98">
        <v>513</v>
      </c>
    </row>
    <row r="5" spans="2:23" ht="34.950000000000003" customHeight="1" thickBot="1" x14ac:dyDescent="0.45">
      <c r="C5">
        <v>3</v>
      </c>
      <c r="D5">
        <v>3</v>
      </c>
      <c r="E5" s="92"/>
      <c r="F5" s="94"/>
      <c r="G5" s="93" t="s">
        <v>87</v>
      </c>
      <c r="H5" s="93" t="s">
        <v>88</v>
      </c>
      <c r="I5" s="92"/>
      <c r="J5" s="92"/>
      <c r="L5" s="160"/>
      <c r="M5" s="160"/>
      <c r="N5" s="160"/>
      <c r="P5" s="100" t="s">
        <v>89</v>
      </c>
      <c r="Q5" s="101">
        <v>525</v>
      </c>
      <c r="R5" s="100" t="s">
        <v>49</v>
      </c>
      <c r="S5" s="102">
        <v>521</v>
      </c>
      <c r="T5" s="103" t="s">
        <v>90</v>
      </c>
      <c r="U5" s="101">
        <v>516</v>
      </c>
      <c r="V5" s="100" t="s">
        <v>91</v>
      </c>
      <c r="W5" s="102">
        <v>512</v>
      </c>
    </row>
    <row r="6" spans="2:23" ht="34.950000000000003" customHeight="1" thickBot="1" x14ac:dyDescent="0.45">
      <c r="C6">
        <v>4</v>
      </c>
      <c r="D6">
        <v>4</v>
      </c>
      <c r="E6" s="94" t="s">
        <v>92</v>
      </c>
      <c r="F6" s="95">
        <v>9</v>
      </c>
      <c r="G6" s="104" t="s">
        <v>93</v>
      </c>
      <c r="H6" s="104" t="s">
        <v>94</v>
      </c>
      <c r="I6" s="95">
        <v>6</v>
      </c>
      <c r="J6" s="94" t="s">
        <v>95</v>
      </c>
      <c r="L6" s="105"/>
      <c r="M6" s="105"/>
      <c r="N6" s="105"/>
      <c r="P6" s="106" t="s">
        <v>40</v>
      </c>
      <c r="Q6" s="107">
        <v>524</v>
      </c>
      <c r="R6" s="106" t="s">
        <v>96</v>
      </c>
      <c r="S6" s="108">
        <v>520</v>
      </c>
      <c r="T6" s="109"/>
      <c r="U6" s="107"/>
      <c r="V6" s="106"/>
      <c r="W6" s="108"/>
    </row>
    <row r="7" spans="2:23" ht="34.950000000000003" customHeight="1" thickBot="1" x14ac:dyDescent="0.45">
      <c r="C7">
        <v>5</v>
      </c>
      <c r="D7">
        <v>5</v>
      </c>
      <c r="E7" s="91" t="s">
        <v>97</v>
      </c>
      <c r="F7" s="92"/>
      <c r="G7" s="92"/>
      <c r="H7" s="92"/>
      <c r="I7" s="92"/>
      <c r="J7" s="91" t="s">
        <v>98</v>
      </c>
    </row>
    <row r="8" spans="2:23" ht="34.950000000000003" customHeight="1" x14ac:dyDescent="0.4">
      <c r="C8">
        <v>6</v>
      </c>
      <c r="D8">
        <v>6</v>
      </c>
      <c r="E8" s="161" t="s">
        <v>99</v>
      </c>
      <c r="F8" s="162"/>
      <c r="G8" s="162"/>
      <c r="H8" s="162"/>
      <c r="I8" s="162"/>
      <c r="J8" s="162"/>
      <c r="T8" s="159" t="s">
        <v>133</v>
      </c>
      <c r="U8" s="159"/>
      <c r="V8" s="159"/>
      <c r="W8" s="159"/>
    </row>
    <row r="9" spans="2:23" ht="34.950000000000003" customHeight="1" x14ac:dyDescent="0.4">
      <c r="C9">
        <v>7</v>
      </c>
      <c r="D9">
        <v>7</v>
      </c>
      <c r="T9" s="159"/>
      <c r="U9" s="159"/>
      <c r="V9" s="159"/>
      <c r="W9" s="159"/>
    </row>
    <row r="10" spans="2:23" ht="34.950000000000003" customHeight="1" x14ac:dyDescent="0.4">
      <c r="C10">
        <v>8</v>
      </c>
      <c r="D10">
        <v>8</v>
      </c>
      <c r="T10" s="121"/>
      <c r="U10" s="121"/>
      <c r="V10" s="121"/>
      <c r="W10" s="121"/>
    </row>
    <row r="11" spans="2:23" ht="34.950000000000003" customHeight="1" x14ac:dyDescent="0.4">
      <c r="C11">
        <v>9</v>
      </c>
      <c r="D11">
        <v>9</v>
      </c>
      <c r="T11" s="121"/>
      <c r="U11" s="121"/>
      <c r="V11" s="121"/>
      <c r="W11" s="121"/>
    </row>
    <row r="12" spans="2:23" ht="34.950000000000003" customHeight="1" x14ac:dyDescent="0.4">
      <c r="C12">
        <v>10</v>
      </c>
      <c r="D12">
        <v>10</v>
      </c>
    </row>
    <row r="13" spans="2:23" ht="34.950000000000003" customHeight="1" x14ac:dyDescent="0.4">
      <c r="C13">
        <v>11</v>
      </c>
      <c r="D13">
        <v>11</v>
      </c>
    </row>
    <row r="14" spans="2:23" ht="34.950000000000003" customHeight="1" x14ac:dyDescent="0.4">
      <c r="C14">
        <v>12</v>
      </c>
      <c r="D14">
        <v>12</v>
      </c>
    </row>
    <row r="15" spans="2:23" ht="34.950000000000003" customHeight="1" x14ac:dyDescent="0.4">
      <c r="C15" t="s">
        <v>100</v>
      </c>
    </row>
  </sheetData>
  <mergeCells count="10">
    <mergeCell ref="T8:W9"/>
    <mergeCell ref="L4:N5"/>
    <mergeCell ref="E8:J8"/>
    <mergeCell ref="E2:J2"/>
    <mergeCell ref="P2:W2"/>
    <mergeCell ref="L3:N3"/>
    <mergeCell ref="P3:Q3"/>
    <mergeCell ref="R3:S3"/>
    <mergeCell ref="T3:U3"/>
    <mergeCell ref="V3:W3"/>
  </mergeCells>
  <phoneticPr fontId="2" type="noConversion"/>
  <conditionalFormatting sqref="Q4">
    <cfRule type="cellIs" dxfId="25" priority="25" operator="lessThanOrEqual">
      <formula>$L$4</formula>
    </cfRule>
    <cfRule type="cellIs" dxfId="24" priority="26" operator="greaterThan">
      <formula>$L$4</formula>
    </cfRule>
  </conditionalFormatting>
  <conditionalFormatting sqref="Q5:Q6">
    <cfRule type="cellIs" dxfId="23" priority="23" operator="lessThanOrEqual">
      <formula>$L$4</formula>
    </cfRule>
    <cfRule type="cellIs" dxfId="22" priority="24" operator="greaterThan">
      <formula>$L$4</formula>
    </cfRule>
  </conditionalFormatting>
  <conditionalFormatting sqref="S4:S6">
    <cfRule type="cellIs" dxfId="21" priority="21" operator="lessThanOrEqual">
      <formula>$L$4</formula>
    </cfRule>
    <cfRule type="cellIs" dxfId="20" priority="22" operator="greaterThan">
      <formula>$L$4</formula>
    </cfRule>
  </conditionalFormatting>
  <conditionalFormatting sqref="U4:U5">
    <cfRule type="cellIs" dxfId="19" priority="19" operator="lessThanOrEqual">
      <formula>$L$4</formula>
    </cfRule>
    <cfRule type="cellIs" dxfId="18" priority="20" operator="greaterThan">
      <formula>$L$4</formula>
    </cfRule>
  </conditionalFormatting>
  <conditionalFormatting sqref="W4:W5">
    <cfRule type="cellIs" dxfId="17" priority="17" operator="lessThanOrEqual">
      <formula>$L$4</formula>
    </cfRule>
    <cfRule type="cellIs" dxfId="16" priority="18" operator="greaterThan">
      <formula>$L$4</formula>
    </cfRule>
  </conditionalFormatting>
  <conditionalFormatting sqref="P4">
    <cfRule type="expression" dxfId="15" priority="15">
      <formula>$Q$4&lt;=$L$4</formula>
    </cfRule>
    <cfRule type="expression" dxfId="14" priority="16">
      <formula>$Q$4&gt;$L$4</formula>
    </cfRule>
  </conditionalFormatting>
  <conditionalFormatting sqref="P5">
    <cfRule type="expression" dxfId="13" priority="13">
      <formula>$Q5&lt;=$L$4</formula>
    </cfRule>
    <cfRule type="expression" dxfId="12" priority="14">
      <formula>$Q5&gt;$L$4</formula>
    </cfRule>
  </conditionalFormatting>
  <conditionalFormatting sqref="P6">
    <cfRule type="expression" dxfId="11" priority="11">
      <formula>$Q6&lt;=$L$4</formula>
    </cfRule>
    <cfRule type="expression" dxfId="10" priority="12">
      <formula>$Q6&gt;$L$4</formula>
    </cfRule>
  </conditionalFormatting>
  <conditionalFormatting sqref="R4:R6">
    <cfRule type="expression" dxfId="9" priority="9">
      <formula>$S4&lt;=$L$4</formula>
    </cfRule>
    <cfRule type="expression" dxfId="8" priority="10">
      <formula>$S4&gt;$L$4</formula>
    </cfRule>
  </conditionalFormatting>
  <conditionalFormatting sqref="T4">
    <cfRule type="expression" dxfId="7" priority="7">
      <formula>$U4&lt;=$L$4</formula>
    </cfRule>
    <cfRule type="expression" dxfId="6" priority="8">
      <formula>U$4&gt;$L$4</formula>
    </cfRule>
  </conditionalFormatting>
  <conditionalFormatting sqref="T5">
    <cfRule type="expression" dxfId="5" priority="5">
      <formula>$U5&lt;=$L$4</formula>
    </cfRule>
    <cfRule type="expression" dxfId="4" priority="6">
      <formula>U$4&gt;$L$4</formula>
    </cfRule>
  </conditionalFormatting>
  <conditionalFormatting sqref="V4">
    <cfRule type="expression" dxfId="3" priority="3">
      <formula>$W4&lt;=$L$4</formula>
    </cfRule>
    <cfRule type="expression" dxfId="2" priority="4">
      <formula>$W4&gt;$L$4</formula>
    </cfRule>
  </conditionalFormatting>
  <conditionalFormatting sqref="V5">
    <cfRule type="expression" dxfId="1" priority="1">
      <formula>$W5&lt;=$L$4</formula>
    </cfRule>
    <cfRule type="expression" dxfId="0" priority="2">
      <formula>$W5&gt;$L$4</formula>
    </cfRule>
  </conditionalFormatting>
  <dataValidations count="2">
    <dataValidation type="list" allowBlank="1" showInputMessage="1" showErrorMessage="1" sqref="I6" xr:uid="{8226BA5F-E0A6-4555-A7FA-85EEEEB8E9FF}">
      <formula1>$C$2:$C$15</formula1>
    </dataValidation>
    <dataValidation type="list" allowBlank="1" showInputMessage="1" showErrorMessage="1" sqref="F4 I4 F6" xr:uid="{97F88C27-7DF4-42A4-94F3-4C9BAFE3DB2E}">
      <formula1>$D$2:$D$14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9008-6C43-460C-B4B3-D282EBE1919A}">
  <sheetPr>
    <tabColor theme="9" tint="0.59999389629810485"/>
  </sheetPr>
  <dimension ref="B1:M16"/>
  <sheetViews>
    <sheetView workbookViewId="0">
      <selection activeCell="J19" sqref="J19"/>
    </sheetView>
  </sheetViews>
  <sheetFormatPr defaultRowHeight="17.399999999999999" x14ac:dyDescent="0.4"/>
  <cols>
    <col min="2" max="2" width="7.19921875" customWidth="1"/>
    <col min="8" max="8" width="11.796875" bestFit="1" customWidth="1"/>
  </cols>
  <sheetData>
    <row r="1" spans="2:13" x14ac:dyDescent="0.4">
      <c r="H1" t="s">
        <v>101</v>
      </c>
    </row>
    <row r="2" spans="2:13" x14ac:dyDescent="0.4">
      <c r="C2" t="s">
        <v>79</v>
      </c>
      <c r="D2" t="s">
        <v>82</v>
      </c>
      <c r="E2" t="s">
        <v>95</v>
      </c>
      <c r="F2" t="s">
        <v>92</v>
      </c>
      <c r="H2" t="s">
        <v>79</v>
      </c>
      <c r="I2" t="s">
        <v>82</v>
      </c>
      <c r="J2" t="s">
        <v>95</v>
      </c>
      <c r="K2" t="s">
        <v>92</v>
      </c>
      <c r="M2" t="s">
        <v>87</v>
      </c>
    </row>
    <row r="3" spans="2:13" x14ac:dyDescent="0.4">
      <c r="B3">
        <v>0</v>
      </c>
      <c r="C3">
        <v>530</v>
      </c>
      <c r="D3">
        <v>503.5</v>
      </c>
      <c r="E3">
        <v>495</v>
      </c>
      <c r="F3">
        <v>495</v>
      </c>
      <c r="H3">
        <f>VLOOKUP('템 레벨 계산기'!F4,'강화 수치 별 템 레벨'!B:C,2,0)</f>
        <v>543.5</v>
      </c>
      <c r="I3">
        <f>VLOOKUP('템 레벨 계산기'!I4,'강화 수치 별 템 레벨'!B:D,3,0)</f>
        <v>517</v>
      </c>
      <c r="J3">
        <f>VLOOKUP('템 레벨 계산기'!I6,'강화 수치 별 템 레벨'!B:E,4,0)</f>
        <v>504</v>
      </c>
      <c r="K3">
        <f>VLOOKUP('템 레벨 계산기'!F6,'강화 수치 별 템 레벨'!B:F,5,0)</f>
        <v>508.5</v>
      </c>
      <c r="M3">
        <v>317</v>
      </c>
    </row>
    <row r="4" spans="2:13" x14ac:dyDescent="0.4">
      <c r="B4">
        <v>1</v>
      </c>
      <c r="C4">
        <v>531.5</v>
      </c>
      <c r="D4">
        <v>505</v>
      </c>
      <c r="E4">
        <v>496.5</v>
      </c>
      <c r="F4">
        <v>496.5</v>
      </c>
      <c r="H4">
        <f>37/135*H3</f>
        <v>148.95925925925926</v>
      </c>
      <c r="I4">
        <f>28/135*I3</f>
        <v>107.22962962962963</v>
      </c>
      <c r="J4" s="164">
        <f>25/135*(J3+K3)</f>
        <v>187.5</v>
      </c>
      <c r="K4" s="164"/>
      <c r="M4">
        <f>2/135*M3</f>
        <v>4.6962962962962962</v>
      </c>
    </row>
    <row r="5" spans="2:13" x14ac:dyDescent="0.4">
      <c r="B5">
        <v>2</v>
      </c>
      <c r="C5">
        <v>533</v>
      </c>
      <c r="D5">
        <v>506.5</v>
      </c>
      <c r="E5">
        <v>498</v>
      </c>
      <c r="F5">
        <v>498</v>
      </c>
    </row>
    <row r="6" spans="2:13" x14ac:dyDescent="0.4">
      <c r="B6">
        <v>3</v>
      </c>
      <c r="C6">
        <v>534.5</v>
      </c>
      <c r="D6">
        <v>508</v>
      </c>
      <c r="E6">
        <v>499.5</v>
      </c>
      <c r="F6">
        <v>499.5</v>
      </c>
      <c r="H6" t="s">
        <v>70</v>
      </c>
      <c r="I6" t="s">
        <v>98</v>
      </c>
      <c r="J6" t="s">
        <v>80</v>
      </c>
      <c r="K6" t="s">
        <v>71</v>
      </c>
      <c r="L6" t="s">
        <v>81</v>
      </c>
      <c r="M6" t="s">
        <v>88</v>
      </c>
    </row>
    <row r="7" spans="2:13" x14ac:dyDescent="0.4">
      <c r="B7">
        <v>4</v>
      </c>
      <c r="C7">
        <v>536</v>
      </c>
      <c r="D7">
        <v>509.5</v>
      </c>
      <c r="E7">
        <v>501</v>
      </c>
      <c r="F7">
        <v>501</v>
      </c>
      <c r="H7">
        <v>351</v>
      </c>
      <c r="I7">
        <v>351</v>
      </c>
      <c r="J7">
        <v>351</v>
      </c>
      <c r="K7">
        <v>98</v>
      </c>
      <c r="L7">
        <v>329</v>
      </c>
      <c r="M7">
        <v>381</v>
      </c>
    </row>
    <row r="8" spans="2:13" x14ac:dyDescent="0.4">
      <c r="B8">
        <v>5</v>
      </c>
      <c r="C8">
        <v>537.5</v>
      </c>
      <c r="D8">
        <v>511</v>
      </c>
      <c r="E8">
        <v>502.5</v>
      </c>
      <c r="F8">
        <v>502.5</v>
      </c>
      <c r="H8">
        <v>351</v>
      </c>
      <c r="I8">
        <v>351</v>
      </c>
    </row>
    <row r="9" spans="2:13" x14ac:dyDescent="0.4">
      <c r="B9">
        <v>6</v>
      </c>
      <c r="C9">
        <v>539</v>
      </c>
      <c r="D9">
        <v>512.5</v>
      </c>
      <c r="E9">
        <v>504</v>
      </c>
      <c r="F9">
        <v>504</v>
      </c>
      <c r="I9">
        <f>4/135*M9</f>
        <v>75.94074074074075</v>
      </c>
      <c r="M9">
        <f>SUM(H7:M8)</f>
        <v>2563</v>
      </c>
    </row>
    <row r="10" spans="2:13" x14ac:dyDescent="0.4">
      <c r="B10">
        <v>7</v>
      </c>
      <c r="C10">
        <v>540.5</v>
      </c>
      <c r="D10">
        <v>514</v>
      </c>
      <c r="E10">
        <v>505.5</v>
      </c>
      <c r="F10">
        <v>505.5</v>
      </c>
    </row>
    <row r="11" spans="2:13" x14ac:dyDescent="0.4">
      <c r="B11">
        <v>8</v>
      </c>
      <c r="C11">
        <v>542</v>
      </c>
      <c r="D11">
        <v>515.5</v>
      </c>
      <c r="E11">
        <v>507</v>
      </c>
      <c r="F11">
        <v>507</v>
      </c>
    </row>
    <row r="12" spans="2:13" x14ac:dyDescent="0.4">
      <c r="B12">
        <v>9</v>
      </c>
      <c r="C12">
        <v>543.5</v>
      </c>
      <c r="D12">
        <v>517</v>
      </c>
      <c r="E12">
        <v>508.5</v>
      </c>
      <c r="F12">
        <v>508.5</v>
      </c>
    </row>
    <row r="13" spans="2:13" x14ac:dyDescent="0.4">
      <c r="B13">
        <v>10</v>
      </c>
      <c r="C13">
        <v>545</v>
      </c>
      <c r="D13">
        <v>518.5</v>
      </c>
      <c r="E13">
        <v>510</v>
      </c>
      <c r="F13">
        <v>510</v>
      </c>
    </row>
    <row r="14" spans="2:13" x14ac:dyDescent="0.4">
      <c r="B14">
        <v>11</v>
      </c>
      <c r="C14">
        <v>546.5</v>
      </c>
      <c r="D14">
        <v>520</v>
      </c>
      <c r="E14">
        <v>511.5</v>
      </c>
      <c r="F14">
        <v>511.5</v>
      </c>
    </row>
    <row r="15" spans="2:13" x14ac:dyDescent="0.4">
      <c r="B15">
        <v>12</v>
      </c>
      <c r="C15">
        <v>548</v>
      </c>
      <c r="D15">
        <v>521.5</v>
      </c>
      <c r="E15">
        <v>513</v>
      </c>
      <c r="F15">
        <v>513</v>
      </c>
    </row>
    <row r="16" spans="2:13" x14ac:dyDescent="0.4">
      <c r="B16" t="s">
        <v>100</v>
      </c>
      <c r="E16">
        <v>499</v>
      </c>
    </row>
  </sheetData>
  <mergeCells count="1">
    <mergeCell ref="J4:K4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90CE-E30B-4B1E-8155-CA84794F459B}">
  <sheetPr>
    <tabColor theme="3" tint="0.59999389629810485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2.19921875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27" t="s">
        <v>12</v>
      </c>
      <c r="E1" s="27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129500</v>
      </c>
      <c r="B2" s="16">
        <v>307915</v>
      </c>
      <c r="C2" s="16">
        <v>307663</v>
      </c>
      <c r="D2" s="3">
        <v>9600</v>
      </c>
      <c r="E2" s="3">
        <v>1468</v>
      </c>
      <c r="F2" s="8">
        <f>F3*4.5%</f>
        <v>14024.834999999999</v>
      </c>
      <c r="G2" s="8">
        <f>G3*3%</f>
        <v>9357.4499999999989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311663</v>
      </c>
      <c r="G3" s="22">
        <f>B2+D5</f>
        <v>311915</v>
      </c>
      <c r="J3" s="28" t="s">
        <v>10</v>
      </c>
      <c r="K3" s="6">
        <v>10000</v>
      </c>
      <c r="L3" s="6">
        <v>20500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29" t="s">
        <v>20</v>
      </c>
      <c r="K4" s="29">
        <v>11373</v>
      </c>
      <c r="L4" s="29">
        <v>17304</v>
      </c>
    </row>
    <row r="5" spans="1:14" x14ac:dyDescent="0.4">
      <c r="A5" s="21"/>
      <c r="B5" s="12">
        <f>(B2+G2)+D5</f>
        <v>321272.45</v>
      </c>
      <c r="C5" s="12">
        <f>(C2+F2)+D5</f>
        <v>325687.83500000002</v>
      </c>
      <c r="D5" s="8">
        <v>4000</v>
      </c>
      <c r="E5" s="14">
        <f>B12*4.5%</f>
        <v>20250</v>
      </c>
      <c r="F5" s="21"/>
      <c r="G5" s="23" t="s">
        <v>19</v>
      </c>
      <c r="I5" s="2">
        <f>(K2+E2)/(K2+10000+E2)</f>
        <v>0.56078706957132818</v>
      </c>
      <c r="J5" s="29" t="s">
        <v>21</v>
      </c>
      <c r="K5" s="29">
        <v>13124</v>
      </c>
      <c r="L5" s="29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29" t="s">
        <v>22</v>
      </c>
      <c r="K6" s="29">
        <v>12752</v>
      </c>
      <c r="L6" s="29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-34175.954009487017</v>
      </c>
      <c r="G7" s="26"/>
      <c r="J7" s="29" t="s">
        <v>23</v>
      </c>
      <c r="K7" s="29">
        <v>14502</v>
      </c>
      <c r="L7" s="29">
        <v>18434</v>
      </c>
    </row>
    <row r="8" spans="1:14" ht="16.5" customHeight="1" x14ac:dyDescent="0.4">
      <c r="A8" s="21"/>
      <c r="B8" s="27" t="s">
        <v>33</v>
      </c>
      <c r="C8" s="27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32127.245000000003</v>
      </c>
      <c r="C9" s="27">
        <f>C5*10%</f>
        <v>32568.783500000005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131">
        <f>(A2-(A2*I5))-(C15+C9+D2)-L2</f>
        <v>-25961.209009487007</v>
      </c>
      <c r="G11" s="131"/>
      <c r="I11" s="125"/>
      <c r="J11" s="125"/>
      <c r="K11" s="125"/>
      <c r="L11" s="125"/>
    </row>
    <row r="12" spans="1:14" ht="16.5" customHeight="1" x14ac:dyDescent="0.4">
      <c r="A12" s="21"/>
      <c r="B12" s="12">
        <v>450000</v>
      </c>
      <c r="C12" s="16">
        <f>(B12+E5)+D9</f>
        <v>478250</v>
      </c>
      <c r="D12" s="21"/>
      <c r="E12" s="127"/>
      <c r="F12" s="131"/>
      <c r="G12" s="131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131"/>
      <c r="G13" s="131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23912.5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9">
    <mergeCell ref="D25:G32"/>
    <mergeCell ref="H25:J29"/>
    <mergeCell ref="K25:N29"/>
    <mergeCell ref="H30:J32"/>
    <mergeCell ref="E7:E9"/>
    <mergeCell ref="I8:L14"/>
    <mergeCell ref="E11:E13"/>
    <mergeCell ref="F11:G13"/>
    <mergeCell ref="B16:N2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27B3-287F-4549-B476-190FE80597C2}">
  <sheetPr>
    <tabColor theme="3" tint="0.59999389629810485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2.19921875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9" t="s">
        <v>12</v>
      </c>
      <c r="E1" s="19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132000</v>
      </c>
      <c r="B2" s="16">
        <v>307915</v>
      </c>
      <c r="C2" s="16">
        <v>307663</v>
      </c>
      <c r="D2" s="3">
        <v>9600</v>
      </c>
      <c r="E2" s="3">
        <v>1468</v>
      </c>
      <c r="F2" s="8">
        <f>F3*4.5%</f>
        <v>14024.834999999999</v>
      </c>
      <c r="G2" s="8">
        <f>G3*3%</f>
        <v>9357.4499999999989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311663</v>
      </c>
      <c r="G3" s="22">
        <f>B2+D5</f>
        <v>311915</v>
      </c>
      <c r="J3" s="20" t="s">
        <v>10</v>
      </c>
      <c r="K3" s="6">
        <v>10000</v>
      </c>
      <c r="L3" s="6">
        <v>20500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7" t="s">
        <v>20</v>
      </c>
      <c r="K4" s="7">
        <v>11373</v>
      </c>
      <c r="L4" s="7">
        <v>17304</v>
      </c>
    </row>
    <row r="5" spans="1:14" x14ac:dyDescent="0.4">
      <c r="A5" s="21"/>
      <c r="B5" s="12">
        <f>(B2+G2)+D5</f>
        <v>321272.45</v>
      </c>
      <c r="C5" s="12">
        <f>(C2+F2)+D5</f>
        <v>325687.83500000002</v>
      </c>
      <c r="D5" s="8">
        <v>4000</v>
      </c>
      <c r="E5" s="14">
        <f>B12*4.5%</f>
        <v>20250</v>
      </c>
      <c r="F5" s="21"/>
      <c r="G5" s="23" t="s">
        <v>19</v>
      </c>
      <c r="I5" s="2">
        <f>(K2+E2)/(K2+10000+E2)</f>
        <v>0.56078706957132818</v>
      </c>
      <c r="J5" s="7" t="s">
        <v>21</v>
      </c>
      <c r="K5" s="7">
        <v>13124</v>
      </c>
      <c r="L5" s="7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7" t="s">
        <v>22</v>
      </c>
      <c r="K6" s="7">
        <v>12752</v>
      </c>
      <c r="L6" s="7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-33077.921683415334</v>
      </c>
      <c r="G7" s="26"/>
      <c r="J7" s="7" t="s">
        <v>23</v>
      </c>
      <c r="K7" s="7">
        <v>14502</v>
      </c>
      <c r="L7" s="7">
        <v>18434</v>
      </c>
    </row>
    <row r="8" spans="1:14" ht="16.5" customHeight="1" x14ac:dyDescent="0.4">
      <c r="A8" s="21"/>
      <c r="B8" s="19" t="s">
        <v>33</v>
      </c>
      <c r="C8" s="19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32127.245000000003</v>
      </c>
      <c r="C9" s="19">
        <f>C5*10%</f>
        <v>32568.783500000005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131">
        <f>(A2-(A2*I5))-(C15+C9+D2)-L2</f>
        <v>-24863.176683415324</v>
      </c>
      <c r="G11" s="131"/>
      <c r="I11" s="125"/>
      <c r="J11" s="125"/>
      <c r="K11" s="125"/>
      <c r="L11" s="125"/>
    </row>
    <row r="12" spans="1:14" ht="16.5" customHeight="1" x14ac:dyDescent="0.4">
      <c r="A12" s="21"/>
      <c r="B12" s="12">
        <v>450000</v>
      </c>
      <c r="C12" s="16">
        <f>(B12+E5)+D9</f>
        <v>478250</v>
      </c>
      <c r="D12" s="21"/>
      <c r="E12" s="127"/>
      <c r="F12" s="131"/>
      <c r="G12" s="131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131"/>
      <c r="G13" s="131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23912.5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9">
    <mergeCell ref="D25:G32"/>
    <mergeCell ref="H25:J29"/>
    <mergeCell ref="K25:N29"/>
    <mergeCell ref="H30:J32"/>
    <mergeCell ref="E7:E9"/>
    <mergeCell ref="I8:L14"/>
    <mergeCell ref="E11:E13"/>
    <mergeCell ref="F11:G13"/>
    <mergeCell ref="B16:N2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0EB4-8252-400C-BAB8-2CB785963897}">
  <sheetPr>
    <tabColor theme="3" tint="0.79998168889431442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4.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9" t="s">
        <v>43</v>
      </c>
      <c r="E1" s="19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118000</v>
      </c>
      <c r="B2" s="16">
        <v>244065</v>
      </c>
      <c r="C2" s="16">
        <v>300648</v>
      </c>
      <c r="D2" s="3">
        <v>14600</v>
      </c>
      <c r="E2" s="3">
        <v>1468</v>
      </c>
      <c r="F2" s="8">
        <f>F3*4.5%</f>
        <v>13709.16</v>
      </c>
      <c r="G2" s="8">
        <f>G3*3%</f>
        <v>7441.95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304648</v>
      </c>
      <c r="G3" s="22">
        <f>B2+D5</f>
        <v>248065</v>
      </c>
      <c r="J3" s="20" t="s">
        <v>10</v>
      </c>
      <c r="K3" s="6">
        <v>10303</v>
      </c>
      <c r="L3" s="6">
        <v>21109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7" t="s">
        <v>20</v>
      </c>
      <c r="K4" s="7">
        <v>11373</v>
      </c>
      <c r="L4" s="7">
        <v>17304</v>
      </c>
    </row>
    <row r="5" spans="1:14" x14ac:dyDescent="0.4">
      <c r="A5" s="21"/>
      <c r="B5" s="12">
        <f>(B2+G2)+D5</f>
        <v>255506.95</v>
      </c>
      <c r="C5" s="12">
        <f>(C2+F2)+D5</f>
        <v>318357.15999999997</v>
      </c>
      <c r="D5" s="8">
        <v>4000</v>
      </c>
      <c r="E5" s="14">
        <f>B12*4.5%</f>
        <v>20250</v>
      </c>
      <c r="F5" s="21"/>
      <c r="G5" s="23" t="s">
        <v>19</v>
      </c>
      <c r="I5" s="2">
        <f>(K2+E2)/(K2+10000+E2)</f>
        <v>0.56078706957132818</v>
      </c>
      <c r="J5" s="7" t="s">
        <v>21</v>
      </c>
      <c r="K5" s="7">
        <v>13124</v>
      </c>
      <c r="L5" s="7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7" t="s">
        <v>22</v>
      </c>
      <c r="K6" s="7">
        <v>12752</v>
      </c>
      <c r="L6" s="7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-36917.285209416732</v>
      </c>
      <c r="G7" s="26"/>
      <c r="J7" s="7" t="s">
        <v>23</v>
      </c>
      <c r="K7" s="7">
        <v>14502</v>
      </c>
      <c r="L7" s="7">
        <v>18434</v>
      </c>
    </row>
    <row r="8" spans="1:14" ht="16.5" customHeight="1" x14ac:dyDescent="0.4">
      <c r="A8" s="21"/>
      <c r="B8" s="19" t="s">
        <v>33</v>
      </c>
      <c r="C8" s="19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25550.695000000003</v>
      </c>
      <c r="C9" s="19">
        <f>C5*10%</f>
        <v>31835.716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131">
        <f>(A2-(A2*I5))-(C15+C9+D2)-L2</f>
        <v>-35279.090209416725</v>
      </c>
      <c r="G11" s="131"/>
      <c r="I11" s="125"/>
      <c r="J11" s="125"/>
      <c r="K11" s="125"/>
      <c r="L11" s="125"/>
    </row>
    <row r="12" spans="1:14" ht="16.5" customHeight="1" x14ac:dyDescent="0.4">
      <c r="A12" s="21"/>
      <c r="B12" s="12">
        <v>450000</v>
      </c>
      <c r="C12" s="16">
        <f>(B12+E5)+D9</f>
        <v>478250</v>
      </c>
      <c r="D12" s="21"/>
      <c r="E12" s="127"/>
      <c r="F12" s="131"/>
      <c r="G12" s="131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131"/>
      <c r="G13" s="131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C15" s="8">
        <f>(C12*5%)</f>
        <v>23912.5</v>
      </c>
      <c r="D15" s="7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9">
    <mergeCell ref="D25:G32"/>
    <mergeCell ref="H25:J29"/>
    <mergeCell ref="K25:N29"/>
    <mergeCell ref="H30:J32"/>
    <mergeCell ref="E7:E9"/>
    <mergeCell ref="I8:L14"/>
    <mergeCell ref="E11:E13"/>
    <mergeCell ref="F11:G13"/>
    <mergeCell ref="B16:N2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AD38-4241-4D9F-9068-65A65BEC4B8D}">
  <sheetPr>
    <tabColor theme="3" tint="0.79998168889431442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14.6992187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27" t="s">
        <v>12</v>
      </c>
      <c r="E1" s="27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129500</v>
      </c>
      <c r="B2" s="16">
        <v>244065</v>
      </c>
      <c r="C2" s="16">
        <v>300648</v>
      </c>
      <c r="D2" s="3">
        <v>9600</v>
      </c>
      <c r="E2" s="3">
        <v>1468</v>
      </c>
      <c r="F2" s="8">
        <f>F3*4.5%</f>
        <v>13709.16</v>
      </c>
      <c r="G2" s="8">
        <f>G3*3%</f>
        <v>7441.95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304648</v>
      </c>
      <c r="G3" s="22">
        <f>B2+D5</f>
        <v>248065</v>
      </c>
      <c r="J3" s="28" t="s">
        <v>10</v>
      </c>
      <c r="K3" s="6">
        <v>12000</v>
      </c>
      <c r="L3" s="6">
        <v>23000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29" t="s">
        <v>20</v>
      </c>
      <c r="K4" s="29">
        <v>11373</v>
      </c>
      <c r="L4" s="29">
        <v>17304</v>
      </c>
    </row>
    <row r="5" spans="1:14" x14ac:dyDescent="0.4">
      <c r="A5" s="21"/>
      <c r="B5" s="12">
        <f>(B2+G2)+D5</f>
        <v>255506.95</v>
      </c>
      <c r="C5" s="12">
        <f>(C2+F2)+D5</f>
        <v>318357.15999999997</v>
      </c>
      <c r="D5" s="8">
        <v>4000</v>
      </c>
      <c r="E5" s="14">
        <f>B12*4.5%</f>
        <v>20250</v>
      </c>
      <c r="F5" s="21"/>
      <c r="G5" s="23" t="s">
        <v>19</v>
      </c>
      <c r="I5" s="2">
        <f>(K2+E2)/(K2+10000+E2)</f>
        <v>0.56078706957132818</v>
      </c>
      <c r="J5" s="29" t="s">
        <v>21</v>
      </c>
      <c r="K5" s="29">
        <v>13124</v>
      </c>
      <c r="L5" s="29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29" t="s">
        <v>22</v>
      </c>
      <c r="K6" s="29">
        <v>12752</v>
      </c>
      <c r="L6" s="29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-26866.33650948701</v>
      </c>
      <c r="G7" s="26"/>
      <c r="J7" s="29" t="s">
        <v>23</v>
      </c>
      <c r="K7" s="29">
        <v>14502</v>
      </c>
      <c r="L7" s="29">
        <v>18434</v>
      </c>
    </row>
    <row r="8" spans="1:14" ht="16.5" customHeight="1" x14ac:dyDescent="0.4">
      <c r="A8" s="21"/>
      <c r="B8" s="27" t="s">
        <v>33</v>
      </c>
      <c r="C8" s="27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25550.695000000003</v>
      </c>
      <c r="C9" s="27">
        <f>C5*10%</f>
        <v>31835.716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131">
        <f>(A2-(A2*I5))-(C15+C9+D2)-L2</f>
        <v>-25228.141509487003</v>
      </c>
      <c r="G11" s="131"/>
      <c r="I11" s="125"/>
      <c r="J11" s="125"/>
      <c r="K11" s="125"/>
      <c r="L11" s="125"/>
    </row>
    <row r="12" spans="1:14" ht="16.5" customHeight="1" x14ac:dyDescent="0.4">
      <c r="A12" s="21"/>
      <c r="B12" s="12">
        <v>450000</v>
      </c>
      <c r="C12" s="16">
        <f>(B12+E5)+D9</f>
        <v>478250</v>
      </c>
      <c r="D12" s="21"/>
      <c r="E12" s="127"/>
      <c r="F12" s="131"/>
      <c r="G12" s="131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131"/>
      <c r="G13" s="131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23912.5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9">
    <mergeCell ref="D25:G32"/>
    <mergeCell ref="H25:J29"/>
    <mergeCell ref="K25:N29"/>
    <mergeCell ref="H30:J32"/>
    <mergeCell ref="E7:E9"/>
    <mergeCell ref="I8:L14"/>
    <mergeCell ref="E11:E13"/>
    <mergeCell ref="F11:G13"/>
    <mergeCell ref="B16:N2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58EA-6C1E-4DA1-92DC-B8A63B606E89}">
  <sheetPr>
    <tabColor theme="3" tint="0.79998168889431442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14.6992187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19" t="s">
        <v>12</v>
      </c>
      <c r="E1" s="19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132000</v>
      </c>
      <c r="B2" s="16">
        <v>244065</v>
      </c>
      <c r="C2" s="16">
        <v>300648</v>
      </c>
      <c r="D2" s="3">
        <v>9600</v>
      </c>
      <c r="E2" s="3">
        <v>1468</v>
      </c>
      <c r="F2" s="8">
        <f>F3*4.5%</f>
        <v>13709.16</v>
      </c>
      <c r="G2" s="8">
        <f>G3*3%</f>
        <v>7441.95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304648</v>
      </c>
      <c r="G3" s="22">
        <f>B2+D5</f>
        <v>248065</v>
      </c>
      <c r="J3" s="20" t="s">
        <v>10</v>
      </c>
      <c r="K3" s="6">
        <v>12000</v>
      </c>
      <c r="L3" s="6">
        <v>23000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7" t="s">
        <v>20</v>
      </c>
      <c r="K4" s="7">
        <v>11373</v>
      </c>
      <c r="L4" s="7">
        <v>17304</v>
      </c>
    </row>
    <row r="5" spans="1:14" x14ac:dyDescent="0.4">
      <c r="A5" s="21"/>
      <c r="B5" s="12">
        <f>(B2+G2)+D5</f>
        <v>255506.95</v>
      </c>
      <c r="C5" s="12">
        <f>(C2+F2)+D5</f>
        <v>318357.15999999997</v>
      </c>
      <c r="D5" s="8">
        <v>4000</v>
      </c>
      <c r="E5" s="14">
        <f>B12*4.5%</f>
        <v>20250</v>
      </c>
      <c r="F5" s="21"/>
      <c r="G5" s="23" t="s">
        <v>19</v>
      </c>
      <c r="I5" s="2">
        <f>(K2+E2)/(K2+10000+E2)</f>
        <v>0.56078706957132818</v>
      </c>
      <c r="J5" s="7" t="s">
        <v>21</v>
      </c>
      <c r="K5" s="7">
        <v>13124</v>
      </c>
      <c r="L5" s="7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7" t="s">
        <v>22</v>
      </c>
      <c r="K6" s="7">
        <v>12752</v>
      </c>
      <c r="L6" s="7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-25768.304183415326</v>
      </c>
      <c r="G7" s="26"/>
      <c r="J7" s="7" t="s">
        <v>23</v>
      </c>
      <c r="K7" s="7">
        <v>14502</v>
      </c>
      <c r="L7" s="7">
        <v>18434</v>
      </c>
    </row>
    <row r="8" spans="1:14" ht="16.5" customHeight="1" x14ac:dyDescent="0.4">
      <c r="A8" s="21"/>
      <c r="B8" s="19" t="s">
        <v>33</v>
      </c>
      <c r="C8" s="19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25550.695000000003</v>
      </c>
      <c r="C9" s="19">
        <f>C5*10%</f>
        <v>31835.716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131">
        <f>(A2-(A2*I5))-(C15+C9+D2)-L2</f>
        <v>-24130.109183415319</v>
      </c>
      <c r="G11" s="131"/>
      <c r="I11" s="125"/>
      <c r="J11" s="125"/>
      <c r="K11" s="125"/>
      <c r="L11" s="125"/>
    </row>
    <row r="12" spans="1:14" ht="16.5" customHeight="1" x14ac:dyDescent="0.4">
      <c r="A12" s="21"/>
      <c r="B12" s="12">
        <v>450000</v>
      </c>
      <c r="C12" s="16">
        <f>(B12+E5)+D9</f>
        <v>478250</v>
      </c>
      <c r="D12" s="21"/>
      <c r="E12" s="127"/>
      <c r="F12" s="131"/>
      <c r="G12" s="131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131"/>
      <c r="G13" s="131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23912.5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9">
    <mergeCell ref="D25:G32"/>
    <mergeCell ref="H25:J29"/>
    <mergeCell ref="K25:N29"/>
    <mergeCell ref="H30:J32"/>
    <mergeCell ref="E7:E9"/>
    <mergeCell ref="I8:L14"/>
    <mergeCell ref="E11:E13"/>
    <mergeCell ref="F11:G13"/>
    <mergeCell ref="B16:N2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533B-9776-4EFD-94F7-396EDD0B8B78}">
  <sheetPr>
    <tabColor theme="5" tint="0.39997558519241921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4.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78" t="s">
        <v>43</v>
      </c>
      <c r="E1" s="78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118000</v>
      </c>
      <c r="B2" s="16">
        <v>310160</v>
      </c>
      <c r="C2" s="16">
        <v>307663</v>
      </c>
      <c r="D2" s="3">
        <v>14600</v>
      </c>
      <c r="E2" s="3">
        <v>1468</v>
      </c>
      <c r="F2" s="13">
        <f>F3*4.5%</f>
        <v>14024.834999999999</v>
      </c>
      <c r="G2" s="13">
        <f>G3*3%</f>
        <v>9424.7999999999993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311663</v>
      </c>
      <c r="G3" s="22">
        <f>B2+D5</f>
        <v>314160</v>
      </c>
      <c r="J3" s="79" t="s">
        <v>10</v>
      </c>
      <c r="K3" s="6">
        <v>10000</v>
      </c>
      <c r="L3" s="6">
        <v>9000</v>
      </c>
      <c r="M3" s="10"/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323584.8</v>
      </c>
      <c r="C5" s="12">
        <f>(C2+F2)+D5</f>
        <v>325687.83500000002</v>
      </c>
      <c r="D5" s="8">
        <v>4000</v>
      </c>
      <c r="E5" s="14">
        <f>B12*4.5%</f>
        <v>20422.575000000001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-44458.137709416726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78" t="s">
        <v>33</v>
      </c>
      <c r="C8" s="78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32358.48</v>
      </c>
      <c r="C9" s="78">
        <f>C5*10%</f>
        <v>32568.783500000005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-36212.536459416733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v>453835</v>
      </c>
      <c r="C12" s="16">
        <f>(B12+E5)+D9</f>
        <v>482257.57500000001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24112.878750000003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11"/>
      <c r="F66" s="11"/>
    </row>
    <row r="67" spans="5:8" x14ac:dyDescent="0.4">
      <c r="E67" s="11"/>
      <c r="F67" s="11"/>
    </row>
    <row r="75" spans="5:8" x14ac:dyDescent="0.4">
      <c r="F75" s="11"/>
      <c r="G75" s="11"/>
      <c r="H75" s="11"/>
    </row>
    <row r="76" spans="5:8" x14ac:dyDescent="0.4">
      <c r="F76" s="11"/>
      <c r="G76" s="11"/>
      <c r="H76" s="11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4B8A-BBDA-4AB3-B155-ED80DE837702}">
  <sheetPr>
    <tabColor theme="5" tint="0.39997558519241921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4.5" bestFit="1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78" t="s">
        <v>43</v>
      </c>
      <c r="E1" s="78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129500</v>
      </c>
      <c r="B2" s="16">
        <v>307915</v>
      </c>
      <c r="C2" s="16">
        <v>307663</v>
      </c>
      <c r="D2" s="3">
        <v>14600</v>
      </c>
      <c r="E2" s="3">
        <v>1468</v>
      </c>
      <c r="F2" s="8">
        <f>F3*4.5%</f>
        <v>14024.834999999999</v>
      </c>
      <c r="G2" s="8">
        <f>G3*3%</f>
        <v>9357.4499999999989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311663</v>
      </c>
      <c r="G3" s="22">
        <f>B2+D5</f>
        <v>311915</v>
      </c>
      <c r="J3" s="79" t="s">
        <v>10</v>
      </c>
      <c r="K3" s="6">
        <v>10000</v>
      </c>
      <c r="L3" s="6">
        <v>20500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321272.45</v>
      </c>
      <c r="C5" s="12">
        <f>(C2+F2)+D5</f>
        <v>325687.83500000002</v>
      </c>
      <c r="D5" s="8">
        <v>4000</v>
      </c>
      <c r="E5" s="14">
        <f>B12*4.5%</f>
        <v>20422.575000000001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-39175.954009487017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78" t="s">
        <v>33</v>
      </c>
      <c r="C8" s="78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32127.245000000003</v>
      </c>
      <c r="C9" s="78">
        <f>C5*10%</f>
        <v>32568.783500000005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-31161.587759487011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v>453835</v>
      </c>
      <c r="C12" s="16">
        <f>(B12+E5)+D9</f>
        <v>482257.57500000001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24112.878750000003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EF80-DEEA-4C44-8A68-64767029B804}">
  <sheetPr>
    <tabColor theme="5" tint="0.39997558519241921"/>
  </sheetPr>
  <dimension ref="A1:N76"/>
  <sheetViews>
    <sheetView workbookViewId="0">
      <selection activeCell="B29" sqref="B29"/>
    </sheetView>
  </sheetViews>
  <sheetFormatPr defaultRowHeight="17.399999999999999" x14ac:dyDescent="0.4"/>
  <cols>
    <col min="1" max="1" width="7.8984375" bestFit="1" customWidth="1"/>
    <col min="2" max="2" width="26.5" bestFit="1" customWidth="1"/>
    <col min="3" max="3" width="23" bestFit="1" customWidth="1"/>
    <col min="4" max="4" width="22.19921875" customWidth="1"/>
    <col min="5" max="5" width="28.69921875" bestFit="1" customWidth="1"/>
    <col min="6" max="6" width="23.8984375" bestFit="1" customWidth="1"/>
    <col min="7" max="7" width="41.69921875" bestFit="1" customWidth="1"/>
    <col min="8" max="8" width="10.8984375" bestFit="1" customWidth="1"/>
    <col min="9" max="9" width="11.8984375" bestFit="1" customWidth="1"/>
    <col min="10" max="10" width="19.5" bestFit="1" customWidth="1"/>
    <col min="11" max="11" width="7" bestFit="1" customWidth="1"/>
    <col min="12" max="12" width="10.8984375" bestFit="1" customWidth="1"/>
    <col min="13" max="13" width="6.5" bestFit="1" customWidth="1"/>
    <col min="14" max="14" width="41.5" bestFit="1" customWidth="1"/>
  </cols>
  <sheetData>
    <row r="1" spans="1:14" x14ac:dyDescent="0.4">
      <c r="A1" s="8" t="s">
        <v>4</v>
      </c>
      <c r="B1" s="14" t="s">
        <v>31</v>
      </c>
      <c r="C1" s="14" t="s">
        <v>0</v>
      </c>
      <c r="D1" s="78" t="s">
        <v>12</v>
      </c>
      <c r="E1" s="78" t="s">
        <v>14</v>
      </c>
      <c r="F1" s="8" t="s">
        <v>13</v>
      </c>
      <c r="G1" s="8" t="s">
        <v>37</v>
      </c>
      <c r="I1" s="1"/>
      <c r="J1" s="8" t="s">
        <v>3</v>
      </c>
      <c r="K1" s="14" t="s">
        <v>1</v>
      </c>
      <c r="L1" s="14" t="s">
        <v>2</v>
      </c>
      <c r="N1" s="6" t="s">
        <v>9</v>
      </c>
    </row>
    <row r="2" spans="1:14" x14ac:dyDescent="0.4">
      <c r="A2" s="16">
        <v>132000</v>
      </c>
      <c r="B2" s="16">
        <v>307915</v>
      </c>
      <c r="C2" s="16">
        <v>307663</v>
      </c>
      <c r="D2" s="3">
        <v>9600</v>
      </c>
      <c r="E2" s="3">
        <v>1468</v>
      </c>
      <c r="F2" s="8">
        <f>F3*4.5%</f>
        <v>14024.834999999999</v>
      </c>
      <c r="G2" s="8">
        <f>G3*3%</f>
        <v>9357.4499999999989</v>
      </c>
      <c r="I2" s="15"/>
      <c r="J2" s="15"/>
      <c r="K2" s="16">
        <f>'인던별 천장 계산기'!B5</f>
        <v>11300</v>
      </c>
      <c r="L2" s="16">
        <f>'인던별 천장 계산기'!C5</f>
        <v>16758</v>
      </c>
    </row>
    <row r="3" spans="1:14" x14ac:dyDescent="0.4">
      <c r="A3" s="21"/>
      <c r="B3" s="21"/>
      <c r="C3" s="21"/>
      <c r="D3" s="21"/>
      <c r="E3" s="21"/>
      <c r="F3" s="22">
        <f>C2+D5</f>
        <v>311663</v>
      </c>
      <c r="G3" s="22">
        <f>B2+D5</f>
        <v>311915</v>
      </c>
      <c r="J3" s="79" t="s">
        <v>10</v>
      </c>
      <c r="K3" s="6">
        <v>10000</v>
      </c>
      <c r="L3" s="6">
        <v>20500</v>
      </c>
      <c r="N3" s="17" t="s">
        <v>18</v>
      </c>
    </row>
    <row r="4" spans="1:14" x14ac:dyDescent="0.4">
      <c r="A4" s="21"/>
      <c r="B4" s="5" t="s">
        <v>32</v>
      </c>
      <c r="C4" s="8" t="s">
        <v>15</v>
      </c>
      <c r="D4" s="8" t="s">
        <v>6</v>
      </c>
      <c r="E4" s="8" t="s">
        <v>25</v>
      </c>
      <c r="F4" s="21"/>
      <c r="G4" s="23" t="s">
        <v>17</v>
      </c>
      <c r="I4" s="1" t="s">
        <v>5</v>
      </c>
      <c r="J4" s="32" t="s">
        <v>20</v>
      </c>
      <c r="K4" s="32">
        <v>11373</v>
      </c>
      <c r="L4" s="32">
        <v>17304</v>
      </c>
    </row>
    <row r="5" spans="1:14" x14ac:dyDescent="0.4">
      <c r="A5" s="21"/>
      <c r="B5" s="12">
        <f>(B2+G2)+D5</f>
        <v>321272.45</v>
      </c>
      <c r="C5" s="12">
        <f>(C2+F2)+D5</f>
        <v>325687.83500000002</v>
      </c>
      <c r="D5" s="8">
        <v>4000</v>
      </c>
      <c r="E5" s="14">
        <f>B12*4.5%</f>
        <v>20422.575000000001</v>
      </c>
      <c r="F5" s="21"/>
      <c r="G5" s="23" t="s">
        <v>19</v>
      </c>
      <c r="I5" s="2">
        <f>(K2+E2)/(K2+10000+E2)</f>
        <v>0.56078706957132818</v>
      </c>
      <c r="J5" s="32" t="s">
        <v>21</v>
      </c>
      <c r="K5" s="32">
        <v>13124</v>
      </c>
      <c r="L5" s="32">
        <v>18434</v>
      </c>
    </row>
    <row r="6" spans="1:14" x14ac:dyDescent="0.4">
      <c r="A6" s="21"/>
      <c r="B6" s="21"/>
      <c r="C6" s="21"/>
      <c r="D6" s="21"/>
      <c r="E6" s="21"/>
      <c r="F6" s="21"/>
      <c r="G6" s="21"/>
      <c r="J6" s="32" t="s">
        <v>22</v>
      </c>
      <c r="K6" s="32">
        <v>12752</v>
      </c>
      <c r="L6" s="32">
        <v>17304</v>
      </c>
    </row>
    <row r="7" spans="1:14" ht="16.5" customHeight="1" x14ac:dyDescent="0.4">
      <c r="A7" s="21"/>
      <c r="B7" s="21"/>
      <c r="C7" s="21"/>
      <c r="D7" s="21"/>
      <c r="E7" s="127" t="s">
        <v>28</v>
      </c>
      <c r="F7" s="26">
        <f>(A2-(A2*I5))-(B9+C9+D2)-L2</f>
        <v>-33077.921683415334</v>
      </c>
      <c r="G7" s="26"/>
      <c r="J7" s="32" t="s">
        <v>23</v>
      </c>
      <c r="K7" s="32">
        <v>14502</v>
      </c>
      <c r="L7" s="32">
        <v>18434</v>
      </c>
    </row>
    <row r="8" spans="1:14" ht="16.5" customHeight="1" x14ac:dyDescent="0.4">
      <c r="A8" s="21"/>
      <c r="B8" s="78" t="s">
        <v>33</v>
      </c>
      <c r="C8" s="78" t="s">
        <v>16</v>
      </c>
      <c r="D8" s="8" t="s">
        <v>36</v>
      </c>
      <c r="E8" s="128"/>
      <c r="F8" s="26"/>
      <c r="G8" s="26"/>
      <c r="I8" s="124" t="s">
        <v>7</v>
      </c>
      <c r="J8" s="125"/>
      <c r="K8" s="125"/>
      <c r="L8" s="125"/>
    </row>
    <row r="9" spans="1:14" ht="17.399999999999999" customHeight="1" x14ac:dyDescent="0.4">
      <c r="A9" s="21"/>
      <c r="B9" s="4">
        <f>(B5*10%)</f>
        <v>32127.245000000003</v>
      </c>
      <c r="C9" s="78">
        <f>C5*10%</f>
        <v>32568.783500000005</v>
      </c>
      <c r="D9" s="14">
        <v>8000</v>
      </c>
      <c r="E9" s="128"/>
      <c r="F9" s="26"/>
      <c r="G9" s="26"/>
      <c r="I9" s="125"/>
      <c r="J9" s="125"/>
      <c r="K9" s="125"/>
      <c r="L9" s="125"/>
    </row>
    <row r="10" spans="1:14" ht="20.25" customHeight="1" x14ac:dyDescent="0.4">
      <c r="A10" s="21"/>
      <c r="B10" s="21"/>
      <c r="C10" s="21"/>
      <c r="D10" s="21"/>
      <c r="E10" s="21"/>
      <c r="F10" s="21"/>
      <c r="G10" s="21"/>
      <c r="I10" s="125"/>
      <c r="J10" s="125"/>
      <c r="K10" s="125"/>
      <c r="L10" s="125"/>
    </row>
    <row r="11" spans="1:14" ht="16.5" customHeight="1" x14ac:dyDescent="0.4">
      <c r="A11" s="21"/>
      <c r="B11" s="8" t="s">
        <v>35</v>
      </c>
      <c r="C11" s="8" t="s">
        <v>26</v>
      </c>
      <c r="D11" s="21"/>
      <c r="E11" s="127" t="s">
        <v>27</v>
      </c>
      <c r="F11" s="33">
        <f>(A2-(A2*I5))-(C15+C9+D2)-L2</f>
        <v>-25063.555433415328</v>
      </c>
      <c r="G11" s="33"/>
      <c r="I11" s="125"/>
      <c r="J11" s="125"/>
      <c r="K11" s="125"/>
      <c r="L11" s="125"/>
    </row>
    <row r="12" spans="1:14" ht="16.5" customHeight="1" x14ac:dyDescent="0.4">
      <c r="A12" s="21"/>
      <c r="B12" s="12">
        <v>453835</v>
      </c>
      <c r="C12" s="16">
        <f>(B12+E5)+D9</f>
        <v>482257.57500000001</v>
      </c>
      <c r="D12" s="21"/>
      <c r="E12" s="127"/>
      <c r="F12" s="33"/>
      <c r="G12" s="33"/>
      <c r="I12" s="125"/>
      <c r="J12" s="125"/>
      <c r="K12" s="125"/>
      <c r="L12" s="125"/>
    </row>
    <row r="13" spans="1:14" ht="16.5" customHeight="1" x14ac:dyDescent="0.4">
      <c r="A13" s="21"/>
      <c r="B13" s="21"/>
      <c r="C13" s="21"/>
      <c r="D13" s="21"/>
      <c r="E13" s="127"/>
      <c r="F13" s="33"/>
      <c r="G13" s="33"/>
      <c r="I13" s="125"/>
      <c r="J13" s="125"/>
      <c r="K13" s="125"/>
      <c r="L13" s="125"/>
    </row>
    <row r="14" spans="1:14" ht="16.5" customHeight="1" x14ac:dyDescent="0.4">
      <c r="A14" s="21"/>
      <c r="B14" s="21"/>
      <c r="C14" s="8" t="s">
        <v>34</v>
      </c>
      <c r="D14" s="24"/>
      <c r="E14" s="21"/>
      <c r="F14" s="21"/>
      <c r="G14" s="21"/>
      <c r="I14" s="125"/>
      <c r="J14" s="125"/>
      <c r="K14" s="125"/>
      <c r="L14" s="125"/>
    </row>
    <row r="15" spans="1:14" x14ac:dyDescent="0.4">
      <c r="A15" s="21"/>
      <c r="B15" s="21"/>
      <c r="C15" s="8">
        <f>(C12*5%)</f>
        <v>24112.878750000003</v>
      </c>
      <c r="D15" s="24"/>
      <c r="E15" s="21"/>
      <c r="F15" s="21"/>
      <c r="G15" s="21"/>
    </row>
    <row r="16" spans="1:14" x14ac:dyDescent="0.4">
      <c r="B16" s="126" t="s">
        <v>29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2:14" ht="16.5" customHeight="1" x14ac:dyDescent="0.4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2:14" ht="16.5" customHeight="1" x14ac:dyDescent="0.4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4" ht="16.5" customHeight="1" x14ac:dyDescent="0.4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2:14" ht="16.5" customHeight="1" x14ac:dyDescent="0.4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ht="16.5" customHeight="1" x14ac:dyDescent="0.4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2:14" ht="16.5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ht="16.5" customHeight="1" x14ac:dyDescent="0.4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5" spans="2:14" x14ac:dyDescent="0.4">
      <c r="D25" s="129" t="s">
        <v>8</v>
      </c>
      <c r="E25" s="129"/>
      <c r="F25" s="129"/>
      <c r="G25" s="129"/>
      <c r="H25" s="122" t="s">
        <v>24</v>
      </c>
      <c r="I25" s="122"/>
      <c r="J25" s="122"/>
      <c r="K25" s="122" t="s">
        <v>11</v>
      </c>
      <c r="L25" s="123"/>
      <c r="M25" s="123"/>
      <c r="N25" s="123"/>
    </row>
    <row r="26" spans="2:14" x14ac:dyDescent="0.4">
      <c r="D26" s="129"/>
      <c r="E26" s="129"/>
      <c r="F26" s="129"/>
      <c r="G26" s="129"/>
      <c r="H26" s="122"/>
      <c r="I26" s="122"/>
      <c r="J26" s="122"/>
      <c r="K26" s="123"/>
      <c r="L26" s="123"/>
      <c r="M26" s="123"/>
      <c r="N26" s="123"/>
    </row>
    <row r="27" spans="2:14" x14ac:dyDescent="0.4">
      <c r="D27" s="129"/>
      <c r="E27" s="129"/>
      <c r="F27" s="129"/>
      <c r="G27" s="129"/>
      <c r="H27" s="122"/>
      <c r="I27" s="122"/>
      <c r="J27" s="122"/>
      <c r="K27" s="123"/>
      <c r="L27" s="123"/>
      <c r="M27" s="123"/>
      <c r="N27" s="123"/>
    </row>
    <row r="28" spans="2:14" x14ac:dyDescent="0.4">
      <c r="D28" s="129"/>
      <c r="E28" s="129"/>
      <c r="F28" s="129"/>
      <c r="G28" s="129"/>
      <c r="H28" s="122"/>
      <c r="I28" s="122"/>
      <c r="J28" s="122"/>
      <c r="K28" s="123"/>
      <c r="L28" s="123"/>
      <c r="M28" s="123"/>
      <c r="N28" s="123"/>
    </row>
    <row r="29" spans="2:14" x14ac:dyDescent="0.4">
      <c r="D29" s="129"/>
      <c r="E29" s="129"/>
      <c r="F29" s="129"/>
      <c r="G29" s="129"/>
      <c r="H29" s="122"/>
      <c r="I29" s="122"/>
      <c r="J29" s="122"/>
      <c r="K29" s="123"/>
      <c r="L29" s="123"/>
      <c r="M29" s="123"/>
      <c r="N29" s="123"/>
    </row>
    <row r="30" spans="2:14" x14ac:dyDescent="0.4">
      <c r="D30" s="129"/>
      <c r="E30" s="129"/>
      <c r="F30" s="129"/>
      <c r="G30" s="129"/>
      <c r="H30" s="130" t="s">
        <v>30</v>
      </c>
      <c r="I30" s="123"/>
      <c r="J30" s="123"/>
    </row>
    <row r="31" spans="2:14" x14ac:dyDescent="0.4">
      <c r="D31" s="129"/>
      <c r="E31" s="129"/>
      <c r="F31" s="129"/>
      <c r="G31" s="129"/>
      <c r="H31" s="123"/>
      <c r="I31" s="123"/>
      <c r="J31" s="123"/>
    </row>
    <row r="32" spans="2:14" x14ac:dyDescent="0.4">
      <c r="D32" s="129"/>
      <c r="E32" s="129"/>
      <c r="F32" s="129"/>
      <c r="G32" s="129"/>
      <c r="H32" s="123"/>
      <c r="I32" s="123"/>
      <c r="J32" s="123"/>
    </row>
    <row r="66" spans="5:8" x14ac:dyDescent="0.4">
      <c r="E66" s="25"/>
      <c r="F66" s="25"/>
    </row>
    <row r="67" spans="5:8" x14ac:dyDescent="0.4">
      <c r="E67" s="25"/>
      <c r="F67" s="25"/>
    </row>
    <row r="75" spans="5:8" x14ac:dyDescent="0.4">
      <c r="F75" s="25"/>
      <c r="G75" s="25"/>
      <c r="H75" s="25"/>
    </row>
    <row r="76" spans="5:8" x14ac:dyDescent="0.4">
      <c r="F76" s="25"/>
      <c r="G76" s="25"/>
      <c r="H76" s="25"/>
    </row>
  </sheetData>
  <mergeCells count="8">
    <mergeCell ref="E7:E9"/>
    <mergeCell ref="I8:L14"/>
    <mergeCell ref="E11:E13"/>
    <mergeCell ref="B16:N23"/>
    <mergeCell ref="D25:G32"/>
    <mergeCell ref="H25:J29"/>
    <mergeCell ref="K25:N29"/>
    <mergeCell ref="H30:J3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16</vt:i4>
      </vt:variant>
    </vt:vector>
  </HeadingPairs>
  <TitlesOfParts>
    <vt:vector size="16" baseType="lpstr">
      <vt:lpstr>방키 엘상 사선</vt:lpstr>
      <vt:lpstr>방키 안상</vt:lpstr>
      <vt:lpstr>방키 샨드라</vt:lpstr>
      <vt:lpstr>반키 엘상 사선</vt:lpstr>
      <vt:lpstr>반키 안상</vt:lpstr>
      <vt:lpstr>반키 샨드라</vt:lpstr>
      <vt:lpstr>광수 엘상 사선</vt:lpstr>
      <vt:lpstr>광수 안상 사선</vt:lpstr>
      <vt:lpstr>광수 샨드라</vt:lpstr>
      <vt:lpstr>공팟 엘상</vt:lpstr>
      <vt:lpstr>공팟 안상</vt:lpstr>
      <vt:lpstr>공팟 샨드라</vt:lpstr>
      <vt:lpstr>공팟 기타</vt:lpstr>
      <vt:lpstr>인던별 천장 계산기</vt:lpstr>
      <vt:lpstr>템 레벨 계산기</vt:lpstr>
      <vt:lpstr>강화 수치 별 템 레벨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하양</dc:creator>
  <cp:lastModifiedBy>PYO</cp:lastModifiedBy>
  <dcterms:created xsi:type="dcterms:W3CDTF">2021-09-01T15:33:23Z</dcterms:created>
  <dcterms:modified xsi:type="dcterms:W3CDTF">2022-01-16T06:33:06Z</dcterms:modified>
</cp:coreProperties>
</file>