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임기혁\게임\로스트아크\"/>
    </mc:Choice>
  </mc:AlternateContent>
  <bookViews>
    <workbookView xWindow="0" yWindow="0" windowWidth="21060" windowHeight="8670" activeTab="2"/>
  </bookViews>
  <sheets>
    <sheet name="트리시온 딜사이클" sheetId="3" r:id="rId1"/>
    <sheet name="딜계산" sheetId="1" r:id="rId2"/>
    <sheet name="골드효율계산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4" i="2"/>
  <c r="I25" i="2"/>
  <c r="I26" i="2"/>
  <c r="I22" i="2"/>
  <c r="F2" i="2"/>
  <c r="L19" i="1"/>
  <c r="H10" i="1"/>
  <c r="I10" i="1"/>
  <c r="C2" i="3"/>
  <c r="C4" i="3"/>
  <c r="C16" i="3"/>
  <c r="C15" i="3"/>
  <c r="C14" i="3"/>
  <c r="C13" i="3"/>
  <c r="C12" i="3"/>
  <c r="C11" i="3"/>
  <c r="C10" i="3"/>
  <c r="C9" i="3"/>
  <c r="C8" i="3"/>
  <c r="C7" i="3"/>
  <c r="C6" i="3"/>
  <c r="C5" i="3"/>
  <c r="C3" i="3"/>
  <c r="F26" i="1"/>
  <c r="D26" i="1"/>
  <c r="C28" i="1"/>
  <c r="G26" i="1" l="1"/>
  <c r="I26" i="1" s="1"/>
  <c r="F3" i="2"/>
  <c r="M3" i="2"/>
  <c r="I7" i="2" s="1"/>
  <c r="M2" i="2"/>
  <c r="C2" i="2" s="1"/>
  <c r="C3" i="2" l="1"/>
  <c r="I6" i="2" s="1"/>
  <c r="C29" i="1"/>
  <c r="H26" i="1" s="1"/>
  <c r="F20" i="1"/>
  <c r="H20" i="1" s="1"/>
  <c r="F21" i="1"/>
  <c r="F22" i="1"/>
  <c r="F23" i="1"/>
  <c r="H23" i="1" s="1"/>
  <c r="F24" i="1"/>
  <c r="H24" i="1" s="1"/>
  <c r="F25" i="1"/>
  <c r="F19" i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19" i="1"/>
  <c r="G19" i="1" s="1"/>
  <c r="J26" i="1" l="1"/>
  <c r="E10" i="1"/>
  <c r="H19" i="1"/>
  <c r="H3" i="1" s="1"/>
  <c r="H22" i="1"/>
  <c r="H6" i="1" s="1"/>
  <c r="H25" i="1"/>
  <c r="H21" i="1"/>
  <c r="H5" i="1" s="1"/>
  <c r="H7" i="1"/>
  <c r="J23" i="1"/>
  <c r="L23" i="1" s="1"/>
  <c r="H8" i="1"/>
  <c r="J24" i="1"/>
  <c r="L24" i="1" s="1"/>
  <c r="H4" i="1"/>
  <c r="J20" i="1"/>
  <c r="L20" i="1" s="1"/>
  <c r="I6" i="1"/>
  <c r="I22" i="1"/>
  <c r="I8" i="1"/>
  <c r="I24" i="1"/>
  <c r="E8" i="1"/>
  <c r="I4" i="1"/>
  <c r="I20" i="1"/>
  <c r="E4" i="1"/>
  <c r="I7" i="1"/>
  <c r="E7" i="1"/>
  <c r="I23" i="1"/>
  <c r="I3" i="1"/>
  <c r="I19" i="1"/>
  <c r="I9" i="1"/>
  <c r="I25" i="1"/>
  <c r="I5" i="1"/>
  <c r="I21" i="1"/>
  <c r="I11" i="1" l="1"/>
  <c r="H9" i="1"/>
  <c r="H11" i="1" s="1"/>
  <c r="E9" i="1"/>
  <c r="E5" i="1"/>
  <c r="J21" i="1"/>
  <c r="L21" i="1" s="1"/>
  <c r="J22" i="1"/>
  <c r="L22" i="1" s="1"/>
  <c r="J25" i="1"/>
  <c r="L25" i="1" s="1"/>
  <c r="E6" i="1"/>
  <c r="E3" i="1"/>
  <c r="J19" i="1"/>
  <c r="E11" i="1" l="1"/>
  <c r="F10" i="1" s="1"/>
  <c r="J11" i="1" l="1"/>
  <c r="F8" i="1"/>
  <c r="C11" i="2" s="1"/>
  <c r="E11" i="2" s="1"/>
  <c r="E26" i="2" s="1"/>
  <c r="F26" i="2" s="1"/>
  <c r="F6" i="1"/>
  <c r="C9" i="2" s="1"/>
  <c r="D9" i="2" s="1"/>
  <c r="C24" i="2" s="1"/>
  <c r="D24" i="2" s="1"/>
  <c r="F4" i="1"/>
  <c r="C7" i="2" s="1"/>
  <c r="F7" i="1"/>
  <c r="C10" i="2" s="1"/>
  <c r="F9" i="1"/>
  <c r="C12" i="2" s="1"/>
  <c r="F5" i="1"/>
  <c r="C8" i="2" s="1"/>
  <c r="F3" i="1"/>
  <c r="C6" i="2" s="1"/>
  <c r="E9" i="2" l="1"/>
  <c r="E24" i="2" s="1"/>
  <c r="F24" i="2" s="1"/>
  <c r="D11" i="2"/>
  <c r="C26" i="2" s="1"/>
  <c r="D26" i="2" s="1"/>
  <c r="D12" i="2"/>
  <c r="C27" i="2" s="1"/>
  <c r="D27" i="2" s="1"/>
  <c r="E12" i="2"/>
  <c r="E27" i="2" s="1"/>
  <c r="F27" i="2" s="1"/>
  <c r="E10" i="2"/>
  <c r="E25" i="2" s="1"/>
  <c r="F25" i="2" s="1"/>
  <c r="D10" i="2"/>
  <c r="C25" i="2" s="1"/>
  <c r="D25" i="2" s="1"/>
  <c r="D6" i="2"/>
  <c r="C21" i="2" s="1"/>
  <c r="D21" i="2" s="1"/>
  <c r="E6" i="2"/>
  <c r="E21" i="2" s="1"/>
  <c r="F21" i="2" s="1"/>
  <c r="D8" i="2"/>
  <c r="C23" i="2" s="1"/>
  <c r="D23" i="2" s="1"/>
  <c r="E8" i="2"/>
  <c r="E23" i="2" s="1"/>
  <c r="F23" i="2" s="1"/>
</calcChain>
</file>

<file path=xl/sharedStrings.xml><?xml version="1.0" encoding="utf-8"?>
<sst xmlns="http://schemas.openxmlformats.org/spreadsheetml/2006/main" count="128" uniqueCount="95">
  <si>
    <t>블레이즈</t>
    <phoneticPr fontId="1" type="noConversion"/>
  </si>
  <si>
    <t>혹한</t>
    <phoneticPr fontId="1" type="noConversion"/>
  </si>
  <si>
    <t>아애</t>
    <phoneticPr fontId="1" type="noConversion"/>
  </si>
  <si>
    <t>익플</t>
    <phoneticPr fontId="1" type="noConversion"/>
  </si>
  <si>
    <t>종말</t>
    <phoneticPr fontId="1" type="noConversion"/>
  </si>
  <si>
    <t>천벌</t>
    <phoneticPr fontId="1" type="noConversion"/>
  </si>
  <si>
    <t>리액트</t>
    <phoneticPr fontId="1" type="noConversion"/>
  </si>
  <si>
    <t>해방</t>
    <phoneticPr fontId="1" type="noConversion"/>
  </si>
  <si>
    <t>노해방</t>
    <phoneticPr fontId="1" type="noConversion"/>
  </si>
  <si>
    <t>블레이즈</t>
    <phoneticPr fontId="1" type="noConversion"/>
  </si>
  <si>
    <t>아애</t>
    <phoneticPr fontId="1" type="noConversion"/>
  </si>
  <si>
    <t>익플</t>
    <phoneticPr fontId="1" type="noConversion"/>
  </si>
  <si>
    <t>종말</t>
    <phoneticPr fontId="1" type="noConversion"/>
  </si>
  <si>
    <t>천벌</t>
    <phoneticPr fontId="1" type="noConversion"/>
  </si>
  <si>
    <t>리액트</t>
    <phoneticPr fontId="1" type="noConversion"/>
  </si>
  <si>
    <t>해방</t>
    <phoneticPr fontId="1" type="noConversion"/>
  </si>
  <si>
    <t>노해방</t>
    <phoneticPr fontId="1" type="noConversion"/>
  </si>
  <si>
    <t>1회딜</t>
    <phoneticPr fontId="1" type="noConversion"/>
  </si>
  <si>
    <t>5회딜</t>
    <phoneticPr fontId="1" type="noConversion"/>
  </si>
  <si>
    <t>해방5회딜</t>
    <phoneticPr fontId="1" type="noConversion"/>
  </si>
  <si>
    <t>1회딜</t>
    <phoneticPr fontId="1" type="noConversion"/>
  </si>
  <si>
    <t>기본치적</t>
    <phoneticPr fontId="1" type="noConversion"/>
  </si>
  <si>
    <t>해방치적</t>
    <phoneticPr fontId="1" type="noConversion"/>
  </si>
  <si>
    <t>치적고려</t>
    <phoneticPr fontId="1" type="noConversion"/>
  </si>
  <si>
    <t>해방</t>
    <phoneticPr fontId="1" type="noConversion"/>
  </si>
  <si>
    <t>기본</t>
    <phoneticPr fontId="1" type="noConversion"/>
  </si>
  <si>
    <t>딜량</t>
    <phoneticPr fontId="1" type="noConversion"/>
  </si>
  <si>
    <t>계</t>
    <phoneticPr fontId="1" type="noConversion"/>
  </si>
  <si>
    <t>비율</t>
    <phoneticPr fontId="1" type="noConversion"/>
  </si>
  <si>
    <t>기본</t>
    <phoneticPr fontId="1" type="noConversion"/>
  </si>
  <si>
    <t>해방딜</t>
    <phoneticPr fontId="1" type="noConversion"/>
  </si>
  <si>
    <t>노해방딜</t>
    <phoneticPr fontId="1" type="noConversion"/>
  </si>
  <si>
    <t>해방딜 비율</t>
  </si>
  <si>
    <t>해방딜 비율</t>
    <phoneticPr fontId="1" type="noConversion"/>
  </si>
  <si>
    <t>블레이즈</t>
  </si>
  <si>
    <t>혹한</t>
  </si>
  <si>
    <t>아애</t>
  </si>
  <si>
    <t>익플</t>
  </si>
  <si>
    <t>종말</t>
  </si>
  <si>
    <t>천벌</t>
  </si>
  <si>
    <t>리액트</t>
  </si>
  <si>
    <t>스킬</t>
    <phoneticPr fontId="1" type="noConversion"/>
  </si>
  <si>
    <t>딜비중</t>
    <phoneticPr fontId="1" type="noConversion"/>
  </si>
  <si>
    <t>기본치적</t>
  </si>
  <si>
    <t>해방치적</t>
  </si>
  <si>
    <t>치명 1당</t>
    <phoneticPr fontId="1" type="noConversion"/>
  </si>
  <si>
    <t>특화 1당</t>
    <phoneticPr fontId="1" type="noConversion"/>
  </si>
  <si>
    <t>현재스탯</t>
    <phoneticPr fontId="1" type="noConversion"/>
  </si>
  <si>
    <t>치명</t>
    <phoneticPr fontId="1" type="noConversion"/>
  </si>
  <si>
    <t>특화</t>
    <phoneticPr fontId="1" type="noConversion"/>
  </si>
  <si>
    <t>&lt;마력강화의 기본 증가량+마력강화 증가량*특화로 증가한 증가량&gt;</t>
  </si>
  <si>
    <t>(노해방)</t>
    <phoneticPr fontId="1" type="noConversion"/>
  </si>
  <si>
    <t>치명 +1</t>
    <phoneticPr fontId="1" type="noConversion"/>
  </si>
  <si>
    <t>특화 +1</t>
    <phoneticPr fontId="1" type="noConversion"/>
  </si>
  <si>
    <t>9멸</t>
    <phoneticPr fontId="1" type="noConversion"/>
  </si>
  <si>
    <t>7멸</t>
    <phoneticPr fontId="1" type="noConversion"/>
  </si>
  <si>
    <t>8멸</t>
    <phoneticPr fontId="1" type="noConversion"/>
  </si>
  <si>
    <t>8멸업글</t>
  </si>
  <si>
    <t>8멸업글</t>
    <phoneticPr fontId="1" type="noConversion"/>
  </si>
  <si>
    <t>9멸업글</t>
  </si>
  <si>
    <t>9멸업글</t>
    <phoneticPr fontId="1" type="noConversion"/>
  </si>
  <si>
    <t>골성비</t>
    <phoneticPr fontId="1" type="noConversion"/>
  </si>
  <si>
    <t>골성비</t>
    <phoneticPr fontId="1" type="noConversion"/>
  </si>
  <si>
    <t>골성비</t>
    <phoneticPr fontId="1" type="noConversion"/>
  </si>
  <si>
    <t>각성기</t>
    <phoneticPr fontId="1" type="noConversion"/>
  </si>
  <si>
    <t>qZdwrsqafqdrzswqqrsafqwsZdrqsqafdrzwqsqrsqwafqsZdrqsqafdrzwqsqrVqsafZdwrqsqadfrzswqqrsqwarqfZdsqrwqadfszrqqwsrqaqsfwZdrqsaqfdrszwqqVrsqawZdrqsfqadrzswqqrsqfwasqZdrqsfqadrzwsqqrsfwqasqZdrsqfadrzwsqqVrsfqaZdwrsqqfdrazswqqrsqfwrsqZdaqrsfqdqrzswqarsqfwsZdrqasfqdrzswqqVrsafqZdwrqsqafdrszwqqrsqawrfsqZdrsqafdqrzswqqrsaqfwsqZdrqswafqdrs</t>
    <phoneticPr fontId="1" type="noConversion"/>
  </si>
  <si>
    <t>점화X</t>
    <phoneticPr fontId="1" type="noConversion"/>
  </si>
  <si>
    <t>점화</t>
    <phoneticPr fontId="1" type="noConversion"/>
  </si>
  <si>
    <t>qswqqrsafqwswqsqrsqwafqswqsqrVqsafswqqrsqwarqfrqqwsrqaqsfwwqqVrsqawswqqrsqfwasqwsqqrsfwqasqwsqqVrsfqaswqqrsqfwrsqswqarsqfwsswqqVrsafqwqqrsqawrfsqswqqrsaqfwsq</t>
  </si>
  <si>
    <t>Zdwrsqafqdrz</t>
  </si>
  <si>
    <t>Zdrqsqafdrz</t>
  </si>
  <si>
    <t>Zdwrqsqadfrz</t>
  </si>
  <si>
    <t>Zdsqrwqadfsz</t>
  </si>
  <si>
    <t>Zdrqsaqfdrsz</t>
  </si>
  <si>
    <t>Zdrqsfqadrz</t>
  </si>
  <si>
    <t>Zdrsqfadrz</t>
  </si>
  <si>
    <t>Zdwrsqqfdraz</t>
  </si>
  <si>
    <t>Zdaqrsfqdqrz</t>
  </si>
  <si>
    <t>Zdrqasfqdrz</t>
  </si>
  <si>
    <t>Zdwrqsqafdrsz</t>
  </si>
  <si>
    <t>Zdrsqafdqrz</t>
  </si>
  <si>
    <t>Zdrqswafqdrsz</t>
  </si>
  <si>
    <t>ZdwrsqafqdrzZdrqsqafdrzZdrqsqafdrzZdwrqsqadfrzZdsqrwqadfszZdrqsaqfdrszZdrqsfqadrzZdrqsfqadrzZdrsqfadrzZdwrsqqfdrazZdaqrsfqdqrzZdrqasfqdrzZdwrqsqafdrszZdrsqafdqrzZdrqswafqdrsz</t>
  </si>
  <si>
    <t>각성기</t>
    <phoneticPr fontId="1" type="noConversion"/>
  </si>
  <si>
    <t>각성기</t>
    <phoneticPr fontId="1" type="noConversion"/>
  </si>
  <si>
    <t>각성기</t>
    <phoneticPr fontId="1" type="noConversion"/>
  </si>
  <si>
    <t>9분딜, 정비소 각성약+각성기 사용 기준, 해방 총 15회, 마지막 해방 끝날때까지 측정</t>
    <phoneticPr fontId="1" type="noConversion"/>
  </si>
  <si>
    <t>해방 딜상승</t>
    <phoneticPr fontId="1" type="noConversion"/>
  </si>
  <si>
    <t>딜 상승량</t>
    <phoneticPr fontId="1" type="noConversion"/>
  </si>
  <si>
    <t>가격</t>
    <phoneticPr fontId="1" type="noConversion"/>
  </si>
  <si>
    <t>*10만골 투자당 딜 상승량(%)</t>
    <phoneticPr fontId="1" type="noConversion"/>
  </si>
  <si>
    <t>악세 품질업 골성비</t>
    <phoneticPr fontId="1" type="noConversion"/>
  </si>
  <si>
    <t>10만골드 투자로 품질을 올려서 스탯을 올릴 경우 딜 상승량</t>
    <phoneticPr fontId="1" type="noConversion"/>
  </si>
  <si>
    <t>스탯상승</t>
    <phoneticPr fontId="1" type="noConversion"/>
  </si>
  <si>
    <t>딜상승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</si>
</sst>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%"/>
    <numFmt numFmtId="178" formatCode="0.00000%"/>
    <numFmt numFmtId="179" formatCode="0.000%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18" sqref="E18"/>
    </sheetView>
  </sheetViews>
  <sheetFormatPr defaultRowHeight="16.5" x14ac:dyDescent="0.3"/>
  <sheetData>
    <row r="1" spans="1:5" x14ac:dyDescent="0.3">
      <c r="E1" t="s">
        <v>86</v>
      </c>
    </row>
    <row r="2" spans="1:5" x14ac:dyDescent="0.3">
      <c r="B2" t="s">
        <v>83</v>
      </c>
      <c r="C2">
        <f>LEN(B$20)-LEN(SUBSTITUTE(B$20,"V",""))</f>
        <v>4</v>
      </c>
    </row>
    <row r="3" spans="1:5" x14ac:dyDescent="0.3">
      <c r="A3" t="s">
        <v>7</v>
      </c>
      <c r="B3" t="s">
        <v>0</v>
      </c>
      <c r="C3">
        <f>LEN(B$21)-LEN(SUBSTITUTE(B$21,"q",""))</f>
        <v>30</v>
      </c>
    </row>
    <row r="4" spans="1:5" x14ac:dyDescent="0.3">
      <c r="A4" t="s">
        <v>8</v>
      </c>
      <c r="C4">
        <f>LEN(B$20)-LEN(SUBSTITUTE(B$20,"q",""))</f>
        <v>50</v>
      </c>
    </row>
    <row r="5" spans="1:5" x14ac:dyDescent="0.3">
      <c r="B5" t="s">
        <v>1</v>
      </c>
      <c r="C5">
        <f>LEN(B$21)-LEN(SUBSTITUTE(B$21,"w",""))</f>
        <v>6</v>
      </c>
    </row>
    <row r="6" spans="1:5" x14ac:dyDescent="0.3">
      <c r="C6">
        <f>LEN(B$20)-LEN(SUBSTITUTE(B$20,"w",""))</f>
        <v>25</v>
      </c>
    </row>
    <row r="7" spans="1:5" x14ac:dyDescent="0.3">
      <c r="B7" t="s">
        <v>2</v>
      </c>
      <c r="C7">
        <f>LEN(B$21)-LEN(SUBSTITUTE(B$21,"s",""))</f>
        <v>19</v>
      </c>
    </row>
    <row r="8" spans="1:5" x14ac:dyDescent="0.3">
      <c r="C8">
        <f>LEN(B$20)-LEN(SUBSTITUTE(B$20,"s",""))</f>
        <v>34</v>
      </c>
    </row>
    <row r="9" spans="1:5" x14ac:dyDescent="0.3">
      <c r="B9" t="s">
        <v>3</v>
      </c>
      <c r="C9">
        <f>LEN(B$21)-LEN(SUBSTITUTE(B$21,"a",""))</f>
        <v>15</v>
      </c>
    </row>
    <row r="10" spans="1:5" x14ac:dyDescent="0.3">
      <c r="C10">
        <f>LEN(B$20)-LEN(SUBSTITUTE(B$20,"a",""))</f>
        <v>13</v>
      </c>
    </row>
    <row r="11" spans="1:5" x14ac:dyDescent="0.3">
      <c r="B11" t="s">
        <v>4</v>
      </c>
      <c r="C11">
        <f>LEN(B$21)-LEN(SUBSTITUTE(B$21,"d",""))</f>
        <v>30</v>
      </c>
    </row>
    <row r="12" spans="1:5" x14ac:dyDescent="0.3">
      <c r="C12">
        <f>LEN(B$20)-LEN(SUBSTITUTE(B$20,"d",""))</f>
        <v>0</v>
      </c>
    </row>
    <row r="13" spans="1:5" x14ac:dyDescent="0.3">
      <c r="B13" t="s">
        <v>5</v>
      </c>
      <c r="C13">
        <f>LEN(B$21)-LEN(SUBSTITUTE(B$21,"f",""))</f>
        <v>15</v>
      </c>
    </row>
    <row r="14" spans="1:5" x14ac:dyDescent="0.3">
      <c r="C14">
        <f>LEN(B$20)-LEN(SUBSTITUTE(B$20,"f",""))</f>
        <v>13</v>
      </c>
    </row>
    <row r="15" spans="1:5" x14ac:dyDescent="0.3">
      <c r="B15" t="s">
        <v>6</v>
      </c>
      <c r="C15">
        <f>LEN(B$21)-LEN(SUBSTITUTE(B$21,"r",""))</f>
        <v>29</v>
      </c>
    </row>
    <row r="16" spans="1:5" x14ac:dyDescent="0.3">
      <c r="C16">
        <f>LEN(B$20)-LEN(SUBSTITUTE(B$20,"r",""))</f>
        <v>18</v>
      </c>
    </row>
    <row r="18" spans="1:2" x14ac:dyDescent="0.3">
      <c r="B18" t="s">
        <v>65</v>
      </c>
    </row>
    <row r="20" spans="1:2" x14ac:dyDescent="0.3">
      <c r="A20" t="s">
        <v>66</v>
      </c>
      <c r="B20" t="s">
        <v>68</v>
      </c>
    </row>
    <row r="21" spans="1:2" x14ac:dyDescent="0.3">
      <c r="A21" t="s">
        <v>67</v>
      </c>
      <c r="B21" t="s">
        <v>82</v>
      </c>
    </row>
    <row r="22" spans="1:2" x14ac:dyDescent="0.3">
      <c r="B22" t="s">
        <v>69</v>
      </c>
    </row>
    <row r="23" spans="1:2" x14ac:dyDescent="0.3">
      <c r="B23" t="s">
        <v>70</v>
      </c>
    </row>
    <row r="24" spans="1:2" x14ac:dyDescent="0.3">
      <c r="B24" t="s">
        <v>70</v>
      </c>
    </row>
    <row r="25" spans="1:2" x14ac:dyDescent="0.3">
      <c r="B25" t="s">
        <v>71</v>
      </c>
    </row>
    <row r="26" spans="1:2" x14ac:dyDescent="0.3">
      <c r="B26" t="s">
        <v>72</v>
      </c>
    </row>
    <row r="27" spans="1:2" x14ac:dyDescent="0.3">
      <c r="B27" t="s">
        <v>73</v>
      </c>
    </row>
    <row r="28" spans="1:2" x14ac:dyDescent="0.3">
      <c r="B28" t="s">
        <v>74</v>
      </c>
    </row>
    <row r="29" spans="1:2" x14ac:dyDescent="0.3">
      <c r="B29" t="s">
        <v>74</v>
      </c>
    </row>
    <row r="30" spans="1:2" x14ac:dyDescent="0.3">
      <c r="B30" t="s">
        <v>75</v>
      </c>
    </row>
    <row r="31" spans="1:2" x14ac:dyDescent="0.3">
      <c r="B31" t="s">
        <v>76</v>
      </c>
    </row>
    <row r="32" spans="1:2" x14ac:dyDescent="0.3">
      <c r="B32" t="s">
        <v>77</v>
      </c>
    </row>
    <row r="33" spans="2:2" x14ac:dyDescent="0.3">
      <c r="B33" t="s">
        <v>78</v>
      </c>
    </row>
    <row r="34" spans="2:2" x14ac:dyDescent="0.3">
      <c r="B34" t="s">
        <v>79</v>
      </c>
    </row>
    <row r="35" spans="2:2" x14ac:dyDescent="0.3">
      <c r="B35" t="s">
        <v>80</v>
      </c>
    </row>
    <row r="36" spans="2:2" x14ac:dyDescent="0.3">
      <c r="B36" t="s">
        <v>81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workbookViewId="0">
      <selection activeCell="N29" sqref="N29"/>
    </sheetView>
  </sheetViews>
  <sheetFormatPr defaultRowHeight="16.5" x14ac:dyDescent="0.3"/>
  <cols>
    <col min="3" max="3" width="9.5" bestFit="1" customWidth="1"/>
    <col min="5" max="5" width="11.5" customWidth="1"/>
    <col min="7" max="7" width="10.125" bestFit="1" customWidth="1"/>
    <col min="8" max="8" width="12.375" bestFit="1" customWidth="1"/>
    <col min="9" max="9" width="11.875" customWidth="1"/>
    <col min="10" max="10" width="10.5" customWidth="1"/>
    <col min="11" max="12" width="11.625" bestFit="1" customWidth="1"/>
  </cols>
  <sheetData>
    <row r="2" spans="2:10" x14ac:dyDescent="0.3">
      <c r="C2" t="s">
        <v>15</v>
      </c>
      <c r="D2" t="s">
        <v>16</v>
      </c>
      <c r="E2" t="s">
        <v>26</v>
      </c>
      <c r="F2" t="s">
        <v>28</v>
      </c>
      <c r="H2" t="s">
        <v>30</v>
      </c>
      <c r="I2" t="s">
        <v>31</v>
      </c>
    </row>
    <row r="3" spans="2:10" x14ac:dyDescent="0.3">
      <c r="B3" t="s">
        <v>9</v>
      </c>
      <c r="C3">
        <v>30</v>
      </c>
      <c r="D3">
        <v>50</v>
      </c>
      <c r="E3" s="3">
        <f>C3*H19+D3*G19</f>
        <v>158534689.61919999</v>
      </c>
      <c r="F3" s="2">
        <f>E3/E$11</f>
        <v>5.758903068156615E-2</v>
      </c>
      <c r="G3" t="s">
        <v>9</v>
      </c>
      <c r="H3" s="3">
        <f>C3*H19</f>
        <v>104627760.76319999</v>
      </c>
      <c r="I3" s="3">
        <f>D3*G19</f>
        <v>53906928.855999999</v>
      </c>
    </row>
    <row r="4" spans="2:10" x14ac:dyDescent="0.3">
      <c r="B4" t="s">
        <v>1</v>
      </c>
      <c r="C4">
        <v>6</v>
      </c>
      <c r="D4">
        <v>25</v>
      </c>
      <c r="E4" s="3">
        <f>C4*H20+D4*G20</f>
        <v>98950197.075760007</v>
      </c>
      <c r="F4" s="2">
        <f>E4/E$11</f>
        <v>3.5944473408505206E-2</v>
      </c>
      <c r="G4" t="s">
        <v>1</v>
      </c>
      <c r="H4" s="3">
        <f>C4*H20</f>
        <v>43133817.749760002</v>
      </c>
      <c r="I4" s="3">
        <f>D4*G20</f>
        <v>55816379.326000005</v>
      </c>
    </row>
    <row r="5" spans="2:10" x14ac:dyDescent="0.3">
      <c r="B5" t="s">
        <v>10</v>
      </c>
      <c r="C5">
        <v>19</v>
      </c>
      <c r="D5">
        <v>34</v>
      </c>
      <c r="E5" s="3">
        <f>C5*H21+D5*G21</f>
        <v>287117430.87944001</v>
      </c>
      <c r="F5" s="2">
        <f>E5/E$11</f>
        <v>0.1042977696291273</v>
      </c>
      <c r="G5" t="s">
        <v>10</v>
      </c>
      <c r="H5" s="3">
        <f>C5*H21</f>
        <v>184733002.09751999</v>
      </c>
      <c r="I5" s="3">
        <f>D5*G21</f>
        <v>102384428.78192002</v>
      </c>
    </row>
    <row r="6" spans="2:10" x14ac:dyDescent="0.3">
      <c r="B6" t="s">
        <v>11</v>
      </c>
      <c r="C6">
        <v>15</v>
      </c>
      <c r="D6">
        <v>13</v>
      </c>
      <c r="E6" s="3">
        <f>C6*H22+D6*G22</f>
        <v>449568769.47112</v>
      </c>
      <c r="F6" s="2">
        <f>E6/E$11</f>
        <v>0.16330955528240887</v>
      </c>
      <c r="G6" t="s">
        <v>11</v>
      </c>
      <c r="H6" s="3">
        <f>C6*H22</f>
        <v>367879114.69920003</v>
      </c>
      <c r="I6" s="3">
        <f>D6*G22</f>
        <v>81689654.771919996</v>
      </c>
    </row>
    <row r="7" spans="2:10" x14ac:dyDescent="0.3">
      <c r="B7" t="s">
        <v>12</v>
      </c>
      <c r="C7">
        <v>30</v>
      </c>
      <c r="D7">
        <v>0</v>
      </c>
      <c r="E7" s="3">
        <f>C7*H23+D7*G23</f>
        <v>885898619.29919994</v>
      </c>
      <c r="F7" s="2">
        <f>E7/E$11</f>
        <v>0.32180996405344442</v>
      </c>
      <c r="G7" t="s">
        <v>12</v>
      </c>
      <c r="H7" s="3">
        <f>C7*H23</f>
        <v>885898619.29919994</v>
      </c>
      <c r="I7" s="3">
        <f>D7*G23</f>
        <v>0</v>
      </c>
    </row>
    <row r="8" spans="2:10" x14ac:dyDescent="0.3">
      <c r="B8" t="s">
        <v>13</v>
      </c>
      <c r="C8">
        <v>15</v>
      </c>
      <c r="D8">
        <v>13</v>
      </c>
      <c r="E8" s="3">
        <f>C8*H24+D8*G24</f>
        <v>457617179.30663997</v>
      </c>
      <c r="F8" s="2">
        <f>E8/E$11</f>
        <v>0.16623320639037081</v>
      </c>
      <c r="G8" t="s">
        <v>13</v>
      </c>
      <c r="H8" s="3">
        <f>C8*H24</f>
        <v>371763912.78839999</v>
      </c>
      <c r="I8" s="3">
        <f>D8*G24</f>
        <v>85853266.51823999</v>
      </c>
    </row>
    <row r="9" spans="2:10" x14ac:dyDescent="0.3">
      <c r="B9" t="s">
        <v>14</v>
      </c>
      <c r="C9">
        <v>29</v>
      </c>
      <c r="D9">
        <v>18</v>
      </c>
      <c r="E9" s="3">
        <f>C9*H25+D9*G25</f>
        <v>372772627.12511998</v>
      </c>
      <c r="F9" s="2">
        <f>E9/E$11</f>
        <v>0.13541272457354109</v>
      </c>
      <c r="G9" t="s">
        <v>14</v>
      </c>
      <c r="H9" s="3">
        <f>C9*H25</f>
        <v>313360308.28799999</v>
      </c>
      <c r="I9" s="3">
        <f>D9*G25</f>
        <v>59412318.837120004</v>
      </c>
      <c r="J9" t="s">
        <v>33</v>
      </c>
    </row>
    <row r="10" spans="2:10" x14ac:dyDescent="0.3">
      <c r="B10" t="s">
        <v>84</v>
      </c>
      <c r="D10">
        <v>4</v>
      </c>
      <c r="E10" s="3">
        <f>C10*H26+D10*G26</f>
        <v>42403102.602559999</v>
      </c>
      <c r="F10" s="2">
        <f>E10/E$11</f>
        <v>1.5403275981036031E-2</v>
      </c>
      <c r="G10" t="s">
        <v>85</v>
      </c>
      <c r="H10" s="3">
        <f>C10*H26</f>
        <v>0</v>
      </c>
      <c r="I10" s="3">
        <f>D10*G26</f>
        <v>42403102.602559999</v>
      </c>
    </row>
    <row r="11" spans="2:10" x14ac:dyDescent="0.3">
      <c r="B11" t="s">
        <v>27</v>
      </c>
      <c r="E11" s="3">
        <f>SUM(E3:E10)</f>
        <v>2752862615.3790402</v>
      </c>
      <c r="H11" s="3">
        <f>SUM(H3:H10)</f>
        <v>2271396535.6852798</v>
      </c>
      <c r="I11" s="3">
        <f>SUM(I3:I10)</f>
        <v>481466079.69375998</v>
      </c>
      <c r="J11" s="4">
        <f>H11/E11</f>
        <v>0.82510348427705038</v>
      </c>
    </row>
    <row r="17" spans="2:12" x14ac:dyDescent="0.3">
      <c r="G17" t="s">
        <v>23</v>
      </c>
    </row>
    <row r="18" spans="2:12" x14ac:dyDescent="0.3">
      <c r="C18" t="s">
        <v>18</v>
      </c>
      <c r="D18" t="s">
        <v>17</v>
      </c>
      <c r="E18" t="s">
        <v>19</v>
      </c>
      <c r="F18" t="s">
        <v>20</v>
      </c>
      <c r="G18" t="s">
        <v>25</v>
      </c>
      <c r="H18" t="s">
        <v>24</v>
      </c>
      <c r="I18" t="s">
        <v>29</v>
      </c>
      <c r="J18" t="s">
        <v>24</v>
      </c>
      <c r="L18" t="s">
        <v>87</v>
      </c>
    </row>
    <row r="19" spans="2:12" x14ac:dyDescent="0.3">
      <c r="B19" t="s">
        <v>9</v>
      </c>
      <c r="C19">
        <v>3725942</v>
      </c>
      <c r="D19">
        <f>C19/5</f>
        <v>745188.4</v>
      </c>
      <c r="E19">
        <v>8526286</v>
      </c>
      <c r="F19">
        <f>E19/5</f>
        <v>1705257.2</v>
      </c>
      <c r="G19" s="3">
        <f>D19*(1+1*C$28)</f>
        <v>1078138.57712</v>
      </c>
      <c r="H19" s="3">
        <f>F19*(1+C$29*1.5)</f>
        <v>3487592.0254399995</v>
      </c>
      <c r="I19" s="3">
        <f>ROUND(G19,-4)</f>
        <v>1080000</v>
      </c>
      <c r="J19" s="3">
        <f>ROUND(H19,-4)</f>
        <v>3490000</v>
      </c>
      <c r="K19" t="s">
        <v>9</v>
      </c>
      <c r="L19" s="2">
        <f>J19/I19</f>
        <v>3.2314814814814814</v>
      </c>
    </row>
    <row r="20" spans="2:12" x14ac:dyDescent="0.3">
      <c r="B20" t="s">
        <v>1</v>
      </c>
      <c r="C20">
        <v>7715839</v>
      </c>
      <c r="D20">
        <f t="shared" ref="D20:D26" si="0">C20/5</f>
        <v>1543167.8</v>
      </c>
      <c r="E20">
        <v>17575224</v>
      </c>
      <c r="F20">
        <f t="shared" ref="F20:F26" si="1">E20/5</f>
        <v>3515044.8</v>
      </c>
      <c r="G20" s="3">
        <f>D20*(1+1*C$28)</f>
        <v>2232655.1730400003</v>
      </c>
      <c r="H20" s="3">
        <f t="shared" ref="H20:H24" si="2">F20*(1+C$29*1.5)</f>
        <v>7188969.6249599997</v>
      </c>
      <c r="I20" s="3">
        <f t="shared" ref="I20:I25" si="3">ROUND(G20,-4)</f>
        <v>2230000</v>
      </c>
      <c r="J20" s="3">
        <f t="shared" ref="J20:J25" si="4">ROUND(H20,-4)</f>
        <v>7190000</v>
      </c>
      <c r="K20" t="s">
        <v>1</v>
      </c>
      <c r="L20" s="2">
        <f t="shared" ref="L20:L25" si="5">J20/I20</f>
        <v>3.2242152466367715</v>
      </c>
    </row>
    <row r="21" spans="2:12" x14ac:dyDescent="0.3">
      <c r="B21" t="s">
        <v>10</v>
      </c>
      <c r="C21">
        <v>10406783</v>
      </c>
      <c r="D21">
        <f t="shared" si="0"/>
        <v>2081356.6</v>
      </c>
      <c r="E21">
        <v>23769777</v>
      </c>
      <c r="F21">
        <f t="shared" si="1"/>
        <v>4753955.4000000004</v>
      </c>
      <c r="G21" s="3">
        <f>D21*(1+1*C$28)</f>
        <v>3011306.7288800003</v>
      </c>
      <c r="H21" s="3">
        <f t="shared" si="2"/>
        <v>9722789.5840799995</v>
      </c>
      <c r="I21" s="3">
        <f t="shared" si="3"/>
        <v>3010000</v>
      </c>
      <c r="J21" s="3">
        <f t="shared" si="4"/>
        <v>9720000</v>
      </c>
      <c r="K21" t="s">
        <v>10</v>
      </c>
      <c r="L21" s="2">
        <f t="shared" si="5"/>
        <v>3.2292358803986709</v>
      </c>
    </row>
    <row r="22" spans="2:12" x14ac:dyDescent="0.3">
      <c r="B22" t="s">
        <v>11</v>
      </c>
      <c r="C22">
        <v>21716269</v>
      </c>
      <c r="D22">
        <f t="shared" si="0"/>
        <v>4343253.8</v>
      </c>
      <c r="E22">
        <v>59958132</v>
      </c>
      <c r="F22">
        <f t="shared" si="1"/>
        <v>11991626.4</v>
      </c>
      <c r="G22" s="3">
        <f>D22*(1+1*C$28)</f>
        <v>6283819.5978399999</v>
      </c>
      <c r="H22" s="3">
        <f t="shared" si="2"/>
        <v>24525274.313280001</v>
      </c>
      <c r="I22" s="3">
        <f t="shared" si="3"/>
        <v>6280000</v>
      </c>
      <c r="J22" s="3">
        <f t="shared" si="4"/>
        <v>24530000</v>
      </c>
      <c r="K22" t="s">
        <v>11</v>
      </c>
      <c r="L22" s="2">
        <f t="shared" si="5"/>
        <v>3.9060509554140128</v>
      </c>
    </row>
    <row r="23" spans="2:12" x14ac:dyDescent="0.3">
      <c r="B23" t="s">
        <v>12</v>
      </c>
      <c r="C23">
        <v>26638703</v>
      </c>
      <c r="D23">
        <f t="shared" si="0"/>
        <v>5327740.5999999996</v>
      </c>
      <c r="E23">
        <v>72193316</v>
      </c>
      <c r="F23">
        <f t="shared" si="1"/>
        <v>14438663.199999999</v>
      </c>
      <c r="G23" s="3">
        <f>D23*(1+1*C$28)</f>
        <v>7708175.1000800002</v>
      </c>
      <c r="H23" s="3">
        <f t="shared" si="2"/>
        <v>29529953.976639997</v>
      </c>
      <c r="I23" s="3">
        <f t="shared" si="3"/>
        <v>7710000</v>
      </c>
      <c r="J23" s="3">
        <f t="shared" si="4"/>
        <v>29530000</v>
      </c>
      <c r="K23" t="s">
        <v>12</v>
      </c>
      <c r="L23" s="2">
        <f t="shared" si="5"/>
        <v>3.8300907911802855</v>
      </c>
    </row>
    <row r="24" spans="2:12" x14ac:dyDescent="0.3">
      <c r="B24" t="s">
        <v>13</v>
      </c>
      <c r="C24">
        <v>22823118</v>
      </c>
      <c r="D24">
        <f t="shared" si="0"/>
        <v>4564623.5999999996</v>
      </c>
      <c r="E24">
        <v>60591289</v>
      </c>
      <c r="F24">
        <f t="shared" si="1"/>
        <v>12118257.800000001</v>
      </c>
      <c r="G24" s="3">
        <f>D24*(1+1*C$28)</f>
        <v>6604097.4244799996</v>
      </c>
      <c r="H24" s="3">
        <f t="shared" si="2"/>
        <v>24784260.852559999</v>
      </c>
      <c r="I24" s="3">
        <f t="shared" si="3"/>
        <v>6600000</v>
      </c>
      <c r="J24" s="3">
        <f t="shared" si="4"/>
        <v>24780000</v>
      </c>
      <c r="K24" t="s">
        <v>13</v>
      </c>
      <c r="L24" s="2">
        <f t="shared" si="5"/>
        <v>3.7545454545454544</v>
      </c>
    </row>
    <row r="25" spans="2:12" x14ac:dyDescent="0.3">
      <c r="B25" t="s">
        <v>14</v>
      </c>
      <c r="C25">
        <v>11406844</v>
      </c>
      <c r="D25">
        <f t="shared" si="0"/>
        <v>2281368.7999999998</v>
      </c>
      <c r="E25">
        <v>26416800</v>
      </c>
      <c r="F25">
        <f t="shared" si="1"/>
        <v>5283360</v>
      </c>
      <c r="G25" s="3">
        <f>D25*(1+1*C$28)</f>
        <v>3300684.3798400001</v>
      </c>
      <c r="H25" s="3">
        <f>F25*(1+C$29*1.5)</f>
        <v>10805527.872</v>
      </c>
      <c r="I25" s="3">
        <f t="shared" si="3"/>
        <v>3300000</v>
      </c>
      <c r="J25" s="3">
        <f t="shared" si="4"/>
        <v>10810000</v>
      </c>
      <c r="K25" t="s">
        <v>14</v>
      </c>
      <c r="L25" s="2">
        <f t="shared" si="5"/>
        <v>3.2757575757575759</v>
      </c>
    </row>
    <row r="26" spans="2:12" x14ac:dyDescent="0.3">
      <c r="B26" t="s">
        <v>64</v>
      </c>
      <c r="C26">
        <v>36635249</v>
      </c>
      <c r="D26">
        <f t="shared" si="0"/>
        <v>7327049.7999999998</v>
      </c>
      <c r="E26">
        <v>36635249</v>
      </c>
      <c r="F26">
        <f t="shared" si="1"/>
        <v>7327049.7999999998</v>
      </c>
      <c r="G26" s="3">
        <f>D26*(1+1*C$28)</f>
        <v>10600775.65064</v>
      </c>
      <c r="H26" s="3">
        <f>F26*(1+C$29*1.5)</f>
        <v>14985282.25096</v>
      </c>
      <c r="I26" s="3">
        <f>ROUND(G26,-4)</f>
        <v>10600000</v>
      </c>
      <c r="J26" s="3">
        <f t="shared" ref="J26" si="6">ROUND(H26,-4)</f>
        <v>14990000</v>
      </c>
    </row>
    <row r="28" spans="2:12" x14ac:dyDescent="0.3">
      <c r="B28" t="s">
        <v>21</v>
      </c>
      <c r="C28" s="1">
        <f>(19.68+15+10)%</f>
        <v>0.44679999999999997</v>
      </c>
    </row>
    <row r="29" spans="2:12" x14ac:dyDescent="0.3">
      <c r="B29" t="s">
        <v>22</v>
      </c>
      <c r="C29" s="1">
        <f>C28+25%</f>
        <v>0.69679999999999997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workbookViewId="0">
      <selection activeCell="M24" sqref="M24"/>
    </sheetView>
  </sheetViews>
  <sheetFormatPr defaultRowHeight="16.5" x14ac:dyDescent="0.3"/>
  <cols>
    <col min="3" max="5" width="10.75" customWidth="1"/>
    <col min="6" max="6" width="13.125" bestFit="1" customWidth="1"/>
    <col min="9" max="9" width="10.125" customWidth="1"/>
  </cols>
  <sheetData>
    <row r="1" spans="2:13" x14ac:dyDescent="0.3">
      <c r="K1" t="s">
        <v>47</v>
      </c>
    </row>
    <row r="2" spans="2:13" x14ac:dyDescent="0.3">
      <c r="B2" t="s">
        <v>43</v>
      </c>
      <c r="C2" s="4">
        <f>M2+15%+10%</f>
        <v>0.44673499999999999</v>
      </c>
      <c r="E2" t="s">
        <v>32</v>
      </c>
      <c r="F2" s="4">
        <f>딜계산!J11</f>
        <v>0.82510348427705038</v>
      </c>
      <c r="H2" t="s">
        <v>45</v>
      </c>
      <c r="I2" s="5">
        <v>3.5770000000000002E-4</v>
      </c>
      <c r="K2" t="s">
        <v>48</v>
      </c>
      <c r="L2">
        <v>550</v>
      </c>
      <c r="M2">
        <f>L2*I2</f>
        <v>0.19673500000000002</v>
      </c>
    </row>
    <row r="3" spans="2:13" x14ac:dyDescent="0.3">
      <c r="B3" t="s">
        <v>44</v>
      </c>
      <c r="C3" s="4">
        <f>C2+25%</f>
        <v>0.69673499999999999</v>
      </c>
      <c r="E3" t="s">
        <v>51</v>
      </c>
      <c r="F3" s="4">
        <f>1-F2</f>
        <v>0.17489651572294962</v>
      </c>
      <c r="H3" t="s">
        <v>46</v>
      </c>
      <c r="I3" s="5">
        <v>3.0760000000000002E-3</v>
      </c>
      <c r="K3" t="s">
        <v>49</v>
      </c>
      <c r="L3">
        <v>1784</v>
      </c>
      <c r="M3">
        <f>L3*I3</f>
        <v>5.487584</v>
      </c>
    </row>
    <row r="4" spans="2:13" x14ac:dyDescent="0.3">
      <c r="K4" s="6" t="s">
        <v>50</v>
      </c>
    </row>
    <row r="5" spans="2:13" x14ac:dyDescent="0.3">
      <c r="B5" t="s">
        <v>41</v>
      </c>
      <c r="C5" t="s">
        <v>42</v>
      </c>
      <c r="D5" t="s">
        <v>58</v>
      </c>
      <c r="E5" t="s">
        <v>60</v>
      </c>
      <c r="I5" t="s">
        <v>88</v>
      </c>
    </row>
    <row r="6" spans="2:13" x14ac:dyDescent="0.3">
      <c r="B6" t="s">
        <v>34</v>
      </c>
      <c r="C6" s="4">
        <f>딜계산!F3</f>
        <v>5.758903068156615E-2</v>
      </c>
      <c r="D6" s="1">
        <f>C6*(1+C$16)/(1+C$15)-C6</f>
        <v>1.4278272069809805E-3</v>
      </c>
      <c r="E6" s="1">
        <f>C6*(1+C$17)/(1+C$15)-C6</f>
        <v>4.2834816209429416E-3</v>
      </c>
      <c r="H6" t="s">
        <v>52</v>
      </c>
      <c r="I6" s="7">
        <f>F3*(1+C2+I2)/(1+C2)+F2*((1-C3-I2)+(C3+I2)*2.5)/((1-C3)+(C3)*2.5)-1</f>
        <v>2.5971543410374665E-4</v>
      </c>
    </row>
    <row r="7" spans="2:13" x14ac:dyDescent="0.3">
      <c r="B7" t="s">
        <v>35</v>
      </c>
      <c r="C7" s="4">
        <f>딜계산!F4</f>
        <v>3.5944473408505206E-2</v>
      </c>
      <c r="D7" s="1"/>
      <c r="E7" s="1"/>
      <c r="H7" t="s">
        <v>53</v>
      </c>
      <c r="I7" s="7">
        <f>F2*(1+0.2+0.2*(M3+I3))/(1+0.2+0.2*M3)-F2</f>
        <v>2.2093577880566428E-4</v>
      </c>
    </row>
    <row r="8" spans="2:13" x14ac:dyDescent="0.3">
      <c r="B8" t="s">
        <v>36</v>
      </c>
      <c r="C8" s="4">
        <f>딜계산!F5</f>
        <v>0.1042977696291273</v>
      </c>
      <c r="D8" s="1">
        <f>C8*(1+C$16)/(1+C$15)-C8</f>
        <v>2.5858951147717663E-3</v>
      </c>
      <c r="E8" s="1">
        <f>C8*(1+C$17)/(1+C$15)-C8</f>
        <v>7.7576853443152571E-3</v>
      </c>
    </row>
    <row r="9" spans="2:13" x14ac:dyDescent="0.3">
      <c r="B9" t="s">
        <v>37</v>
      </c>
      <c r="C9" s="4">
        <f>딜계산!F6</f>
        <v>0.16330955528240887</v>
      </c>
      <c r="D9" s="1">
        <f>C9*(1+C$16)/(1+C$15)-C9</f>
        <v>4.0489972384068207E-3</v>
      </c>
      <c r="E9" s="1">
        <f>C9*(1+C$17)/(1+C$15)-C9</f>
        <v>1.214699171522049E-2</v>
      </c>
    </row>
    <row r="10" spans="2:13" x14ac:dyDescent="0.3">
      <c r="B10" t="s">
        <v>38</v>
      </c>
      <c r="C10" s="4">
        <f>딜계산!F7</f>
        <v>0.32180996405344442</v>
      </c>
      <c r="D10" s="1">
        <f>C10*(1+C$16)/(1+C$15)-C10</f>
        <v>7.9787594393416206E-3</v>
      </c>
      <c r="E10" s="1">
        <f>C10*(1+C$17)/(1+C$15)-C10</f>
        <v>2.3936278318024806E-2</v>
      </c>
    </row>
    <row r="11" spans="2:13" x14ac:dyDescent="0.3">
      <c r="B11" t="s">
        <v>39</v>
      </c>
      <c r="C11" s="4">
        <f>딜계산!F8</f>
        <v>0.16623320639037081</v>
      </c>
      <c r="D11" s="1">
        <f>C11*(1+C$16)/(1+C$15)-C11</f>
        <v>4.121484455959612E-3</v>
      </c>
      <c r="E11" s="1">
        <f>C11*(1+C$17)/(1+C$15)-C11</f>
        <v>1.2364453367878808E-2</v>
      </c>
    </row>
    <row r="12" spans="2:13" x14ac:dyDescent="0.3">
      <c r="B12" t="s">
        <v>40</v>
      </c>
      <c r="C12" s="4">
        <f>딜계산!F9</f>
        <v>0.13541272457354109</v>
      </c>
      <c r="D12" s="1">
        <f>C12*(1+C$16)/(1+C$15)-C12</f>
        <v>3.357340278682841E-3</v>
      </c>
      <c r="E12" s="1">
        <f>C12*(1+C$17)/(1+C$15)-C12</f>
        <v>1.0072020836048523E-2</v>
      </c>
    </row>
    <row r="13" spans="2:13" x14ac:dyDescent="0.3">
      <c r="C13" s="4"/>
      <c r="D13" s="1"/>
      <c r="E13" s="1"/>
    </row>
    <row r="14" spans="2:13" x14ac:dyDescent="0.3">
      <c r="D14" t="s">
        <v>89</v>
      </c>
    </row>
    <row r="15" spans="2:13" x14ac:dyDescent="0.3">
      <c r="B15" t="s">
        <v>55</v>
      </c>
      <c r="C15" s="2">
        <v>0.21</v>
      </c>
      <c r="D15">
        <v>13500</v>
      </c>
    </row>
    <row r="16" spans="2:13" x14ac:dyDescent="0.3">
      <c r="B16" t="s">
        <v>56</v>
      </c>
      <c r="C16" s="2">
        <v>0.24</v>
      </c>
      <c r="D16">
        <v>41000</v>
      </c>
    </row>
    <row r="17" spans="2:9" x14ac:dyDescent="0.3">
      <c r="B17" t="s">
        <v>54</v>
      </c>
      <c r="C17" s="2">
        <v>0.3</v>
      </c>
      <c r="D17">
        <v>133000</v>
      </c>
    </row>
    <row r="19" spans="2:9" x14ac:dyDescent="0.3">
      <c r="B19" t="s">
        <v>61</v>
      </c>
      <c r="C19" t="s">
        <v>90</v>
      </c>
      <c r="H19" t="s">
        <v>91</v>
      </c>
    </row>
    <row r="20" spans="2:9" x14ac:dyDescent="0.3">
      <c r="B20" t="s">
        <v>41</v>
      </c>
      <c r="C20" t="s">
        <v>57</v>
      </c>
      <c r="D20" t="s">
        <v>62</v>
      </c>
      <c r="E20" t="s">
        <v>59</v>
      </c>
      <c r="F20" t="s">
        <v>63</v>
      </c>
      <c r="H20" t="s">
        <v>92</v>
      </c>
    </row>
    <row r="21" spans="2:9" x14ac:dyDescent="0.3">
      <c r="B21" t="s">
        <v>34</v>
      </c>
      <c r="C21" s="1">
        <f>D6</f>
        <v>1.4278272069809805E-3</v>
      </c>
      <c r="D21" s="1">
        <f>C21/(D$16-D$15)*100000</f>
        <v>5.1920989344762932E-3</v>
      </c>
      <c r="E21" s="1">
        <f>E6</f>
        <v>4.2834816209429416E-3</v>
      </c>
      <c r="F21" s="1">
        <f>E21/(D$17-D$15)*100000</f>
        <v>3.5845034484878174E-3</v>
      </c>
      <c r="H21" t="s">
        <v>93</v>
      </c>
      <c r="I21" t="s">
        <v>94</v>
      </c>
    </row>
    <row r="22" spans="2:9" x14ac:dyDescent="0.3">
      <c r="B22" t="s">
        <v>35</v>
      </c>
      <c r="C22" s="1"/>
      <c r="D22" s="1"/>
      <c r="E22" s="1"/>
      <c r="F22" s="1"/>
      <c r="H22">
        <v>30</v>
      </c>
      <c r="I22" s="1">
        <f>H22*I$6</f>
        <v>7.7914630231123994E-3</v>
      </c>
    </row>
    <row r="23" spans="2:9" x14ac:dyDescent="0.3">
      <c r="B23" t="s">
        <v>36</v>
      </c>
      <c r="C23" s="1">
        <f>D8</f>
        <v>2.5858951147717663E-3</v>
      </c>
      <c r="D23" s="1">
        <f>C23/(D$16-D$15)*100000</f>
        <v>9.4032549628064229E-3</v>
      </c>
      <c r="E23" s="1">
        <f>E8</f>
        <v>7.7576853443152571E-3</v>
      </c>
      <c r="F23" s="1">
        <f>E23/(D$17-D$15)*100000</f>
        <v>6.491786899008584E-3</v>
      </c>
      <c r="H23">
        <v>40</v>
      </c>
      <c r="I23" s="1">
        <f>H23*I$6</f>
        <v>1.0388617364149866E-2</v>
      </c>
    </row>
    <row r="24" spans="2:9" x14ac:dyDescent="0.3">
      <c r="B24" t="s">
        <v>37</v>
      </c>
      <c r="C24" s="1">
        <f>D9</f>
        <v>4.0489972384068207E-3</v>
      </c>
      <c r="D24" s="1">
        <f>C24/(D$16-D$15)*100000</f>
        <v>1.4723626321479348E-2</v>
      </c>
      <c r="E24" s="1">
        <f>E9</f>
        <v>1.214699171522049E-2</v>
      </c>
      <c r="F24" s="1">
        <f>E24/(D$17-D$15)*100000</f>
        <v>1.0164846623615472E-2</v>
      </c>
      <c r="H24">
        <v>50</v>
      </c>
      <c r="I24" s="1">
        <f>H24*I$6</f>
        <v>1.2985771705187332E-2</v>
      </c>
    </row>
    <row r="25" spans="2:9" x14ac:dyDescent="0.3">
      <c r="B25" t="s">
        <v>38</v>
      </c>
      <c r="C25" s="1">
        <f>D10</f>
        <v>7.9787594393416206E-3</v>
      </c>
      <c r="D25" s="1">
        <f>C25/(D$16-D$15)*100000</f>
        <v>2.9013670688514983E-2</v>
      </c>
      <c r="E25" s="1">
        <f>E10</f>
        <v>2.3936278318024806E-2</v>
      </c>
      <c r="F25" s="1">
        <f>E25/(D$17-D$15)*100000</f>
        <v>2.003035842512536E-2</v>
      </c>
      <c r="H25">
        <v>60</v>
      </c>
      <c r="I25" s="1">
        <f>H25*I$6</f>
        <v>1.5582926046224799E-2</v>
      </c>
    </row>
    <row r="26" spans="2:9" x14ac:dyDescent="0.3">
      <c r="B26" t="s">
        <v>39</v>
      </c>
      <c r="C26" s="1">
        <f>D11</f>
        <v>4.121484455959612E-3</v>
      </c>
      <c r="D26" s="1">
        <f>C26/(D$16-D$15)*100000</f>
        <v>1.4987216203489499E-2</v>
      </c>
      <c r="E26" s="1">
        <f>E11</f>
        <v>1.2364453367878808E-2</v>
      </c>
      <c r="F26" s="1">
        <f>E26/(D$17-D$15)*100000</f>
        <v>1.0346822901990634E-2</v>
      </c>
      <c r="H26">
        <v>70</v>
      </c>
      <c r="I26" s="1">
        <f>H26*I$6</f>
        <v>1.8180080387262265E-2</v>
      </c>
    </row>
    <row r="27" spans="2:9" x14ac:dyDescent="0.3">
      <c r="B27" t="s">
        <v>40</v>
      </c>
      <c r="C27" s="1">
        <f>D12</f>
        <v>3.357340278682841E-3</v>
      </c>
      <c r="D27" s="1">
        <f>C27/(D$16-D$15)*100000</f>
        <v>1.220851010430124E-2</v>
      </c>
      <c r="E27" s="1">
        <f>E12</f>
        <v>1.0072020836048523E-2</v>
      </c>
      <c r="F27" s="1">
        <f>E27/(D$17-D$15)*100000</f>
        <v>8.4284693188690571E-3</v>
      </c>
    </row>
    <row r="31" spans="2:9" x14ac:dyDescent="0.3">
      <c r="F31" s="1"/>
      <c r="G31" s="1"/>
    </row>
    <row r="32" spans="2:9" x14ac:dyDescent="0.3">
      <c r="F32" s="1"/>
      <c r="G32" s="1"/>
    </row>
    <row r="33" spans="6:7" x14ac:dyDescent="0.3">
      <c r="F33" s="1"/>
      <c r="G33" s="1"/>
    </row>
    <row r="34" spans="6:7" x14ac:dyDescent="0.3">
      <c r="F34" s="1"/>
      <c r="G34" s="1"/>
    </row>
    <row r="35" spans="6:7" x14ac:dyDescent="0.3">
      <c r="F35" s="1"/>
      <c r="G35" s="1"/>
    </row>
    <row r="36" spans="6:7" x14ac:dyDescent="0.3">
      <c r="F36" s="1"/>
      <c r="G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트리시온 딜사이클</vt:lpstr>
      <vt:lpstr>딜계산</vt:lpstr>
      <vt:lpstr>골드효율계산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kihyuk</dc:creator>
  <cp:lastModifiedBy>kihyuk</cp:lastModifiedBy>
  <dcterms:created xsi:type="dcterms:W3CDTF">2022-01-01T17:18:55Z</dcterms:created>
  <dcterms:modified xsi:type="dcterms:W3CDTF">2022-01-21T06:36:20Z</dcterms:modified>
</cp:coreProperties>
</file>