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LG\Downloads\"/>
    </mc:Choice>
  </mc:AlternateContent>
  <xr:revisionPtr revIDLastSave="0" documentId="13_ncr:1_{094F4625-18B4-4522-B4C2-46E3E947D88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계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2" l="1"/>
  <c r="V18" i="2" s="1"/>
  <c r="V13" i="2"/>
  <c r="V17" i="2" s="1"/>
  <c r="G18" i="2"/>
  <c r="G17" i="2"/>
  <c r="G14" i="2"/>
  <c r="G13" i="2"/>
  <c r="C7" i="2"/>
  <c r="R7" i="2" s="1"/>
  <c r="AA13" i="2" s="1"/>
  <c r="X9" i="2"/>
  <c r="C5" i="1"/>
  <c r="W9" i="2"/>
  <c r="W8" i="2"/>
  <c r="U11" i="2"/>
  <c r="U10" i="2"/>
  <c r="U9" i="2"/>
  <c r="U8" i="2"/>
  <c r="X8" i="2" s="1"/>
  <c r="U3" i="2"/>
  <c r="V3" i="2" s="1"/>
  <c r="U4" i="2"/>
  <c r="U5" i="2"/>
  <c r="U6" i="2"/>
  <c r="U7" i="2"/>
  <c r="U2" i="2"/>
  <c r="W2" i="2" s="1"/>
  <c r="R5" i="2"/>
  <c r="R8" i="2"/>
  <c r="R10" i="2"/>
  <c r="C11" i="2"/>
  <c r="C10" i="2"/>
  <c r="C9" i="2"/>
  <c r="C8" i="2"/>
  <c r="C3" i="2"/>
  <c r="C4" i="2"/>
  <c r="C5" i="2"/>
  <c r="C6" i="2"/>
  <c r="R6" i="2" s="1"/>
  <c r="C2" i="2"/>
  <c r="R16" i="2" s="1"/>
  <c r="S16" i="2" s="1"/>
  <c r="J17" i="2" l="1"/>
  <c r="R9" i="2"/>
  <c r="L13" i="2"/>
  <c r="W3" i="2"/>
  <c r="R3" i="2"/>
  <c r="R15" i="2" s="1"/>
  <c r="S15" i="2" s="1"/>
  <c r="R2" i="2"/>
  <c r="R17" i="2" s="1"/>
  <c r="S17" i="2" s="1"/>
  <c r="R14" i="2"/>
  <c r="S14" i="2" s="1"/>
  <c r="J13" i="2"/>
  <c r="J14" i="2" s="1"/>
  <c r="J18" i="2" s="1"/>
  <c r="J19" i="2" s="1"/>
  <c r="R4" i="2"/>
  <c r="V2" i="2"/>
  <c r="G21" i="2"/>
  <c r="D24" i="2" s="1"/>
  <c r="V4" i="2"/>
  <c r="V21" i="2" l="1"/>
  <c r="S24" i="2" s="1"/>
  <c r="Y13" i="2"/>
  <c r="Y14" i="2" s="1"/>
  <c r="Q18" i="2"/>
  <c r="R11" i="2" s="1"/>
  <c r="F24" i="2"/>
  <c r="F25" i="2"/>
  <c r="F26" i="2" s="1"/>
  <c r="G28" i="2" s="1"/>
  <c r="U25" i="2" l="1"/>
  <c r="Y17" i="2"/>
  <c r="Y18" i="2"/>
  <c r="U24" i="2"/>
  <c r="U26" i="2" s="1"/>
  <c r="Y19" i="2" l="1"/>
  <c r="W28" i="2" l="1"/>
  <c r="L4" i="1" s="1"/>
  <c r="V28" i="2"/>
  <c r="L3" i="1" l="1"/>
  <c r="F3" i="1"/>
</calcChain>
</file>

<file path=xl/sharedStrings.xml><?xml version="1.0" encoding="utf-8"?>
<sst xmlns="http://schemas.openxmlformats.org/spreadsheetml/2006/main" count="124" uniqueCount="67">
  <si>
    <t>입력란</t>
    <phoneticPr fontId="1" type="noConversion"/>
  </si>
  <si>
    <t>신속</t>
    <phoneticPr fontId="1" type="noConversion"/>
  </si>
  <si>
    <t>특화</t>
    <phoneticPr fontId="1" type="noConversion"/>
  </si>
  <si>
    <t>음진 인원</t>
    <phoneticPr fontId="1" type="noConversion"/>
  </si>
  <si>
    <t>낙인 가동률</t>
    <phoneticPr fontId="1" type="noConversion"/>
  </si>
  <si>
    <t>팔찌 입력란</t>
    <phoneticPr fontId="1" type="noConversion"/>
  </si>
  <si>
    <t>약점 노출</t>
    <phoneticPr fontId="1" type="noConversion"/>
  </si>
  <si>
    <t>비수</t>
    <phoneticPr fontId="1" type="noConversion"/>
  </si>
  <si>
    <t>응원</t>
    <phoneticPr fontId="1" type="noConversion"/>
  </si>
  <si>
    <t>공격력</t>
    <phoneticPr fontId="1" type="noConversion"/>
  </si>
  <si>
    <t>천상 보석</t>
    <phoneticPr fontId="1" type="noConversion"/>
  </si>
  <si>
    <t>깨달음</t>
    <phoneticPr fontId="1" type="noConversion"/>
  </si>
  <si>
    <t>신속쿨감</t>
    <phoneticPr fontId="1" type="noConversion"/>
  </si>
  <si>
    <t>단죄/심판</t>
    <phoneticPr fontId="1" type="noConversion"/>
  </si>
  <si>
    <t>용맹특화</t>
    <phoneticPr fontId="1" type="noConversion"/>
  </si>
  <si>
    <t>2버블용맹비율</t>
    <phoneticPr fontId="1" type="noConversion"/>
  </si>
  <si>
    <t>파티원 공격력</t>
    <phoneticPr fontId="1" type="noConversion"/>
  </si>
  <si>
    <t>공버프 공격력 증가율</t>
    <phoneticPr fontId="1" type="noConversion"/>
  </si>
  <si>
    <t>파티원</t>
    <phoneticPr fontId="1" type="noConversion"/>
  </si>
  <si>
    <t>나</t>
    <phoneticPr fontId="1" type="noConversion"/>
  </si>
  <si>
    <t>스킬 쿨</t>
    <phoneticPr fontId="1" type="noConversion"/>
  </si>
  <si>
    <t>천상의 연주</t>
    <phoneticPr fontId="1" type="noConversion"/>
  </si>
  <si>
    <t>음파 진동</t>
    <phoneticPr fontId="1" type="noConversion"/>
  </si>
  <si>
    <t>공버프 지속시간</t>
    <phoneticPr fontId="1" type="noConversion"/>
  </si>
  <si>
    <t>천상+음진 공버프</t>
    <phoneticPr fontId="1" type="noConversion"/>
  </si>
  <si>
    <t>상시유지</t>
    <phoneticPr fontId="1" type="noConversion"/>
  </si>
  <si>
    <t>용맹 피증</t>
    <phoneticPr fontId="1" type="noConversion"/>
  </si>
  <si>
    <t>3버블 피증</t>
    <phoneticPr fontId="1" type="noConversion"/>
  </si>
  <si>
    <t>2버블 피증</t>
    <phoneticPr fontId="1" type="noConversion"/>
  </si>
  <si>
    <t>3버블 주기</t>
    <phoneticPr fontId="1" type="noConversion"/>
  </si>
  <si>
    <t>상시유지X</t>
    <phoneticPr fontId="1" type="noConversion"/>
  </si>
  <si>
    <t>용맹 기대 피증</t>
    <phoneticPr fontId="1" type="noConversion"/>
  </si>
  <si>
    <t>평균 1cycle</t>
    <phoneticPr fontId="1" type="noConversion"/>
  </si>
  <si>
    <t>피증*시간</t>
    <phoneticPr fontId="1" type="noConversion"/>
  </si>
  <si>
    <t>기대피증</t>
    <phoneticPr fontId="1" type="noConversion"/>
  </si>
  <si>
    <t>기대 공버프</t>
    <phoneticPr fontId="1" type="noConversion"/>
  </si>
  <si>
    <t>기대 딜증</t>
    <phoneticPr fontId="1" type="noConversion"/>
  </si>
  <si>
    <t>1인 딜증</t>
    <phoneticPr fontId="1" type="noConversion"/>
  </si>
  <si>
    <t>낙인 피증</t>
    <phoneticPr fontId="1" type="noConversion"/>
  </si>
  <si>
    <t>갈망6셋</t>
    <phoneticPr fontId="1" type="noConversion"/>
  </si>
  <si>
    <t>평균 1cycle 시간</t>
    <phoneticPr fontId="1" type="noConversion"/>
  </si>
  <si>
    <t>파티 딜증</t>
    <phoneticPr fontId="1" type="noConversion"/>
  </si>
  <si>
    <t>공대 딜증</t>
    <phoneticPr fontId="1" type="noConversion"/>
  </si>
  <si>
    <t>X</t>
    <phoneticPr fontId="1" type="noConversion"/>
  </si>
  <si>
    <t>팔찌를 꼈을때</t>
    <phoneticPr fontId="1" type="noConversion"/>
  </si>
  <si>
    <t>파티</t>
    <phoneticPr fontId="1" type="noConversion"/>
  </si>
  <si>
    <t>공대</t>
    <phoneticPr fontId="1" type="noConversion"/>
  </si>
  <si>
    <t>3버블 주기(초)</t>
    <phoneticPr fontId="1" type="noConversion"/>
  </si>
  <si>
    <t>특화 버블수급</t>
    <phoneticPr fontId="1" type="noConversion"/>
  </si>
  <si>
    <t>증가 버블수급력</t>
    <phoneticPr fontId="1" type="noConversion"/>
  </si>
  <si>
    <t>기존</t>
    <phoneticPr fontId="1" type="noConversion"/>
  </si>
  <si>
    <t>이후</t>
    <phoneticPr fontId="1" type="noConversion"/>
  </si>
  <si>
    <t>증가율</t>
    <phoneticPr fontId="1" type="noConversion"/>
  </si>
  <si>
    <t>돌진</t>
  </si>
  <si>
    <t>돌진</t>
    <phoneticPr fontId="1" type="noConversion"/>
  </si>
  <si>
    <t>수확</t>
  </si>
  <si>
    <t>수확</t>
    <phoneticPr fontId="1" type="noConversion"/>
  </si>
  <si>
    <t>내 무기공격력</t>
  </si>
  <si>
    <t>내 무기공격력</t>
    <phoneticPr fontId="1" type="noConversion"/>
  </si>
  <si>
    <t>내 지능</t>
  </si>
  <si>
    <t>내 지능</t>
    <phoneticPr fontId="1" type="noConversion"/>
  </si>
  <si>
    <t>지능(팔찌 옵션)</t>
  </si>
  <si>
    <t>지능(팔찌 옵션)</t>
    <phoneticPr fontId="1" type="noConversion"/>
  </si>
  <si>
    <t>무기공격력(팔찌 옵션)</t>
  </si>
  <si>
    <t>무기공격력(팔찌 옵션)</t>
    <phoneticPr fontId="1" type="noConversion"/>
  </si>
  <si>
    <t>신속 쿨감 버블수급증가</t>
    <phoneticPr fontId="1" type="noConversion"/>
  </si>
  <si>
    <t>공버프 이후 공격력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</si>
</sst>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2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2" borderId="3" xfId="0" applyFill="1" applyBorder="1"/>
    <xf numFmtId="0" fontId="0" fillId="2" borderId="5" xfId="0" applyFill="1" applyBorder="1"/>
    <xf numFmtId="0" fontId="0" fillId="0" borderId="1" xfId="0" applyFill="1" applyBorder="1"/>
    <xf numFmtId="0" fontId="0" fillId="0" borderId="9" xfId="0" applyBorder="1"/>
    <xf numFmtId="0" fontId="0" fillId="3" borderId="8" xfId="0" applyFill="1" applyBorder="1"/>
    <xf numFmtId="176" fontId="0" fillId="0" borderId="9" xfId="0" applyNumberFormat="1" applyBorder="1"/>
    <xf numFmtId="0" fontId="0" fillId="0" borderId="7" xfId="0" applyBorder="1"/>
    <xf numFmtId="0" fontId="0" fillId="2" borderId="8" xfId="0" applyFill="1" applyBorder="1"/>
    <xf numFmtId="0" fontId="0" fillId="4" borderId="7" xfId="0" applyFill="1" applyBorder="1"/>
    <xf numFmtId="0" fontId="0" fillId="0" borderId="10" xfId="0" applyBorder="1"/>
    <xf numFmtId="176" fontId="0" fillId="0" borderId="4" xfId="0" applyNumberFormat="1" applyBorder="1"/>
    <xf numFmtId="176" fontId="0" fillId="0" borderId="6" xfId="0" applyNumberFormat="1" applyBorder="1"/>
    <xf numFmtId="0" fontId="0" fillId="3" borderId="3" xfId="0" applyFill="1" applyBorder="1"/>
    <xf numFmtId="0" fontId="0" fillId="3" borderId="5" xfId="0" applyFill="1" applyBorder="1"/>
    <xf numFmtId="0" fontId="0" fillId="0" borderId="12" xfId="0" applyBorder="1"/>
    <xf numFmtId="0" fontId="0" fillId="0" borderId="0" xfId="0" applyBorder="1"/>
    <xf numFmtId="0" fontId="0" fillId="0" borderId="2" xfId="0" applyFill="1" applyBorder="1"/>
    <xf numFmtId="0" fontId="0" fillId="2" borderId="1" xfId="0" applyFill="1" applyBorder="1"/>
    <xf numFmtId="0" fontId="0" fillId="0" borderId="4" xfId="0" applyFill="1" applyBorder="1"/>
    <xf numFmtId="0" fontId="0" fillId="0" borderId="6" xfId="0" applyFill="1" applyBorder="1"/>
    <xf numFmtId="0" fontId="0" fillId="2" borderId="11" xfId="0" applyFill="1" applyBorder="1"/>
    <xf numFmtId="0" fontId="0" fillId="2" borderId="2" xfId="0" applyFill="1" applyBorder="1"/>
    <xf numFmtId="0" fontId="0" fillId="4" borderId="1" xfId="0" applyFill="1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6"/>
  <sheetViews>
    <sheetView tabSelected="1" workbookViewId="0">
      <selection activeCell="J9" sqref="J9"/>
    </sheetView>
  </sheetViews>
  <sheetFormatPr defaultRowHeight="17" x14ac:dyDescent="0.45"/>
  <cols>
    <col min="2" max="2" width="20.75" customWidth="1"/>
    <col min="8" max="8" width="19.75" customWidth="1"/>
  </cols>
  <sheetData>
    <row r="2" spans="2:12" ht="17.5" thickBot="1" x14ac:dyDescent="0.5">
      <c r="B2" t="s">
        <v>0</v>
      </c>
      <c r="H2" t="s">
        <v>5</v>
      </c>
    </row>
    <row r="3" spans="2:12" ht="17.5" thickBot="1" x14ac:dyDescent="0.5">
      <c r="B3" s="5" t="s">
        <v>1</v>
      </c>
      <c r="C3" s="3">
        <v>1760</v>
      </c>
      <c r="E3" s="9" t="s">
        <v>37</v>
      </c>
      <c r="F3" s="10">
        <f>계산!V28-1</f>
        <v>0.52419420885719625</v>
      </c>
      <c r="H3" s="5" t="s">
        <v>6</v>
      </c>
      <c r="I3" s="3">
        <v>0</v>
      </c>
      <c r="K3" s="17" t="s">
        <v>41</v>
      </c>
      <c r="L3" s="15">
        <f>계산!V28/계산!G28-1</f>
        <v>3.5301136586401771E-2</v>
      </c>
    </row>
    <row r="4" spans="2:12" ht="17.5" thickBot="1" x14ac:dyDescent="0.5">
      <c r="B4" s="6" t="s">
        <v>2</v>
      </c>
      <c r="C4" s="4">
        <v>600</v>
      </c>
      <c r="H4" s="25" t="s">
        <v>7</v>
      </c>
      <c r="I4" s="19">
        <v>2.5</v>
      </c>
      <c r="K4" s="18" t="s">
        <v>42</v>
      </c>
      <c r="L4" s="16">
        <f>계산!W28/계산!G28-1</f>
        <v>3.7118611434595605E-2</v>
      </c>
    </row>
    <row r="5" spans="2:12" ht="17.5" thickBot="1" x14ac:dyDescent="0.5">
      <c r="B5" s="13" t="s">
        <v>9</v>
      </c>
      <c r="C5" s="11">
        <f>SQRT(I14*I15/6)</f>
        <v>34908.144465153113</v>
      </c>
      <c r="H5" s="25" t="s">
        <v>8</v>
      </c>
      <c r="I5" s="19">
        <v>1.3</v>
      </c>
    </row>
    <row r="6" spans="2:12" ht="17.5" thickBot="1" x14ac:dyDescent="0.5">
      <c r="B6" s="12" t="s">
        <v>10</v>
      </c>
      <c r="C6" s="8">
        <v>7</v>
      </c>
      <c r="H6" s="25" t="s">
        <v>11</v>
      </c>
      <c r="I6" s="19">
        <v>0</v>
      </c>
    </row>
    <row r="7" spans="2:12" x14ac:dyDescent="0.45">
      <c r="B7" s="2" t="s">
        <v>3</v>
      </c>
      <c r="C7" s="2">
        <v>1.5</v>
      </c>
      <c r="H7" s="25" t="s">
        <v>1</v>
      </c>
      <c r="I7" s="19">
        <v>100</v>
      </c>
    </row>
    <row r="8" spans="2:12" ht="17.5" thickBot="1" x14ac:dyDescent="0.5">
      <c r="B8" s="1" t="s">
        <v>4</v>
      </c>
      <c r="C8" s="1">
        <v>0.8</v>
      </c>
      <c r="H8" s="6" t="s">
        <v>2</v>
      </c>
      <c r="I8" s="4">
        <v>100</v>
      </c>
    </row>
    <row r="9" spans="2:12" x14ac:dyDescent="0.45">
      <c r="B9" s="1" t="s">
        <v>13</v>
      </c>
      <c r="C9" s="1" t="s">
        <v>43</v>
      </c>
      <c r="H9" s="26" t="s">
        <v>62</v>
      </c>
      <c r="I9" s="2">
        <v>0</v>
      </c>
    </row>
    <row r="10" spans="2:12" x14ac:dyDescent="0.45">
      <c r="B10" s="1" t="s">
        <v>15</v>
      </c>
      <c r="C10" s="1">
        <v>0.2</v>
      </c>
      <c r="H10" s="22" t="s">
        <v>64</v>
      </c>
      <c r="I10" s="1">
        <v>0</v>
      </c>
    </row>
    <row r="11" spans="2:12" x14ac:dyDescent="0.45">
      <c r="B11" s="1" t="s">
        <v>16</v>
      </c>
      <c r="C11" s="1">
        <v>38000</v>
      </c>
      <c r="G11" s="20"/>
      <c r="H11" s="27" t="s">
        <v>54</v>
      </c>
      <c r="I11" s="1">
        <v>0</v>
      </c>
      <c r="J11" s="20"/>
      <c r="K11" s="20"/>
    </row>
    <row r="12" spans="2:12" x14ac:dyDescent="0.45">
      <c r="B12" s="7" t="s">
        <v>47</v>
      </c>
      <c r="C12" s="7">
        <v>50</v>
      </c>
      <c r="G12" s="20"/>
      <c r="H12" s="27" t="s">
        <v>56</v>
      </c>
      <c r="I12" s="1">
        <v>0</v>
      </c>
      <c r="J12" s="20"/>
      <c r="K12" s="20"/>
    </row>
    <row r="13" spans="2:12" ht="17.5" thickBot="1" x14ac:dyDescent="0.5">
      <c r="G13" s="20"/>
      <c r="H13" s="20"/>
      <c r="I13" s="20"/>
      <c r="J13" s="20"/>
      <c r="K13" s="20"/>
    </row>
    <row r="14" spans="2:12" x14ac:dyDescent="0.45">
      <c r="G14" s="20"/>
      <c r="H14" s="5" t="s">
        <v>60</v>
      </c>
      <c r="I14" s="23">
        <v>182700</v>
      </c>
      <c r="J14" s="20"/>
      <c r="K14" s="20"/>
    </row>
    <row r="15" spans="2:12" ht="17.5" thickBot="1" x14ac:dyDescent="0.5">
      <c r="G15" s="20"/>
      <c r="H15" s="6" t="s">
        <v>58</v>
      </c>
      <c r="I15" s="24">
        <v>40019</v>
      </c>
      <c r="J15" s="20"/>
      <c r="K15" s="20"/>
    </row>
    <row r="16" spans="2:12" x14ac:dyDescent="0.45">
      <c r="H16" s="21" t="s">
        <v>65</v>
      </c>
      <c r="I16" s="21">
        <v>0.8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B615-B00D-4750-8C7E-A95E436F20D3}">
  <dimension ref="B1:AC28"/>
  <sheetViews>
    <sheetView workbookViewId="0">
      <selection activeCell="R20" sqref="R20"/>
    </sheetView>
  </sheetViews>
  <sheetFormatPr defaultRowHeight="17" x14ac:dyDescent="0.45"/>
  <cols>
    <col min="14" max="14" width="9" style="14"/>
  </cols>
  <sheetData>
    <row r="1" spans="2:29" x14ac:dyDescent="0.45">
      <c r="V1" t="s">
        <v>45</v>
      </c>
      <c r="W1" t="s">
        <v>46</v>
      </c>
    </row>
    <row r="2" spans="2:29" x14ac:dyDescent="0.45">
      <c r="B2" t="s">
        <v>1</v>
      </c>
      <c r="C2">
        <f>Sheet1!C3</f>
        <v>1760</v>
      </c>
      <c r="E2" t="s">
        <v>12</v>
      </c>
      <c r="F2">
        <v>46.573099999999997</v>
      </c>
      <c r="O2" t="s">
        <v>44</v>
      </c>
      <c r="Q2" t="s">
        <v>1</v>
      </c>
      <c r="R2">
        <f>C2+U6+U10/6</f>
        <v>1860</v>
      </c>
      <c r="T2" t="s">
        <v>6</v>
      </c>
      <c r="U2">
        <f>Sheet1!I3</f>
        <v>0</v>
      </c>
      <c r="V2">
        <f>0.6*U2/100+1</f>
        <v>1</v>
      </c>
      <c r="W2">
        <f>0.6*U2/100*2+1</f>
        <v>1</v>
      </c>
    </row>
    <row r="3" spans="2:29" x14ac:dyDescent="0.45">
      <c r="B3" t="s">
        <v>2</v>
      </c>
      <c r="C3">
        <f>Sheet1!C4</f>
        <v>600</v>
      </c>
      <c r="E3" t="s">
        <v>14</v>
      </c>
      <c r="F3">
        <v>20</v>
      </c>
      <c r="Q3" t="s">
        <v>2</v>
      </c>
      <c r="R3">
        <f>C3+U7</f>
        <v>700</v>
      </c>
      <c r="T3" t="s">
        <v>7</v>
      </c>
      <c r="U3">
        <f>Sheet1!I4</f>
        <v>2.5</v>
      </c>
      <c r="V3">
        <f>0.6*U3/100+1</f>
        <v>1.0149999999999999</v>
      </c>
      <c r="W3">
        <f>0.6*U3/100*2+1</f>
        <v>1.03</v>
      </c>
    </row>
    <row r="4" spans="2:29" x14ac:dyDescent="0.45">
      <c r="B4" t="s">
        <v>9</v>
      </c>
      <c r="C4">
        <f>Sheet1!C5</f>
        <v>34908.144465153113</v>
      </c>
      <c r="E4" t="s">
        <v>23</v>
      </c>
      <c r="F4" t="s">
        <v>21</v>
      </c>
      <c r="G4">
        <v>8.2100000000000009</v>
      </c>
      <c r="Q4" t="s">
        <v>9</v>
      </c>
      <c r="R4">
        <f>SQRT((X8*X9)/6)</f>
        <v>34908.144465153113</v>
      </c>
      <c r="T4" t="s">
        <v>8</v>
      </c>
      <c r="U4">
        <f>Sheet1!I5</f>
        <v>1.3</v>
      </c>
      <c r="V4">
        <f>U4/100+1</f>
        <v>1.0129999999999999</v>
      </c>
    </row>
    <row r="5" spans="2:29" x14ac:dyDescent="0.45">
      <c r="B5" t="s">
        <v>10</v>
      </c>
      <c r="C5">
        <f>Sheet1!C6</f>
        <v>7</v>
      </c>
      <c r="F5" t="s">
        <v>22</v>
      </c>
      <c r="G5">
        <v>5.52</v>
      </c>
      <c r="Q5" t="s">
        <v>10</v>
      </c>
      <c r="R5">
        <f t="shared" ref="R5:R10" si="0">C5</f>
        <v>7</v>
      </c>
      <c r="T5" t="s">
        <v>11</v>
      </c>
      <c r="U5">
        <f>Sheet1!I6</f>
        <v>0</v>
      </c>
    </row>
    <row r="6" spans="2:29" x14ac:dyDescent="0.45">
      <c r="B6" t="s">
        <v>3</v>
      </c>
      <c r="C6">
        <f>Sheet1!C7</f>
        <v>1.5</v>
      </c>
      <c r="E6" t="s">
        <v>48</v>
      </c>
      <c r="F6">
        <v>25</v>
      </c>
      <c r="Q6" t="s">
        <v>3</v>
      </c>
      <c r="R6">
        <f t="shared" si="0"/>
        <v>1.5</v>
      </c>
      <c r="T6" t="s">
        <v>1</v>
      </c>
      <c r="U6">
        <f>Sheet1!I7</f>
        <v>100</v>
      </c>
    </row>
    <row r="7" spans="2:29" x14ac:dyDescent="0.45">
      <c r="B7" t="s">
        <v>4</v>
      </c>
      <c r="C7">
        <f>Sheet1!C8</f>
        <v>0.8</v>
      </c>
      <c r="Q7" t="s">
        <v>4</v>
      </c>
      <c r="R7">
        <f t="shared" si="0"/>
        <v>0.8</v>
      </c>
      <c r="T7" t="s">
        <v>2</v>
      </c>
      <c r="U7">
        <f>Sheet1!I8</f>
        <v>100</v>
      </c>
    </row>
    <row r="8" spans="2:29" x14ac:dyDescent="0.45">
      <c r="B8" t="s">
        <v>13</v>
      </c>
      <c r="C8">
        <f>IF(Sheet1!C9="O",1,0)</f>
        <v>0</v>
      </c>
      <c r="Q8" t="s">
        <v>13</v>
      </c>
      <c r="R8">
        <f t="shared" si="0"/>
        <v>0</v>
      </c>
      <c r="T8" t="s">
        <v>61</v>
      </c>
      <c r="U8">
        <f>Sheet1!I9</f>
        <v>0</v>
      </c>
      <c r="V8" t="s">
        <v>59</v>
      </c>
      <c r="W8">
        <f>Sheet1!I14</f>
        <v>182700</v>
      </c>
      <c r="X8">
        <f>W8+U8</f>
        <v>182700</v>
      </c>
    </row>
    <row r="9" spans="2:29" x14ac:dyDescent="0.45">
      <c r="B9" t="s">
        <v>15</v>
      </c>
      <c r="C9">
        <f>Sheet1!C10</f>
        <v>0.2</v>
      </c>
      <c r="Q9" t="s">
        <v>15</v>
      </c>
      <c r="R9">
        <f t="shared" si="0"/>
        <v>0.2</v>
      </c>
      <c r="T9" t="s">
        <v>63</v>
      </c>
      <c r="U9">
        <f>Sheet1!I10</f>
        <v>0</v>
      </c>
      <c r="V9" t="s">
        <v>57</v>
      </c>
      <c r="W9">
        <f>Sheet1!I15</f>
        <v>40019</v>
      </c>
      <c r="X9">
        <f>W9+U9+U11*10*0.8</f>
        <v>40019</v>
      </c>
    </row>
    <row r="10" spans="2:29" x14ac:dyDescent="0.45">
      <c r="B10" t="s">
        <v>16</v>
      </c>
      <c r="C10">
        <f>Sheet1!C11</f>
        <v>38000</v>
      </c>
      <c r="Q10" t="s">
        <v>16</v>
      </c>
      <c r="R10">
        <f t="shared" si="0"/>
        <v>38000</v>
      </c>
      <c r="T10" t="s">
        <v>53</v>
      </c>
      <c r="U10">
        <f>Sheet1!I11</f>
        <v>0</v>
      </c>
    </row>
    <row r="11" spans="2:29" x14ac:dyDescent="0.45">
      <c r="B11" t="s">
        <v>29</v>
      </c>
      <c r="C11">
        <f>Sheet1!C12</f>
        <v>50</v>
      </c>
      <c r="Q11" t="s">
        <v>29</v>
      </c>
      <c r="R11">
        <f>C11/(1+U5/100)/Q18</f>
        <v>47.806937831451947</v>
      </c>
      <c r="T11" t="s">
        <v>55</v>
      </c>
      <c r="U11">
        <f>Sheet1!I12</f>
        <v>0</v>
      </c>
    </row>
    <row r="12" spans="2:29" x14ac:dyDescent="0.45">
      <c r="F12" t="s">
        <v>66</v>
      </c>
      <c r="I12" t="s">
        <v>26</v>
      </c>
      <c r="L12" t="s">
        <v>38</v>
      </c>
      <c r="N12" s="14" t="s">
        <v>39</v>
      </c>
      <c r="U12" t="s">
        <v>66</v>
      </c>
      <c r="X12" t="s">
        <v>26</v>
      </c>
      <c r="AA12" t="s">
        <v>38</v>
      </c>
      <c r="AC12" t="s">
        <v>39</v>
      </c>
    </row>
    <row r="13" spans="2:29" x14ac:dyDescent="0.45">
      <c r="F13" t="s">
        <v>18</v>
      </c>
      <c r="G13">
        <f>(C10+C4*0.15)*1.06</f>
        <v>45830.39496995935</v>
      </c>
      <c r="I13" t="s">
        <v>27</v>
      </c>
      <c r="J13">
        <f>0.15*(1+C3/$F$3/100)</f>
        <v>0.19500000000000001</v>
      </c>
      <c r="L13">
        <f>1.1*C7+1*(1-C7)</f>
        <v>1.08</v>
      </c>
      <c r="N13" s="14">
        <v>1.1000000000000001</v>
      </c>
      <c r="Q13" t="s">
        <v>49</v>
      </c>
      <c r="U13" t="s">
        <v>18</v>
      </c>
      <c r="V13">
        <f>(R10+R4*0.15)*1.06</f>
        <v>45830.39496995935</v>
      </c>
      <c r="X13" t="s">
        <v>27</v>
      </c>
      <c r="Y13">
        <f>0.15*(1+R3/$F$3/100)</f>
        <v>0.20250000000000001</v>
      </c>
      <c r="AA13">
        <f>1.1*R7+1*(1-R7)</f>
        <v>1.08</v>
      </c>
      <c r="AC13">
        <v>1.1000000000000001</v>
      </c>
    </row>
    <row r="14" spans="2:29" x14ac:dyDescent="0.45">
      <c r="F14" t="s">
        <v>19</v>
      </c>
      <c r="G14">
        <f>(C4+C4*0.15)*1.06</f>
        <v>42553.02810302165</v>
      </c>
      <c r="I14" t="s">
        <v>28</v>
      </c>
      <c r="J14">
        <f>J13/0.15*0.1</f>
        <v>0.13</v>
      </c>
      <c r="P14" t="s">
        <v>2</v>
      </c>
      <c r="Q14" t="s">
        <v>50</v>
      </c>
      <c r="R14">
        <f>C3/$F$6</f>
        <v>24</v>
      </c>
      <c r="S14">
        <f>R14/100+1</f>
        <v>1.24</v>
      </c>
      <c r="U14" t="s">
        <v>19</v>
      </c>
      <c r="V14">
        <f>(R4+R4*0.15)*1.06</f>
        <v>42553.02810302165</v>
      </c>
      <c r="X14" t="s">
        <v>28</v>
      </c>
      <c r="Y14">
        <f>Y13/0.15*0.1</f>
        <v>0.13500000000000001</v>
      </c>
    </row>
    <row r="15" spans="2:29" x14ac:dyDescent="0.45">
      <c r="Q15" t="s">
        <v>51</v>
      </c>
      <c r="R15">
        <f>R3/$F$6</f>
        <v>28</v>
      </c>
      <c r="S15">
        <f>R15/100+1</f>
        <v>1.28</v>
      </c>
    </row>
    <row r="16" spans="2:29" x14ac:dyDescent="0.45">
      <c r="F16" t="s">
        <v>17</v>
      </c>
      <c r="I16" t="s">
        <v>31</v>
      </c>
      <c r="P16" t="s">
        <v>1</v>
      </c>
      <c r="Q16" t="s">
        <v>50</v>
      </c>
      <c r="R16">
        <f>C2/$F$2*Sheet1!I16</f>
        <v>30.232043819286243</v>
      </c>
      <c r="S16">
        <f>R16/100+1</f>
        <v>1.3023204381928624</v>
      </c>
      <c r="U16" t="s">
        <v>17</v>
      </c>
      <c r="X16" t="s">
        <v>31</v>
      </c>
    </row>
    <row r="17" spans="4:25" x14ac:dyDescent="0.45">
      <c r="F17" t="s">
        <v>18</v>
      </c>
      <c r="G17">
        <f>G13/C10</f>
        <v>1.206063025525246</v>
      </c>
      <c r="I17" t="s">
        <v>40</v>
      </c>
      <c r="J17">
        <f>C11*(1-C9)+C11*C9*2/3</f>
        <v>46.666666666666664</v>
      </c>
      <c r="Q17" t="s">
        <v>51</v>
      </c>
      <c r="R17">
        <f>R2/$F$2*Sheet1!I16</f>
        <v>31.949773581745688</v>
      </c>
      <c r="S17">
        <f>R17/100+1</f>
        <v>1.3194977358174569</v>
      </c>
      <c r="U17" t="s">
        <v>18</v>
      </c>
      <c r="V17">
        <f>V13/R10</f>
        <v>1.206063025525246</v>
      </c>
      <c r="X17" t="s">
        <v>32</v>
      </c>
      <c r="Y17">
        <f>R11*(1-R9)+R11*R9*2/3</f>
        <v>44.61980864268849</v>
      </c>
    </row>
    <row r="18" spans="4:25" x14ac:dyDescent="0.45">
      <c r="F18" t="s">
        <v>19</v>
      </c>
      <c r="G18">
        <f>G14/C4</f>
        <v>1.2190000000000001</v>
      </c>
      <c r="I18" t="s">
        <v>33</v>
      </c>
      <c r="J18">
        <f>16*(1-C9)*(1+J13)+12*C9*(1+J14)+(C11*(1-C9)+C11*C9*2/3-16*(1-C9)-12*C9)*1</f>
        <v>49.474666666666664</v>
      </c>
      <c r="P18" t="s">
        <v>52</v>
      </c>
      <c r="Q18">
        <f>(S15*S17)/(S14*S16)</f>
        <v>1.0458733035000047</v>
      </c>
      <c r="U18" t="s">
        <v>19</v>
      </c>
      <c r="V18">
        <f>V14/R4</f>
        <v>1.2190000000000001</v>
      </c>
      <c r="X18" t="s">
        <v>33</v>
      </c>
      <c r="Y18">
        <f>16*(1-R9)*(1+Y13)+12*R9*(1+Y14)+(R11*(1-R9)+R11*R9*2/3-16*(1-R9)-12*R9)*1</f>
        <v>47.535808642688494</v>
      </c>
    </row>
    <row r="19" spans="4:25" x14ac:dyDescent="0.45">
      <c r="I19" t="s">
        <v>34</v>
      </c>
      <c r="J19">
        <f>J18/J17</f>
        <v>1.0601714285714285</v>
      </c>
      <c r="X19" t="s">
        <v>34</v>
      </c>
      <c r="Y19">
        <f>Y18/Y17</f>
        <v>1.0653521404215576</v>
      </c>
    </row>
    <row r="20" spans="4:25" x14ac:dyDescent="0.45">
      <c r="F20" t="s">
        <v>20</v>
      </c>
      <c r="U20" t="s">
        <v>20</v>
      </c>
    </row>
    <row r="21" spans="4:25" x14ac:dyDescent="0.45">
      <c r="F21" t="s">
        <v>21</v>
      </c>
      <c r="G21">
        <f>(30-6)*(1-0.02*C5)*(1-C2/$F$2/100)</f>
        <v>12.840132694624151</v>
      </c>
      <c r="U21" t="s">
        <v>21</v>
      </c>
      <c r="V21">
        <f>(30-6)*(1-0.02*R5)*(1-R2/$F$2/100)</f>
        <v>12.396958415909612</v>
      </c>
    </row>
    <row r="23" spans="4:25" x14ac:dyDescent="0.45">
      <c r="F23" t="s">
        <v>24</v>
      </c>
      <c r="U23" t="s">
        <v>24</v>
      </c>
    </row>
    <row r="24" spans="4:25" x14ac:dyDescent="0.45">
      <c r="D24">
        <f>IF($G$4+$G$5&gt;G21,1,0)</f>
        <v>1</v>
      </c>
      <c r="E24" t="s">
        <v>25</v>
      </c>
      <c r="F24">
        <f>(G17*$G$4+(G21-$G$4)*(G17*C6/3+(3-C6)/3))/G21</f>
        <v>1.1689100157266374</v>
      </c>
      <c r="S24">
        <f>IF($G$4+$G$5&gt;V21,1,0)</f>
        <v>1</v>
      </c>
      <c r="T24" t="s">
        <v>25</v>
      </c>
      <c r="U24">
        <f>(V17*$G$4+(V21-$G$4)*(V17*R6/3+(3-R6)/3))/V21</f>
        <v>1.1712650819496877</v>
      </c>
    </row>
    <row r="25" spans="4:25" x14ac:dyDescent="0.45">
      <c r="E25" t="s">
        <v>30</v>
      </c>
      <c r="F25">
        <f>($G$4*G17+$G$5*(C6*G17+(3-C6)*1)/3+(G21-$G$4-$G$5)*1)/G21</f>
        <v>1.176050469553042</v>
      </c>
      <c r="T25" t="s">
        <v>30</v>
      </c>
      <c r="U25">
        <f>($G$4*V17+$G$5*(R6*V17+(3-R6)*1)/3+(V21-$G$4-$G$5)*1)/V21</f>
        <v>1.182344032638758</v>
      </c>
    </row>
    <row r="26" spans="4:25" x14ac:dyDescent="0.45">
      <c r="E26" t="s">
        <v>35</v>
      </c>
      <c r="F26">
        <f>IF(D24=1,F24,F25)</f>
        <v>1.1689100157266374</v>
      </c>
      <c r="T26" t="s">
        <v>35</v>
      </c>
      <c r="U26">
        <f>IF(S24=1,U24,U25)</f>
        <v>1.1712650819496877</v>
      </c>
    </row>
    <row r="27" spans="4:25" x14ac:dyDescent="0.45">
      <c r="V27" t="s">
        <v>45</v>
      </c>
      <c r="W27" t="s">
        <v>46</v>
      </c>
    </row>
    <row r="28" spans="4:25" x14ac:dyDescent="0.45">
      <c r="F28" t="s">
        <v>36</v>
      </c>
      <c r="G28">
        <f>F26*J19*L13*N13</f>
        <v>1.4722230614783001</v>
      </c>
      <c r="U28" t="s">
        <v>36</v>
      </c>
      <c r="V28">
        <f>U26*Y19*AA13*AC13*(V2*V3*V4)</f>
        <v>1.5241942088571963</v>
      </c>
      <c r="W28">
        <f>U26*Y19*AA13*AC13*(W2*W3)</f>
        <v>1.526869937242364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계산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2022-02-22T08:44:22Z</dcterms:modified>
</cp:coreProperties>
</file>