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\OneDrive\바탕 화면\"/>
    </mc:Choice>
  </mc:AlternateContent>
  <xr:revisionPtr revIDLastSave="0" documentId="13_ncr:1_{E1E405CE-F14A-43D1-8866-DE88F03478C9}" xr6:coauthVersionLast="47" xr6:coauthVersionMax="47" xr10:uidLastSave="{00000000-0000-0000-0000-000000000000}"/>
  <bookViews>
    <workbookView xWindow="-120" yWindow="-120" windowWidth="29040" windowHeight="15720" tabRatio="828" xr2:uid="{00000000-000D-0000-FFFF-FFFF00000000}"/>
  </bookViews>
  <sheets>
    <sheet name="ㅇㅇㅇ" sheetId="34" r:id="rId1"/>
  </sheets>
  <definedNames>
    <definedName name="_xlnm.Print_Area" localSheetId="0">ㅇㅇㅇ!$A$1:$R$78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K77" i="34"/>
  <c r="V141" i="34"/>
  <c r="V140" i="34"/>
  <c r="V139" i="34"/>
  <c r="V138" i="34"/>
  <c r="V137" i="34"/>
  <c r="V136" i="34"/>
  <c r="V135" i="34"/>
  <c r="V134" i="34"/>
  <c r="V133" i="34"/>
  <c r="V132" i="34"/>
  <c r="V131" i="34"/>
  <c r="V130" i="34"/>
  <c r="V129" i="34"/>
  <c r="V128" i="34"/>
  <c r="V127" i="34"/>
  <c r="V126" i="34"/>
  <c r="V125" i="34"/>
  <c r="V124" i="34"/>
  <c r="V123" i="34"/>
  <c r="V122" i="34"/>
  <c r="X94" i="34"/>
  <c r="W94" i="34"/>
  <c r="V94" i="34"/>
  <c r="X93" i="34"/>
  <c r="W93" i="34"/>
  <c r="V93" i="34"/>
  <c r="X92" i="34"/>
  <c r="W92" i="34" s="1"/>
  <c r="X91" i="34"/>
  <c r="W91" i="34" s="1"/>
  <c r="M74" i="34"/>
  <c r="M70" i="34"/>
  <c r="K65" i="34"/>
  <c r="M62" i="34"/>
  <c r="M58" i="34"/>
  <c r="K53" i="34"/>
  <c r="D53" i="34"/>
  <c r="C53" i="34"/>
  <c r="B53" i="34"/>
  <c r="E53" i="34" s="1"/>
  <c r="F53" i="34" s="1"/>
  <c r="A57" i="34" s="1"/>
  <c r="M50" i="34"/>
  <c r="M46" i="34"/>
  <c r="I46" i="34"/>
  <c r="H46" i="34"/>
  <c r="E46" i="34"/>
  <c r="D46" i="34"/>
  <c r="I45" i="34"/>
  <c r="H45" i="34"/>
  <c r="E45" i="34"/>
  <c r="I44" i="34"/>
  <c r="H44" i="34"/>
  <c r="E44" i="34"/>
  <c r="I43" i="34"/>
  <c r="H43" i="34"/>
  <c r="E43" i="34"/>
  <c r="I42" i="34"/>
  <c r="H42" i="34"/>
  <c r="E42" i="34"/>
  <c r="I41" i="34"/>
  <c r="H41" i="34"/>
  <c r="E41" i="34"/>
  <c r="N40" i="34"/>
  <c r="M40" i="34"/>
  <c r="I40" i="34"/>
  <c r="H40" i="34"/>
  <c r="E40" i="34"/>
  <c r="I39" i="34"/>
  <c r="H39" i="34"/>
  <c r="E39" i="34"/>
  <c r="N38" i="34"/>
  <c r="M38" i="34"/>
  <c r="J33" i="34"/>
  <c r="M33" i="34" s="1"/>
  <c r="J32" i="34"/>
  <c r="N32" i="34" s="1"/>
  <c r="J31" i="34"/>
  <c r="O31" i="34" s="1"/>
  <c r="J29" i="34"/>
  <c r="P29" i="34" s="1"/>
  <c r="J28" i="34"/>
  <c r="Q28" i="34" s="1"/>
  <c r="J26" i="34"/>
  <c r="R26" i="34" s="1"/>
  <c r="J22" i="34"/>
  <c r="O12" i="34"/>
  <c r="O13" i="34" s="1"/>
  <c r="L12" i="34"/>
  <c r="L13" i="34" s="1"/>
  <c r="O6" i="34"/>
  <c r="I6" i="34"/>
  <c r="L50" i="34" s="1"/>
  <c r="V92" i="34" l="1"/>
  <c r="G46" i="34"/>
  <c r="Q29" i="34"/>
  <c r="G45" i="34"/>
  <c r="P33" i="34"/>
  <c r="N33" i="34"/>
  <c r="O33" i="34"/>
  <c r="Q33" i="34"/>
  <c r="K33" i="34"/>
  <c r="O32" i="34"/>
  <c r="P32" i="34"/>
  <c r="Q32" i="34"/>
  <c r="P31" i="34"/>
  <c r="Q31" i="34"/>
  <c r="M26" i="34"/>
  <c r="N26" i="34"/>
  <c r="P26" i="34"/>
  <c r="L26" i="34"/>
  <c r="K26" i="34"/>
  <c r="I47" i="34"/>
  <c r="G40" i="34"/>
  <c r="H47" i="34"/>
  <c r="G43" i="34"/>
  <c r="F45" i="34"/>
  <c r="F40" i="34"/>
  <c r="L62" i="34"/>
  <c r="K28" i="34"/>
  <c r="R29" i="34"/>
  <c r="L74" i="34"/>
  <c r="R28" i="34"/>
  <c r="L28" i="34"/>
  <c r="K29" i="34"/>
  <c r="R31" i="34"/>
  <c r="M12" i="34"/>
  <c r="M13" i="34" s="1"/>
  <c r="O26" i="34"/>
  <c r="N28" i="34"/>
  <c r="M29" i="34"/>
  <c r="L31" i="34"/>
  <c r="K32" i="34"/>
  <c r="R33" i="34"/>
  <c r="F39" i="34"/>
  <c r="F43" i="34"/>
  <c r="V91" i="34"/>
  <c r="D39" i="34" s="1"/>
  <c r="G39" i="34" s="1"/>
  <c r="M28" i="34"/>
  <c r="L29" i="34"/>
  <c r="K31" i="34"/>
  <c r="R32" i="34"/>
  <c r="N12" i="34"/>
  <c r="N13" i="34" s="1"/>
  <c r="O28" i="34"/>
  <c r="N29" i="34"/>
  <c r="M31" i="34"/>
  <c r="L32" i="34"/>
  <c r="Q26" i="34"/>
  <c r="P28" i="34"/>
  <c r="O29" i="34"/>
  <c r="N31" i="34"/>
  <c r="M32" i="34"/>
  <c r="L33" i="34"/>
  <c r="F42" i="34"/>
  <c r="F46" i="34"/>
  <c r="N22" i="34" l="1"/>
  <c r="N37" i="34" s="1"/>
  <c r="N39" i="34" s="1"/>
  <c r="N41" i="34" s="1"/>
  <c r="A6" i="34" s="1"/>
  <c r="K58" i="34" s="1"/>
  <c r="K62" i="34" s="1"/>
  <c r="O22" i="34"/>
  <c r="O37" i="34" s="1"/>
  <c r="O39" i="34" s="1"/>
  <c r="O41" i="34" s="1"/>
  <c r="B6" i="34" s="1"/>
  <c r="L70" i="34" s="1"/>
  <c r="P22" i="34"/>
  <c r="R22" i="34"/>
  <c r="K22" i="34"/>
  <c r="M22" i="34"/>
  <c r="L22" i="34"/>
  <c r="B57" i="34" s="1"/>
  <c r="D57" i="34" s="1"/>
  <c r="F6" i="34" s="1"/>
  <c r="P58" i="34" s="1"/>
  <c r="Q22" i="34"/>
  <c r="X102" i="34"/>
  <c r="D41" i="34" s="1"/>
  <c r="W102" i="34"/>
  <c r="V102" i="34"/>
  <c r="G41" i="34" l="1"/>
  <c r="F41" i="34"/>
  <c r="M37" i="34"/>
  <c r="M39" i="34" s="1"/>
  <c r="M41" i="34" s="1"/>
  <c r="K70" i="34"/>
  <c r="K74" i="34" s="1"/>
  <c r="P46" i="34"/>
  <c r="M6" i="34"/>
  <c r="P74" i="34" s="1"/>
  <c r="P70" i="34"/>
  <c r="K46" i="34"/>
  <c r="H6" i="34"/>
  <c r="K50" i="34" s="1"/>
  <c r="L46" i="34"/>
  <c r="L58" i="34"/>
  <c r="P62" i="34" l="1"/>
  <c r="P50" i="34"/>
  <c r="D44" i="34" l="1"/>
  <c r="G44" i="34" l="1"/>
  <c r="F44" i="34"/>
  <c r="F47" i="34" s="1"/>
  <c r="D6" i="34" s="1"/>
  <c r="D42" i="34"/>
  <c r="G42" i="34" s="1"/>
  <c r="G47" i="34" s="1"/>
  <c r="E6" i="34" s="1"/>
  <c r="N58" i="34" l="1"/>
  <c r="N70" i="34"/>
  <c r="N74" i="34" s="1"/>
  <c r="K6" i="34"/>
  <c r="N46" i="34"/>
  <c r="O70" i="34"/>
  <c r="O46" i="34"/>
  <c r="A7" i="34"/>
  <c r="L6" i="34"/>
  <c r="O58" i="34"/>
  <c r="K47" i="34" l="1"/>
  <c r="K59" i="34"/>
  <c r="K71" i="34"/>
  <c r="N62" i="34"/>
  <c r="N50" i="34"/>
  <c r="O7" i="34"/>
  <c r="O74" i="34"/>
  <c r="K75" i="34" s="1"/>
  <c r="H7" i="34"/>
  <c r="O50" i="34"/>
  <c r="O62" i="34"/>
  <c r="K51" i="34" l="1"/>
  <c r="K63" i="34"/>
  <c r="R6" i="34"/>
  <c r="K78" i="34"/>
  <c r="N78" i="34" s="1"/>
  <c r="K66" i="34"/>
  <c r="K54" i="34"/>
  <c r="N54" i="34" l="1"/>
  <c r="P54" i="34" s="1"/>
  <c r="W108" i="34" s="1"/>
  <c r="N66" i="34"/>
  <c r="P66" i="34" s="1"/>
  <c r="V109" i="34" s="1"/>
  <c r="P78" i="34"/>
  <c r="W107" i="34" s="1"/>
  <c r="V107" i="34" l="1"/>
  <c r="X107" i="34"/>
  <c r="D40" i="34" s="1"/>
  <c r="X109" i="34"/>
  <c r="D45" i="34" s="1"/>
  <c r="W109" i="34"/>
  <c r="V108" i="34"/>
  <c r="X108" i="34"/>
  <c r="D43" i="34" s="1"/>
</calcChain>
</file>

<file path=xl/sharedStrings.xml><?xml version="1.0" encoding="utf-8"?>
<sst xmlns="http://schemas.openxmlformats.org/spreadsheetml/2006/main" count="439" uniqueCount="305">
  <si>
    <t>-</t>
    <phoneticPr fontId="1" type="noConversion"/>
  </si>
  <si>
    <t>예둔</t>
    <phoneticPr fontId="1" type="noConversion"/>
  </si>
  <si>
    <t>지배</t>
    <phoneticPr fontId="1" type="noConversion"/>
  </si>
  <si>
    <t>갈망</t>
    <phoneticPr fontId="1" type="noConversion"/>
  </si>
  <si>
    <t>질증</t>
  </si>
  <si>
    <t>정단</t>
  </si>
  <si>
    <t>예둔</t>
  </si>
  <si>
    <t>에포</t>
  </si>
  <si>
    <t>에테르포식자</t>
  </si>
  <si>
    <t>저받</t>
  </si>
  <si>
    <t>질량 증가</t>
  </si>
  <si>
    <t>돌대</t>
  </si>
  <si>
    <t>돌격대장</t>
  </si>
  <si>
    <t>추진</t>
  </si>
  <si>
    <t>추진력</t>
  </si>
  <si>
    <t>슈차</t>
  </si>
  <si>
    <t>슈퍼 차지</t>
  </si>
  <si>
    <t>속전속결</t>
  </si>
  <si>
    <t>바리</t>
  </si>
  <si>
    <t>바리케이드</t>
  </si>
  <si>
    <t>안상</t>
  </si>
  <si>
    <t>안정된 상태</t>
  </si>
  <si>
    <t>달저</t>
  </si>
  <si>
    <t>달인의 저력</t>
  </si>
  <si>
    <t>타대</t>
  </si>
  <si>
    <t>타격의 대가</t>
  </si>
  <si>
    <t>3각인</t>
    <phoneticPr fontId="1" type="noConversion"/>
  </si>
  <si>
    <t>기대</t>
  </si>
  <si>
    <t>기습의 대가</t>
  </si>
  <si>
    <t>2각인</t>
    <phoneticPr fontId="1" type="noConversion"/>
  </si>
  <si>
    <t>결대</t>
  </si>
  <si>
    <t>결투의 대가</t>
  </si>
  <si>
    <t>1각인</t>
    <phoneticPr fontId="1" type="noConversion"/>
  </si>
  <si>
    <t>각인명</t>
  </si>
  <si>
    <t>원한</t>
  </si>
  <si>
    <t>3레벨</t>
  </si>
  <si>
    <t>2레벨</t>
  </si>
  <si>
    <t>1레벨</t>
  </si>
  <si>
    <t>줄임말</t>
  </si>
  <si>
    <t>합연산</t>
  </si>
  <si>
    <t>곱연산</t>
  </si>
  <si>
    <t>곱연산</t>
    <phoneticPr fontId="1" type="noConversion"/>
  </si>
  <si>
    <t>구분</t>
    <phoneticPr fontId="1" type="noConversion"/>
  </si>
  <si>
    <t>세구빛</t>
    <phoneticPr fontId="1" type="noConversion"/>
  </si>
  <si>
    <t>직각1</t>
    <phoneticPr fontId="1" type="noConversion"/>
  </si>
  <si>
    <t>직업각인1</t>
    <phoneticPr fontId="1" type="noConversion"/>
  </si>
  <si>
    <t>직업각인2</t>
    <phoneticPr fontId="1" type="noConversion"/>
  </si>
  <si>
    <t>공증</t>
    <phoneticPr fontId="1" type="noConversion"/>
  </si>
  <si>
    <t>5각인</t>
    <phoneticPr fontId="1" type="noConversion"/>
  </si>
  <si>
    <t>치명</t>
    <phoneticPr fontId="1" type="noConversion"/>
  </si>
  <si>
    <t>치적</t>
    <phoneticPr fontId="1" type="noConversion"/>
  </si>
  <si>
    <t>신속</t>
    <phoneticPr fontId="1" type="noConversion"/>
  </si>
  <si>
    <t>쿨감</t>
    <phoneticPr fontId="1" type="noConversion"/>
  </si>
  <si>
    <t>공속</t>
    <phoneticPr fontId="1" type="noConversion"/>
  </si>
  <si>
    <t>이속</t>
    <phoneticPr fontId="1" type="noConversion"/>
  </si>
  <si>
    <t>치피</t>
    <phoneticPr fontId="1" type="noConversion"/>
  </si>
  <si>
    <t>결단 2</t>
  </si>
  <si>
    <t>결단 5</t>
  </si>
  <si>
    <t>맹세 2</t>
  </si>
  <si>
    <t>맹세 5</t>
  </si>
  <si>
    <t>욕망 2</t>
  </si>
  <si>
    <t>욕망 4</t>
  </si>
  <si>
    <t>욕망 6</t>
  </si>
  <si>
    <t>지배 2</t>
  </si>
  <si>
    <t>지배 4</t>
  </si>
  <si>
    <t>지배 6</t>
  </si>
  <si>
    <t>피해증가</t>
    <phoneticPr fontId="1" type="noConversion"/>
  </si>
  <si>
    <t>악몽</t>
    <phoneticPr fontId="1" type="noConversion"/>
  </si>
  <si>
    <t>저녁 2</t>
  </si>
  <si>
    <t>저녁 5</t>
  </si>
  <si>
    <t>황혼 2</t>
  </si>
  <si>
    <t>황혼 5</t>
  </si>
  <si>
    <t>선택 2</t>
  </si>
  <si>
    <t>선택 5</t>
  </si>
  <si>
    <t>마수 2</t>
  </si>
  <si>
    <t>마수 4</t>
  </si>
  <si>
    <t>마수 6</t>
  </si>
  <si>
    <t>지배(강화) 2</t>
  </si>
  <si>
    <t>지배(강화) 4</t>
  </si>
  <si>
    <t>지배(강화) 6</t>
  </si>
  <si>
    <t>배신(강화) 2</t>
  </si>
  <si>
    <t>배신(강화) 4</t>
  </si>
  <si>
    <t>배신(강화) 6</t>
  </si>
  <si>
    <t>갈망(강화) 2</t>
  </si>
  <si>
    <t>갈망(강화) 4</t>
  </si>
  <si>
    <t>갈망(강화) 6</t>
  </si>
  <si>
    <t>파괴(강화) 2</t>
  </si>
  <si>
    <t>파괴(강화) 4</t>
  </si>
  <si>
    <t>파괴(강화) 6</t>
  </si>
  <si>
    <t>매혹(강화) 2</t>
  </si>
  <si>
    <t>매혹(강화) 4</t>
  </si>
  <si>
    <t>매혹(강화) 6</t>
  </si>
  <si>
    <t>사멸(강화) 2</t>
  </si>
  <si>
    <t>사멸(강화) 4</t>
  </si>
  <si>
    <t>사멸(강화) 6</t>
  </si>
  <si>
    <t>악몽(강화) 2</t>
  </si>
  <si>
    <t>악몽(강화) 4</t>
  </si>
  <si>
    <t>악몽(강화) 6</t>
  </si>
  <si>
    <t>환각(강화) 2</t>
  </si>
  <si>
    <t>환각(강화) 4</t>
  </si>
  <si>
    <t>환각(강화) 6</t>
  </si>
  <si>
    <t>강화여부</t>
    <phoneticPr fontId="1" type="noConversion"/>
  </si>
  <si>
    <t>배신 2</t>
  </si>
  <si>
    <t>배신 4</t>
  </si>
  <si>
    <t>배신 6</t>
  </si>
  <si>
    <t>갈망 2</t>
  </si>
  <si>
    <t>갈망 4</t>
  </si>
  <si>
    <t>갈망 6</t>
  </si>
  <si>
    <t>파괴 2</t>
  </si>
  <si>
    <t>파괴 4</t>
  </si>
  <si>
    <t>파괴 6</t>
  </si>
  <si>
    <t>매혹 2</t>
  </si>
  <si>
    <t>매혹 4</t>
  </si>
  <si>
    <t>매혹 6</t>
  </si>
  <si>
    <t>사멸 2</t>
  </si>
  <si>
    <t>사멸 4</t>
  </si>
  <si>
    <t>사멸 6</t>
  </si>
  <si>
    <t>악몽 2</t>
  </si>
  <si>
    <t>악몽 4</t>
  </si>
  <si>
    <t>악몽 6</t>
  </si>
  <si>
    <t>환각 2</t>
  </si>
  <si>
    <t>환각 4</t>
  </si>
  <si>
    <t>환각 6</t>
  </si>
  <si>
    <t>6각인</t>
    <phoneticPr fontId="1" type="noConversion"/>
  </si>
  <si>
    <t>+</t>
    <phoneticPr fontId="1" type="noConversion"/>
  </si>
  <si>
    <t>추피</t>
    <phoneticPr fontId="1" type="noConversion"/>
  </si>
  <si>
    <t>무기품질</t>
    <phoneticPr fontId="1" type="noConversion"/>
  </si>
  <si>
    <t>무기 품질</t>
    <phoneticPr fontId="1" type="noConversion"/>
  </si>
  <si>
    <t>추가 피해</t>
    <phoneticPr fontId="1" type="noConversion"/>
  </si>
  <si>
    <t>1당 증가</t>
    <phoneticPr fontId="1" type="noConversion"/>
  </si>
  <si>
    <t>적용구간</t>
    <phoneticPr fontId="1" type="noConversion"/>
  </si>
  <si>
    <t>구간 증가량</t>
    <phoneticPr fontId="1" type="noConversion"/>
  </si>
  <si>
    <t>구간품질차</t>
    <phoneticPr fontId="1" type="noConversion"/>
  </si>
  <si>
    <t>구간추피</t>
    <phoneticPr fontId="1" type="noConversion"/>
  </si>
  <si>
    <t>최종추피</t>
    <phoneticPr fontId="1" type="noConversion"/>
  </si>
  <si>
    <t>합연</t>
    <phoneticPr fontId="1" type="noConversion"/>
  </si>
  <si>
    <t>치피증</t>
    <phoneticPr fontId="1" type="noConversion"/>
  </si>
  <si>
    <t>4각인</t>
    <phoneticPr fontId="1" type="noConversion"/>
  </si>
  <si>
    <t>추가피해</t>
    <phoneticPr fontId="1" type="noConversion"/>
  </si>
  <si>
    <t>스킬피해</t>
    <phoneticPr fontId="1" type="noConversion"/>
  </si>
  <si>
    <t>치뎀</t>
    <phoneticPr fontId="1" type="noConversion"/>
  </si>
  <si>
    <t>공격력</t>
    <phoneticPr fontId="1" type="noConversion"/>
  </si>
  <si>
    <t>피증</t>
    <phoneticPr fontId="1" type="noConversion"/>
  </si>
  <si>
    <t>안치적</t>
    <phoneticPr fontId="1" type="noConversion"/>
  </si>
  <si>
    <t>곱연</t>
    <phoneticPr fontId="1" type="noConversion"/>
  </si>
  <si>
    <t>예둔디버프</t>
    <phoneticPr fontId="1" type="noConversion"/>
  </si>
  <si>
    <t>안치뎀</t>
    <phoneticPr fontId="1" type="noConversion"/>
  </si>
  <si>
    <t>치명타적중률</t>
    <phoneticPr fontId="1" type="noConversion"/>
  </si>
  <si>
    <t>치명타데미지</t>
    <phoneticPr fontId="1" type="noConversion"/>
  </si>
  <si>
    <t>공격력 증가</t>
    <phoneticPr fontId="1" type="noConversion"/>
  </si>
  <si>
    <t>계산쉽게 1</t>
    <phoneticPr fontId="1" type="noConversion"/>
  </si>
  <si>
    <t>치명특성, 유물, 카드 등</t>
    <phoneticPr fontId="1" type="noConversion"/>
  </si>
  <si>
    <t>피증</t>
  </si>
  <si>
    <t>피해 증가</t>
    <phoneticPr fontId="1" type="noConversion"/>
  </si>
  <si>
    <t>합연산 딜각인 합</t>
    <phoneticPr fontId="1" type="noConversion"/>
  </si>
  <si>
    <t>곱연산 딜각인 곱</t>
    <phoneticPr fontId="1" type="noConversion"/>
  </si>
  <si>
    <t>기본공격력</t>
    <phoneticPr fontId="1" type="noConversion"/>
  </si>
  <si>
    <t>유물셋(구원, 마수), 무기품질 등</t>
    <phoneticPr fontId="1" type="noConversion"/>
  </si>
  <si>
    <t>평타확률</t>
    <phoneticPr fontId="1" type="noConversion"/>
  </si>
  <si>
    <t>1-치적</t>
    <phoneticPr fontId="1" type="noConversion"/>
  </si>
  <si>
    <t>평타데미지</t>
    <phoneticPr fontId="1" type="noConversion"/>
  </si>
  <si>
    <t xml:space="preserve">(치적 * ( 치뎀 * ( 공격력 * 공증 ) * 피증 * 추피 ) ) </t>
    <phoneticPr fontId="1" type="noConversion"/>
  </si>
  <si>
    <t>( 안치적 * ( 안치뎀 * ( 공격력 * 공증 ) * 피증 * 추피 ) )</t>
    <phoneticPr fontId="1" type="noConversion"/>
  </si>
  <si>
    <t>평타 확률 딜</t>
    <phoneticPr fontId="1" type="noConversion"/>
  </si>
  <si>
    <t>치적</t>
  </si>
  <si>
    <t>치뎀</t>
  </si>
  <si>
    <t>공격력</t>
  </si>
  <si>
    <t>공증</t>
  </si>
  <si>
    <t>추피</t>
  </si>
  <si>
    <t>안치적</t>
  </si>
  <si>
    <t>안치뎀</t>
  </si>
  <si>
    <t>1. 특성수치</t>
    <phoneticPr fontId="1" type="noConversion"/>
  </si>
  <si>
    <t>24셋</t>
    <phoneticPr fontId="1" type="noConversion"/>
  </si>
  <si>
    <t>222셋</t>
    <phoneticPr fontId="1" type="noConversion"/>
  </si>
  <si>
    <t>채용세트</t>
    <phoneticPr fontId="1" type="noConversion"/>
  </si>
  <si>
    <t>사멸유형</t>
    <phoneticPr fontId="1" type="noConversion"/>
  </si>
  <si>
    <t>주는피해</t>
    <phoneticPr fontId="1" type="noConversion"/>
  </si>
  <si>
    <t>6셋</t>
    <phoneticPr fontId="1" type="noConversion"/>
  </si>
  <si>
    <t>펫적용</t>
    <phoneticPr fontId="1" type="noConversion"/>
  </si>
  <si>
    <t>펫적용치명</t>
    <phoneticPr fontId="1" type="noConversion"/>
  </si>
  <si>
    <t>펫적용신속</t>
    <phoneticPr fontId="1" type="noConversion"/>
  </si>
  <si>
    <t>특성값</t>
    <phoneticPr fontId="1" type="noConversion"/>
  </si>
  <si>
    <t>특성값 및 펫적용</t>
    <phoneticPr fontId="1" type="noConversion"/>
  </si>
  <si>
    <t>3. 채용각인</t>
    <phoneticPr fontId="1" type="noConversion"/>
  </si>
  <si>
    <t>0. 딜산정</t>
    <phoneticPr fontId="1" type="noConversion"/>
  </si>
  <si>
    <t>속속</t>
  </si>
  <si>
    <t>각인</t>
    <phoneticPr fontId="1" type="noConversion"/>
  </si>
  <si>
    <t>레벨</t>
    <phoneticPr fontId="1" type="noConversion"/>
  </si>
  <si>
    <t>유형</t>
    <phoneticPr fontId="1" type="noConversion"/>
  </si>
  <si>
    <t>직각1</t>
  </si>
  <si>
    <t>직각2</t>
  </si>
  <si>
    <t>마효</t>
  </si>
  <si>
    <t>부뼈</t>
  </si>
  <si>
    <t>분쇄</t>
  </si>
  <si>
    <t>선필</t>
  </si>
  <si>
    <t>승부</t>
  </si>
  <si>
    <t>실관</t>
  </si>
  <si>
    <t>약무</t>
  </si>
  <si>
    <t>시선</t>
  </si>
  <si>
    <t>연산유형</t>
  </si>
  <si>
    <t>직업각인1</t>
  </si>
  <si>
    <t>직업각인2</t>
  </si>
  <si>
    <t>곱연산2</t>
  </si>
  <si>
    <t>저주받은 인형</t>
  </si>
  <si>
    <t>아드레날린(딜증)</t>
  </si>
  <si>
    <t>아드레날린(치명)</t>
  </si>
  <si>
    <t>예리한 둔기(치명)</t>
  </si>
  <si>
    <t>정밀 단도(치명)</t>
  </si>
  <si>
    <t>마나 효율 증가</t>
  </si>
  <si>
    <t>부러진 뼈</t>
  </si>
  <si>
    <t>분쇄의 주먹</t>
  </si>
  <si>
    <t>선수필승</t>
  </si>
  <si>
    <t>승부사</t>
  </si>
  <si>
    <t>실드 관통</t>
  </si>
  <si>
    <t>약자 무시</t>
  </si>
  <si>
    <t>시선 집중</t>
  </si>
  <si>
    <t>=</t>
    <phoneticPr fontId="1" type="noConversion"/>
  </si>
  <si>
    <t>기대값</t>
    <phoneticPr fontId="1" type="noConversion"/>
  </si>
  <si>
    <t>평타피해량 * 공격력</t>
    <phoneticPr fontId="1" type="noConversion"/>
  </si>
  <si>
    <t>치명타피해량 * 공격력</t>
    <phoneticPr fontId="1" type="noConversion"/>
  </si>
  <si>
    <t>치명타 확률 딜</t>
    <phoneticPr fontId="1" type="noConversion"/>
  </si>
  <si>
    <t>계산</t>
    <phoneticPr fontId="1" type="noConversion"/>
  </si>
  <si>
    <t>사멸</t>
    <phoneticPr fontId="1" type="noConversion"/>
  </si>
  <si>
    <t>사멸성공</t>
    <phoneticPr fontId="1" type="noConversion"/>
  </si>
  <si>
    <t>아드(공증)</t>
    <phoneticPr fontId="1" type="noConversion"/>
  </si>
  <si>
    <t>아드(치적)</t>
    <phoneticPr fontId="1" type="noConversion"/>
  </si>
  <si>
    <t>세구빛</t>
  </si>
  <si>
    <t>세구</t>
  </si>
  <si>
    <t>딜증</t>
    <phoneticPr fontId="1" type="noConversion"/>
  </si>
  <si>
    <t>8각인</t>
    <phoneticPr fontId="1" type="noConversion"/>
  </si>
  <si>
    <t>1레벨치적</t>
    <phoneticPr fontId="1" type="noConversion"/>
  </si>
  <si>
    <t>2레벨치적</t>
    <phoneticPr fontId="1" type="noConversion"/>
  </si>
  <si>
    <t>3레벨치적</t>
    <phoneticPr fontId="1" type="noConversion"/>
  </si>
  <si>
    <t>1레벨치피증</t>
    <phoneticPr fontId="1" type="noConversion"/>
  </si>
  <si>
    <t>2레벨치피증</t>
    <phoneticPr fontId="1" type="noConversion"/>
  </si>
  <si>
    <t>3레벨치피증</t>
    <phoneticPr fontId="1" type="noConversion"/>
  </si>
  <si>
    <t>최종딜 감소 2%</t>
  </si>
  <si>
    <t>1당 치적</t>
    <phoneticPr fontId="1" type="noConversion"/>
  </si>
  <si>
    <t>1당 공속</t>
    <phoneticPr fontId="1" type="noConversion"/>
  </si>
  <si>
    <t>1당 이속</t>
    <phoneticPr fontId="1" type="noConversion"/>
  </si>
  <si>
    <t>1당 쿨감</t>
    <phoneticPr fontId="1" type="noConversion"/>
  </si>
  <si>
    <t>기타 버프 합산</t>
    <phoneticPr fontId="1" type="noConversion"/>
  </si>
  <si>
    <t>구분</t>
  </si>
  <si>
    <t>이속</t>
  </si>
  <si>
    <t>카드등
기타버프</t>
    <phoneticPr fontId="1" type="noConversion"/>
  </si>
  <si>
    <t>공속</t>
  </si>
  <si>
    <t>쿨감</t>
  </si>
  <si>
    <t>1.1 특성</t>
    <phoneticPr fontId="1" type="noConversion"/>
  </si>
  <si>
    <t>1.2 기타버프(수동입력)</t>
    <phoneticPr fontId="1" type="noConversion"/>
  </si>
  <si>
    <t>1.3 치적/공속/이속/쿨감(특성 + 기타버프)</t>
    <phoneticPr fontId="1" type="noConversion"/>
  </si>
  <si>
    <t>3.1 직업각인</t>
    <phoneticPr fontId="1" type="noConversion"/>
  </si>
  <si>
    <t>3.2 직업각인 + 전투각인 효과</t>
    <phoneticPr fontId="1" type="noConversion"/>
  </si>
  <si>
    <t>딜 관련</t>
  </si>
  <si>
    <t>치명관련</t>
  </si>
  <si>
    <t>신속관련</t>
  </si>
  <si>
    <t>피해증가</t>
  </si>
  <si>
    <t>추가피해</t>
  </si>
  <si>
    <t>스킬피해</t>
  </si>
  <si>
    <t>치피</t>
  </si>
  <si>
    <t>구원 2</t>
  </si>
  <si>
    <t>구원 4</t>
  </si>
  <si>
    <t>구원 6</t>
  </si>
  <si>
    <t>구원(강화) 2</t>
  </si>
  <si>
    <t>구원(강화) 4</t>
  </si>
  <si>
    <t>구원(강화) 6</t>
  </si>
  <si>
    <t>2. 유물셋 수치</t>
    <phoneticPr fontId="1" type="noConversion"/>
  </si>
  <si>
    <t>1. 특성 수치</t>
    <phoneticPr fontId="1" type="noConversion"/>
  </si>
  <si>
    <t>2. 유물셋 및 사멸보너스</t>
    <phoneticPr fontId="1" type="noConversion"/>
  </si>
  <si>
    <t>2.5 사멸어택 성공 기대값 효율 반영</t>
    <phoneticPr fontId="1" type="noConversion"/>
  </si>
  <si>
    <t>2.1 채용 유물셋</t>
    <phoneticPr fontId="1" type="noConversion"/>
  </si>
  <si>
    <t>2.4 세트유형별 적용 효과</t>
    <phoneticPr fontId="1" type="noConversion"/>
  </si>
  <si>
    <t>2.2 사멸유형 및 보너스</t>
    <phoneticPr fontId="1" type="noConversion"/>
  </si>
  <si>
    <t>셋옵션</t>
    <phoneticPr fontId="1" type="noConversion"/>
  </si>
  <si>
    <t>사멸 보너스(최대)</t>
    <phoneticPr fontId="1" type="noConversion"/>
  </si>
  <si>
    <t>셋옵션(사멸성공비율반영)</t>
    <phoneticPr fontId="1" type="noConversion"/>
  </si>
  <si>
    <t>사멸보너스(성공비율반영)</t>
    <phoneticPr fontId="1" type="noConversion"/>
  </si>
  <si>
    <t>셋+사멸보너스(성공비율반영)</t>
    <phoneticPr fontId="1" type="noConversion"/>
  </si>
  <si>
    <t>4. 무기 추가피해 및 최종 추가피해</t>
    <phoneticPr fontId="1" type="noConversion"/>
  </si>
  <si>
    <t>4. 무기 추가피해</t>
    <phoneticPr fontId="1" type="noConversion"/>
  </si>
  <si>
    <t>무기추피</t>
    <phoneticPr fontId="1" type="noConversion"/>
  </si>
  <si>
    <t>4.1 무기 추가피해</t>
    <phoneticPr fontId="1" type="noConversion"/>
  </si>
  <si>
    <t>4.2 최종 추가피해</t>
    <phoneticPr fontId="1" type="noConversion"/>
  </si>
  <si>
    <t>유물셋 추피</t>
    <phoneticPr fontId="1" type="noConversion"/>
  </si>
  <si>
    <t>기타추피</t>
    <phoneticPr fontId="1" type="noConversion"/>
  </si>
  <si>
    <t>돌대</t>
    <phoneticPr fontId="1" type="noConversion"/>
  </si>
  <si>
    <t>아드(공증)</t>
  </si>
  <si>
    <t>7각인</t>
    <phoneticPr fontId="1" type="noConversion"/>
  </si>
  <si>
    <t>3.3 예둔/정단/아드 각 효율(채용시 기대 값 / 미채용시 기대 값)</t>
    <phoneticPr fontId="1" type="noConversion"/>
  </si>
  <si>
    <t>예둔딜증효율</t>
    <phoneticPr fontId="1" type="noConversion"/>
  </si>
  <si>
    <t>예둔미적용값</t>
    <phoneticPr fontId="1" type="noConversion"/>
  </si>
  <si>
    <t>정단미적용값</t>
    <phoneticPr fontId="1" type="noConversion"/>
  </si>
  <si>
    <t>정단딜증효율</t>
    <phoneticPr fontId="1" type="noConversion"/>
  </si>
  <si>
    <t>아드미적용값</t>
    <phoneticPr fontId="1" type="noConversion"/>
  </si>
  <si>
    <t>아드딜증효율(공증+치적)</t>
    <phoneticPr fontId="1" type="noConversion"/>
  </si>
  <si>
    <r>
      <t>2.3 채용 유물세트 효과(</t>
    </r>
    <r>
      <rPr>
        <b/>
        <sz val="11"/>
        <color rgb="FFFFC000"/>
        <rFont val="맑은 고딕"/>
        <family val="3"/>
        <charset val="129"/>
        <scheme val="minor"/>
      </rPr>
      <t>6셋</t>
    </r>
    <r>
      <rPr>
        <sz val="11"/>
        <color theme="1"/>
        <rFont val="맑은 고딕"/>
        <family val="2"/>
        <charset val="129"/>
        <scheme val="minor"/>
      </rPr>
      <t xml:space="preserve"> or </t>
    </r>
    <r>
      <rPr>
        <b/>
        <sz val="11"/>
        <color rgb="FF00B0F0"/>
        <rFont val="맑은 고딕"/>
        <family val="3"/>
        <charset val="129"/>
        <scheme val="minor"/>
      </rPr>
      <t>2셋 4셋</t>
    </r>
    <r>
      <rPr>
        <sz val="11"/>
        <color theme="1"/>
        <rFont val="맑은 고딕"/>
        <family val="2"/>
        <charset val="129"/>
        <scheme val="minor"/>
      </rPr>
      <t xml:space="preserve"> or </t>
    </r>
    <r>
      <rPr>
        <b/>
        <sz val="11"/>
        <color rgb="FF92D050"/>
        <rFont val="맑은 고딕"/>
        <family val="3"/>
        <charset val="129"/>
        <scheme val="minor"/>
      </rPr>
      <t>2셋 2셋 2셋</t>
    </r>
    <r>
      <rPr>
        <sz val="11"/>
        <color theme="1"/>
        <rFont val="맑은 고딕"/>
        <family val="2"/>
        <charset val="129"/>
        <scheme val="minor"/>
      </rPr>
      <t>)</t>
    </r>
    <phoneticPr fontId="1" type="noConversion"/>
  </si>
  <si>
    <t>강화</t>
    <phoneticPr fontId="1" type="noConversion"/>
  </si>
  <si>
    <t>강화</t>
  </si>
  <si>
    <t>3.3.1 예둔 효율</t>
    <phoneticPr fontId="1" type="noConversion"/>
  </si>
  <si>
    <t>3.3.2 정단 효율</t>
    <phoneticPr fontId="1" type="noConversion"/>
  </si>
  <si>
    <t>3.3.3 아드 효율</t>
    <phoneticPr fontId="1" type="noConversion"/>
  </si>
  <si>
    <t>0. 딜계산</t>
    <phoneticPr fontId="1" type="noConversion"/>
  </si>
  <si>
    <t>백어택</t>
  </si>
  <si>
    <t>-</t>
  </si>
  <si>
    <t>질증</t>
    <phoneticPr fontId="1" type="noConversion"/>
  </si>
  <si>
    <t>정단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</si>
</sst>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00"/>
    <numFmt numFmtId="178" formatCode="0.000_ "/>
    <numFmt numFmtId="179" formatCode="0.00_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B0F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11"/>
      <color rgb="FF92D050"/>
      <name val="맑은 고딕"/>
      <family val="3"/>
      <charset val="129"/>
      <scheme val="minor"/>
    </font>
    <font>
      <b/>
      <sz val="11"/>
      <color rgb="FFFFC00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1" xfId="0" applyBorder="1">
      <alignment vertical="center"/>
    </xf>
    <xf numFmtId="2" fontId="0" fillId="2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/>
    </xf>
    <xf numFmtId="10" fontId="6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10" fontId="0" fillId="5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>
      <alignment horizontal="center" vertical="center"/>
    </xf>
    <xf numFmtId="177" fontId="0" fillId="2" borderId="1" xfId="1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4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10" fillId="2" borderId="1" xfId="0" applyFont="1" applyFill="1" applyBorder="1" applyAlignment="1">
      <alignment horizontal="center" vertical="center"/>
    </xf>
    <xf numFmtId="177" fontId="0" fillId="0" borderId="1" xfId="1" applyNumberFormat="1" applyFont="1" applyBorder="1" applyAlignment="1">
      <alignment vertical="center"/>
    </xf>
    <xf numFmtId="0" fontId="0" fillId="10" borderId="1" xfId="0" applyFill="1" applyBorder="1" applyAlignment="1">
      <alignment horizontal="center" vertical="center"/>
    </xf>
    <xf numFmtId="10" fontId="0" fillId="10" borderId="1" xfId="0" applyNumberFormat="1" applyFill="1" applyBorder="1" applyAlignment="1">
      <alignment horizontal="center" vertical="center"/>
    </xf>
    <xf numFmtId="0" fontId="0" fillId="10" borderId="1" xfId="0" applyNumberFormat="1" applyFill="1" applyBorder="1" applyAlignment="1">
      <alignment horizontal="center" vertical="center"/>
    </xf>
    <xf numFmtId="177" fontId="0" fillId="10" borderId="1" xfId="0" applyNumberForma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10" fontId="0" fillId="11" borderId="1" xfId="0" applyNumberFormat="1" applyFill="1" applyBorder="1" applyAlignment="1">
      <alignment horizontal="center" vertical="center"/>
    </xf>
    <xf numFmtId="0" fontId="0" fillId="11" borderId="1" xfId="0" applyNumberFormat="1" applyFill="1" applyBorder="1" applyAlignment="1">
      <alignment horizontal="center" vertical="center"/>
    </xf>
    <xf numFmtId="177" fontId="0" fillId="11" borderId="1" xfId="0" applyNumberForma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10" fontId="0" fillId="4" borderId="1" xfId="0" applyNumberFormat="1" applyFill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10" fontId="0" fillId="4" borderId="1" xfId="1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2" borderId="1" xfId="1" applyNumberFormat="1" applyFont="1" applyFill="1" applyBorder="1" applyAlignment="1">
      <alignment horizontal="center" vertical="center"/>
    </xf>
    <xf numFmtId="9" fontId="0" fillId="9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9" fontId="0" fillId="3" borderId="1" xfId="1" applyNumberFormat="1" applyFont="1" applyFill="1" applyBorder="1" applyAlignment="1">
      <alignment horizontal="center" vertical="center"/>
    </xf>
    <xf numFmtId="10" fontId="0" fillId="3" borderId="1" xfId="1" applyNumberFormat="1" applyFon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9" fontId="0" fillId="9" borderId="1" xfId="0" applyNumberForma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0" fontId="0" fillId="10" borderId="1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9" fontId="0" fillId="2" borderId="1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11" borderId="1" xfId="1" applyNumberFormat="1" applyFont="1" applyFill="1" applyBorder="1" applyAlignment="1">
      <alignment horizontal="center"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AFC2-6903-464D-A425-44E6F4843648}">
  <sheetPr>
    <tabColor rgb="FFCC99FF"/>
  </sheetPr>
  <dimension ref="A1:AI142"/>
  <sheetViews>
    <sheetView tabSelected="1" view="pageBreakPreview" zoomScaleNormal="100" zoomScaleSheetLayoutView="100" workbookViewId="0">
      <pane ySplit="7" topLeftCell="A8" activePane="bottomLeft" state="frozen"/>
      <selection pane="bottomLeft" activeCell="B21" sqref="B21:H21"/>
    </sheetView>
  </sheetViews>
  <sheetFormatPr defaultRowHeight="16.5" x14ac:dyDescent="0.3"/>
  <cols>
    <col min="13" max="15" width="9" customWidth="1"/>
    <col min="17" max="18" width="9" customWidth="1"/>
    <col min="19" max="19" width="2.5" bestFit="1" customWidth="1"/>
    <col min="21" max="21" width="9" customWidth="1"/>
  </cols>
  <sheetData>
    <row r="1" spans="1:35" x14ac:dyDescent="0.3">
      <c r="A1" s="13" t="s">
        <v>300</v>
      </c>
      <c r="T1" s="13" t="s">
        <v>184</v>
      </c>
    </row>
    <row r="2" spans="1:35" x14ac:dyDescent="0.3">
      <c r="A2" s="63" t="s">
        <v>220</v>
      </c>
      <c r="B2" s="63"/>
      <c r="C2" s="63"/>
      <c r="D2" s="63"/>
      <c r="E2" s="63"/>
      <c r="F2" s="63"/>
      <c r="G2" s="64" t="s">
        <v>124</v>
      </c>
      <c r="H2" s="63" t="s">
        <v>163</v>
      </c>
      <c r="I2" s="63"/>
      <c r="J2" s="63"/>
      <c r="K2" s="63"/>
      <c r="L2" s="63"/>
      <c r="M2" s="63"/>
      <c r="N2" s="65" t="s">
        <v>0</v>
      </c>
      <c r="O2" s="63" t="s">
        <v>145</v>
      </c>
      <c r="P2" s="63"/>
      <c r="T2" s="50" t="s">
        <v>164</v>
      </c>
      <c r="U2" s="59" t="s">
        <v>147</v>
      </c>
      <c r="V2" s="59"/>
      <c r="W2" s="58" t="s">
        <v>151</v>
      </c>
      <c r="X2" s="58"/>
      <c r="Y2" s="58"/>
      <c r="AA2" s="50" t="s">
        <v>169</v>
      </c>
      <c r="AB2" s="59" t="s">
        <v>158</v>
      </c>
      <c r="AC2" s="59"/>
      <c r="AD2" s="58" t="s">
        <v>159</v>
      </c>
      <c r="AE2" s="58"/>
      <c r="AF2" s="58"/>
      <c r="AH2" s="19" t="s">
        <v>145</v>
      </c>
      <c r="AI2" s="20" t="s">
        <v>236</v>
      </c>
    </row>
    <row r="3" spans="1:35" x14ac:dyDescent="0.3">
      <c r="A3" s="60" t="s">
        <v>161</v>
      </c>
      <c r="B3" s="60"/>
      <c r="C3" s="60"/>
      <c r="D3" s="60"/>
      <c r="E3" s="60"/>
      <c r="F3" s="60"/>
      <c r="G3" s="64"/>
      <c r="H3" s="61" t="s">
        <v>162</v>
      </c>
      <c r="I3" s="61"/>
      <c r="J3" s="61"/>
      <c r="K3" s="61"/>
      <c r="L3" s="61"/>
      <c r="M3" s="61"/>
      <c r="N3" s="65"/>
      <c r="O3" s="62" t="s">
        <v>145</v>
      </c>
      <c r="P3" s="62"/>
      <c r="T3" s="50" t="s">
        <v>165</v>
      </c>
      <c r="U3" s="59" t="s">
        <v>148</v>
      </c>
      <c r="V3" s="59"/>
      <c r="W3" s="58" t="s">
        <v>219</v>
      </c>
      <c r="X3" s="58"/>
      <c r="Y3" s="58"/>
      <c r="AA3" s="50" t="s">
        <v>170</v>
      </c>
      <c r="AB3" s="59" t="s">
        <v>160</v>
      </c>
      <c r="AC3" s="59"/>
      <c r="AD3" s="58" t="s">
        <v>218</v>
      </c>
      <c r="AE3" s="58"/>
      <c r="AF3" s="58"/>
    </row>
    <row r="4" spans="1:35" x14ac:dyDescent="0.3">
      <c r="T4" s="50" t="s">
        <v>166</v>
      </c>
      <c r="U4" s="59" t="s">
        <v>156</v>
      </c>
      <c r="V4" s="59"/>
      <c r="W4" s="58" t="s">
        <v>150</v>
      </c>
      <c r="X4" s="58"/>
      <c r="Y4" s="58"/>
      <c r="AA4" s="50" t="s">
        <v>166</v>
      </c>
      <c r="AB4" s="59" t="s">
        <v>156</v>
      </c>
      <c r="AC4" s="59"/>
      <c r="AD4" s="58" t="s">
        <v>150</v>
      </c>
      <c r="AE4" s="58"/>
      <c r="AF4" s="58"/>
    </row>
    <row r="5" spans="1:35" ht="16.5" customHeight="1" x14ac:dyDescent="0.3">
      <c r="A5" s="44" t="s">
        <v>50</v>
      </c>
      <c r="B5" s="44" t="s">
        <v>140</v>
      </c>
      <c r="C5" s="44" t="s">
        <v>141</v>
      </c>
      <c r="D5" s="44" t="s">
        <v>47</v>
      </c>
      <c r="E5" s="44" t="s">
        <v>142</v>
      </c>
      <c r="F5" s="44" t="s">
        <v>125</v>
      </c>
      <c r="G5" s="64" t="s">
        <v>124</v>
      </c>
      <c r="H5" s="44" t="s">
        <v>143</v>
      </c>
      <c r="I5" s="44" t="s">
        <v>146</v>
      </c>
      <c r="J5" s="44" t="s">
        <v>141</v>
      </c>
      <c r="K5" s="44" t="s">
        <v>47</v>
      </c>
      <c r="L5" s="44" t="s">
        <v>142</v>
      </c>
      <c r="M5" s="44" t="s">
        <v>125</v>
      </c>
      <c r="N5" s="65" t="s">
        <v>0</v>
      </c>
      <c r="O5" s="66" t="s">
        <v>145</v>
      </c>
      <c r="P5" s="66"/>
      <c r="Q5" s="64" t="s">
        <v>216</v>
      </c>
      <c r="R5" s="44" t="s">
        <v>217</v>
      </c>
      <c r="T5" s="50" t="s">
        <v>167</v>
      </c>
      <c r="U5" s="59" t="s">
        <v>149</v>
      </c>
      <c r="V5" s="59"/>
      <c r="W5" s="58" t="s">
        <v>154</v>
      </c>
      <c r="X5" s="58"/>
      <c r="Y5" s="58"/>
      <c r="AA5" s="50" t="s">
        <v>167</v>
      </c>
      <c r="AB5" s="59" t="s">
        <v>149</v>
      </c>
      <c r="AC5" s="59"/>
      <c r="AD5" s="58" t="s">
        <v>154</v>
      </c>
      <c r="AE5" s="58"/>
      <c r="AF5" s="58"/>
    </row>
    <row r="6" spans="1:35" ht="16.5" customHeight="1" x14ac:dyDescent="0.3">
      <c r="A6" s="10">
        <f>L13+N41+H47</f>
        <v>0.93469999999999998</v>
      </c>
      <c r="B6" s="10">
        <f>2+O41+I47</f>
        <v>2.78</v>
      </c>
      <c r="C6" s="44">
        <v>1</v>
      </c>
      <c r="D6" s="2">
        <f>F47</f>
        <v>1.2400000000000002</v>
      </c>
      <c r="E6" s="18">
        <f>G47*(IF(B22="사멸",1+M41,1+K22+M41))*(1+M22)</f>
        <v>2.03480616</v>
      </c>
      <c r="F6" s="18">
        <f>D57</f>
        <v>1.248</v>
      </c>
      <c r="G6" s="64"/>
      <c r="H6" s="10">
        <f>1-A6</f>
        <v>6.5300000000000025E-2</v>
      </c>
      <c r="I6" s="44">
        <f>J6</f>
        <v>1</v>
      </c>
      <c r="J6" s="44">
        <v>1</v>
      </c>
      <c r="K6" s="44">
        <f>D6</f>
        <v>1.2400000000000002</v>
      </c>
      <c r="L6" s="18">
        <f>E6</f>
        <v>2.03480616</v>
      </c>
      <c r="M6" s="44">
        <f>F6</f>
        <v>1.248</v>
      </c>
      <c r="N6" s="65"/>
      <c r="O6" s="68">
        <f>IF(COUNTIF(B39:B44,"예둔")&gt;=1,0.02,0)</f>
        <v>0.02</v>
      </c>
      <c r="P6" s="68"/>
      <c r="Q6" s="64"/>
      <c r="R6" s="69">
        <f>A7+H7-O7</f>
        <v>8.2201825308038234</v>
      </c>
      <c r="T6" s="50" t="s">
        <v>152</v>
      </c>
      <c r="U6" s="59" t="s">
        <v>153</v>
      </c>
      <c r="V6" s="59"/>
      <c r="W6" s="58" t="s">
        <v>155</v>
      </c>
      <c r="X6" s="58"/>
      <c r="Y6" s="58"/>
      <c r="AA6" s="50" t="s">
        <v>152</v>
      </c>
      <c r="AB6" s="59" t="s">
        <v>153</v>
      </c>
      <c r="AC6" s="59"/>
      <c r="AD6" s="58" t="s">
        <v>155</v>
      </c>
      <c r="AE6" s="58"/>
      <c r="AF6" s="58"/>
    </row>
    <row r="7" spans="1:35" x14ac:dyDescent="0.3">
      <c r="A7" s="72">
        <f>A6*(B6*(C6*D6)*E6*F6)</f>
        <v>8.1823179771274592</v>
      </c>
      <c r="B7" s="73"/>
      <c r="C7" s="73"/>
      <c r="D7" s="73"/>
      <c r="E7" s="73"/>
      <c r="F7" s="74"/>
      <c r="G7" s="64"/>
      <c r="H7" s="72">
        <f>H6*(I6*(J6*K6)*L6*M6)</f>
        <v>0.20562338083562509</v>
      </c>
      <c r="I7" s="73"/>
      <c r="J7" s="73"/>
      <c r="K7" s="73"/>
      <c r="L7" s="73"/>
      <c r="M7" s="74"/>
      <c r="N7" s="65"/>
      <c r="O7" s="75">
        <f>IF(COUNTIF(B39:B44,"예둔")&gt;=1,(A7+H7)*0.02,0)</f>
        <v>0.16775882715926169</v>
      </c>
      <c r="P7" s="75"/>
      <c r="Q7" s="64"/>
      <c r="R7" s="69"/>
      <c r="T7" s="50" t="s">
        <v>168</v>
      </c>
      <c r="U7" s="67" t="s">
        <v>128</v>
      </c>
      <c r="V7" s="67"/>
      <c r="W7" s="58" t="s">
        <v>157</v>
      </c>
      <c r="X7" s="58"/>
      <c r="Y7" s="58"/>
      <c r="AA7" s="50" t="s">
        <v>168</v>
      </c>
      <c r="AB7" s="67" t="s">
        <v>128</v>
      </c>
      <c r="AC7" s="67"/>
      <c r="AD7" s="58" t="s">
        <v>157</v>
      </c>
      <c r="AE7" s="58"/>
      <c r="AF7" s="58"/>
    </row>
    <row r="8" spans="1:35" x14ac:dyDescent="0.3">
      <c r="A8" s="11"/>
    </row>
    <row r="9" spans="1:35" x14ac:dyDescent="0.3">
      <c r="A9" s="12" t="s">
        <v>171</v>
      </c>
      <c r="F9" s="25"/>
      <c r="M9" s="25"/>
      <c r="O9" s="26"/>
      <c r="T9" s="13" t="s">
        <v>266</v>
      </c>
    </row>
    <row r="10" spans="1:35" x14ac:dyDescent="0.3">
      <c r="A10" t="s">
        <v>247</v>
      </c>
      <c r="J10" t="s">
        <v>249</v>
      </c>
      <c r="T10" s="19" t="s">
        <v>49</v>
      </c>
      <c r="U10" s="78" t="s">
        <v>51</v>
      </c>
      <c r="V10" s="79"/>
      <c r="W10" s="80"/>
    </row>
    <row r="11" spans="1:35" x14ac:dyDescent="0.3">
      <c r="A11" s="44" t="s">
        <v>42</v>
      </c>
      <c r="B11" s="44" t="s">
        <v>49</v>
      </c>
      <c r="C11" s="44" t="s">
        <v>51</v>
      </c>
      <c r="D11" s="44" t="s">
        <v>178</v>
      </c>
      <c r="E11" s="44" t="s">
        <v>179</v>
      </c>
      <c r="F11" s="44" t="s">
        <v>180</v>
      </c>
      <c r="J11" s="66" t="s">
        <v>42</v>
      </c>
      <c r="K11" s="66"/>
      <c r="L11" s="44" t="s">
        <v>50</v>
      </c>
      <c r="M11" s="44" t="s">
        <v>53</v>
      </c>
      <c r="N11" s="44" t="s">
        <v>54</v>
      </c>
      <c r="O11" s="44" t="s">
        <v>52</v>
      </c>
      <c r="T11" s="19" t="s">
        <v>237</v>
      </c>
      <c r="U11" s="19" t="s">
        <v>238</v>
      </c>
      <c r="V11" s="19" t="s">
        <v>239</v>
      </c>
      <c r="W11" s="19" t="s">
        <v>240</v>
      </c>
    </row>
    <row r="12" spans="1:35" x14ac:dyDescent="0.3">
      <c r="A12" s="44" t="s">
        <v>181</v>
      </c>
      <c r="B12" s="54">
        <v>600</v>
      </c>
      <c r="C12" s="54">
        <v>1750</v>
      </c>
      <c r="D12" s="53" t="s">
        <v>302</v>
      </c>
      <c r="E12" s="48">
        <f>ROUNDDOWN(IF(D12="치명",B12+(B12*0.1),B12),0)</f>
        <v>600</v>
      </c>
      <c r="F12" s="48">
        <f>ROUNDDOWN(IF(D12="신속",C12+(C12*0.1),C12),0)</f>
        <v>1750</v>
      </c>
      <c r="J12" s="66" t="s">
        <v>182</v>
      </c>
      <c r="K12" s="66"/>
      <c r="L12" s="45">
        <f>TRUNC(IF(T12/100*E12&gt;=1,1,T12/100*E12),4)</f>
        <v>0.2147</v>
      </c>
      <c r="M12" s="45">
        <f>TRUNC(IF(U12/100*F12&gt;=0.4,0.4,U12/100*F12),4)</f>
        <v>0.30059999999999998</v>
      </c>
      <c r="N12" s="45">
        <f>TRUNC(IF(V12/100*F12&gt;=0.4,0.4,V12/100*F12),4)</f>
        <v>0.30059999999999998</v>
      </c>
      <c r="O12" s="45">
        <f>TRUNC(W12/100*F12,4)</f>
        <v>0.37569999999999998</v>
      </c>
      <c r="T12" s="19">
        <v>3.5790000000000002E-2</v>
      </c>
      <c r="U12" s="19">
        <v>1.7179E-2</v>
      </c>
      <c r="V12" s="19">
        <v>1.7179E-2</v>
      </c>
      <c r="W12" s="19">
        <v>2.1474E-2</v>
      </c>
    </row>
    <row r="13" spans="1:35" x14ac:dyDescent="0.3">
      <c r="J13" s="66" t="s">
        <v>241</v>
      </c>
      <c r="K13" s="66"/>
      <c r="L13" s="45">
        <f>L12+B16</f>
        <v>0.3347</v>
      </c>
      <c r="M13" s="45">
        <f>M12+C16</f>
        <v>0.30059999999999998</v>
      </c>
      <c r="N13" s="45">
        <f>N12+D16</f>
        <v>0.73059999999999992</v>
      </c>
      <c r="O13" s="45">
        <f>O12+E16</f>
        <v>0.37569999999999998</v>
      </c>
    </row>
    <row r="14" spans="1:35" x14ac:dyDescent="0.3">
      <c r="A14" t="s">
        <v>248</v>
      </c>
      <c r="T14" s="13" t="s">
        <v>265</v>
      </c>
    </row>
    <row r="15" spans="1:35" x14ac:dyDescent="0.3">
      <c r="A15" s="70" t="s">
        <v>244</v>
      </c>
      <c r="B15" s="44" t="s">
        <v>50</v>
      </c>
      <c r="C15" s="44" t="s">
        <v>53</v>
      </c>
      <c r="D15" s="44" t="s">
        <v>54</v>
      </c>
      <c r="E15" s="44" t="s">
        <v>52</v>
      </c>
      <c r="T15" s="67" t="s">
        <v>242</v>
      </c>
      <c r="U15" s="67" t="s">
        <v>252</v>
      </c>
      <c r="V15" s="67"/>
      <c r="W15" s="67"/>
      <c r="X15" s="67" t="s">
        <v>253</v>
      </c>
      <c r="Y15" s="67"/>
      <c r="Z15" s="67" t="s">
        <v>254</v>
      </c>
      <c r="AA15" s="67"/>
      <c r="AB15" s="67"/>
    </row>
    <row r="16" spans="1:35" ht="16.5" customHeight="1" x14ac:dyDescent="0.3">
      <c r="A16" s="71"/>
      <c r="B16" s="55">
        <v>0.12</v>
      </c>
      <c r="C16" s="55"/>
      <c r="D16" s="55">
        <v>0.43</v>
      </c>
      <c r="E16" s="55"/>
      <c r="T16" s="67"/>
      <c r="U16" s="47" t="s">
        <v>255</v>
      </c>
      <c r="V16" s="47" t="s">
        <v>256</v>
      </c>
      <c r="W16" s="47" t="s">
        <v>257</v>
      </c>
      <c r="X16" s="47" t="s">
        <v>164</v>
      </c>
      <c r="Y16" s="47" t="s">
        <v>258</v>
      </c>
      <c r="Z16" s="47" t="s">
        <v>245</v>
      </c>
      <c r="AA16" s="47" t="s">
        <v>243</v>
      </c>
      <c r="AB16" s="47" t="s">
        <v>246</v>
      </c>
    </row>
    <row r="17" spans="1:28" x14ac:dyDescent="0.3">
      <c r="T17" s="47" t="s">
        <v>68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>
        <v>0</v>
      </c>
      <c r="AB17" s="47">
        <v>0</v>
      </c>
    </row>
    <row r="18" spans="1:28" x14ac:dyDescent="0.3">
      <c r="T18" s="47" t="s">
        <v>69</v>
      </c>
      <c r="U18" s="47">
        <v>0.15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</row>
    <row r="19" spans="1:28" x14ac:dyDescent="0.3">
      <c r="A19" s="13" t="s">
        <v>267</v>
      </c>
      <c r="T19" s="47" t="s">
        <v>70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0.09</v>
      </c>
      <c r="AA19" s="47">
        <v>0</v>
      </c>
      <c r="AB19" s="47">
        <v>0</v>
      </c>
    </row>
    <row r="20" spans="1:28" x14ac:dyDescent="0.3">
      <c r="A20" t="s">
        <v>269</v>
      </c>
      <c r="J20" t="s">
        <v>294</v>
      </c>
      <c r="T20" s="47" t="s">
        <v>71</v>
      </c>
      <c r="U20" s="47">
        <v>0</v>
      </c>
      <c r="V20" s="47">
        <v>0.2</v>
      </c>
      <c r="W20" s="47">
        <v>0</v>
      </c>
      <c r="X20" s="47">
        <v>0</v>
      </c>
      <c r="Y20" s="47">
        <v>0</v>
      </c>
      <c r="Z20" s="47">
        <v>0.15</v>
      </c>
      <c r="AA20" s="47">
        <v>0.2</v>
      </c>
      <c r="AB20" s="47">
        <v>0</v>
      </c>
    </row>
    <row r="21" spans="1:28" x14ac:dyDescent="0.3">
      <c r="A21" s="44" t="s">
        <v>174</v>
      </c>
      <c r="B21" s="76">
        <v>6</v>
      </c>
      <c r="C21" s="76"/>
      <c r="D21" s="76"/>
      <c r="E21" s="76"/>
      <c r="F21" s="76"/>
      <c r="G21" s="76"/>
      <c r="H21" s="76"/>
      <c r="J21" s="43" t="s">
        <v>42</v>
      </c>
      <c r="K21" s="43" t="s">
        <v>66</v>
      </c>
      <c r="L21" s="43" t="s">
        <v>138</v>
      </c>
      <c r="M21" s="43" t="s">
        <v>139</v>
      </c>
      <c r="N21" s="43" t="s">
        <v>50</v>
      </c>
      <c r="O21" s="43" t="s">
        <v>55</v>
      </c>
      <c r="P21" s="43" t="s">
        <v>53</v>
      </c>
      <c r="Q21" s="43" t="s">
        <v>54</v>
      </c>
      <c r="R21" s="43" t="s">
        <v>52</v>
      </c>
      <c r="T21" s="47" t="s">
        <v>72</v>
      </c>
      <c r="U21" s="47">
        <v>0.2</v>
      </c>
      <c r="V21" s="47">
        <v>0</v>
      </c>
      <c r="W21" s="47">
        <v>0</v>
      </c>
      <c r="X21" s="47">
        <v>0</v>
      </c>
      <c r="Y21" s="47">
        <v>0</v>
      </c>
      <c r="Z21" s="47">
        <v>0</v>
      </c>
      <c r="AA21" s="47">
        <v>0</v>
      </c>
      <c r="AB21" s="47">
        <v>0</v>
      </c>
    </row>
    <row r="22" spans="1:28" x14ac:dyDescent="0.3">
      <c r="A22" s="44" t="s">
        <v>177</v>
      </c>
      <c r="B22" s="76" t="s">
        <v>222</v>
      </c>
      <c r="C22" s="76"/>
      <c r="D22" s="76"/>
      <c r="E22" s="44" t="s">
        <v>101</v>
      </c>
      <c r="F22" s="77" t="s">
        <v>295</v>
      </c>
      <c r="G22" s="77"/>
      <c r="H22" s="77"/>
      <c r="J22" s="46">
        <f>B21</f>
        <v>6</v>
      </c>
      <c r="K22" s="51">
        <f>IF($J$22=6,K26,IF($J$22=24,K28+K29,IF($J$22=222,K31+K32+K33,0)))</f>
        <v>0.24</v>
      </c>
      <c r="L22" s="51">
        <f t="shared" ref="L22:R22" si="0">IF($J$22=6,L26,IF($J$22=24,L28+L29,IF($J$22=222,L31+L32+L33,0)))</f>
        <v>0</v>
      </c>
      <c r="M22" s="51">
        <f t="shared" si="0"/>
        <v>0</v>
      </c>
      <c r="N22" s="51">
        <f t="shared" si="0"/>
        <v>0.2</v>
      </c>
      <c r="O22" s="51">
        <f t="shared" si="0"/>
        <v>0.6</v>
      </c>
      <c r="P22" s="51">
        <f t="shared" si="0"/>
        <v>0</v>
      </c>
      <c r="Q22" s="51">
        <f t="shared" si="0"/>
        <v>0</v>
      </c>
      <c r="R22" s="51">
        <f t="shared" si="0"/>
        <v>0</v>
      </c>
      <c r="T22" s="47" t="s">
        <v>73</v>
      </c>
      <c r="U22" s="47">
        <v>0.3</v>
      </c>
      <c r="V22" s="47">
        <v>0</v>
      </c>
      <c r="W22" s="47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</row>
    <row r="23" spans="1:28" x14ac:dyDescent="0.3">
      <c r="A23" s="44" t="s">
        <v>172</v>
      </c>
      <c r="B23" s="53" t="s">
        <v>3</v>
      </c>
      <c r="C23" s="76" t="s">
        <v>67</v>
      </c>
      <c r="D23" s="76"/>
      <c r="E23" s="44" t="s">
        <v>101</v>
      </c>
      <c r="F23" s="52" t="s">
        <v>295</v>
      </c>
      <c r="G23" s="77"/>
      <c r="H23" s="77"/>
      <c r="T23" s="47" t="s">
        <v>56</v>
      </c>
      <c r="U23" s="47">
        <v>0</v>
      </c>
      <c r="V23" s="47">
        <v>0</v>
      </c>
      <c r="W23" s="47">
        <v>0</v>
      </c>
      <c r="X23" s="47">
        <v>0.15</v>
      </c>
      <c r="Y23" s="47">
        <v>0</v>
      </c>
      <c r="Z23" s="47">
        <v>0</v>
      </c>
      <c r="AA23" s="47">
        <v>0</v>
      </c>
      <c r="AB23" s="47">
        <v>0</v>
      </c>
    </row>
    <row r="24" spans="1:28" x14ac:dyDescent="0.3">
      <c r="A24" s="44" t="s">
        <v>173</v>
      </c>
      <c r="B24" s="53" t="s">
        <v>3</v>
      </c>
      <c r="C24" s="53" t="s">
        <v>67</v>
      </c>
      <c r="D24" s="53" t="s">
        <v>2</v>
      </c>
      <c r="E24" s="44" t="s">
        <v>101</v>
      </c>
      <c r="F24" s="52" t="s">
        <v>295</v>
      </c>
      <c r="G24" s="52" t="s">
        <v>296</v>
      </c>
      <c r="H24" s="52" t="s">
        <v>295</v>
      </c>
      <c r="J24" t="s">
        <v>270</v>
      </c>
      <c r="T24" s="47" t="s">
        <v>57</v>
      </c>
      <c r="U24" s="47">
        <v>0</v>
      </c>
      <c r="V24" s="47">
        <v>0</v>
      </c>
      <c r="W24" s="47">
        <v>0</v>
      </c>
      <c r="X24" s="47">
        <v>0.25</v>
      </c>
      <c r="Y24" s="47">
        <v>0.5</v>
      </c>
      <c r="Z24" s="47">
        <v>0</v>
      </c>
      <c r="AA24" s="47">
        <v>0</v>
      </c>
      <c r="AB24" s="47">
        <v>0</v>
      </c>
    </row>
    <row r="25" spans="1:28" x14ac:dyDescent="0.3">
      <c r="J25" s="43" t="s">
        <v>42</v>
      </c>
      <c r="K25" s="43" t="s">
        <v>66</v>
      </c>
      <c r="L25" s="43" t="s">
        <v>138</v>
      </c>
      <c r="M25" s="43" t="s">
        <v>139</v>
      </c>
      <c r="N25" s="43" t="s">
        <v>50</v>
      </c>
      <c r="O25" s="43" t="s">
        <v>55</v>
      </c>
      <c r="P25" s="43" t="s">
        <v>53</v>
      </c>
      <c r="Q25" s="43" t="s">
        <v>54</v>
      </c>
      <c r="R25" s="43" t="s">
        <v>52</v>
      </c>
      <c r="T25" s="47" t="s">
        <v>58</v>
      </c>
      <c r="U25" s="47">
        <v>0</v>
      </c>
      <c r="V25" s="47">
        <v>0</v>
      </c>
      <c r="W25" s="47">
        <v>0</v>
      </c>
      <c r="X25" s="47">
        <v>0</v>
      </c>
      <c r="Y25" s="47">
        <v>0.3</v>
      </c>
      <c r="Z25" s="47">
        <v>0</v>
      </c>
      <c r="AA25" s="47">
        <v>0</v>
      </c>
      <c r="AB25" s="47">
        <v>0</v>
      </c>
    </row>
    <row r="26" spans="1:28" x14ac:dyDescent="0.3">
      <c r="A26" t="s">
        <v>271</v>
      </c>
      <c r="J26" s="42" t="str">
        <f>IF(F22="강화",B22&amp;"(강화) 6",B22&amp;" 6")</f>
        <v>사멸(강화) 6</v>
      </c>
      <c r="K26" s="51">
        <f>VLOOKUP(J26,$T$17:$AB$86,2,FALSE)</f>
        <v>0.24</v>
      </c>
      <c r="L26" s="51">
        <f>VLOOKUP(J26,$T$17:$AB$86,3,FALSE)</f>
        <v>0</v>
      </c>
      <c r="M26" s="51">
        <f>VLOOKUP(J26,$T$17:$AB$86,4,FALSE)</f>
        <v>0</v>
      </c>
      <c r="N26" s="51">
        <f>VLOOKUP(J26,$T$17:$AB$86,5,FALSE)</f>
        <v>0.2</v>
      </c>
      <c r="O26" s="51">
        <f>VLOOKUP(J26,$T$17:$AB$86,6,FALSE)</f>
        <v>0.6</v>
      </c>
      <c r="P26" s="51">
        <f>VLOOKUP(J26,$T$17:$AB$86,7,FALSE)</f>
        <v>0</v>
      </c>
      <c r="Q26" s="51">
        <f>VLOOKUP(J26,$T$17:$AB$86,8,FALSE)</f>
        <v>0</v>
      </c>
      <c r="R26" s="51">
        <f>VLOOKUP(J26,$T$17:$AB$86,9,FALSE)</f>
        <v>0</v>
      </c>
      <c r="T26" s="47" t="s">
        <v>59</v>
      </c>
      <c r="U26" s="47">
        <v>0</v>
      </c>
      <c r="V26" s="47">
        <v>0</v>
      </c>
      <c r="W26" s="47">
        <v>0</v>
      </c>
      <c r="X26" s="47">
        <v>0.25</v>
      </c>
      <c r="Y26" s="47">
        <v>0.5</v>
      </c>
      <c r="Z26" s="47">
        <v>0</v>
      </c>
      <c r="AA26" s="47">
        <v>0</v>
      </c>
      <c r="AB26" s="47">
        <v>0</v>
      </c>
    </row>
    <row r="27" spans="1:28" x14ac:dyDescent="0.3">
      <c r="A27" s="44" t="s">
        <v>175</v>
      </c>
      <c r="B27" s="53" t="s">
        <v>301</v>
      </c>
      <c r="T27" s="47" t="s">
        <v>74</v>
      </c>
      <c r="U27" s="47">
        <v>0</v>
      </c>
      <c r="V27" s="47">
        <v>0.1</v>
      </c>
      <c r="W27" s="47">
        <v>0</v>
      </c>
      <c r="X27" s="47">
        <v>0</v>
      </c>
      <c r="Y27" s="47">
        <v>0</v>
      </c>
      <c r="Z27" s="47">
        <v>0</v>
      </c>
      <c r="AA27" s="47">
        <v>0</v>
      </c>
      <c r="AB27" s="47">
        <v>0</v>
      </c>
    </row>
    <row r="28" spans="1:28" x14ac:dyDescent="0.3">
      <c r="A28" s="44" t="s">
        <v>223</v>
      </c>
      <c r="B28" s="56">
        <v>0.5</v>
      </c>
      <c r="J28" s="42" t="str">
        <f>IF(F23="강화",B23&amp;"(강화) 2",B23&amp;" 2")</f>
        <v>갈망(강화) 2</v>
      </c>
      <c r="K28" s="51">
        <f t="shared" ref="K28:K33" si="1">VLOOKUP(J28,$T$17:$AB$86,2,FALSE)</f>
        <v>0</v>
      </c>
      <c r="L28" s="51">
        <f t="shared" ref="L28:L29" si="2">VLOOKUP(J28,$T$17:$AB$86,3,FALSE)</f>
        <v>0</v>
      </c>
      <c r="M28" s="51">
        <f t="shared" ref="M28:M29" si="3">VLOOKUP(J28,$T$17:$AB$86,4,FALSE)</f>
        <v>0</v>
      </c>
      <c r="N28" s="51">
        <f t="shared" ref="N28:N29" si="4">VLOOKUP(J28,$T$17:$AB$86,5,FALSE)</f>
        <v>0</v>
      </c>
      <c r="O28" s="51">
        <f t="shared" ref="O28:O29" si="5">VLOOKUP(J28,$T$17:$AB$86,6,FALSE)</f>
        <v>0</v>
      </c>
      <c r="P28" s="51">
        <f t="shared" ref="P28:P29" si="6">VLOOKUP(J28,$T$17:$AB$86,7,FALSE)</f>
        <v>0</v>
      </c>
      <c r="Q28" s="51">
        <f t="shared" ref="Q28:Q29" si="7">VLOOKUP(J28,$T$17:$AB$86,8,FALSE)</f>
        <v>0.18</v>
      </c>
      <c r="R28" s="51">
        <f t="shared" ref="R28:R29" si="8">VLOOKUP(J28,$T$17:$AB$86,9,FALSE)</f>
        <v>0</v>
      </c>
      <c r="T28" s="47" t="s">
        <v>75</v>
      </c>
      <c r="U28" s="47">
        <v>0</v>
      </c>
      <c r="V28" s="47">
        <v>0.2</v>
      </c>
      <c r="W28" s="47">
        <v>0</v>
      </c>
      <c r="X28" s="47">
        <v>0</v>
      </c>
      <c r="Y28" s="47">
        <v>0</v>
      </c>
      <c r="Z28" s="47">
        <v>0.1</v>
      </c>
      <c r="AA28" s="47">
        <v>0.1</v>
      </c>
      <c r="AB28" s="47">
        <v>0</v>
      </c>
    </row>
    <row r="29" spans="1:28" x14ac:dyDescent="0.3">
      <c r="J29" s="42" t="str">
        <f>IF(G23="강화",C23&amp;"(강화)",C23)&amp;" 4"</f>
        <v>악몽 4</v>
      </c>
      <c r="K29" s="51">
        <f t="shared" si="1"/>
        <v>0</v>
      </c>
      <c r="L29" s="51">
        <f t="shared" si="2"/>
        <v>0.15</v>
      </c>
      <c r="M29" s="51">
        <f t="shared" si="3"/>
        <v>0.12</v>
      </c>
      <c r="N29" s="51">
        <f t="shared" si="4"/>
        <v>0</v>
      </c>
      <c r="O29" s="51">
        <f t="shared" si="5"/>
        <v>0</v>
      </c>
      <c r="P29" s="51">
        <f t="shared" si="6"/>
        <v>0.12</v>
      </c>
      <c r="Q29" s="51">
        <f t="shared" si="7"/>
        <v>0.12</v>
      </c>
      <c r="R29" s="51">
        <f t="shared" si="8"/>
        <v>0.2</v>
      </c>
      <c r="T29" s="47" t="s">
        <v>76</v>
      </c>
      <c r="U29" s="47">
        <v>0</v>
      </c>
      <c r="V29" s="47">
        <v>0.4</v>
      </c>
      <c r="W29" s="47">
        <v>0</v>
      </c>
      <c r="X29" s="47">
        <v>0</v>
      </c>
      <c r="Y29" s="47">
        <v>0</v>
      </c>
      <c r="Z29" s="47">
        <v>0.1</v>
      </c>
      <c r="AA29" s="47">
        <v>0.1</v>
      </c>
      <c r="AB29" s="47">
        <v>0</v>
      </c>
    </row>
    <row r="30" spans="1:28" x14ac:dyDescent="0.3">
      <c r="T30" s="47" t="s">
        <v>60</v>
      </c>
      <c r="U30" s="47">
        <v>0</v>
      </c>
      <c r="V30" s="47">
        <v>0</v>
      </c>
      <c r="W30" s="47">
        <v>0</v>
      </c>
      <c r="X30" s="47">
        <v>1</v>
      </c>
      <c r="Y30" s="47">
        <v>0</v>
      </c>
      <c r="Z30" s="47">
        <v>0</v>
      </c>
      <c r="AA30" s="47">
        <v>0</v>
      </c>
      <c r="AB30" s="47">
        <v>0</v>
      </c>
    </row>
    <row r="31" spans="1:28" x14ac:dyDescent="0.3">
      <c r="A31" s="13" t="s">
        <v>183</v>
      </c>
      <c r="J31" s="42" t="str">
        <f>IF(F24="강화",B24&amp;"(강화) 2",B24&amp;" 2")</f>
        <v>갈망(강화) 2</v>
      </c>
      <c r="K31" s="51">
        <f t="shared" si="1"/>
        <v>0</v>
      </c>
      <c r="L31" s="51">
        <f t="shared" ref="L31:L33" si="9">VLOOKUP(J31,$T$17:$AB$86,3,FALSE)</f>
        <v>0</v>
      </c>
      <c r="M31" s="51">
        <f t="shared" ref="M31:M33" si="10">VLOOKUP(J31,$T$17:$AB$86,4,FALSE)</f>
        <v>0</v>
      </c>
      <c r="N31" s="51">
        <f t="shared" ref="N31:N33" si="11">VLOOKUP(J31,$T$17:$AB$86,5,FALSE)</f>
        <v>0</v>
      </c>
      <c r="O31" s="51">
        <f t="shared" ref="O31:O33" si="12">VLOOKUP(J31,$T$17:$AB$86,6,FALSE)</f>
        <v>0</v>
      </c>
      <c r="P31" s="51">
        <f t="shared" ref="P31:P33" si="13">VLOOKUP(J31,$T$17:$AB$86,7,FALSE)</f>
        <v>0</v>
      </c>
      <c r="Q31" s="51">
        <f t="shared" ref="Q31:Q33" si="14">VLOOKUP(J31,$T$17:$AB$86,8,FALSE)</f>
        <v>0.18</v>
      </c>
      <c r="R31" s="51">
        <f t="shared" ref="R31:R33" si="15">VLOOKUP(J31,$T$17:$AB$86,9,FALSE)</f>
        <v>0</v>
      </c>
      <c r="T31" s="47" t="s">
        <v>61</v>
      </c>
      <c r="U31" s="47">
        <v>0</v>
      </c>
      <c r="V31" s="47">
        <v>0</v>
      </c>
      <c r="W31" s="47">
        <v>0</v>
      </c>
      <c r="X31" s="47">
        <v>1</v>
      </c>
      <c r="Y31" s="47">
        <v>0</v>
      </c>
      <c r="Z31" s="47">
        <v>0</v>
      </c>
      <c r="AA31" s="47">
        <v>0</v>
      </c>
      <c r="AB31" s="47">
        <v>0</v>
      </c>
    </row>
    <row r="32" spans="1:28" x14ac:dyDescent="0.3">
      <c r="A32" t="s">
        <v>250</v>
      </c>
      <c r="J32" s="42" t="str">
        <f>IF(G24="강화",C24&amp;"(강화) 2",C24&amp;" 2")</f>
        <v>악몽(강화) 2</v>
      </c>
      <c r="K32" s="51">
        <f t="shared" si="1"/>
        <v>0</v>
      </c>
      <c r="L32" s="51">
        <f t="shared" si="9"/>
        <v>0</v>
      </c>
      <c r="M32" s="51">
        <f t="shared" si="10"/>
        <v>0.15</v>
      </c>
      <c r="N32" s="51">
        <f t="shared" si="11"/>
        <v>0</v>
      </c>
      <c r="O32" s="51">
        <f t="shared" si="12"/>
        <v>0</v>
      </c>
      <c r="P32" s="51">
        <f t="shared" si="13"/>
        <v>0</v>
      </c>
      <c r="Q32" s="51">
        <f t="shared" si="14"/>
        <v>0</v>
      </c>
      <c r="R32" s="51">
        <f t="shared" si="15"/>
        <v>0</v>
      </c>
      <c r="T32" s="47" t="s">
        <v>62</v>
      </c>
      <c r="U32" s="47">
        <v>0</v>
      </c>
      <c r="V32" s="47">
        <v>0</v>
      </c>
      <c r="W32" s="47">
        <v>0</v>
      </c>
      <c r="X32" s="47">
        <v>1</v>
      </c>
      <c r="Y32" s="47">
        <v>0.4</v>
      </c>
      <c r="Z32" s="47">
        <v>0</v>
      </c>
      <c r="AA32" s="47">
        <v>0</v>
      </c>
      <c r="AB32" s="47">
        <v>0</v>
      </c>
    </row>
    <row r="33" spans="1:28" x14ac:dyDescent="0.3">
      <c r="A33" s="51" t="s">
        <v>42</v>
      </c>
      <c r="B33" s="51" t="s">
        <v>142</v>
      </c>
      <c r="C33" s="51" t="s">
        <v>136</v>
      </c>
      <c r="J33" s="42" t="str">
        <f>IF(H24="강화",D24&amp;"(강화) 2",D24&amp;" 2")</f>
        <v>지배(강화) 2</v>
      </c>
      <c r="K33" s="51">
        <f t="shared" si="1"/>
        <v>0.1</v>
      </c>
      <c r="L33" s="51">
        <f t="shared" si="9"/>
        <v>0</v>
      </c>
      <c r="M33" s="51">
        <f t="shared" si="10"/>
        <v>0</v>
      </c>
      <c r="N33" s="51">
        <f t="shared" si="11"/>
        <v>0</v>
      </c>
      <c r="O33" s="51">
        <f t="shared" si="12"/>
        <v>0</v>
      </c>
      <c r="P33" s="51">
        <f t="shared" si="13"/>
        <v>0</v>
      </c>
      <c r="Q33" s="51">
        <f t="shared" si="14"/>
        <v>0</v>
      </c>
      <c r="R33" s="51">
        <f t="shared" si="15"/>
        <v>0.18</v>
      </c>
      <c r="T33" s="47" t="s">
        <v>259</v>
      </c>
      <c r="U33" s="47">
        <v>0</v>
      </c>
      <c r="V33" s="47">
        <v>0.14000000000000001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</row>
    <row r="34" spans="1:28" x14ac:dyDescent="0.3">
      <c r="A34" s="51" t="s">
        <v>45</v>
      </c>
      <c r="B34" s="55">
        <v>0.36</v>
      </c>
      <c r="C34" s="55">
        <v>0</v>
      </c>
      <c r="T34" s="47" t="s">
        <v>260</v>
      </c>
      <c r="U34" s="47">
        <v>0</v>
      </c>
      <c r="V34" s="47">
        <v>0.28000000000000003</v>
      </c>
      <c r="W34" s="47">
        <v>0</v>
      </c>
      <c r="X34" s="47">
        <v>0</v>
      </c>
      <c r="Y34" s="47">
        <v>0</v>
      </c>
      <c r="Z34" s="47">
        <v>0.1</v>
      </c>
      <c r="AA34" s="47">
        <v>0</v>
      </c>
      <c r="AB34" s="47">
        <v>0</v>
      </c>
    </row>
    <row r="35" spans="1:28" x14ac:dyDescent="0.3">
      <c r="A35" s="51" t="s">
        <v>46</v>
      </c>
      <c r="B35" s="55"/>
      <c r="C35" s="55"/>
      <c r="K35" t="s">
        <v>268</v>
      </c>
      <c r="T35" s="47" t="s">
        <v>261</v>
      </c>
      <c r="U35" s="47">
        <v>0.05</v>
      </c>
      <c r="V35" s="47">
        <v>0.42</v>
      </c>
      <c r="W35" s="47">
        <v>0</v>
      </c>
      <c r="X35" s="47">
        <v>0</v>
      </c>
      <c r="Y35" s="47">
        <v>0</v>
      </c>
      <c r="Z35" s="47">
        <v>0.1</v>
      </c>
      <c r="AA35" s="47">
        <v>0</v>
      </c>
      <c r="AB35" s="47">
        <v>0</v>
      </c>
    </row>
    <row r="36" spans="1:28" x14ac:dyDescent="0.3">
      <c r="K36" s="63" t="s">
        <v>42</v>
      </c>
      <c r="L36" s="63"/>
      <c r="M36" s="43" t="s">
        <v>176</v>
      </c>
      <c r="N36" s="43" t="s">
        <v>50</v>
      </c>
      <c r="O36" s="43" t="s">
        <v>136</v>
      </c>
      <c r="T36" s="47" t="s">
        <v>63</v>
      </c>
      <c r="U36" s="47">
        <v>0.1</v>
      </c>
      <c r="V36" s="47">
        <v>0</v>
      </c>
      <c r="W36" s="47">
        <v>0</v>
      </c>
      <c r="X36" s="47">
        <v>0</v>
      </c>
      <c r="Y36" s="47">
        <v>0</v>
      </c>
      <c r="Z36" s="47">
        <v>0</v>
      </c>
      <c r="AA36" s="47">
        <v>0</v>
      </c>
      <c r="AB36" s="47">
        <v>0.18</v>
      </c>
    </row>
    <row r="37" spans="1:28" x14ac:dyDescent="0.3">
      <c r="A37" t="s">
        <v>251</v>
      </c>
      <c r="K37" s="83" t="s">
        <v>272</v>
      </c>
      <c r="L37" s="83"/>
      <c r="M37" s="14">
        <f>(1+K22)*(1+M22)-1</f>
        <v>0.24</v>
      </c>
      <c r="N37" s="14">
        <f>N22</f>
        <v>0.2</v>
      </c>
      <c r="O37" s="14">
        <f>O22</f>
        <v>0.6</v>
      </c>
      <c r="T37" s="47" t="s">
        <v>64</v>
      </c>
      <c r="U37" s="47">
        <v>0.25</v>
      </c>
      <c r="V37" s="47">
        <v>0</v>
      </c>
      <c r="W37" s="47">
        <v>0</v>
      </c>
      <c r="X37" s="47">
        <v>0</v>
      </c>
      <c r="Y37" s="47">
        <v>0</v>
      </c>
      <c r="Z37" s="47">
        <v>0</v>
      </c>
      <c r="AA37" s="47">
        <v>0</v>
      </c>
      <c r="AB37" s="47">
        <v>0.18</v>
      </c>
    </row>
    <row r="38" spans="1:28" x14ac:dyDescent="0.3">
      <c r="A38" s="51" t="s">
        <v>42</v>
      </c>
      <c r="B38" s="51" t="s">
        <v>186</v>
      </c>
      <c r="C38" s="51" t="s">
        <v>187</v>
      </c>
      <c r="D38" s="51" t="s">
        <v>228</v>
      </c>
      <c r="E38" s="51" t="s">
        <v>188</v>
      </c>
      <c r="F38" s="51" t="s">
        <v>135</v>
      </c>
      <c r="G38" s="51" t="s">
        <v>144</v>
      </c>
      <c r="H38" s="51" t="s">
        <v>50</v>
      </c>
      <c r="I38" s="51" t="s">
        <v>136</v>
      </c>
      <c r="K38" s="83" t="s">
        <v>273</v>
      </c>
      <c r="L38" s="83"/>
      <c r="M38" s="14">
        <f>IF(B27="헤드어택",0.2,IF(B27="백어택",0.05,0))</f>
        <v>0.05</v>
      </c>
      <c r="N38" s="14">
        <f>IF(B27="헤드어택",0,IF(B27="백어택",0.1,0))</f>
        <v>0.1</v>
      </c>
      <c r="O38" s="14">
        <v>0</v>
      </c>
      <c r="T38" s="47" t="s">
        <v>65</v>
      </c>
      <c r="U38" s="47">
        <v>0.4375</v>
      </c>
      <c r="V38" s="47">
        <v>0</v>
      </c>
      <c r="W38" s="47">
        <v>0</v>
      </c>
      <c r="X38" s="47">
        <v>0</v>
      </c>
      <c r="Y38" s="47">
        <v>0</v>
      </c>
      <c r="Z38" s="47">
        <v>0</v>
      </c>
      <c r="AA38" s="47">
        <v>0</v>
      </c>
      <c r="AB38" s="47">
        <v>0.3</v>
      </c>
    </row>
    <row r="39" spans="1:28" x14ac:dyDescent="0.3">
      <c r="A39" s="51" t="s">
        <v>32</v>
      </c>
      <c r="B39" s="52" t="s">
        <v>44</v>
      </c>
      <c r="C39" s="54">
        <v>1</v>
      </c>
      <c r="D39" s="15">
        <f t="shared" ref="D39:D46" si="16">IF(C39=1,VLOOKUP(B39,$T$90:$X$118,3,FALSE),IF(C39=2,VLOOKUP(B39,$T$90:$X$118,4,FALSE),IF(C39=3,VLOOKUP(B39,$T$90:$X$118,5,FALSE),1)))</f>
        <v>1.3599999999999999</v>
      </c>
      <c r="E39" s="51" t="str">
        <f t="shared" ref="E39:E46" si="17">IFERROR(VLOOKUP(B39,$T$90:$Y$118,6,FALSE),"값 필요")</f>
        <v>곱연산</v>
      </c>
      <c r="F39" s="15">
        <f t="shared" ref="F39:F46" si="18">IF(E39="합연산",D39,0)</f>
        <v>0</v>
      </c>
      <c r="G39" s="16">
        <f t="shared" ref="G39:G46" si="19">IF(E39="곱연산",D39,1)</f>
        <v>1.3599999999999999</v>
      </c>
      <c r="H39" s="51">
        <f t="shared" ref="H39:H46" si="20">IF(C39=1,VLOOKUP(B39,$T$90:$AE$118,7,FALSE),IF(C39=2,VLOOKUP(B39,$T$90:$AE$118,8,FALSE),IF(C39=3,VLOOKUP(B39,$T$90:$AE$118,9,FALSE),0)))</f>
        <v>0</v>
      </c>
      <c r="I39" s="51">
        <f t="shared" ref="I39:I46" si="21">IF(C39=1,VLOOKUP(B39,$T$90:$AE$118,10,FALSE),IF(C39=2,VLOOKUP(B39,$T$90:$AE$118,11,FALSE),IF(C39=3,VLOOKUP(B39,$T$90:$AE$118,12,FALSE),0)))</f>
        <v>0</v>
      </c>
      <c r="K39" s="84" t="s">
        <v>274</v>
      </c>
      <c r="L39" s="84"/>
      <c r="M39" s="14">
        <f>IF(M37=0.21,0.07+(B28*0.14),IF(M37=0.24,0.08+(B28*0.16),0))</f>
        <v>0.16</v>
      </c>
      <c r="N39" s="14">
        <f>N37</f>
        <v>0.2</v>
      </c>
      <c r="O39" s="14">
        <f>IF(O37=0.55,0.17+(B28*0.38),IF(O37=0.6,0.2+(B28*0.4),0))</f>
        <v>0.4</v>
      </c>
      <c r="T39" s="47" t="s">
        <v>102</v>
      </c>
      <c r="U39" s="47">
        <v>0</v>
      </c>
      <c r="V39" s="47">
        <v>0</v>
      </c>
      <c r="W39" s="47">
        <v>0</v>
      </c>
      <c r="X39" s="47">
        <v>0</v>
      </c>
      <c r="Y39" s="47">
        <v>0</v>
      </c>
      <c r="Z39" s="47">
        <v>0</v>
      </c>
      <c r="AA39" s="47">
        <v>0</v>
      </c>
      <c r="AB39" s="47">
        <v>0</v>
      </c>
    </row>
    <row r="40" spans="1:28" x14ac:dyDescent="0.3">
      <c r="A40" s="51" t="s">
        <v>29</v>
      </c>
      <c r="B40" s="52" t="s">
        <v>225</v>
      </c>
      <c r="C40" s="54">
        <v>3</v>
      </c>
      <c r="D40" s="15">
        <f t="shared" si="16"/>
        <v>1.1719279151769662</v>
      </c>
      <c r="E40" s="51" t="str">
        <f t="shared" si="17"/>
        <v>곱연산2</v>
      </c>
      <c r="F40" s="15">
        <f t="shared" si="18"/>
        <v>0</v>
      </c>
      <c r="G40" s="16">
        <f t="shared" si="19"/>
        <v>1</v>
      </c>
      <c r="H40" s="51">
        <f t="shared" si="20"/>
        <v>0.15</v>
      </c>
      <c r="I40" s="51">
        <f t="shared" si="21"/>
        <v>0</v>
      </c>
      <c r="K40" s="84" t="s">
        <v>275</v>
      </c>
      <c r="L40" s="84"/>
      <c r="M40" s="14">
        <f>IF(B27="헤드어택",0.2*B28,IF(B27="백어택",0.05*B28,0))</f>
        <v>2.5000000000000001E-2</v>
      </c>
      <c r="N40" s="14">
        <f>IF(B27="헤드어택",0,IF(B27="백어택",0.1*B28,0))</f>
        <v>0.05</v>
      </c>
      <c r="O40" s="14">
        <v>0</v>
      </c>
      <c r="T40" s="47" t="s">
        <v>103</v>
      </c>
      <c r="U40" s="47">
        <v>0</v>
      </c>
      <c r="V40" s="47">
        <v>0</v>
      </c>
      <c r="W40" s="47">
        <v>0</v>
      </c>
      <c r="X40" s="47">
        <v>0</v>
      </c>
      <c r="Y40" s="47">
        <v>0</v>
      </c>
      <c r="Z40" s="47">
        <v>0</v>
      </c>
      <c r="AA40" s="47">
        <v>0</v>
      </c>
      <c r="AB40" s="47">
        <v>0</v>
      </c>
    </row>
    <row r="41" spans="1:28" x14ac:dyDescent="0.3">
      <c r="A41" s="51" t="s">
        <v>26</v>
      </c>
      <c r="B41" s="52" t="s">
        <v>285</v>
      </c>
      <c r="C41" s="54">
        <v>3</v>
      </c>
      <c r="D41" s="15">
        <f t="shared" si="16"/>
        <v>1.06</v>
      </c>
      <c r="E41" s="51" t="str">
        <f t="shared" si="17"/>
        <v>합연산</v>
      </c>
      <c r="F41" s="15">
        <f t="shared" si="18"/>
        <v>1.06</v>
      </c>
      <c r="G41" s="16">
        <f t="shared" si="19"/>
        <v>1</v>
      </c>
      <c r="H41" s="51">
        <f t="shared" si="20"/>
        <v>0</v>
      </c>
      <c r="I41" s="51">
        <f t="shared" si="21"/>
        <v>0</v>
      </c>
      <c r="K41" s="85" t="s">
        <v>276</v>
      </c>
      <c r="L41" s="85"/>
      <c r="M41" s="14">
        <f>M39+M40</f>
        <v>0.185</v>
      </c>
      <c r="N41" s="14">
        <f t="shared" ref="N41:O41" si="22">N39+N40</f>
        <v>0.25</v>
      </c>
      <c r="O41" s="14">
        <f t="shared" si="22"/>
        <v>0.4</v>
      </c>
      <c r="T41" s="47" t="s">
        <v>104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0.4</v>
      </c>
      <c r="AA41" s="47">
        <v>0</v>
      </c>
      <c r="AB41" s="47">
        <v>0.5</v>
      </c>
    </row>
    <row r="42" spans="1:28" x14ac:dyDescent="0.3">
      <c r="A42" s="51" t="s">
        <v>137</v>
      </c>
      <c r="B42" s="52" t="s">
        <v>284</v>
      </c>
      <c r="C42" s="54">
        <v>3</v>
      </c>
      <c r="D42" s="15">
        <f t="shared" si="16"/>
        <v>1.18</v>
      </c>
      <c r="E42" s="51" t="str">
        <f t="shared" si="17"/>
        <v>곱연산</v>
      </c>
      <c r="F42" s="15">
        <f t="shared" si="18"/>
        <v>0</v>
      </c>
      <c r="G42" s="16">
        <f t="shared" si="19"/>
        <v>1.18</v>
      </c>
      <c r="H42" s="51">
        <f t="shared" si="20"/>
        <v>0</v>
      </c>
      <c r="I42" s="51">
        <f t="shared" si="21"/>
        <v>0</v>
      </c>
      <c r="T42" s="47" t="s">
        <v>105</v>
      </c>
      <c r="U42" s="47">
        <v>0</v>
      </c>
      <c r="V42" s="47">
        <v>0</v>
      </c>
      <c r="W42" s="47">
        <v>0</v>
      </c>
      <c r="X42" s="47">
        <v>0</v>
      </c>
      <c r="Y42" s="47">
        <v>0</v>
      </c>
      <c r="Z42" s="47">
        <v>0</v>
      </c>
      <c r="AA42" s="47">
        <v>0.15</v>
      </c>
      <c r="AB42" s="47">
        <v>0</v>
      </c>
    </row>
    <row r="43" spans="1:28" x14ac:dyDescent="0.3">
      <c r="A43" s="51" t="s">
        <v>48</v>
      </c>
      <c r="B43" s="52" t="s">
        <v>1</v>
      </c>
      <c r="C43" s="54">
        <v>3</v>
      </c>
      <c r="D43" s="15">
        <f t="shared" si="16"/>
        <v>1.1603772734474522</v>
      </c>
      <c r="E43" s="51" t="str">
        <f t="shared" si="17"/>
        <v>곱연산2</v>
      </c>
      <c r="F43" s="15">
        <f t="shared" si="18"/>
        <v>0</v>
      </c>
      <c r="G43" s="16">
        <f t="shared" si="19"/>
        <v>1</v>
      </c>
      <c r="H43" s="51">
        <f t="shared" si="20"/>
        <v>0</v>
      </c>
      <c r="I43" s="51">
        <f t="shared" si="21"/>
        <v>0.5</v>
      </c>
      <c r="K43" t="s">
        <v>287</v>
      </c>
      <c r="T43" s="47" t="s">
        <v>106</v>
      </c>
      <c r="U43" s="47">
        <v>0</v>
      </c>
      <c r="V43" s="47">
        <v>0</v>
      </c>
      <c r="W43" s="47">
        <v>0</v>
      </c>
      <c r="X43" s="47">
        <v>0</v>
      </c>
      <c r="Y43" s="47">
        <v>0</v>
      </c>
      <c r="Z43" s="47">
        <v>0.08</v>
      </c>
      <c r="AA43" s="47">
        <v>0.08</v>
      </c>
      <c r="AB43" s="47">
        <v>0</v>
      </c>
    </row>
    <row r="44" spans="1:28" x14ac:dyDescent="0.3">
      <c r="A44" s="51" t="s">
        <v>123</v>
      </c>
      <c r="B44" s="52" t="s">
        <v>303</v>
      </c>
      <c r="C44" s="54">
        <v>3</v>
      </c>
      <c r="D44" s="15">
        <f t="shared" si="16"/>
        <v>1.18</v>
      </c>
      <c r="E44" s="51" t="str">
        <f t="shared" si="17"/>
        <v>합연산</v>
      </c>
      <c r="F44" s="15">
        <f t="shared" si="18"/>
        <v>1.18</v>
      </c>
      <c r="G44" s="16">
        <f t="shared" si="19"/>
        <v>1</v>
      </c>
      <c r="H44" s="51">
        <f t="shared" si="20"/>
        <v>0</v>
      </c>
      <c r="I44" s="51">
        <f t="shared" si="21"/>
        <v>0</v>
      </c>
      <c r="K44" t="s">
        <v>297</v>
      </c>
      <c r="T44" s="47" t="s">
        <v>107</v>
      </c>
      <c r="U44" s="47">
        <v>0</v>
      </c>
      <c r="V44" s="47">
        <v>0.08</v>
      </c>
      <c r="W44" s="47">
        <v>0</v>
      </c>
      <c r="X44" s="47">
        <v>0</v>
      </c>
      <c r="Y44" s="47">
        <v>0</v>
      </c>
      <c r="Z44" s="47">
        <v>0.08</v>
      </c>
      <c r="AA44" s="47">
        <v>0.08</v>
      </c>
      <c r="AB44" s="47">
        <v>0</v>
      </c>
    </row>
    <row r="45" spans="1:28" x14ac:dyDescent="0.3">
      <c r="A45" s="51" t="s">
        <v>286</v>
      </c>
      <c r="B45" s="52" t="s">
        <v>304</v>
      </c>
      <c r="C45" s="54">
        <v>3</v>
      </c>
      <c r="D45" s="15">
        <f t="shared" si="16"/>
        <v>1.1143301239771284</v>
      </c>
      <c r="E45" s="51" t="str">
        <f t="shared" si="17"/>
        <v>곱연산2</v>
      </c>
      <c r="F45" s="15">
        <f t="shared" si="18"/>
        <v>0</v>
      </c>
      <c r="G45" s="16">
        <f t="shared" si="19"/>
        <v>1</v>
      </c>
      <c r="H45" s="51">
        <f t="shared" si="20"/>
        <v>0.2</v>
      </c>
      <c r="I45" s="51">
        <f t="shared" si="21"/>
        <v>-0.12</v>
      </c>
      <c r="K45" s="29" t="s">
        <v>50</v>
      </c>
      <c r="L45" s="29" t="s">
        <v>140</v>
      </c>
      <c r="M45" s="29" t="s">
        <v>141</v>
      </c>
      <c r="N45" s="29" t="s">
        <v>47</v>
      </c>
      <c r="O45" s="29" t="s">
        <v>142</v>
      </c>
      <c r="P45" s="29" t="s">
        <v>125</v>
      </c>
      <c r="T45" s="47" t="s">
        <v>108</v>
      </c>
      <c r="U45" s="47">
        <v>0</v>
      </c>
      <c r="V45" s="47">
        <v>0</v>
      </c>
      <c r="W45" s="47">
        <v>0</v>
      </c>
      <c r="X45" s="47">
        <v>0</v>
      </c>
      <c r="Y45" s="47">
        <v>0</v>
      </c>
      <c r="Z45" s="47">
        <v>0</v>
      </c>
      <c r="AA45" s="47">
        <v>0</v>
      </c>
      <c r="AB45" s="47">
        <v>0</v>
      </c>
    </row>
    <row r="46" spans="1:28" x14ac:dyDescent="0.3">
      <c r="A46" s="51" t="s">
        <v>229</v>
      </c>
      <c r="B46" s="52" t="s">
        <v>43</v>
      </c>
      <c r="C46" s="54">
        <v>2</v>
      </c>
      <c r="D46" s="15">
        <f t="shared" si="16"/>
        <v>1.07</v>
      </c>
      <c r="E46" s="51" t="str">
        <f t="shared" si="17"/>
        <v>곱연산</v>
      </c>
      <c r="F46" s="15">
        <f t="shared" si="18"/>
        <v>0</v>
      </c>
      <c r="G46" s="16">
        <f t="shared" si="19"/>
        <v>1.07</v>
      </c>
      <c r="H46" s="51">
        <f t="shared" si="20"/>
        <v>0</v>
      </c>
      <c r="I46" s="51">
        <f t="shared" si="21"/>
        <v>0</v>
      </c>
      <c r="K46" s="30">
        <f>A6</f>
        <v>0.93469999999999998</v>
      </c>
      <c r="L46" s="30">
        <f>IF(COUNTIF(B39:B46,"예둔")&gt;=1,B6-VLOOKUP("예둔",B39:I46,8,FALSE),B6)</f>
        <v>2.2799999999999998</v>
      </c>
      <c r="M46" s="31">
        <f>C6</f>
        <v>1</v>
      </c>
      <c r="N46" s="31">
        <f>D6</f>
        <v>1.2400000000000002</v>
      </c>
      <c r="O46" s="32">
        <f>E6</f>
        <v>2.03480616</v>
      </c>
      <c r="P46" s="31">
        <f>F6</f>
        <v>1.248</v>
      </c>
      <c r="T46" s="47" t="s">
        <v>109</v>
      </c>
      <c r="U46" s="47">
        <v>0</v>
      </c>
      <c r="V46" s="47">
        <v>0</v>
      </c>
      <c r="W46" s="47">
        <v>0</v>
      </c>
      <c r="X46" s="47">
        <v>0</v>
      </c>
      <c r="Y46" s="47">
        <v>0</v>
      </c>
      <c r="Z46" s="47">
        <v>0</v>
      </c>
      <c r="AA46" s="47">
        <v>0</v>
      </c>
      <c r="AB46" s="47">
        <v>0</v>
      </c>
    </row>
    <row r="47" spans="1:28" x14ac:dyDescent="0.3">
      <c r="A47" s="86" t="s">
        <v>221</v>
      </c>
      <c r="B47" s="86"/>
      <c r="C47" s="86"/>
      <c r="D47" s="86"/>
      <c r="E47" s="86"/>
      <c r="F47" s="15">
        <f>SUM(F39:F46)-COUNTIF(E39:E46,"합연산")+1</f>
        <v>1.2400000000000002</v>
      </c>
      <c r="G47" s="16">
        <f>PRODUCT(G39:G46)</f>
        <v>1.7171359999999998</v>
      </c>
      <c r="H47" s="51">
        <f>SUM(H39:H46)</f>
        <v>0.35</v>
      </c>
      <c r="I47" s="51">
        <f>SUM(I39:I46)</f>
        <v>0.38</v>
      </c>
      <c r="K47" s="72">
        <f>K46*(L46*(M46*N46)*O46*P46)</f>
        <v>6.7106780531836723</v>
      </c>
      <c r="L47" s="73"/>
      <c r="M47" s="73"/>
      <c r="N47" s="73"/>
      <c r="O47" s="73"/>
      <c r="P47" s="74"/>
      <c r="T47" s="47" t="s">
        <v>110</v>
      </c>
      <c r="U47" s="47">
        <v>0.2</v>
      </c>
      <c r="V47" s="47">
        <v>0</v>
      </c>
      <c r="W47" s="47">
        <v>0</v>
      </c>
      <c r="X47" s="47">
        <v>0</v>
      </c>
      <c r="Y47" s="47">
        <v>0</v>
      </c>
      <c r="Z47" s="47">
        <v>0</v>
      </c>
      <c r="AA47" s="47">
        <v>0</v>
      </c>
      <c r="AB47" s="47">
        <v>0</v>
      </c>
    </row>
    <row r="48" spans="1:28" x14ac:dyDescent="0.3">
      <c r="K48" s="87" t="s">
        <v>124</v>
      </c>
      <c r="L48" s="87"/>
      <c r="M48" s="87"/>
      <c r="N48" s="87"/>
      <c r="O48" s="87"/>
      <c r="P48" s="87"/>
      <c r="T48" s="47" t="s">
        <v>111</v>
      </c>
      <c r="U48" s="47">
        <v>0</v>
      </c>
      <c r="V48" s="47">
        <v>0</v>
      </c>
      <c r="W48" s="47">
        <v>0</v>
      </c>
      <c r="X48" s="47">
        <v>0</v>
      </c>
      <c r="Y48" s="47">
        <v>0</v>
      </c>
      <c r="Z48" s="47">
        <v>0</v>
      </c>
      <c r="AA48" s="47">
        <v>0</v>
      </c>
      <c r="AB48" s="47">
        <v>0</v>
      </c>
    </row>
    <row r="49" spans="1:28" x14ac:dyDescent="0.3">
      <c r="K49" s="29" t="s">
        <v>143</v>
      </c>
      <c r="L49" s="29" t="s">
        <v>146</v>
      </c>
      <c r="M49" s="29" t="s">
        <v>141</v>
      </c>
      <c r="N49" s="29" t="s">
        <v>47</v>
      </c>
      <c r="O49" s="29" t="s">
        <v>142</v>
      </c>
      <c r="P49" s="29" t="s">
        <v>125</v>
      </c>
      <c r="T49" s="47" t="s">
        <v>112</v>
      </c>
      <c r="U49" s="47">
        <v>0</v>
      </c>
      <c r="V49" s="47">
        <v>0</v>
      </c>
      <c r="W49" s="47">
        <v>0</v>
      </c>
      <c r="X49" s="47">
        <v>0</v>
      </c>
      <c r="Y49" s="47">
        <v>0</v>
      </c>
      <c r="Z49" s="47">
        <v>0</v>
      </c>
      <c r="AA49" s="47">
        <v>0</v>
      </c>
      <c r="AB49" s="47">
        <v>0</v>
      </c>
    </row>
    <row r="50" spans="1:28" x14ac:dyDescent="0.3">
      <c r="A50" s="13" t="s">
        <v>277</v>
      </c>
      <c r="K50" s="30">
        <f t="shared" ref="K50:P50" si="23">H6</f>
        <v>6.5300000000000025E-2</v>
      </c>
      <c r="L50" s="31">
        <f t="shared" si="23"/>
        <v>1</v>
      </c>
      <c r="M50" s="31">
        <f t="shared" si="23"/>
        <v>1</v>
      </c>
      <c r="N50" s="31">
        <f t="shared" si="23"/>
        <v>1.2400000000000002</v>
      </c>
      <c r="O50" s="31">
        <f t="shared" si="23"/>
        <v>2.03480616</v>
      </c>
      <c r="P50" s="31">
        <f t="shared" si="23"/>
        <v>1.248</v>
      </c>
      <c r="T50" s="47" t="s">
        <v>113</v>
      </c>
      <c r="U50" s="47">
        <v>0</v>
      </c>
      <c r="V50" s="47">
        <v>0</v>
      </c>
      <c r="W50" s="47">
        <v>0</v>
      </c>
      <c r="X50" s="47">
        <v>0</v>
      </c>
      <c r="Y50" s="47">
        <v>0</v>
      </c>
      <c r="Z50" s="47">
        <v>0</v>
      </c>
      <c r="AA50" s="47">
        <v>0</v>
      </c>
      <c r="AB50" s="47">
        <v>0</v>
      </c>
    </row>
    <row r="51" spans="1:28" x14ac:dyDescent="0.3">
      <c r="A51" t="s">
        <v>280</v>
      </c>
      <c r="K51" s="72">
        <f>K50*(L50*(M50*N50)*O50*P50)</f>
        <v>0.20562338083562509</v>
      </c>
      <c r="L51" s="73"/>
      <c r="M51" s="73"/>
      <c r="N51" s="73"/>
      <c r="O51" s="73"/>
      <c r="P51" s="74"/>
      <c r="T51" s="47" t="s">
        <v>114</v>
      </c>
      <c r="U51" s="47">
        <v>0</v>
      </c>
      <c r="V51" s="47">
        <v>0</v>
      </c>
      <c r="W51" s="47">
        <v>0</v>
      </c>
      <c r="X51" s="47">
        <v>0</v>
      </c>
      <c r="Y51" s="47">
        <v>0.55000000000000004</v>
      </c>
      <c r="Z51" s="47">
        <v>0</v>
      </c>
      <c r="AA51" s="47">
        <v>0</v>
      </c>
      <c r="AB51" s="47">
        <v>0</v>
      </c>
    </row>
    <row r="52" spans="1:28" x14ac:dyDescent="0.3">
      <c r="A52" s="43" t="s">
        <v>126</v>
      </c>
      <c r="B52" s="6" t="s">
        <v>130</v>
      </c>
      <c r="C52" s="6" t="s">
        <v>133</v>
      </c>
      <c r="D52" s="8" t="s">
        <v>131</v>
      </c>
      <c r="E52" s="9" t="s">
        <v>132</v>
      </c>
      <c r="F52" s="6" t="s">
        <v>279</v>
      </c>
      <c r="K52" s="87" t="s">
        <v>0</v>
      </c>
      <c r="L52" s="87"/>
      <c r="M52" s="87"/>
      <c r="N52" s="87"/>
      <c r="O52" s="87"/>
      <c r="P52" s="87"/>
      <c r="T52" s="47" t="s">
        <v>115</v>
      </c>
      <c r="U52" s="47">
        <v>0</v>
      </c>
      <c r="V52" s="47">
        <v>0</v>
      </c>
      <c r="W52" s="47">
        <v>0</v>
      </c>
      <c r="X52" s="47">
        <v>0.17</v>
      </c>
      <c r="Y52" s="47">
        <v>0.55000000000000004</v>
      </c>
      <c r="Z52" s="47">
        <v>0</v>
      </c>
      <c r="AA52" s="47">
        <v>0</v>
      </c>
      <c r="AB52" s="47">
        <v>0</v>
      </c>
    </row>
    <row r="53" spans="1:28" x14ac:dyDescent="0.3">
      <c r="A53" s="57">
        <v>86</v>
      </c>
      <c r="B53" s="7">
        <f>VLOOKUP(A53,ㅇㅇㅇ!T122:V142,1,TRUE)</f>
        <v>85</v>
      </c>
      <c r="C53" s="45">
        <f>VLOOKUP(A53,ㅇㅇㅇ!T122:V142,2,TRUE)</f>
        <v>0.2445</v>
      </c>
      <c r="D53" s="45">
        <f>VLOOKUP(A53,ㅇㅇㅇ!T122:V142,3,TRUE)</f>
        <v>3.5000000000000031E-3</v>
      </c>
      <c r="E53" s="3">
        <f>A53-B53</f>
        <v>1</v>
      </c>
      <c r="F53" s="45">
        <f>C53+(D53*E53)</f>
        <v>0.248</v>
      </c>
      <c r="K53" s="81" t="str">
        <f>O5</f>
        <v>예둔디버프</v>
      </c>
      <c r="L53" s="81"/>
      <c r="M53" s="82" t="s">
        <v>216</v>
      </c>
      <c r="N53" s="33" t="s">
        <v>289</v>
      </c>
      <c r="P53" s="29" t="s">
        <v>288</v>
      </c>
      <c r="T53" s="47" t="s">
        <v>116</v>
      </c>
      <c r="U53" s="47">
        <v>0.21</v>
      </c>
      <c r="V53" s="47">
        <v>0</v>
      </c>
      <c r="W53" s="47">
        <v>0</v>
      </c>
      <c r="X53" s="47">
        <v>0.17</v>
      </c>
      <c r="Y53" s="47">
        <v>0.55000000000000004</v>
      </c>
      <c r="Z53" s="47">
        <v>0</v>
      </c>
      <c r="AA53" s="47">
        <v>0</v>
      </c>
      <c r="AB53" s="47">
        <v>0</v>
      </c>
    </row>
    <row r="54" spans="1:28" x14ac:dyDescent="0.3">
      <c r="K54" s="75">
        <f>O7</f>
        <v>0.16775882715926169</v>
      </c>
      <c r="L54" s="75"/>
      <c r="M54" s="82"/>
      <c r="N54" s="49">
        <f>K47+K51+K54</f>
        <v>7.0840602611785597</v>
      </c>
      <c r="P54" s="28">
        <f>R6/N54</f>
        <v>1.1603772734474522</v>
      </c>
      <c r="T54" s="47" t="s">
        <v>117</v>
      </c>
      <c r="U54" s="47">
        <v>0</v>
      </c>
      <c r="V54" s="47">
        <v>0</v>
      </c>
      <c r="W54" s="47">
        <v>0.12</v>
      </c>
      <c r="X54" s="47">
        <v>0</v>
      </c>
      <c r="Y54" s="47">
        <v>0</v>
      </c>
      <c r="Z54" s="47">
        <v>0</v>
      </c>
      <c r="AA54" s="47">
        <v>0</v>
      </c>
      <c r="AB54" s="47">
        <v>0</v>
      </c>
    </row>
    <row r="55" spans="1:28" x14ac:dyDescent="0.3">
      <c r="A55" t="s">
        <v>281</v>
      </c>
      <c r="T55" s="47" t="s">
        <v>118</v>
      </c>
      <c r="U55" s="47">
        <v>0</v>
      </c>
      <c r="V55" s="47">
        <v>0.15</v>
      </c>
      <c r="W55" s="47">
        <v>0.12</v>
      </c>
      <c r="X55" s="47">
        <v>0</v>
      </c>
      <c r="Y55" s="47">
        <v>0</v>
      </c>
      <c r="Z55" s="47">
        <v>0.12</v>
      </c>
      <c r="AA55" s="47">
        <v>0.12</v>
      </c>
      <c r="AB55" s="47">
        <v>0.2</v>
      </c>
    </row>
    <row r="56" spans="1:28" x14ac:dyDescent="0.3">
      <c r="A56" s="6" t="s">
        <v>279</v>
      </c>
      <c r="B56" s="8" t="s">
        <v>282</v>
      </c>
      <c r="C56" s="8" t="s">
        <v>283</v>
      </c>
      <c r="D56" s="6" t="s">
        <v>134</v>
      </c>
      <c r="K56" t="s">
        <v>298</v>
      </c>
      <c r="T56" s="47" t="s">
        <v>119</v>
      </c>
      <c r="U56" s="47">
        <v>0.15</v>
      </c>
      <c r="V56" s="47">
        <v>0.15</v>
      </c>
      <c r="W56" s="47">
        <v>0.12</v>
      </c>
      <c r="X56" s="47">
        <v>0</v>
      </c>
      <c r="Y56" s="47">
        <v>0</v>
      </c>
      <c r="Z56" s="47">
        <v>0.15</v>
      </c>
      <c r="AA56" s="47">
        <v>0.15</v>
      </c>
      <c r="AB56" s="47">
        <v>0.35</v>
      </c>
    </row>
    <row r="57" spans="1:28" x14ac:dyDescent="0.3">
      <c r="A57" s="45">
        <f>F53</f>
        <v>0.248</v>
      </c>
      <c r="B57" s="45">
        <f>L22</f>
        <v>0</v>
      </c>
      <c r="C57" s="41">
        <v>0</v>
      </c>
      <c r="D57" s="45">
        <f>1+SUM(A57:C57)</f>
        <v>1.248</v>
      </c>
      <c r="K57" s="34" t="s">
        <v>50</v>
      </c>
      <c r="L57" s="34" t="s">
        <v>140</v>
      </c>
      <c r="M57" s="34" t="s">
        <v>141</v>
      </c>
      <c r="N57" s="34" t="s">
        <v>47</v>
      </c>
      <c r="O57" s="34" t="s">
        <v>142</v>
      </c>
      <c r="P57" s="34" t="s">
        <v>125</v>
      </c>
      <c r="T57" s="47" t="s">
        <v>120</v>
      </c>
      <c r="U57" s="47">
        <v>0.13</v>
      </c>
      <c r="V57" s="47">
        <v>0</v>
      </c>
      <c r="W57" s="47">
        <v>0</v>
      </c>
      <c r="X57" s="47">
        <v>0</v>
      </c>
      <c r="Y57" s="47">
        <v>0</v>
      </c>
      <c r="Z57" s="47">
        <v>0</v>
      </c>
      <c r="AA57" s="47">
        <v>0</v>
      </c>
      <c r="AB57" s="47">
        <v>0</v>
      </c>
    </row>
    <row r="58" spans="1:28" x14ac:dyDescent="0.3">
      <c r="K58" s="35">
        <f>IF(COUNTIF(B39:B46,"정단")&gt;=1,A6-VLOOKUP("정단",B39:I46,7,FALSE),A6)</f>
        <v>0.73469999999999991</v>
      </c>
      <c r="L58" s="35">
        <f>IF(COUNTIF(B39:B46,"정단")&gt;=1,B6-VLOOKUP("정단",B39:I46,8,FALSE),B6)</f>
        <v>2.9</v>
      </c>
      <c r="M58" s="36">
        <f>C6</f>
        <v>1</v>
      </c>
      <c r="N58" s="36">
        <f t="shared" ref="N58:P58" si="24">D6</f>
        <v>1.2400000000000002</v>
      </c>
      <c r="O58" s="37">
        <f t="shared" si="24"/>
        <v>2.03480616</v>
      </c>
      <c r="P58" s="36">
        <f t="shared" si="24"/>
        <v>1.248</v>
      </c>
      <c r="T58" s="47" t="s">
        <v>121</v>
      </c>
      <c r="U58" s="47">
        <v>0.13</v>
      </c>
      <c r="V58" s="47">
        <v>0</v>
      </c>
      <c r="W58" s="47">
        <v>0</v>
      </c>
      <c r="X58" s="47">
        <v>0.15</v>
      </c>
      <c r="Y58" s="47">
        <v>0</v>
      </c>
      <c r="Z58" s="47">
        <v>0</v>
      </c>
      <c r="AA58" s="47">
        <v>0</v>
      </c>
      <c r="AB58" s="47">
        <v>0</v>
      </c>
    </row>
    <row r="59" spans="1:28" x14ac:dyDescent="0.3">
      <c r="K59" s="72">
        <f>K58*(L58*(M58*N58)*O58*P58)</f>
        <v>6.7091476862145125</v>
      </c>
      <c r="L59" s="73"/>
      <c r="M59" s="73"/>
      <c r="N59" s="73"/>
      <c r="O59" s="73"/>
      <c r="P59" s="74"/>
      <c r="T59" s="47" t="s">
        <v>122</v>
      </c>
      <c r="U59" s="47">
        <v>0.25</v>
      </c>
      <c r="V59" s="47">
        <v>0</v>
      </c>
      <c r="W59" s="47">
        <v>0</v>
      </c>
      <c r="X59" s="47">
        <v>0.2</v>
      </c>
      <c r="Y59" s="47">
        <v>0</v>
      </c>
      <c r="Z59" s="47">
        <v>0</v>
      </c>
      <c r="AA59" s="47">
        <v>0</v>
      </c>
      <c r="AB59" s="47">
        <v>0</v>
      </c>
    </row>
    <row r="60" spans="1:28" x14ac:dyDescent="0.3">
      <c r="K60" s="87" t="s">
        <v>124</v>
      </c>
      <c r="L60" s="87"/>
      <c r="M60" s="87"/>
      <c r="N60" s="87"/>
      <c r="O60" s="87"/>
      <c r="P60" s="87"/>
      <c r="T60" s="24" t="s">
        <v>262</v>
      </c>
      <c r="U60" s="47">
        <v>0</v>
      </c>
      <c r="V60" s="47">
        <v>0.18</v>
      </c>
      <c r="W60" s="47">
        <v>0</v>
      </c>
      <c r="X60" s="47">
        <v>0</v>
      </c>
      <c r="Y60" s="47">
        <v>0</v>
      </c>
      <c r="Z60" s="47">
        <v>0</v>
      </c>
      <c r="AA60" s="47">
        <v>0</v>
      </c>
      <c r="AB60" s="47">
        <v>0</v>
      </c>
    </row>
    <row r="61" spans="1:28" x14ac:dyDescent="0.3">
      <c r="K61" s="34" t="s">
        <v>143</v>
      </c>
      <c r="L61" s="34" t="s">
        <v>146</v>
      </c>
      <c r="M61" s="34" t="s">
        <v>141</v>
      </c>
      <c r="N61" s="34" t="s">
        <v>47</v>
      </c>
      <c r="O61" s="34" t="s">
        <v>142</v>
      </c>
      <c r="P61" s="34" t="s">
        <v>125</v>
      </c>
      <c r="T61" s="24" t="s">
        <v>263</v>
      </c>
      <c r="U61" s="47">
        <v>0</v>
      </c>
      <c r="V61" s="47">
        <v>0.36</v>
      </c>
      <c r="W61" s="47">
        <v>0</v>
      </c>
      <c r="X61" s="47">
        <v>0</v>
      </c>
      <c r="Y61" s="47">
        <v>0</v>
      </c>
      <c r="Z61" s="47">
        <v>0.1</v>
      </c>
      <c r="AA61" s="47">
        <v>0</v>
      </c>
      <c r="AB61" s="47">
        <v>0</v>
      </c>
    </row>
    <row r="62" spans="1:28" x14ac:dyDescent="0.3">
      <c r="K62" s="35">
        <f>1-K58</f>
        <v>0.26530000000000009</v>
      </c>
      <c r="L62" s="36">
        <f t="shared" ref="L62:P62" si="25">I6</f>
        <v>1</v>
      </c>
      <c r="M62" s="36">
        <f t="shared" si="25"/>
        <v>1</v>
      </c>
      <c r="N62" s="36">
        <f t="shared" si="25"/>
        <v>1.2400000000000002</v>
      </c>
      <c r="O62" s="37">
        <f t="shared" si="25"/>
        <v>2.03480616</v>
      </c>
      <c r="P62" s="36">
        <f t="shared" si="25"/>
        <v>1.248</v>
      </c>
      <c r="T62" s="24" t="s">
        <v>264</v>
      </c>
      <c r="U62" s="47">
        <v>0.05</v>
      </c>
      <c r="V62" s="47">
        <v>0.54</v>
      </c>
      <c r="W62" s="47">
        <v>0</v>
      </c>
      <c r="X62" s="47">
        <v>0</v>
      </c>
      <c r="Y62" s="47">
        <v>0</v>
      </c>
      <c r="Z62" s="47">
        <v>0.1</v>
      </c>
      <c r="AA62" s="47">
        <v>0</v>
      </c>
      <c r="AB62" s="47">
        <v>0</v>
      </c>
    </row>
    <row r="63" spans="1:28" x14ac:dyDescent="0.3">
      <c r="K63" s="72">
        <f>K62*(L62*(M62*N62)*O62*P62)</f>
        <v>0.83540402658026536</v>
      </c>
      <c r="L63" s="73"/>
      <c r="M63" s="73"/>
      <c r="N63" s="73"/>
      <c r="O63" s="73"/>
      <c r="P63" s="74"/>
      <c r="T63" s="24" t="s">
        <v>77</v>
      </c>
      <c r="U63" s="47">
        <v>0.1</v>
      </c>
      <c r="V63" s="47">
        <v>0</v>
      </c>
      <c r="W63" s="47">
        <v>0</v>
      </c>
      <c r="X63" s="47">
        <v>0</v>
      </c>
      <c r="Y63" s="47">
        <v>0</v>
      </c>
      <c r="Z63" s="47">
        <v>0</v>
      </c>
      <c r="AA63" s="47">
        <v>0</v>
      </c>
      <c r="AB63" s="47">
        <v>0.18</v>
      </c>
    </row>
    <row r="64" spans="1:28" x14ac:dyDescent="0.3">
      <c r="K64" s="87" t="s">
        <v>0</v>
      </c>
      <c r="L64" s="87"/>
      <c r="M64" s="87"/>
      <c r="N64" s="87"/>
      <c r="O64" s="87"/>
      <c r="P64" s="87"/>
      <c r="T64" s="24" t="s">
        <v>78</v>
      </c>
      <c r="U64" s="47">
        <v>0.28000000000000003</v>
      </c>
      <c r="V64" s="47">
        <v>0</v>
      </c>
      <c r="W64" s="47">
        <v>0</v>
      </c>
      <c r="X64" s="47">
        <v>0</v>
      </c>
      <c r="Y64" s="47">
        <v>0</v>
      </c>
      <c r="Z64" s="47">
        <v>0</v>
      </c>
      <c r="AA64" s="47">
        <v>0</v>
      </c>
      <c r="AB64" s="47">
        <v>0.18</v>
      </c>
    </row>
    <row r="65" spans="11:28" x14ac:dyDescent="0.3">
      <c r="K65" s="88" t="str">
        <f>O5</f>
        <v>예둔디버프</v>
      </c>
      <c r="L65" s="88"/>
      <c r="M65" s="82" t="s">
        <v>216</v>
      </c>
      <c r="N65" s="38" t="s">
        <v>290</v>
      </c>
      <c r="P65" s="34" t="s">
        <v>291</v>
      </c>
      <c r="T65" s="24" t="s">
        <v>79</v>
      </c>
      <c r="U65" s="47">
        <v>0.51039999999999996</v>
      </c>
      <c r="V65" s="47">
        <v>0</v>
      </c>
      <c r="W65" s="47">
        <v>0</v>
      </c>
      <c r="X65" s="47">
        <v>0</v>
      </c>
      <c r="Y65" s="47">
        <v>0</v>
      </c>
      <c r="Z65" s="47">
        <v>0</v>
      </c>
      <c r="AA65" s="47">
        <v>0</v>
      </c>
      <c r="AB65" s="47">
        <v>0.3</v>
      </c>
    </row>
    <row r="66" spans="11:28" x14ac:dyDescent="0.3">
      <c r="K66" s="75">
        <f>O7</f>
        <v>0.16775882715926169</v>
      </c>
      <c r="L66" s="75"/>
      <c r="M66" s="82"/>
      <c r="N66" s="49">
        <f>K59+K63-K66</f>
        <v>7.3767928856355161</v>
      </c>
      <c r="P66" s="28">
        <f>R6/N66</f>
        <v>1.1143301239771284</v>
      </c>
      <c r="T66" s="24" t="s">
        <v>80</v>
      </c>
      <c r="U66" s="47">
        <v>0</v>
      </c>
      <c r="V66" s="47">
        <v>0</v>
      </c>
      <c r="W66" s="47">
        <v>0</v>
      </c>
      <c r="X66" s="47">
        <v>0</v>
      </c>
      <c r="Y66" s="47">
        <v>0</v>
      </c>
      <c r="Z66" s="47">
        <v>0</v>
      </c>
      <c r="AA66" s="47">
        <v>0</v>
      </c>
      <c r="AB66" s="47">
        <v>0</v>
      </c>
    </row>
    <row r="67" spans="11:28" x14ac:dyDescent="0.3">
      <c r="T67" s="24" t="s">
        <v>81</v>
      </c>
      <c r="U67" s="47">
        <v>0</v>
      </c>
      <c r="V67" s="47">
        <v>0</v>
      </c>
      <c r="W67" s="47">
        <v>0</v>
      </c>
      <c r="X67" s="47">
        <v>0</v>
      </c>
      <c r="Y67" s="47">
        <v>0</v>
      </c>
      <c r="Z67" s="47">
        <v>0</v>
      </c>
      <c r="AA67" s="47">
        <v>0</v>
      </c>
      <c r="AB67" s="47">
        <v>0</v>
      </c>
    </row>
    <row r="68" spans="11:28" x14ac:dyDescent="0.3">
      <c r="K68" t="s">
        <v>299</v>
      </c>
      <c r="T68" s="24" t="s">
        <v>82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  <c r="Z68" s="47">
        <v>0.4</v>
      </c>
      <c r="AA68" s="47">
        <v>0</v>
      </c>
      <c r="AB68" s="47">
        <v>0.5</v>
      </c>
    </row>
    <row r="69" spans="11:28" x14ac:dyDescent="0.3">
      <c r="K69" s="17" t="s">
        <v>50</v>
      </c>
      <c r="L69" s="17" t="s">
        <v>140</v>
      </c>
      <c r="M69" s="17" t="s">
        <v>141</v>
      </c>
      <c r="N69" s="17" t="s">
        <v>47</v>
      </c>
      <c r="O69" s="17" t="s">
        <v>142</v>
      </c>
      <c r="P69" s="17" t="s">
        <v>125</v>
      </c>
      <c r="T69" s="24" t="s">
        <v>83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  <c r="Z69" s="47">
        <v>0</v>
      </c>
      <c r="AA69" s="47">
        <v>0.18</v>
      </c>
      <c r="AB69" s="47">
        <v>0</v>
      </c>
    </row>
    <row r="70" spans="11:28" x14ac:dyDescent="0.3">
      <c r="K70" s="39">
        <f>IF(COUNTIF(B39:B46,"아드(치적)")&gt;=1,A6-VLOOKUP("아드(치적)",B39:I46,7,FALSE),A6)</f>
        <v>0.78469999999999995</v>
      </c>
      <c r="L70" s="39">
        <f>B6</f>
        <v>2.78</v>
      </c>
      <c r="M70" s="4">
        <f>C6</f>
        <v>1</v>
      </c>
      <c r="N70" s="40">
        <f>IF(COUNTIF(B39:B46,"아드(공증)")&gt;=1,D6-VLOOKUP("아드(공증)",B39:I46,5,FALSE)+1,D6)</f>
        <v>1.1800000000000002</v>
      </c>
      <c r="O70" s="40">
        <f>E6</f>
        <v>2.03480616</v>
      </c>
      <c r="P70" s="40">
        <f>F6</f>
        <v>1.248</v>
      </c>
      <c r="T70" s="24" t="s">
        <v>84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  <c r="Z70" s="47">
        <v>0.1</v>
      </c>
      <c r="AA70" s="47">
        <v>0.1</v>
      </c>
      <c r="AB70" s="47">
        <v>0</v>
      </c>
    </row>
    <row r="71" spans="11:28" x14ac:dyDescent="0.3">
      <c r="K71" s="72">
        <f>K70*(L70*(M70*N70)*O70*P70)</f>
        <v>6.5368434599071481</v>
      </c>
      <c r="L71" s="73"/>
      <c r="M71" s="73"/>
      <c r="N71" s="73"/>
      <c r="O71" s="73"/>
      <c r="P71" s="74"/>
      <c r="T71" s="24" t="s">
        <v>85</v>
      </c>
      <c r="U71" s="47">
        <v>0</v>
      </c>
      <c r="V71" s="47">
        <v>0.1</v>
      </c>
      <c r="W71" s="47">
        <v>0</v>
      </c>
      <c r="X71" s="47">
        <v>0</v>
      </c>
      <c r="Y71" s="47">
        <v>0</v>
      </c>
      <c r="Z71" s="47">
        <v>0.1</v>
      </c>
      <c r="AA71" s="47">
        <v>0.1</v>
      </c>
      <c r="AB71" s="47">
        <v>0</v>
      </c>
    </row>
    <row r="72" spans="11:28" x14ac:dyDescent="0.3">
      <c r="K72" s="87" t="s">
        <v>124</v>
      </c>
      <c r="L72" s="87"/>
      <c r="M72" s="87"/>
      <c r="N72" s="87"/>
      <c r="O72" s="87"/>
      <c r="P72" s="87"/>
      <c r="T72" s="24" t="s">
        <v>86</v>
      </c>
      <c r="U72" s="47">
        <v>0</v>
      </c>
      <c r="V72" s="47">
        <v>0</v>
      </c>
      <c r="W72" s="47">
        <v>0</v>
      </c>
      <c r="X72" s="47">
        <v>0</v>
      </c>
      <c r="Y72" s="47">
        <v>0</v>
      </c>
      <c r="Z72" s="47">
        <v>0</v>
      </c>
      <c r="AA72" s="47">
        <v>0</v>
      </c>
      <c r="AB72" s="47">
        <v>0</v>
      </c>
    </row>
    <row r="73" spans="11:28" x14ac:dyDescent="0.3">
      <c r="K73" s="17" t="s">
        <v>143</v>
      </c>
      <c r="L73" s="17" t="s">
        <v>146</v>
      </c>
      <c r="M73" s="17" t="s">
        <v>141</v>
      </c>
      <c r="N73" s="17" t="s">
        <v>47</v>
      </c>
      <c r="O73" s="17" t="s">
        <v>142</v>
      </c>
      <c r="P73" s="17" t="s">
        <v>125</v>
      </c>
      <c r="T73" s="24" t="s">
        <v>87</v>
      </c>
      <c r="U73" s="47">
        <v>0</v>
      </c>
      <c r="V73" s="47">
        <v>0</v>
      </c>
      <c r="W73" s="47">
        <v>0</v>
      </c>
      <c r="X73" s="47">
        <v>0</v>
      </c>
      <c r="Y73" s="47">
        <v>0</v>
      </c>
      <c r="Z73" s="47">
        <v>0</v>
      </c>
      <c r="AA73" s="47">
        <v>0</v>
      </c>
      <c r="AB73" s="47">
        <v>0</v>
      </c>
    </row>
    <row r="74" spans="11:28" x14ac:dyDescent="0.3">
      <c r="K74" s="39">
        <f>1-K70</f>
        <v>0.21530000000000005</v>
      </c>
      <c r="L74" s="4">
        <f>I6</f>
        <v>1</v>
      </c>
      <c r="M74" s="4">
        <f>J6</f>
        <v>1</v>
      </c>
      <c r="N74" s="40">
        <f>N70</f>
        <v>1.1800000000000002</v>
      </c>
      <c r="O74" s="40">
        <f>L6</f>
        <v>2.03480616</v>
      </c>
      <c r="P74" s="4">
        <f>M6</f>
        <v>1.248</v>
      </c>
      <c r="T74" s="24" t="s">
        <v>88</v>
      </c>
      <c r="U74" s="47">
        <v>0.3</v>
      </c>
      <c r="V74" s="47">
        <v>0</v>
      </c>
      <c r="W74" s="47">
        <v>0</v>
      </c>
      <c r="X74" s="47">
        <v>0</v>
      </c>
      <c r="Y74" s="47">
        <v>0</v>
      </c>
      <c r="Z74" s="47">
        <v>0</v>
      </c>
      <c r="AA74" s="47">
        <v>0</v>
      </c>
      <c r="AB74" s="47">
        <v>0</v>
      </c>
    </row>
    <row r="75" spans="11:28" x14ac:dyDescent="0.3">
      <c r="K75" s="72">
        <f>K74*(L74*(M74*N74)*O74*P74)</f>
        <v>0.64515440392745493</v>
      </c>
      <c r="L75" s="73"/>
      <c r="M75" s="73"/>
      <c r="N75" s="73"/>
      <c r="O75" s="73"/>
      <c r="P75" s="74"/>
      <c r="T75" s="24" t="s">
        <v>89</v>
      </c>
      <c r="U75" s="47">
        <v>0</v>
      </c>
      <c r="V75" s="47">
        <v>0</v>
      </c>
      <c r="W75" s="47">
        <v>0</v>
      </c>
      <c r="X75" s="47">
        <v>0</v>
      </c>
      <c r="Y75" s="47">
        <v>0</v>
      </c>
      <c r="Z75" s="47">
        <v>0</v>
      </c>
      <c r="AA75" s="47">
        <v>0</v>
      </c>
      <c r="AB75" s="47">
        <v>0</v>
      </c>
    </row>
    <row r="76" spans="11:28" x14ac:dyDescent="0.3">
      <c r="K76" s="87" t="s">
        <v>0</v>
      </c>
      <c r="L76" s="87"/>
      <c r="M76" s="87"/>
      <c r="N76" s="87"/>
      <c r="O76" s="87"/>
      <c r="P76" s="87"/>
      <c r="T76" s="24" t="s">
        <v>90</v>
      </c>
      <c r="U76" s="47">
        <v>0</v>
      </c>
      <c r="V76" s="47">
        <v>0</v>
      </c>
      <c r="W76" s="47">
        <v>0</v>
      </c>
      <c r="X76" s="47">
        <v>0</v>
      </c>
      <c r="Y76" s="47">
        <v>0</v>
      </c>
      <c r="Z76" s="47">
        <v>0</v>
      </c>
      <c r="AA76" s="47">
        <v>0</v>
      </c>
      <c r="AB76" s="47">
        <v>0</v>
      </c>
    </row>
    <row r="77" spans="11:28" x14ac:dyDescent="0.3">
      <c r="K77" s="68" t="str">
        <f>O5</f>
        <v>예둔디버프</v>
      </c>
      <c r="L77" s="68"/>
      <c r="M77" s="82" t="s">
        <v>216</v>
      </c>
      <c r="N77" s="27" t="s">
        <v>292</v>
      </c>
      <c r="P77" s="44" t="s">
        <v>293</v>
      </c>
      <c r="T77" s="24" t="s">
        <v>91</v>
      </c>
      <c r="U77" s="47">
        <v>0</v>
      </c>
      <c r="V77" s="47">
        <v>0</v>
      </c>
      <c r="W77" s="47">
        <v>0</v>
      </c>
      <c r="X77" s="47">
        <v>0</v>
      </c>
      <c r="Y77" s="47">
        <v>0</v>
      </c>
      <c r="Z77" s="47">
        <v>0</v>
      </c>
      <c r="AA77" s="47">
        <v>0</v>
      </c>
      <c r="AB77" s="47">
        <v>0</v>
      </c>
    </row>
    <row r="78" spans="11:28" x14ac:dyDescent="0.3">
      <c r="K78" s="75">
        <f>O7</f>
        <v>0.16775882715926169</v>
      </c>
      <c r="L78" s="75"/>
      <c r="M78" s="82"/>
      <c r="N78" s="49">
        <f>K71+K75-K78</f>
        <v>7.0142390366753409</v>
      </c>
      <c r="P78" s="28">
        <f>R6/N78</f>
        <v>1.1719279151769662</v>
      </c>
      <c r="T78" s="24" t="s">
        <v>92</v>
      </c>
      <c r="U78" s="47">
        <v>0</v>
      </c>
      <c r="V78" s="47">
        <v>0</v>
      </c>
      <c r="W78" s="47">
        <v>0</v>
      </c>
      <c r="X78" s="47">
        <v>0</v>
      </c>
      <c r="Y78" s="47">
        <v>0.6</v>
      </c>
      <c r="Z78" s="47">
        <v>0</v>
      </c>
      <c r="AA78" s="47">
        <v>0</v>
      </c>
      <c r="AB78" s="47">
        <v>0</v>
      </c>
    </row>
    <row r="79" spans="11:28" x14ac:dyDescent="0.3">
      <c r="T79" s="24" t="s">
        <v>93</v>
      </c>
      <c r="U79" s="47">
        <v>0</v>
      </c>
      <c r="V79" s="47">
        <v>0</v>
      </c>
      <c r="W79" s="47">
        <v>0</v>
      </c>
      <c r="X79" s="47">
        <v>0.2</v>
      </c>
      <c r="Y79" s="47">
        <v>0.6</v>
      </c>
      <c r="Z79" s="47">
        <v>0</v>
      </c>
      <c r="AA79" s="47">
        <v>0</v>
      </c>
      <c r="AB79" s="47">
        <v>0</v>
      </c>
    </row>
    <row r="80" spans="11:28" x14ac:dyDescent="0.3">
      <c r="T80" s="24" t="s">
        <v>94</v>
      </c>
      <c r="U80" s="47">
        <v>0.24</v>
      </c>
      <c r="V80" s="47">
        <v>0</v>
      </c>
      <c r="W80" s="47">
        <v>0</v>
      </c>
      <c r="X80" s="47">
        <v>0.2</v>
      </c>
      <c r="Y80" s="47">
        <v>0.6</v>
      </c>
      <c r="Z80" s="47">
        <v>0</v>
      </c>
      <c r="AA80" s="47">
        <v>0</v>
      </c>
      <c r="AB80" s="47">
        <v>0</v>
      </c>
    </row>
    <row r="81" spans="20:31" x14ac:dyDescent="0.3">
      <c r="T81" s="24" t="s">
        <v>95</v>
      </c>
      <c r="U81" s="47">
        <v>0</v>
      </c>
      <c r="V81" s="47">
        <v>0</v>
      </c>
      <c r="W81" s="47">
        <v>0.15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</row>
    <row r="82" spans="20:31" x14ac:dyDescent="0.3">
      <c r="T82" s="24" t="s">
        <v>96</v>
      </c>
      <c r="U82" s="47">
        <v>0</v>
      </c>
      <c r="V82" s="47">
        <v>0.18</v>
      </c>
      <c r="W82" s="47">
        <v>0.15</v>
      </c>
      <c r="X82" s="47">
        <v>0</v>
      </c>
      <c r="Y82" s="47">
        <v>0</v>
      </c>
      <c r="Z82" s="47">
        <v>0.12</v>
      </c>
      <c r="AA82" s="47">
        <v>0.12</v>
      </c>
      <c r="AB82" s="47">
        <v>0.22</v>
      </c>
    </row>
    <row r="83" spans="20:31" x14ac:dyDescent="0.3">
      <c r="T83" s="24" t="s">
        <v>97</v>
      </c>
      <c r="U83" s="47">
        <v>0.18</v>
      </c>
      <c r="V83" s="47">
        <v>0.18</v>
      </c>
      <c r="W83" s="47">
        <v>0.15</v>
      </c>
      <c r="X83" s="47">
        <v>0</v>
      </c>
      <c r="Y83" s="47">
        <v>0</v>
      </c>
      <c r="Z83" s="47">
        <v>0.15</v>
      </c>
      <c r="AA83" s="47">
        <v>0.15</v>
      </c>
      <c r="AB83" s="47">
        <v>0.4</v>
      </c>
    </row>
    <row r="84" spans="20:31" x14ac:dyDescent="0.3">
      <c r="T84" s="24" t="s">
        <v>98</v>
      </c>
      <c r="U84" s="47">
        <v>0.15</v>
      </c>
      <c r="V84" s="47">
        <v>0</v>
      </c>
      <c r="W84" s="47">
        <v>0</v>
      </c>
      <c r="X84" s="47">
        <v>0</v>
      </c>
      <c r="Y84" s="47">
        <v>0</v>
      </c>
      <c r="Z84" s="47">
        <v>0</v>
      </c>
      <c r="AA84" s="47">
        <v>0</v>
      </c>
      <c r="AB84" s="47">
        <v>0</v>
      </c>
    </row>
    <row r="85" spans="20:31" x14ac:dyDescent="0.3">
      <c r="T85" s="24" t="s">
        <v>99</v>
      </c>
      <c r="U85" s="47">
        <v>0.15</v>
      </c>
      <c r="V85" s="47">
        <v>0</v>
      </c>
      <c r="W85" s="47">
        <v>0</v>
      </c>
      <c r="X85" s="47">
        <v>0.18</v>
      </c>
      <c r="Y85" s="47">
        <v>0</v>
      </c>
      <c r="Z85" s="47">
        <v>0</v>
      </c>
      <c r="AA85" s="47">
        <v>0</v>
      </c>
      <c r="AB85" s="47">
        <v>0</v>
      </c>
    </row>
    <row r="86" spans="20:31" x14ac:dyDescent="0.3">
      <c r="T86" s="24" t="s">
        <v>100</v>
      </c>
      <c r="U86" s="47">
        <v>0.28999999999999998</v>
      </c>
      <c r="V86" s="47">
        <v>0</v>
      </c>
      <c r="W86" s="47">
        <v>0</v>
      </c>
      <c r="X86" s="47">
        <v>0.25</v>
      </c>
      <c r="Y86" s="47">
        <v>0</v>
      </c>
      <c r="Z86" s="47">
        <v>0</v>
      </c>
      <c r="AA86" s="47">
        <v>0</v>
      </c>
      <c r="AB86" s="47">
        <v>0</v>
      </c>
    </row>
    <row r="88" spans="20:31" x14ac:dyDescent="0.3">
      <c r="T88" s="13" t="s">
        <v>183</v>
      </c>
    </row>
    <row r="89" spans="20:31" x14ac:dyDescent="0.3">
      <c r="T89" s="1" t="s">
        <v>38</v>
      </c>
      <c r="U89" s="1" t="s">
        <v>33</v>
      </c>
      <c r="V89" s="1" t="s">
        <v>37</v>
      </c>
      <c r="W89" s="1" t="s">
        <v>36</v>
      </c>
      <c r="X89" s="1" t="s">
        <v>35</v>
      </c>
      <c r="Y89" s="1" t="s">
        <v>199</v>
      </c>
      <c r="Z89" s="1" t="s">
        <v>230</v>
      </c>
      <c r="AA89" s="1" t="s">
        <v>231</v>
      </c>
      <c r="AB89" s="1" t="s">
        <v>232</v>
      </c>
      <c r="AC89" s="1" t="s">
        <v>233</v>
      </c>
      <c r="AD89" s="1" t="s">
        <v>234</v>
      </c>
      <c r="AE89" s="1" t="s">
        <v>235</v>
      </c>
    </row>
    <row r="90" spans="20:31" x14ac:dyDescent="0.3">
      <c r="T90" s="1" t="s">
        <v>34</v>
      </c>
      <c r="U90" s="1" t="s">
        <v>34</v>
      </c>
      <c r="V90" s="1">
        <v>1.04</v>
      </c>
      <c r="W90" s="21">
        <v>1.1000000000000001</v>
      </c>
      <c r="X90" s="1">
        <v>1.2</v>
      </c>
      <c r="Y90" s="1" t="s">
        <v>40</v>
      </c>
      <c r="Z90" s="1"/>
      <c r="AA90" s="1"/>
      <c r="AB90" s="1"/>
      <c r="AC90" s="1"/>
      <c r="AD90" s="1"/>
      <c r="AE90" s="1"/>
    </row>
    <row r="91" spans="20:31" x14ac:dyDescent="0.3">
      <c r="T91" s="1" t="s">
        <v>189</v>
      </c>
      <c r="U91" s="1" t="s">
        <v>200</v>
      </c>
      <c r="V91" s="1">
        <f>X91</f>
        <v>1.3599999999999999</v>
      </c>
      <c r="W91" s="1">
        <f>X91</f>
        <v>1.3599999999999999</v>
      </c>
      <c r="X91" s="1">
        <f>1+B34</f>
        <v>1.3599999999999999</v>
      </c>
      <c r="Y91" s="1" t="s">
        <v>40</v>
      </c>
      <c r="Z91" s="1"/>
      <c r="AA91" s="1"/>
      <c r="AB91" s="1"/>
      <c r="AC91" s="1"/>
      <c r="AD91" s="1"/>
      <c r="AE91" s="1"/>
    </row>
    <row r="92" spans="20:31" x14ac:dyDescent="0.3">
      <c r="T92" s="1" t="s">
        <v>190</v>
      </c>
      <c r="U92" s="1" t="s">
        <v>201</v>
      </c>
      <c r="V92" s="1">
        <f>X92</f>
        <v>1</v>
      </c>
      <c r="W92" s="1">
        <f>X92</f>
        <v>1</v>
      </c>
      <c r="X92" s="1">
        <f>1+B35</f>
        <v>1</v>
      </c>
      <c r="Y92" s="1" t="s">
        <v>40</v>
      </c>
      <c r="Z92" s="1"/>
      <c r="AA92" s="1"/>
      <c r="AB92" s="1"/>
      <c r="AC92" s="1"/>
      <c r="AD92" s="1"/>
      <c r="AE92" s="1"/>
    </row>
    <row r="93" spans="20:31" x14ac:dyDescent="0.3">
      <c r="T93" s="1" t="s">
        <v>30</v>
      </c>
      <c r="U93" s="1" t="s">
        <v>31</v>
      </c>
      <c r="V93" s="23">
        <f>1+(0.05*B28)</f>
        <v>1.0249999999999999</v>
      </c>
      <c r="W93" s="23">
        <f>1+(0.12*B28)</f>
        <v>1.06</v>
      </c>
      <c r="X93" s="23">
        <f>1+(0.25*B28)</f>
        <v>1.125</v>
      </c>
      <c r="Y93" s="1" t="s">
        <v>40</v>
      </c>
      <c r="Z93" s="1"/>
      <c r="AA93" s="1"/>
      <c r="AB93" s="1"/>
      <c r="AC93" s="1"/>
      <c r="AD93" s="1"/>
      <c r="AE93" s="1"/>
    </row>
    <row r="94" spans="20:31" x14ac:dyDescent="0.3">
      <c r="T94" s="1" t="s">
        <v>27</v>
      </c>
      <c r="U94" s="1" t="s">
        <v>28</v>
      </c>
      <c r="V94" s="23">
        <f>1+(0.05*B28)</f>
        <v>1.0249999999999999</v>
      </c>
      <c r="W94" s="23">
        <f>1+(0.12*B28)</f>
        <v>1.06</v>
      </c>
      <c r="X94" s="23">
        <f>1+(0.25*B28)</f>
        <v>1.125</v>
      </c>
      <c r="Y94" s="1" t="s">
        <v>40</v>
      </c>
      <c r="Z94" s="1"/>
      <c r="AA94" s="1"/>
      <c r="AB94" s="1"/>
      <c r="AC94" s="1"/>
      <c r="AD94" s="1"/>
      <c r="AE94" s="1"/>
    </row>
    <row r="95" spans="20:31" x14ac:dyDescent="0.3">
      <c r="T95" s="1" t="s">
        <v>24</v>
      </c>
      <c r="U95" s="1" t="s">
        <v>25</v>
      </c>
      <c r="V95" s="1">
        <v>1.03</v>
      </c>
      <c r="W95" s="1">
        <v>1.08</v>
      </c>
      <c r="X95" s="1">
        <v>1.1599999999999999</v>
      </c>
      <c r="Y95" s="1" t="s">
        <v>40</v>
      </c>
      <c r="Z95" s="1"/>
      <c r="AA95" s="1"/>
      <c r="AB95" s="1"/>
      <c r="AC95" s="1"/>
      <c r="AD95" s="1"/>
      <c r="AE95" s="1"/>
    </row>
    <row r="96" spans="20:31" x14ac:dyDescent="0.3">
      <c r="T96" s="1" t="s">
        <v>22</v>
      </c>
      <c r="U96" s="1" t="s">
        <v>23</v>
      </c>
      <c r="V96" s="1">
        <v>1.03</v>
      </c>
      <c r="W96" s="1">
        <v>1.08</v>
      </c>
      <c r="X96" s="1">
        <v>1.1599999999999999</v>
      </c>
      <c r="Y96" s="1" t="s">
        <v>40</v>
      </c>
      <c r="Z96" s="1"/>
      <c r="AA96" s="1"/>
      <c r="AB96" s="1"/>
      <c r="AC96" s="1"/>
      <c r="AD96" s="1"/>
      <c r="AE96" s="1"/>
    </row>
    <row r="97" spans="20:31" x14ac:dyDescent="0.3">
      <c r="T97" s="1" t="s">
        <v>20</v>
      </c>
      <c r="U97" s="1" t="s">
        <v>21</v>
      </c>
      <c r="V97" s="1">
        <v>1.03</v>
      </c>
      <c r="W97" s="1">
        <v>1.08</v>
      </c>
      <c r="X97" s="1">
        <v>1.1599999999999999</v>
      </c>
      <c r="Y97" s="1" t="s">
        <v>40</v>
      </c>
      <c r="Z97" s="1"/>
      <c r="AA97" s="1"/>
      <c r="AB97" s="1"/>
      <c r="AC97" s="1"/>
      <c r="AD97" s="1"/>
      <c r="AE97" s="1"/>
    </row>
    <row r="98" spans="20:31" x14ac:dyDescent="0.3">
      <c r="T98" s="1" t="s">
        <v>18</v>
      </c>
      <c r="U98" s="1" t="s">
        <v>19</v>
      </c>
      <c r="V98" s="1">
        <v>1.03</v>
      </c>
      <c r="W98" s="1">
        <v>1.08</v>
      </c>
      <c r="X98" s="1">
        <v>1.1599999999999999</v>
      </c>
      <c r="Y98" s="1" t="s">
        <v>40</v>
      </c>
      <c r="Z98" s="1"/>
      <c r="AA98" s="1"/>
      <c r="AB98" s="1"/>
      <c r="AC98" s="1"/>
      <c r="AD98" s="1"/>
      <c r="AE98" s="1"/>
    </row>
    <row r="99" spans="20:31" x14ac:dyDescent="0.3">
      <c r="T99" s="1" t="s">
        <v>185</v>
      </c>
      <c r="U99" s="1" t="s">
        <v>17</v>
      </c>
      <c r="V99" s="1">
        <v>1.04</v>
      </c>
      <c r="W99" s="1">
        <v>1.1000000000000001</v>
      </c>
      <c r="X99" s="1">
        <v>1.2</v>
      </c>
      <c r="Y99" s="1" t="s">
        <v>40</v>
      </c>
      <c r="Z99" s="1"/>
      <c r="AA99" s="1"/>
      <c r="AB99" s="1"/>
      <c r="AC99" s="1"/>
      <c r="AD99" s="1"/>
      <c r="AE99" s="1"/>
    </row>
    <row r="100" spans="20:31" x14ac:dyDescent="0.3">
      <c r="T100" s="1" t="s">
        <v>15</v>
      </c>
      <c r="U100" s="1" t="s">
        <v>16</v>
      </c>
      <c r="V100" s="1">
        <v>1.04</v>
      </c>
      <c r="W100" s="1">
        <v>1.1000000000000001</v>
      </c>
      <c r="X100" s="1">
        <v>1.2</v>
      </c>
      <c r="Y100" s="1" t="s">
        <v>40</v>
      </c>
      <c r="Z100" s="1"/>
      <c r="AA100" s="1"/>
      <c r="AB100" s="1"/>
      <c r="AC100" s="1"/>
      <c r="AD100" s="1"/>
      <c r="AE100" s="1"/>
    </row>
    <row r="101" spans="20:31" x14ac:dyDescent="0.3">
      <c r="T101" s="1" t="s">
        <v>13</v>
      </c>
      <c r="U101" s="1" t="s">
        <v>14</v>
      </c>
      <c r="V101" s="1">
        <v>1.03</v>
      </c>
      <c r="W101" s="1">
        <v>1.08</v>
      </c>
      <c r="X101" s="1">
        <v>1.1599999999999999</v>
      </c>
      <c r="Y101" s="1" t="s">
        <v>40</v>
      </c>
      <c r="Z101" s="1"/>
      <c r="AA101" s="1"/>
      <c r="AB101" s="1"/>
      <c r="AC101" s="1"/>
      <c r="AD101" s="1"/>
      <c r="AE101" s="1"/>
    </row>
    <row r="102" spans="20:31" x14ac:dyDescent="0.3">
      <c r="T102" s="1" t="s">
        <v>11</v>
      </c>
      <c r="U102" s="1" t="s">
        <v>12</v>
      </c>
      <c r="V102" s="22">
        <f>IF(1+(N13*0.1)&gt;=1.18,1.18,1+(N13*0.1))</f>
        <v>1.0730599999999999</v>
      </c>
      <c r="W102" s="22">
        <f>IF(1+(N13*0.22)&gt;=1.18,1.18,1+(N13*0.22))</f>
        <v>1.1607319999999999</v>
      </c>
      <c r="X102" s="22">
        <f>IF(1+(N13*0.45)&gt;=1.18,1.18,1+(N13*0.45))</f>
        <v>1.18</v>
      </c>
      <c r="Y102" s="1" t="s">
        <v>40</v>
      </c>
      <c r="Z102" s="1"/>
      <c r="AA102" s="1"/>
      <c r="AB102" s="1"/>
      <c r="AC102" s="1"/>
      <c r="AD102" s="1"/>
      <c r="AE102" s="1"/>
    </row>
    <row r="103" spans="20:31" x14ac:dyDescent="0.3">
      <c r="T103" s="1" t="s">
        <v>4</v>
      </c>
      <c r="U103" s="1" t="s">
        <v>10</v>
      </c>
      <c r="V103" s="1">
        <v>1.04</v>
      </c>
      <c r="W103" s="1">
        <v>1.1000000000000001</v>
      </c>
      <c r="X103" s="1">
        <v>1.18</v>
      </c>
      <c r="Y103" s="1" t="s">
        <v>39</v>
      </c>
      <c r="Z103" s="1"/>
      <c r="AA103" s="1"/>
      <c r="AB103" s="1"/>
      <c r="AC103" s="1"/>
      <c r="AD103" s="1"/>
      <c r="AE103" s="1"/>
    </row>
    <row r="104" spans="20:31" x14ac:dyDescent="0.3">
      <c r="T104" s="1" t="s">
        <v>9</v>
      </c>
      <c r="U104" s="1" t="s">
        <v>203</v>
      </c>
      <c r="V104" s="1">
        <v>1.03</v>
      </c>
      <c r="W104" s="1">
        <v>1.08</v>
      </c>
      <c r="X104" s="1">
        <v>1.1599999999999999</v>
      </c>
      <c r="Y104" s="1" t="s">
        <v>39</v>
      </c>
      <c r="Z104" s="1"/>
      <c r="AA104" s="1"/>
      <c r="AB104" s="1"/>
      <c r="AC104" s="1"/>
      <c r="AD104" s="1"/>
      <c r="AE104" s="1"/>
    </row>
    <row r="105" spans="20:31" x14ac:dyDescent="0.3">
      <c r="T105" s="1" t="s">
        <v>7</v>
      </c>
      <c r="U105" s="1" t="s">
        <v>8</v>
      </c>
      <c r="V105" s="1">
        <v>1.06</v>
      </c>
      <c r="W105" s="1">
        <v>1.0900000000000001</v>
      </c>
      <c r="X105" s="1">
        <v>1.1499999999999999</v>
      </c>
      <c r="Y105" s="1" t="s">
        <v>39</v>
      </c>
      <c r="Z105" s="1"/>
      <c r="AA105" s="1"/>
      <c r="AB105" s="1"/>
      <c r="AC105" s="1"/>
      <c r="AD105" s="1"/>
      <c r="AE105" s="1"/>
    </row>
    <row r="106" spans="20:31" x14ac:dyDescent="0.3">
      <c r="T106" s="1" t="s">
        <v>224</v>
      </c>
      <c r="U106" s="1" t="s">
        <v>204</v>
      </c>
      <c r="V106" s="1">
        <v>1.018</v>
      </c>
      <c r="W106" s="1">
        <v>1.036</v>
      </c>
      <c r="X106" s="1">
        <v>1.06</v>
      </c>
      <c r="Y106" s="1" t="s">
        <v>39</v>
      </c>
      <c r="Z106" s="1"/>
      <c r="AA106" s="1"/>
      <c r="AB106" s="1"/>
      <c r="AC106" s="1"/>
      <c r="AD106" s="1"/>
      <c r="AE106" s="1"/>
    </row>
    <row r="107" spans="20:31" x14ac:dyDescent="0.3">
      <c r="T107" s="1" t="s">
        <v>225</v>
      </c>
      <c r="U107" s="1" t="s">
        <v>205</v>
      </c>
      <c r="V107" s="22">
        <f>P78</f>
        <v>1.1719279151769662</v>
      </c>
      <c r="W107" s="22">
        <f>P78</f>
        <v>1.1719279151769662</v>
      </c>
      <c r="X107" s="22">
        <f>P78</f>
        <v>1.1719279151769662</v>
      </c>
      <c r="Y107" s="1" t="s">
        <v>202</v>
      </c>
      <c r="Z107" s="23">
        <v>0.05</v>
      </c>
      <c r="AA107" s="23">
        <v>0.1</v>
      </c>
      <c r="AB107" s="23">
        <v>0.15</v>
      </c>
      <c r="AC107" s="1"/>
      <c r="AD107" s="1"/>
      <c r="AE107" s="1"/>
    </row>
    <row r="108" spans="20:31" x14ac:dyDescent="0.3">
      <c r="T108" s="1" t="s">
        <v>6</v>
      </c>
      <c r="U108" s="1" t="s">
        <v>206</v>
      </c>
      <c r="V108" s="22">
        <f>P54</f>
        <v>1.1603772734474522</v>
      </c>
      <c r="W108" s="22">
        <f>P54</f>
        <v>1.1603772734474522</v>
      </c>
      <c r="X108" s="22">
        <f>P54</f>
        <v>1.1603772734474522</v>
      </c>
      <c r="Y108" s="1" t="s">
        <v>202</v>
      </c>
      <c r="Z108" s="1"/>
      <c r="AA108" s="1"/>
      <c r="AB108" s="1"/>
      <c r="AC108" s="1">
        <v>0.1</v>
      </c>
      <c r="AD108" s="1">
        <v>0.25</v>
      </c>
      <c r="AE108" s="1">
        <v>0.5</v>
      </c>
    </row>
    <row r="109" spans="20:31" x14ac:dyDescent="0.3">
      <c r="T109" s="1" t="s">
        <v>5</v>
      </c>
      <c r="U109" s="1" t="s">
        <v>207</v>
      </c>
      <c r="V109" s="22">
        <f>P66</f>
        <v>1.1143301239771284</v>
      </c>
      <c r="W109" s="22">
        <f>P66</f>
        <v>1.1143301239771284</v>
      </c>
      <c r="X109" s="22">
        <f>P66</f>
        <v>1.1143301239771284</v>
      </c>
      <c r="Y109" s="1" t="s">
        <v>202</v>
      </c>
      <c r="Z109" s="23">
        <v>0.04</v>
      </c>
      <c r="AA109" s="23">
        <v>0.1</v>
      </c>
      <c r="AB109" s="23">
        <v>0.2</v>
      </c>
      <c r="AC109" s="23">
        <v>-0.12</v>
      </c>
      <c r="AD109" s="23">
        <v>-0.12</v>
      </c>
      <c r="AE109" s="23">
        <v>-0.12</v>
      </c>
    </row>
    <row r="110" spans="20:31" x14ac:dyDescent="0.3">
      <c r="T110" s="1" t="s">
        <v>191</v>
      </c>
      <c r="U110" s="1" t="s">
        <v>208</v>
      </c>
      <c r="V110" s="1">
        <v>1.03</v>
      </c>
      <c r="W110" s="1">
        <v>1.06</v>
      </c>
      <c r="X110" s="1">
        <v>1.1200000000000001</v>
      </c>
      <c r="Y110" s="1" t="s">
        <v>40</v>
      </c>
      <c r="Z110" s="1"/>
      <c r="AA110" s="1"/>
      <c r="AB110" s="1"/>
      <c r="AC110" s="1"/>
      <c r="AD110" s="1"/>
      <c r="AE110" s="1"/>
    </row>
    <row r="111" spans="20:31" x14ac:dyDescent="0.3">
      <c r="T111" s="1" t="s">
        <v>192</v>
      </c>
      <c r="U111" s="1" t="s">
        <v>209</v>
      </c>
      <c r="V111" s="1">
        <v>1.075</v>
      </c>
      <c r="W111" s="1">
        <v>1.2</v>
      </c>
      <c r="X111" s="1">
        <v>1.4</v>
      </c>
      <c r="Y111" s="1" t="s">
        <v>40</v>
      </c>
      <c r="Z111" s="1"/>
      <c r="AA111" s="1"/>
      <c r="AB111" s="1"/>
      <c r="AC111" s="1"/>
      <c r="AD111" s="1"/>
      <c r="AE111" s="1"/>
    </row>
    <row r="112" spans="20:31" x14ac:dyDescent="0.3">
      <c r="T112" s="1" t="s">
        <v>193</v>
      </c>
      <c r="U112" s="1" t="s">
        <v>210</v>
      </c>
      <c r="V112" s="1">
        <v>1.04</v>
      </c>
      <c r="W112" s="1">
        <v>1.1000000000000001</v>
      </c>
      <c r="X112" s="1">
        <v>1.2</v>
      </c>
      <c r="Y112" s="1" t="s">
        <v>39</v>
      </c>
      <c r="Z112" s="1"/>
      <c r="AA112" s="1"/>
      <c r="AB112" s="1"/>
      <c r="AC112" s="1"/>
      <c r="AD112" s="1"/>
      <c r="AE112" s="1"/>
    </row>
    <row r="113" spans="20:31" x14ac:dyDescent="0.3">
      <c r="T113" s="1" t="s">
        <v>194</v>
      </c>
      <c r="U113" s="1" t="s">
        <v>211</v>
      </c>
      <c r="V113" s="1">
        <v>2.2999999999999998</v>
      </c>
      <c r="W113" s="1">
        <v>2.8</v>
      </c>
      <c r="X113" s="1">
        <v>3.6</v>
      </c>
      <c r="Y113" s="1" t="s">
        <v>39</v>
      </c>
      <c r="Z113" s="1"/>
      <c r="AA113" s="1"/>
      <c r="AB113" s="1"/>
      <c r="AC113" s="1"/>
      <c r="AD113" s="1"/>
      <c r="AE113" s="1"/>
    </row>
    <row r="114" spans="20:31" x14ac:dyDescent="0.3">
      <c r="T114" s="1" t="s">
        <v>195</v>
      </c>
      <c r="U114" s="1" t="s">
        <v>212</v>
      </c>
      <c r="V114" s="1">
        <v>1.05</v>
      </c>
      <c r="W114" s="1">
        <v>1.0900000000000001</v>
      </c>
      <c r="X114" s="1">
        <v>1.175</v>
      </c>
      <c r="Y114" s="1" t="s">
        <v>39</v>
      </c>
      <c r="Z114" s="1"/>
      <c r="AA114" s="1"/>
      <c r="AB114" s="1"/>
      <c r="AC114" s="1"/>
      <c r="AD114" s="1"/>
      <c r="AE114" s="1"/>
    </row>
    <row r="115" spans="20:31" x14ac:dyDescent="0.3">
      <c r="T115" s="1" t="s">
        <v>196</v>
      </c>
      <c r="U115" s="1" t="s">
        <v>213</v>
      </c>
      <c r="V115" s="1">
        <v>1.1599999999999999</v>
      </c>
      <c r="W115" s="1">
        <v>1.5</v>
      </c>
      <c r="X115" s="1">
        <v>2</v>
      </c>
      <c r="Y115" s="1" t="s">
        <v>40</v>
      </c>
      <c r="Z115" s="1"/>
      <c r="AA115" s="1"/>
      <c r="AB115" s="1"/>
      <c r="AC115" s="1"/>
      <c r="AD115" s="1"/>
      <c r="AE115" s="1"/>
    </row>
    <row r="116" spans="20:31" x14ac:dyDescent="0.3">
      <c r="T116" s="1" t="s">
        <v>197</v>
      </c>
      <c r="U116" s="1" t="s">
        <v>214</v>
      </c>
      <c r="V116" s="1">
        <v>1.0900000000000001</v>
      </c>
      <c r="W116" s="1">
        <v>1.22</v>
      </c>
      <c r="X116" s="1">
        <v>1.36</v>
      </c>
      <c r="Y116" s="1" t="s">
        <v>40</v>
      </c>
      <c r="Z116" s="1"/>
      <c r="AA116" s="1"/>
      <c r="AB116" s="1"/>
      <c r="AC116" s="1"/>
      <c r="AD116" s="1"/>
      <c r="AE116" s="1"/>
    </row>
    <row r="117" spans="20:31" x14ac:dyDescent="0.3">
      <c r="T117" s="1" t="s">
        <v>198</v>
      </c>
      <c r="U117" s="1" t="s">
        <v>215</v>
      </c>
      <c r="V117" s="1">
        <v>1.08</v>
      </c>
      <c r="W117" s="1">
        <v>1.1599999999999999</v>
      </c>
      <c r="X117" s="1">
        <v>1.28</v>
      </c>
      <c r="Y117" s="1" t="s">
        <v>40</v>
      </c>
      <c r="Z117" s="1"/>
      <c r="AA117" s="1"/>
      <c r="AB117" s="1"/>
      <c r="AC117" s="1"/>
      <c r="AD117" s="1"/>
      <c r="AE117" s="1"/>
    </row>
    <row r="118" spans="20:31" x14ac:dyDescent="0.3">
      <c r="T118" s="1" t="s">
        <v>226</v>
      </c>
      <c r="U118" s="1" t="s">
        <v>227</v>
      </c>
      <c r="V118" s="1">
        <v>1</v>
      </c>
      <c r="W118" s="1">
        <v>1.07</v>
      </c>
      <c r="X118" s="1">
        <v>1.1499999999999999</v>
      </c>
      <c r="Y118" s="1" t="s">
        <v>41</v>
      </c>
      <c r="Z118" s="1"/>
      <c r="AA118" s="1"/>
      <c r="AB118" s="1"/>
      <c r="AC118" s="1"/>
      <c r="AD118" s="1"/>
      <c r="AE118" s="1"/>
    </row>
    <row r="120" spans="20:31" x14ac:dyDescent="0.3">
      <c r="T120" s="13" t="s">
        <v>278</v>
      </c>
    </row>
    <row r="121" spans="20:31" x14ac:dyDescent="0.3">
      <c r="T121" s="44" t="s">
        <v>127</v>
      </c>
      <c r="U121" s="44" t="s">
        <v>128</v>
      </c>
      <c r="V121" s="44" t="s">
        <v>129</v>
      </c>
    </row>
    <row r="122" spans="20:31" x14ac:dyDescent="0.3">
      <c r="T122" s="47">
        <v>0</v>
      </c>
      <c r="U122" s="5">
        <v>0.1</v>
      </c>
      <c r="V122" s="5">
        <f t="shared" ref="V122:V141" si="26">(U123-U122)/5</f>
        <v>1.0000000000000009E-4</v>
      </c>
    </row>
    <row r="123" spans="20:31" x14ac:dyDescent="0.3">
      <c r="T123" s="47">
        <v>5</v>
      </c>
      <c r="U123" s="5">
        <v>0.10050000000000001</v>
      </c>
      <c r="V123" s="5">
        <f t="shared" si="26"/>
        <v>2.9999999999999748E-4</v>
      </c>
    </row>
    <row r="124" spans="20:31" x14ac:dyDescent="0.3">
      <c r="T124" s="47">
        <v>10</v>
      </c>
      <c r="U124" s="5">
        <v>0.10199999999999999</v>
      </c>
      <c r="V124" s="5">
        <f t="shared" si="26"/>
        <v>5.0000000000000044E-4</v>
      </c>
    </row>
    <row r="125" spans="20:31" x14ac:dyDescent="0.3">
      <c r="T125" s="47">
        <v>15</v>
      </c>
      <c r="U125" s="5">
        <v>0.1045</v>
      </c>
      <c r="V125" s="5">
        <f t="shared" si="26"/>
        <v>7.0000000000000064E-4</v>
      </c>
    </row>
    <row r="126" spans="20:31" x14ac:dyDescent="0.3">
      <c r="T126" s="47">
        <v>20</v>
      </c>
      <c r="U126" s="5">
        <v>0.108</v>
      </c>
      <c r="V126" s="5">
        <f t="shared" si="26"/>
        <v>9.0000000000000084E-4</v>
      </c>
    </row>
    <row r="127" spans="20:31" x14ac:dyDescent="0.3">
      <c r="T127" s="47">
        <v>25</v>
      </c>
      <c r="U127" s="5">
        <v>0.1125</v>
      </c>
      <c r="V127" s="5">
        <f t="shared" si="26"/>
        <v>1.0999999999999981E-3</v>
      </c>
    </row>
    <row r="128" spans="20:31" x14ac:dyDescent="0.3">
      <c r="T128" s="47">
        <v>30</v>
      </c>
      <c r="U128" s="5">
        <v>0.11799999999999999</v>
      </c>
      <c r="V128" s="5">
        <f t="shared" si="26"/>
        <v>1.3000000000000012E-3</v>
      </c>
    </row>
    <row r="129" spans="20:22" x14ac:dyDescent="0.3">
      <c r="T129" s="47">
        <v>35</v>
      </c>
      <c r="U129" s="5">
        <v>0.1245</v>
      </c>
      <c r="V129" s="5">
        <f t="shared" si="26"/>
        <v>1.5000000000000013E-3</v>
      </c>
    </row>
    <row r="130" spans="20:22" x14ac:dyDescent="0.3">
      <c r="T130" s="47">
        <v>40</v>
      </c>
      <c r="U130" s="5">
        <v>0.13200000000000001</v>
      </c>
      <c r="V130" s="5">
        <f t="shared" si="26"/>
        <v>1.7000000000000014E-3</v>
      </c>
    </row>
    <row r="131" spans="20:22" x14ac:dyDescent="0.3">
      <c r="T131" s="47">
        <v>45</v>
      </c>
      <c r="U131" s="5">
        <v>0.14050000000000001</v>
      </c>
      <c r="V131" s="5">
        <f t="shared" si="26"/>
        <v>1.8999999999999961E-3</v>
      </c>
    </row>
    <row r="132" spans="20:22" x14ac:dyDescent="0.3">
      <c r="T132" s="47">
        <v>50</v>
      </c>
      <c r="U132" s="5">
        <v>0.15</v>
      </c>
      <c r="V132" s="5">
        <f t="shared" si="26"/>
        <v>2.100000000000002E-3</v>
      </c>
    </row>
    <row r="133" spans="20:22" x14ac:dyDescent="0.3">
      <c r="T133" s="47">
        <v>55</v>
      </c>
      <c r="U133" s="5">
        <v>0.1605</v>
      </c>
      <c r="V133" s="5">
        <f t="shared" si="26"/>
        <v>2.2999999999999965E-3</v>
      </c>
    </row>
    <row r="134" spans="20:22" x14ac:dyDescent="0.3">
      <c r="T134" s="47">
        <v>60</v>
      </c>
      <c r="U134" s="5">
        <v>0.17199999999999999</v>
      </c>
      <c r="V134" s="5">
        <f t="shared" si="26"/>
        <v>2.5000000000000022E-3</v>
      </c>
    </row>
    <row r="135" spans="20:22" x14ac:dyDescent="0.3">
      <c r="T135" s="47">
        <v>65</v>
      </c>
      <c r="U135" s="5">
        <v>0.1845</v>
      </c>
      <c r="V135" s="5">
        <f t="shared" si="26"/>
        <v>2.7000000000000023E-3</v>
      </c>
    </row>
    <row r="136" spans="20:22" x14ac:dyDescent="0.3">
      <c r="T136" s="47">
        <v>70</v>
      </c>
      <c r="U136" s="5">
        <v>0.19800000000000001</v>
      </c>
      <c r="V136" s="5">
        <f t="shared" si="26"/>
        <v>2.8999999999999972E-3</v>
      </c>
    </row>
    <row r="137" spans="20:22" x14ac:dyDescent="0.3">
      <c r="T137" s="47">
        <v>75</v>
      </c>
      <c r="U137" s="5">
        <v>0.21249999999999999</v>
      </c>
      <c r="V137" s="5">
        <f t="shared" si="26"/>
        <v>3.1000000000000029E-3</v>
      </c>
    </row>
    <row r="138" spans="20:22" x14ac:dyDescent="0.3">
      <c r="T138" s="47">
        <v>80</v>
      </c>
      <c r="U138" s="5">
        <v>0.22800000000000001</v>
      </c>
      <c r="V138" s="5">
        <f t="shared" si="26"/>
        <v>3.2999999999999974E-3</v>
      </c>
    </row>
    <row r="139" spans="20:22" x14ac:dyDescent="0.3">
      <c r="T139" s="47">
        <v>85</v>
      </c>
      <c r="U139" s="5">
        <v>0.2445</v>
      </c>
      <c r="V139" s="5">
        <f t="shared" si="26"/>
        <v>3.5000000000000031E-3</v>
      </c>
    </row>
    <row r="140" spans="20:22" x14ac:dyDescent="0.3">
      <c r="T140" s="47">
        <v>90</v>
      </c>
      <c r="U140" s="5">
        <v>0.26200000000000001</v>
      </c>
      <c r="V140" s="5">
        <f t="shared" si="26"/>
        <v>3.7000000000000032E-3</v>
      </c>
    </row>
    <row r="141" spans="20:22" x14ac:dyDescent="0.3">
      <c r="T141" s="47">
        <v>95</v>
      </c>
      <c r="U141" s="5">
        <v>0.28050000000000003</v>
      </c>
      <c r="V141" s="5">
        <f t="shared" si="26"/>
        <v>3.8999999999999924E-3</v>
      </c>
    </row>
    <row r="142" spans="20:22" x14ac:dyDescent="0.3">
      <c r="T142" s="47">
        <v>100</v>
      </c>
      <c r="U142" s="5">
        <v>0.3</v>
      </c>
      <c r="V142" s="5"/>
    </row>
  </sheetData>
  <mergeCells count="83">
    <mergeCell ref="K71:P71"/>
    <mergeCell ref="K72:P72"/>
    <mergeCell ref="K75:P75"/>
    <mergeCell ref="K76:P76"/>
    <mergeCell ref="K77:L77"/>
    <mergeCell ref="M77:M78"/>
    <mergeCell ref="K78:L78"/>
    <mergeCell ref="K59:P59"/>
    <mergeCell ref="K60:P60"/>
    <mergeCell ref="K63:P63"/>
    <mergeCell ref="K64:P64"/>
    <mergeCell ref="K65:L65"/>
    <mergeCell ref="M65:M66"/>
    <mergeCell ref="K66:L66"/>
    <mergeCell ref="A47:E47"/>
    <mergeCell ref="K47:P47"/>
    <mergeCell ref="K48:P48"/>
    <mergeCell ref="K51:P51"/>
    <mergeCell ref="K52:P52"/>
    <mergeCell ref="K53:L53"/>
    <mergeCell ref="M53:M54"/>
    <mergeCell ref="K54:L54"/>
    <mergeCell ref="K36:L36"/>
    <mergeCell ref="K37:L37"/>
    <mergeCell ref="K38:L38"/>
    <mergeCell ref="K39:L39"/>
    <mergeCell ref="K40:L40"/>
    <mergeCell ref="K41:L41"/>
    <mergeCell ref="C23:D23"/>
    <mergeCell ref="G23:H23"/>
    <mergeCell ref="U10:W10"/>
    <mergeCell ref="J11:K11"/>
    <mergeCell ref="J12:K12"/>
    <mergeCell ref="J13:K13"/>
    <mergeCell ref="B21:H21"/>
    <mergeCell ref="B22:D22"/>
    <mergeCell ref="F22:H22"/>
    <mergeCell ref="W6:Y6"/>
    <mergeCell ref="AB6:AC6"/>
    <mergeCell ref="AD6:AF6"/>
    <mergeCell ref="AD7:AF7"/>
    <mergeCell ref="A15:A16"/>
    <mergeCell ref="T15:T16"/>
    <mergeCell ref="U15:W15"/>
    <mergeCell ref="A7:F7"/>
    <mergeCell ref="H7:M7"/>
    <mergeCell ref="O7:P7"/>
    <mergeCell ref="U7:V7"/>
    <mergeCell ref="W7:Y7"/>
    <mergeCell ref="X15:Y15"/>
    <mergeCell ref="Z15:AB15"/>
    <mergeCell ref="U4:V4"/>
    <mergeCell ref="W4:Y4"/>
    <mergeCell ref="AB4:AC4"/>
    <mergeCell ref="AD4:AF4"/>
    <mergeCell ref="G5:G7"/>
    <mergeCell ref="N5:N7"/>
    <mergeCell ref="O5:P5"/>
    <mergeCell ref="Q5:Q7"/>
    <mergeCell ref="U5:V5"/>
    <mergeCell ref="W5:Y5"/>
    <mergeCell ref="AB7:AC7"/>
    <mergeCell ref="AB5:AC5"/>
    <mergeCell ref="AD5:AF5"/>
    <mergeCell ref="O6:P6"/>
    <mergeCell ref="R6:R7"/>
    <mergeCell ref="U6:V6"/>
    <mergeCell ref="W2:Y2"/>
    <mergeCell ref="AB2:AC2"/>
    <mergeCell ref="AD2:AF2"/>
    <mergeCell ref="A3:F3"/>
    <mergeCell ref="H3:M3"/>
    <mergeCell ref="O3:P3"/>
    <mergeCell ref="U3:V3"/>
    <mergeCell ref="W3:Y3"/>
    <mergeCell ref="AB3:AC3"/>
    <mergeCell ref="AD3:AF3"/>
    <mergeCell ref="A2:F2"/>
    <mergeCell ref="G2:G3"/>
    <mergeCell ref="H2:M2"/>
    <mergeCell ref="N2:N3"/>
    <mergeCell ref="O2:P2"/>
    <mergeCell ref="U2:V2"/>
  </mergeCells>
  <phoneticPr fontId="1" type="noConversion"/>
  <dataValidations count="7">
    <dataValidation type="list" allowBlank="1" showInputMessage="1" showErrorMessage="1" sqref="D12" xr:uid="{B4D33697-5534-4952-B077-219CAF1559B0}">
      <formula1>"-,치명,신속,특화"</formula1>
    </dataValidation>
    <dataValidation type="list" allowBlank="1" showInputMessage="1" showErrorMessage="1" sqref="B21" xr:uid="{A3FBAC5E-C8BE-475B-A55E-7BE4ED746D6F}">
      <formula1>"6,24,222"</formula1>
    </dataValidation>
    <dataValidation type="list" allowBlank="1" showInputMessage="1" showErrorMessage="1" sqref="D24 B23:C24 B22" xr:uid="{D0FE98C5-F6C7-417B-8B6A-79E60DFC68A6}">
      <formula1>"저녁,황혼,선택,결단,맹세,마수,욕망,구원,지배,배신,갈망,파괴,매혹,사멸,악몽,환각"</formula1>
    </dataValidation>
    <dataValidation type="list" allowBlank="1" showInputMessage="1" showErrorMessage="1" sqref="H24 F23:G24 F22" xr:uid="{70544D94-9AF4-46BA-BFE7-87F5C003B607}">
      <formula1>"-,강화"</formula1>
    </dataValidation>
    <dataValidation type="list" allowBlank="1" showInputMessage="1" showErrorMessage="1" sqref="B27" xr:uid="{4454A0CC-AE54-49F0-A780-8B9EF57DF175}">
      <formula1>"-,헤드어택,백어택"</formula1>
    </dataValidation>
    <dataValidation type="list" allowBlank="1" showInputMessage="1" showErrorMessage="1" sqref="B39:B46" xr:uid="{4848B149-6CD7-475C-97ED-34DC01771D88}">
      <formula1>"-,원한, 직각1, 직각2, 결대, 기대, 타대, 달저, 안상, 바리, 속속, 슈차, 추진, 돌대, 질증, 저받, 에포, 아드(공증), 아드(치적), 예둔, 정단, 마효, 부뼈, 분쇄, 선필, 승부, 실관, 약무, 시선, 세구빛"</formula1>
    </dataValidation>
    <dataValidation type="list" allowBlank="1" showInputMessage="1" showErrorMessage="1" sqref="C39:C46" xr:uid="{6E0EE694-14CC-4F0C-95BE-573253CB7DCC}">
      <formula1>"-,0,1,2,3,"</formula1>
    </dataValidation>
  </dataValidation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ㅇㅇㅇ</vt:lpstr>
      <vt:lpstr>ㅇㅇㅇ!Print_Area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rois-ds</dc:creator>
  <cp:lastModifiedBy>DS</cp:lastModifiedBy>
  <dcterms:created xsi:type="dcterms:W3CDTF">2021-10-18T05:44:03Z</dcterms:created>
  <dcterms:modified xsi:type="dcterms:W3CDTF">2022-03-25T02:10:23Z</dcterms:modified>
</cp:coreProperties>
</file>