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5b7c520bed3fcb/"/>
    </mc:Choice>
  </mc:AlternateContent>
  <xr:revisionPtr revIDLastSave="1766" documentId="11_33074B2AB837D524521ED4F5B50A49FF3538781E" xr6:coauthVersionLast="47" xr6:coauthVersionMax="47" xr10:uidLastSave="{569F54D5-3509-421A-9079-887C73F1BD49}"/>
  <bookViews>
    <workbookView xWindow="0" yWindow="0" windowWidth="25185" windowHeight="11415" firstSheet="1" activeTab="1" xr2:uid="{00000000-000D-0000-FFFF-FFFF00000000}"/>
  </bookViews>
  <sheets>
    <sheet name="쿨타임 계산기" sheetId="1" r:id="rId1"/>
    <sheet name="치명_신속 수치별 퍼센트" sheetId="2" r:id="rId2"/>
    <sheet name="회랑 보석 변환" sheetId="3" r:id="rId3"/>
  </sheets>
  <definedNames>
    <definedName name="_xlnm._FilterDatabase" localSheetId="0" hidden="1">'쿨타임 계산기'!$F$38:$V$59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9" i="1" l="1"/>
  <c r="S58" i="1"/>
  <c r="S57" i="1"/>
  <c r="S56" i="1"/>
  <c r="Q59" i="1"/>
  <c r="Q58" i="1"/>
  <c r="Q57" i="1"/>
  <c r="Q56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T40" i="1"/>
  <c r="T41" i="1"/>
  <c r="T42" i="1"/>
  <c r="T43" i="1"/>
  <c r="T45" i="1"/>
  <c r="T46" i="1"/>
  <c r="T47" i="1"/>
  <c r="T48" i="1"/>
  <c r="T49" i="1"/>
  <c r="T50" i="1"/>
  <c r="T51" i="1"/>
  <c r="T52" i="1"/>
  <c r="T53" i="1"/>
  <c r="T54" i="1"/>
  <c r="T55" i="1"/>
  <c r="T39" i="1"/>
  <c r="S39" i="1"/>
  <c r="R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39" i="1"/>
  <c r="Q11" i="1"/>
  <c r="P39" i="1"/>
  <c r="T12" i="1"/>
  <c r="T13" i="1"/>
  <c r="T14" i="1"/>
  <c r="T15" i="1"/>
  <c r="T16" i="1"/>
  <c r="T17" i="1"/>
  <c r="T18" i="1"/>
  <c r="T19" i="1"/>
  <c r="T11" i="1"/>
  <c r="S11" i="1"/>
  <c r="S12" i="1"/>
  <c r="S13" i="1"/>
  <c r="S14" i="1"/>
  <c r="S15" i="1"/>
  <c r="S16" i="1"/>
  <c r="S17" i="1"/>
  <c r="S18" i="1"/>
  <c r="S19" i="1"/>
  <c r="R12" i="1"/>
  <c r="R13" i="1"/>
  <c r="R14" i="1"/>
  <c r="R15" i="1"/>
  <c r="R16" i="1"/>
  <c r="R17" i="1"/>
  <c r="R18" i="1"/>
  <c r="R19" i="1"/>
  <c r="R11" i="1"/>
  <c r="Q12" i="1"/>
  <c r="Q13" i="1"/>
  <c r="Q14" i="1"/>
  <c r="Q15" i="1"/>
  <c r="Q16" i="1"/>
  <c r="Q17" i="1"/>
  <c r="Q18" i="1"/>
  <c r="Q19" i="1"/>
  <c r="P12" i="1"/>
  <c r="P13" i="1"/>
  <c r="P14" i="1"/>
  <c r="P15" i="1"/>
  <c r="P16" i="1"/>
  <c r="P17" i="1"/>
  <c r="P18" i="1"/>
  <c r="P19" i="1"/>
  <c r="Q25" i="1"/>
  <c r="P26" i="1"/>
  <c r="P25" i="1"/>
  <c r="M14" i="1"/>
  <c r="N14" i="1"/>
  <c r="O14" i="1"/>
  <c r="U14" i="1"/>
  <c r="V14" i="1"/>
  <c r="K14" i="1"/>
  <c r="K15" i="1"/>
  <c r="K16" i="1"/>
  <c r="K17" i="1"/>
  <c r="K18" i="1"/>
  <c r="K19" i="1"/>
  <c r="M12" i="1"/>
  <c r="E30" i="3"/>
  <c r="D30" i="3"/>
  <c r="C30" i="3"/>
  <c r="C31" i="3" s="1"/>
  <c r="C29" i="3"/>
  <c r="D29" i="3" s="1"/>
  <c r="E29" i="3" s="1"/>
  <c r="Q22" i="3"/>
  <c r="P22" i="3"/>
  <c r="O22" i="3"/>
  <c r="O23" i="3" s="1"/>
  <c r="D22" i="3"/>
  <c r="C22" i="3"/>
  <c r="C23" i="3" s="1"/>
  <c r="P21" i="3"/>
  <c r="O21" i="3"/>
  <c r="D21" i="3"/>
  <c r="C21" i="3"/>
  <c r="W13" i="3"/>
  <c r="W16" i="3" s="1"/>
  <c r="V13" i="3"/>
  <c r="V16" i="3" s="1"/>
  <c r="U13" i="3"/>
  <c r="U16" i="3" s="1"/>
  <c r="T13" i="3"/>
  <c r="T16" i="3" s="1"/>
  <c r="S13" i="3"/>
  <c r="S16" i="3" s="1"/>
  <c r="R13" i="3"/>
  <c r="R16" i="3" s="1"/>
  <c r="J13" i="3"/>
  <c r="J16" i="3" s="1"/>
  <c r="I13" i="3"/>
  <c r="I16" i="3" s="1"/>
  <c r="H13" i="3"/>
  <c r="H16" i="3" s="1"/>
  <c r="G13" i="3"/>
  <c r="G16" i="3" s="1"/>
  <c r="F13" i="3"/>
  <c r="F16" i="3" s="1"/>
  <c r="E13" i="3"/>
  <c r="E16" i="3" s="1"/>
  <c r="Q9" i="3"/>
  <c r="P9" i="3"/>
  <c r="O9" i="3"/>
  <c r="O10" i="3" s="1"/>
  <c r="D9" i="3"/>
  <c r="C9" i="3"/>
  <c r="C10" i="3" s="1"/>
  <c r="P8" i="3"/>
  <c r="O8" i="3"/>
  <c r="D8" i="3"/>
  <c r="C8" i="3"/>
  <c r="AU59" i="1"/>
  <c r="AS59" i="1"/>
  <c r="AQ59" i="1"/>
  <c r="AU58" i="1"/>
  <c r="AS58" i="1"/>
  <c r="AQ58" i="1"/>
  <c r="AU57" i="1"/>
  <c r="AS57" i="1"/>
  <c r="AQ57" i="1"/>
  <c r="AU56" i="1"/>
  <c r="AS56" i="1"/>
  <c r="AQ56" i="1"/>
  <c r="AW55" i="1"/>
  <c r="AU55" i="1"/>
  <c r="AS55" i="1"/>
  <c r="AQ55" i="1"/>
  <c r="AW54" i="1"/>
  <c r="AU54" i="1"/>
  <c r="AS54" i="1"/>
  <c r="AQ54" i="1"/>
  <c r="AW53" i="1"/>
  <c r="AU53" i="1"/>
  <c r="AS53" i="1"/>
  <c r="AQ53" i="1"/>
  <c r="AW52" i="1"/>
  <c r="AU52" i="1"/>
  <c r="AS52" i="1"/>
  <c r="AQ52" i="1"/>
  <c r="AW51" i="1"/>
  <c r="AU51" i="1"/>
  <c r="AS51" i="1"/>
  <c r="AQ51" i="1"/>
  <c r="AW50" i="1"/>
  <c r="AU50" i="1"/>
  <c r="AS50" i="1"/>
  <c r="AQ50" i="1"/>
  <c r="AW49" i="1"/>
  <c r="AU49" i="1"/>
  <c r="AS49" i="1"/>
  <c r="AQ49" i="1"/>
  <c r="AW48" i="1"/>
  <c r="AU48" i="1"/>
  <c r="AS48" i="1"/>
  <c r="AQ48" i="1"/>
  <c r="AW47" i="1"/>
  <c r="AU47" i="1"/>
  <c r="AS47" i="1"/>
  <c r="AQ47" i="1"/>
  <c r="AW46" i="1"/>
  <c r="AU46" i="1"/>
  <c r="AS46" i="1"/>
  <c r="AQ46" i="1"/>
  <c r="AW45" i="1"/>
  <c r="AU45" i="1"/>
  <c r="AS45" i="1"/>
  <c r="AQ45" i="1"/>
  <c r="AW44" i="1"/>
  <c r="AU44" i="1"/>
  <c r="AS44" i="1"/>
  <c r="AQ44" i="1"/>
  <c r="AW43" i="1"/>
  <c r="AU43" i="1"/>
  <c r="AS43" i="1"/>
  <c r="AQ43" i="1"/>
  <c r="AW42" i="1"/>
  <c r="AU42" i="1"/>
  <c r="AS42" i="1"/>
  <c r="AQ42" i="1"/>
  <c r="AW41" i="1"/>
  <c r="AU41" i="1"/>
  <c r="AS41" i="1"/>
  <c r="AQ41" i="1"/>
  <c r="AW40" i="1"/>
  <c r="AU40" i="1"/>
  <c r="AS40" i="1"/>
  <c r="AQ40" i="1"/>
  <c r="AW39" i="1"/>
  <c r="AU39" i="1"/>
  <c r="AS39" i="1"/>
  <c r="AQ39" i="1"/>
  <c r="K41" i="1"/>
  <c r="J11" i="2"/>
  <c r="I11" i="2"/>
  <c r="H11" i="2"/>
  <c r="H4" i="2"/>
  <c r="I6" i="2"/>
  <c r="H6" i="2"/>
  <c r="J5" i="2"/>
  <c r="I5" i="2"/>
  <c r="H5" i="2"/>
  <c r="K12" i="1"/>
  <c r="K13" i="1"/>
  <c r="K11" i="1"/>
  <c r="N11" i="1" s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39" i="1"/>
  <c r="V39" i="1"/>
  <c r="U40" i="1"/>
  <c r="V40" i="1"/>
  <c r="U41" i="1"/>
  <c r="V41" i="1"/>
  <c r="U42" i="1"/>
  <c r="V42" i="1"/>
  <c r="V12" i="1"/>
  <c r="V13" i="1"/>
  <c r="V15" i="1"/>
  <c r="V16" i="1"/>
  <c r="V17" i="1"/>
  <c r="V18" i="1"/>
  <c r="V19" i="1"/>
  <c r="U12" i="1"/>
  <c r="U13" i="1"/>
  <c r="U15" i="1"/>
  <c r="U16" i="1"/>
  <c r="U17" i="1"/>
  <c r="U18" i="1"/>
  <c r="U19" i="1"/>
  <c r="V11" i="1"/>
  <c r="U11" i="1"/>
  <c r="U43" i="1"/>
  <c r="V43" i="1"/>
  <c r="M55" i="1"/>
  <c r="N55" i="1"/>
  <c r="O55" i="1"/>
  <c r="P55" i="1"/>
  <c r="M54" i="1"/>
  <c r="N54" i="1"/>
  <c r="O54" i="1"/>
  <c r="P54" i="1"/>
  <c r="M53" i="1"/>
  <c r="N53" i="1"/>
  <c r="O53" i="1"/>
  <c r="P53" i="1"/>
  <c r="M52" i="1"/>
  <c r="N52" i="1"/>
  <c r="O52" i="1"/>
  <c r="P52" i="1"/>
  <c r="H10" i="2"/>
  <c r="M51" i="1"/>
  <c r="N51" i="1"/>
  <c r="O51" i="1"/>
  <c r="P51" i="1"/>
  <c r="M50" i="1"/>
  <c r="N50" i="1"/>
  <c r="O50" i="1"/>
  <c r="P50" i="1"/>
  <c r="M49" i="1"/>
  <c r="N49" i="1"/>
  <c r="O49" i="1"/>
  <c r="P49" i="1"/>
  <c r="M47" i="1"/>
  <c r="M46" i="1"/>
  <c r="M45" i="1"/>
  <c r="M44" i="1"/>
  <c r="M43" i="1"/>
  <c r="M42" i="1"/>
  <c r="M41" i="1"/>
  <c r="M40" i="1"/>
  <c r="M39" i="1"/>
  <c r="N45" i="1"/>
  <c r="N44" i="1"/>
  <c r="N43" i="1"/>
  <c r="N42" i="1"/>
  <c r="N41" i="1"/>
  <c r="N40" i="1"/>
  <c r="N39" i="1"/>
  <c r="N47" i="1"/>
  <c r="N46" i="1"/>
  <c r="N48" i="1"/>
  <c r="M48" i="1"/>
  <c r="O48" i="1"/>
  <c r="P48" i="1"/>
  <c r="J6" i="2"/>
  <c r="M19" i="1"/>
  <c r="N19" i="1"/>
  <c r="O19" i="1"/>
  <c r="M18" i="1"/>
  <c r="N18" i="1"/>
  <c r="O18" i="1"/>
  <c r="O17" i="1"/>
  <c r="M17" i="1"/>
  <c r="O16" i="1"/>
  <c r="M16" i="1"/>
  <c r="O15" i="1"/>
  <c r="M15" i="1"/>
  <c r="O13" i="1"/>
  <c r="M13" i="1"/>
  <c r="O12" i="1"/>
  <c r="Q28" i="1"/>
  <c r="Q27" i="1"/>
  <c r="Q26" i="1"/>
  <c r="P28" i="1"/>
  <c r="P27" i="1"/>
  <c r="O28" i="1"/>
  <c r="O27" i="1"/>
  <c r="O26" i="1"/>
  <c r="O25" i="1"/>
  <c r="N28" i="1"/>
  <c r="N27" i="1"/>
  <c r="N26" i="1"/>
  <c r="N25" i="1"/>
  <c r="P11" i="1"/>
  <c r="O11" i="1"/>
  <c r="M11" i="1"/>
  <c r="O59" i="1"/>
  <c r="O58" i="1"/>
  <c r="O57" i="1"/>
  <c r="O56" i="1"/>
  <c r="O43" i="1"/>
  <c r="O39" i="1"/>
  <c r="O40" i="1"/>
  <c r="O41" i="1"/>
  <c r="O42" i="1"/>
  <c r="O44" i="1"/>
  <c r="O45" i="1"/>
  <c r="O46" i="1"/>
  <c r="O47" i="1"/>
  <c r="M56" i="1"/>
  <c r="N56" i="1"/>
  <c r="N17" i="1"/>
  <c r="N15" i="1"/>
  <c r="N16" i="1"/>
  <c r="N13" i="1"/>
  <c r="N12" i="1"/>
  <c r="P47" i="1"/>
  <c r="P46" i="1"/>
  <c r="P45" i="1"/>
  <c r="P44" i="1"/>
  <c r="P43" i="1"/>
  <c r="P42" i="1"/>
  <c r="P41" i="1"/>
  <c r="P40" i="1"/>
  <c r="R44" i="1" l="1"/>
  <c r="T44" i="1"/>
  <c r="AX39" i="1"/>
  <c r="AV39" i="1"/>
  <c r="AT39" i="1"/>
  <c r="AR39" i="1"/>
  <c r="AX40" i="1"/>
  <c r="AV40" i="1"/>
  <c r="AT40" i="1"/>
  <c r="AR40" i="1"/>
  <c r="AX45" i="1"/>
  <c r="AV45" i="1"/>
  <c r="AT45" i="1"/>
  <c r="AR45" i="1"/>
  <c r="AX46" i="1"/>
  <c r="AV46" i="1"/>
  <c r="AT46" i="1"/>
  <c r="AR46" i="1"/>
  <c r="AX47" i="1"/>
  <c r="AV47" i="1"/>
  <c r="AT47" i="1"/>
  <c r="AR47" i="1"/>
  <c r="AX48" i="1"/>
  <c r="AV48" i="1"/>
  <c r="AT48" i="1"/>
  <c r="AR48" i="1"/>
  <c r="AX49" i="1"/>
  <c r="AV49" i="1"/>
  <c r="AT49" i="1"/>
  <c r="AR49" i="1"/>
  <c r="AX50" i="1"/>
  <c r="AV50" i="1"/>
  <c r="AT50" i="1"/>
  <c r="AR50" i="1"/>
  <c r="AX51" i="1"/>
  <c r="AV51" i="1"/>
  <c r="AT51" i="1"/>
  <c r="AR51" i="1"/>
  <c r="AX52" i="1"/>
  <c r="AV52" i="1"/>
  <c r="AT52" i="1"/>
  <c r="AR52" i="1"/>
  <c r="AX53" i="1"/>
  <c r="AV53" i="1"/>
  <c r="AT53" i="1"/>
  <c r="AR53" i="1"/>
  <c r="AX54" i="1"/>
  <c r="AV54" i="1"/>
  <c r="AT54" i="1"/>
  <c r="AR54" i="1"/>
  <c r="AX55" i="1"/>
  <c r="AV55" i="1"/>
  <c r="AT55" i="1"/>
  <c r="AR55" i="1"/>
  <c r="AX41" i="1"/>
  <c r="AV41" i="1"/>
  <c r="AT41" i="1"/>
  <c r="AR41" i="1"/>
  <c r="J10" i="3"/>
  <c r="I10" i="3"/>
  <c r="H10" i="3"/>
  <c r="G10" i="3"/>
  <c r="F10" i="3"/>
  <c r="E10" i="3"/>
  <c r="D10" i="3"/>
  <c r="P10" i="3"/>
  <c r="Q8" i="3"/>
  <c r="J23" i="3"/>
  <c r="I23" i="3"/>
  <c r="H23" i="3"/>
  <c r="G23" i="3"/>
  <c r="F23" i="3"/>
  <c r="E23" i="3"/>
  <c r="D23" i="3"/>
  <c r="P23" i="3"/>
  <c r="Q21" i="3"/>
  <c r="D31" i="3"/>
  <c r="AX42" i="1"/>
  <c r="AV42" i="1"/>
  <c r="AT42" i="1"/>
  <c r="AR42" i="1"/>
  <c r="AX44" i="1"/>
  <c r="AV44" i="1"/>
  <c r="AT44" i="1"/>
  <c r="AR44" i="1"/>
  <c r="AX43" i="1"/>
  <c r="AV43" i="1"/>
  <c r="AT43" i="1"/>
  <c r="AR43" i="1"/>
  <c r="K31" i="3" l="1"/>
  <c r="J31" i="3"/>
  <c r="I31" i="3"/>
  <c r="H31" i="3"/>
  <c r="G31" i="3"/>
  <c r="F31" i="3"/>
  <c r="E31" i="3"/>
  <c r="W23" i="3"/>
  <c r="V23" i="3"/>
  <c r="U23" i="3"/>
  <c r="T23" i="3"/>
  <c r="S23" i="3"/>
  <c r="R23" i="3"/>
  <c r="Q23" i="3"/>
  <c r="W10" i="3"/>
  <c r="V10" i="3"/>
  <c r="U10" i="3"/>
  <c r="T10" i="3"/>
  <c r="S10" i="3"/>
  <c r="R10" i="3"/>
  <c r="Q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 다슬</author>
  </authors>
  <commentList>
    <comment ref="N12" authorId="0" shapeId="0" xr:uid="{43541F5D-8D40-4D8D-AAAB-23E0A779447C}">
      <text>
        <r>
          <rPr>
            <sz val="11"/>
            <color theme="1"/>
            <rFont val="맑은 고딕"/>
            <family val="2"/>
            <scheme val="minor"/>
          </rPr>
          <t xml:space="preserve">X렙 보석 1개를 만드려면
현재 보유 보석 + 회랑 n수를 돌아야한다.
</t>
        </r>
      </text>
    </comment>
    <comment ref="N19" authorId="0" shapeId="0" xr:uid="{D73D81CC-1111-490D-BCA8-368176E56A48}">
      <text>
        <r>
          <rPr>
            <sz val="11"/>
            <color theme="1"/>
            <rFont val="맑은 고딕"/>
            <family val="2"/>
            <scheme val="minor"/>
          </rPr>
          <t>현재 보유 보석에서 회랑 n수를 돌면 x렙 보석이 몇개 만들어지는가</t>
        </r>
      </text>
    </comment>
    <comment ref="B27" authorId="0" shapeId="0" xr:uid="{5465DCA7-99A0-4AC6-8D3F-3B2AFE689DB1}">
      <text>
        <r>
          <rPr>
            <sz val="11"/>
            <color theme="1"/>
            <rFont val="맑은 고딕"/>
            <family val="2"/>
            <scheme val="minor"/>
          </rPr>
          <t xml:space="preserve">보유 보석 입력 시
노말 회랑 보석칸이 아니라
헬 회랑 계산기 보유 보석칸에
입력.
</t>
        </r>
      </text>
    </comment>
  </commentList>
</comments>
</file>

<file path=xl/sharedStrings.xml><?xml version="1.0" encoding="utf-8"?>
<sst xmlns="http://schemas.openxmlformats.org/spreadsheetml/2006/main" count="193" uniqueCount="104">
  <si>
    <t>해당 바탕색</t>
  </si>
  <si>
    <t>칸만 작성하시면 됩니다.</t>
  </si>
  <si>
    <t>배틀마스터 쿨타임 계산기</t>
  </si>
  <si>
    <t>쿨타임 계산식</t>
  </si>
  <si>
    <t>기존 쿨타임(쿨감 트포 적용된 쿨타임)*(1-신속 쿨감/100)*(1-보석 쿨감/100)*(1-지배쿨감/100)*(1-단심쿨감/100)</t>
  </si>
  <si>
    <t>홍염 레벨</t>
  </si>
  <si>
    <t>보석쿨감</t>
  </si>
  <si>
    <t>신속 쿨감(%)</t>
  </si>
  <si>
    <t>기존 쿨타임(초)</t>
  </si>
  <si>
    <t>트포 쿨(+)</t>
  </si>
  <si>
    <t>트포 쿨(-)</t>
  </si>
  <si>
    <t>트포 적용 쿨타임</t>
  </si>
  <si>
    <t>보석 쿨감</t>
  </si>
  <si>
    <t>최종 쿨감</t>
  </si>
  <si>
    <t>트포 적용 최종 쿨감</t>
  </si>
  <si>
    <t>지배</t>
  </si>
  <si>
    <t>지배 + 트포</t>
  </si>
  <si>
    <t>지배+단심</t>
  </si>
  <si>
    <t>지배 +단심 +트포</t>
  </si>
  <si>
    <t>단심</t>
  </si>
  <si>
    <t>단심+트포</t>
  </si>
  <si>
    <t>끝마</t>
  </si>
  <si>
    <t>끝마+트포</t>
  </si>
  <si>
    <t>지배 쿨감(%)</t>
  </si>
  <si>
    <t>각성기</t>
  </si>
  <si>
    <t>각성 쿨감</t>
  </si>
  <si>
    <t>단죄 심판</t>
  </si>
  <si>
    <t>끝없는 마나 (6악 쿠크6셋기준)</t>
  </si>
  <si>
    <t>각성기 계산기</t>
  </si>
  <si>
    <t>기존 쿨타임</t>
  </si>
  <si>
    <t>최종 쿨타임</t>
  </si>
  <si>
    <t>붕천</t>
  </si>
  <si>
    <t>용포</t>
  </si>
  <si>
    <t>바속</t>
  </si>
  <si>
    <t>월섬</t>
  </si>
  <si>
    <t>잠룡승천축</t>
  </si>
  <si>
    <t>초풍각</t>
  </si>
  <si>
    <t>화조강림</t>
  </si>
  <si>
    <t>내공연소(기술)</t>
  </si>
  <si>
    <t>각성 0</t>
  </si>
  <si>
    <t>각성 1</t>
  </si>
  <si>
    <t>각성 2</t>
  </si>
  <si>
    <t>각성 3</t>
  </si>
  <si>
    <t>조건</t>
  </si>
  <si>
    <t>스킬</t>
  </si>
  <si>
    <t>붕천퇴</t>
  </si>
  <si>
    <t>뇌명각</t>
  </si>
  <si>
    <t>섬열란아</t>
  </si>
  <si>
    <t>월섬각</t>
  </si>
  <si>
    <t>바람의 속삭임</t>
  </si>
  <si>
    <t>용맹의 포효</t>
  </si>
  <si>
    <t>방천격</t>
  </si>
  <si>
    <t>내공연소</t>
  </si>
  <si>
    <t>오의</t>
  </si>
  <si>
    <t>폭쇄진</t>
  </si>
  <si>
    <t>화룡천상</t>
  </si>
  <si>
    <t>뇌진격</t>
  </si>
  <si>
    <t>나선경</t>
  </si>
  <si>
    <t>풍신초래</t>
  </si>
  <si>
    <t>비주류</t>
  </si>
  <si>
    <t>삼연권</t>
  </si>
  <si>
    <t>극의 : 무극권</t>
  </si>
  <si>
    <t>입력</t>
  </si>
  <si>
    <t>치명 (%)</t>
  </si>
  <si>
    <t>버블 증가량</t>
  </si>
  <si>
    <t>오의 딜증</t>
  </si>
  <si>
    <t>각성 뎀증</t>
  </si>
  <si>
    <t>공속</t>
  </si>
  <si>
    <t>이속</t>
  </si>
  <si>
    <t>쿨감</t>
  </si>
  <si>
    <t>치명</t>
  </si>
  <si>
    <t>특화</t>
  </si>
  <si>
    <t>신속</t>
  </si>
  <si>
    <t>반전</t>
  </si>
  <si>
    <t>%</t>
  </si>
  <si>
    <t>필요 특성 수치</t>
  </si>
  <si>
    <t>회랑 n수당 보석</t>
  </si>
  <si>
    <t>헬 회랑 n수당 보석</t>
  </si>
  <si>
    <t>4렙(진)</t>
  </si>
  <si>
    <t>4렙+4렙(진)</t>
  </si>
  <si>
    <t>횟수</t>
  </si>
  <si>
    <t>3렙</t>
  </si>
  <si>
    <t>4렙</t>
  </si>
  <si>
    <t>5렙</t>
  </si>
  <si>
    <t>6렙</t>
  </si>
  <si>
    <t>7렙</t>
  </si>
  <si>
    <t>8렙</t>
  </si>
  <si>
    <t>9렙</t>
  </si>
  <si>
    <t>10렙</t>
  </si>
  <si>
    <t>2렙</t>
  </si>
  <si>
    <t>X렙 보석 = 보유 보석 + n수</t>
  </si>
  <si>
    <t>X렙 보석 = 보유 보석 + n수(헬)</t>
  </si>
  <si>
    <t>보유 보석</t>
  </si>
  <si>
    <t>회랑 횟수</t>
  </si>
  <si>
    <t>보유 보석 + 회랑 n수당 보석 갯수</t>
  </si>
  <si>
    <t>보유 보석 + 헬 회랑 n수당 보석 갯수</t>
  </si>
  <si>
    <t>보유 보석 + 회랑(노말+하드+헬) n수당 보석 갯수</t>
  </si>
  <si>
    <t>배마</t>
  </si>
  <si>
    <t>바드</t>
  </si>
  <si>
    <t>건슬</t>
  </si>
  <si>
    <t>인파</t>
  </si>
  <si>
    <t>노말&amp;하드</t>
  </si>
  <si>
    <t>헬</t>
  </si>
  <si>
    <t>ㅎㅎ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</si>
</sst>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15">
    <font>
      <sz val="11"/>
      <color theme="1"/>
      <name val="맑은 고딕"/>
      <family val="2"/>
      <scheme val="minor"/>
    </font>
    <font>
      <b/>
      <sz val="13"/>
      <color theme="3"/>
      <name val="돋움"/>
      <charset val="128"/>
    </font>
    <font>
      <b/>
      <sz val="11"/>
      <color theme="3"/>
      <name val="돋움"/>
      <charset val="128"/>
    </font>
    <font>
      <sz val="11"/>
      <color theme="0"/>
      <name val="돋움"/>
      <charset val="128"/>
    </font>
    <font>
      <b/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1"/>
      <color rgb="FFFFFFFF"/>
      <name val="Calibri"/>
      <charset val="1"/>
    </font>
    <font>
      <b/>
      <sz val="11"/>
      <color rgb="FF000000"/>
      <name val="맑은 고딕"/>
      <family val="2"/>
      <scheme val="minor"/>
    </font>
    <font>
      <b/>
      <sz val="11"/>
      <color rgb="FF444444"/>
      <name val="Calibri"/>
      <family val="2"/>
      <charset val="1"/>
    </font>
    <font>
      <b/>
      <sz val="12"/>
      <color rgb="FF444444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623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2" xfId="2" applyFill="1" applyAlignment="1"/>
    <xf numFmtId="2" fontId="0" fillId="0" borderId="0" xfId="0" applyNumberFormat="1" applyAlignment="1">
      <alignment horizontal="center"/>
    </xf>
    <xf numFmtId="0" fontId="2" fillId="0" borderId="1" xfId="1" applyFont="1" applyFill="1" applyAlignment="1"/>
    <xf numFmtId="2" fontId="0" fillId="0" borderId="0" xfId="0" applyNumberFormat="1"/>
    <xf numFmtId="0" fontId="4" fillId="0" borderId="0" xfId="0" applyFont="1"/>
    <xf numFmtId="0" fontId="6" fillId="4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3" xfId="0" applyFont="1" applyFill="1" applyBorder="1"/>
    <xf numFmtId="2" fontId="0" fillId="6" borderId="0" xfId="0" applyNumberFormat="1" applyFill="1"/>
    <xf numFmtId="2" fontId="0" fillId="8" borderId="0" xfId="0" applyNumberFormat="1" applyFill="1"/>
    <xf numFmtId="0" fontId="9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2" fontId="6" fillId="14" borderId="0" xfId="0" applyNumberFormat="1" applyFont="1" applyFill="1" applyAlignment="1">
      <alignment horizontal="center" vertical="center"/>
    </xf>
    <xf numFmtId="0" fontId="5" fillId="0" borderId="3" xfId="0" applyFont="1" applyBorder="1"/>
    <xf numFmtId="0" fontId="8" fillId="0" borderId="0" xfId="0" quotePrefix="1" applyFont="1"/>
    <xf numFmtId="2" fontId="0" fillId="3" borderId="0" xfId="0" applyNumberFormat="1" applyFill="1" applyAlignment="1">
      <alignment horizontal="center"/>
    </xf>
    <xf numFmtId="0" fontId="8" fillId="0" borderId="0" xfId="0" applyFont="1"/>
    <xf numFmtId="0" fontId="0" fillId="16" borderId="0" xfId="0" applyFill="1"/>
    <xf numFmtId="2" fontId="0" fillId="16" borderId="0" xfId="0" applyNumberFormat="1" applyFill="1"/>
    <xf numFmtId="2" fontId="0" fillId="16" borderId="0" xfId="0" applyNumberFormat="1" applyFill="1" applyAlignment="1">
      <alignment horizontal="center"/>
    </xf>
    <xf numFmtId="2" fontId="4" fillId="16" borderId="0" xfId="0" applyNumberFormat="1" applyFont="1" applyFill="1"/>
    <xf numFmtId="0" fontId="0" fillId="0" borderId="0" xfId="0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" fillId="0" borderId="0" xfId="0" applyFont="1"/>
    <xf numFmtId="0" fontId="4" fillId="7" borderId="0" xfId="0" applyFont="1" applyFill="1" applyAlignment="1">
      <alignment horizontal="center" vertical="center"/>
    </xf>
    <xf numFmtId="0" fontId="2" fillId="0" borderId="1" xfId="1" applyFont="1" applyAlignment="1"/>
    <xf numFmtId="49" fontId="0" fillId="0" borderId="0" xfId="0" applyNumberFormat="1"/>
    <xf numFmtId="2" fontId="11" fillId="15" borderId="0" xfId="0" applyNumberFormat="1" applyFont="1" applyFill="1" applyAlignment="1">
      <alignment horizontal="center" vertical="center"/>
    </xf>
    <xf numFmtId="176" fontId="0" fillId="0" borderId="0" xfId="0" applyNumberFormat="1"/>
    <xf numFmtId="0" fontId="4" fillId="9" borderId="0" xfId="0" applyFont="1" applyFill="1" applyAlignment="1">
      <alignment horizontal="center" vertical="center"/>
    </xf>
    <xf numFmtId="1" fontId="6" fillId="14" borderId="0" xfId="0" applyNumberFormat="1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2" fillId="0" borderId="1" xfId="1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0" fontId="2" fillId="0" borderId="1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Border="1"/>
    <xf numFmtId="0" fontId="8" fillId="0" borderId="4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7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2" fillId="0" borderId="1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1" applyFont="1" applyFill="1" applyAlignment="1">
      <alignment horizontal="center"/>
    </xf>
    <xf numFmtId="0" fontId="3" fillId="2" borderId="0" xfId="3" applyAlignment="1">
      <alignment horizontal="center"/>
    </xf>
    <xf numFmtId="2" fontId="6" fillId="13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11" fillId="13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">
    <cellStyle name="강조색1" xfId="3" builtinId="29"/>
    <cellStyle name="제목 2" xfId="1" builtinId="17"/>
    <cellStyle name="제목 3" xfId="2" builtinId="18"/>
    <cellStyle name="표준" xfId="0" builtinId="0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9B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59"/>
  <sheetViews>
    <sheetView workbookViewId="0">
      <selection activeCell="P25" sqref="P25"/>
    </sheetView>
  </sheetViews>
  <sheetFormatPr defaultRowHeight="16.5"/>
  <cols>
    <col min="2" max="2" width="9.875" customWidth="1"/>
    <col min="4" max="4" width="14.5" customWidth="1"/>
    <col min="7" max="7" width="12.5" customWidth="1"/>
    <col min="8" max="8" width="15.5" customWidth="1"/>
    <col min="9" max="9" width="10.5" customWidth="1"/>
    <col min="10" max="10" width="10.625" customWidth="1"/>
    <col min="11" max="11" width="16.125" customWidth="1"/>
    <col min="12" max="12" width="9.875" customWidth="1"/>
    <col min="13" max="13" width="14" customWidth="1"/>
    <col min="14" max="14" width="19.875" customWidth="1"/>
    <col min="15" max="15" width="14.875" customWidth="1"/>
    <col min="16" max="16" width="14.625" customWidth="1"/>
    <col min="17" max="17" width="15.5" customWidth="1"/>
    <col min="18" max="18" width="16.625" customWidth="1"/>
    <col min="20" max="20" width="10" customWidth="1"/>
    <col min="22" max="22" width="9.75" customWidth="1"/>
    <col min="27" max="31" width="9" hidden="1" customWidth="1"/>
    <col min="32" max="32" width="9.875" hidden="1" customWidth="1"/>
    <col min="33" max="34" width="9" hidden="1" customWidth="1"/>
    <col min="35" max="35" width="13.125" hidden="1" customWidth="1"/>
    <col min="36" max="36" width="13.25" customWidth="1"/>
    <col min="43" max="43" width="11.75" customWidth="1"/>
    <col min="44" max="44" width="12.5" customWidth="1"/>
    <col min="45" max="45" width="13.125" customWidth="1"/>
    <col min="46" max="46" width="19.5" customWidth="1"/>
    <col min="47" max="47" width="8.75" customWidth="1"/>
    <col min="48" max="48" width="11.125" customWidth="1"/>
    <col min="50" max="50" width="10.75" customWidth="1"/>
  </cols>
  <sheetData>
    <row r="1" spans="2:28">
      <c r="D1" s="9" t="s">
        <v>0</v>
      </c>
      <c r="E1" s="66" t="s">
        <v>1</v>
      </c>
      <c r="F1" s="66"/>
      <c r="G1" s="66"/>
      <c r="H1" s="66"/>
      <c r="I1" s="66"/>
      <c r="J1" s="66"/>
    </row>
    <row r="3" spans="2:28">
      <c r="G3" s="70" t="s">
        <v>2</v>
      </c>
      <c r="H3" s="70"/>
      <c r="I3" s="70"/>
      <c r="J3" s="70"/>
    </row>
    <row r="5" spans="2:28">
      <c r="G5" s="72" t="s">
        <v>3</v>
      </c>
      <c r="H5" s="72"/>
      <c r="I5" s="72"/>
      <c r="J5" s="72"/>
      <c r="K5" s="72"/>
      <c r="L5" s="72"/>
      <c r="M5" s="72"/>
      <c r="N5" s="72"/>
      <c r="O5" s="72"/>
      <c r="Q5" s="5">
        <v>11.09</v>
      </c>
    </row>
    <row r="6" spans="2:28">
      <c r="G6" s="71" t="s">
        <v>4</v>
      </c>
      <c r="H6" s="71"/>
      <c r="I6" s="71"/>
      <c r="J6" s="71"/>
      <c r="K6" s="71"/>
      <c r="L6" s="71"/>
      <c r="M6" s="71"/>
      <c r="N6" s="71"/>
      <c r="O6" s="71"/>
    </row>
    <row r="9" spans="2:28">
      <c r="AA9" t="s">
        <v>5</v>
      </c>
      <c r="AB9" t="s">
        <v>6</v>
      </c>
    </row>
    <row r="10" spans="2:28" ht="17.25" thickBot="1">
      <c r="D10" s="2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38" t="s">
        <v>15</v>
      </c>
      <c r="P10" s="38" t="s">
        <v>16</v>
      </c>
      <c r="Q10" s="38" t="s">
        <v>17</v>
      </c>
      <c r="R10" s="38" t="s">
        <v>18</v>
      </c>
      <c r="S10" s="4" t="s">
        <v>19</v>
      </c>
      <c r="T10" s="4" t="s">
        <v>20</v>
      </c>
      <c r="U10" s="31" t="s">
        <v>21</v>
      </c>
      <c r="V10" s="31" t="s">
        <v>22</v>
      </c>
      <c r="AA10">
        <v>0</v>
      </c>
      <c r="AB10">
        <v>0</v>
      </c>
    </row>
    <row r="11" spans="2:28">
      <c r="D11" s="18">
        <v>38.65</v>
      </c>
      <c r="H11" s="10">
        <v>25</v>
      </c>
      <c r="I11" s="10"/>
      <c r="J11" s="10">
        <v>5</v>
      </c>
      <c r="K11" s="22">
        <f>IF(AND($I11="",$J11=""),$H11,IF($I11="",$H11-$J11,$H11+($I11-$J11)))</f>
        <v>20</v>
      </c>
      <c r="L11" s="10">
        <v>20</v>
      </c>
      <c r="M11" s="5">
        <f>$H11*(1-$D$11/100)*(1-$L11/100)</f>
        <v>12.27</v>
      </c>
      <c r="N11" s="5">
        <f>$K11*(1-$D$11/100)*(1-$L11/100)</f>
        <v>9.8160000000000007</v>
      </c>
      <c r="O11" s="3">
        <f>$H11*(1-$D$11/100)*(1-$L11/100)*(1-$D$13/100)</f>
        <v>10.061400000000001</v>
      </c>
      <c r="P11" s="3">
        <f>$K11*(1-$D$11/100)*(1-$L11/100)*(1-$D$13/100)</f>
        <v>8.0491200000000021</v>
      </c>
      <c r="Q11" s="3">
        <f>$H11*(1-$D$11/100)*(1-$L11/100)*(1-$D$13/100)*(1-$D$17/100)</f>
        <v>8.5521900000000013</v>
      </c>
      <c r="R11" s="3">
        <f>$K11*(1-$D$11/100)*(1-$L11/100)*(1-$D$13/100)*(1-$D$17/100)</f>
        <v>6.8417520000000014</v>
      </c>
      <c r="S11" s="3">
        <f>$H11*(1-$D$11/100)*(1-$L11/100)*(1-$D$17/100)</f>
        <v>10.429499999999999</v>
      </c>
      <c r="T11" s="3">
        <f>$K11*(1-$D$11/100)*(1-$L11/100)*(1-$D$17/100)</f>
        <v>8.3436000000000003</v>
      </c>
      <c r="U11" s="3">
        <f>$H11*(1-$D$11/100)*(1-$L11/100)*(1-$D$19/100)</f>
        <v>7.3619999999999992</v>
      </c>
      <c r="V11" s="3">
        <f>$K11*(1-$D$11/100)*(1-$L11/100)*(1-$D$19/100)</f>
        <v>5.8896000000000006</v>
      </c>
      <c r="AA11">
        <v>1</v>
      </c>
      <c r="AB11">
        <v>2</v>
      </c>
    </row>
    <row r="12" spans="2:28">
      <c r="D12" s="2" t="s">
        <v>23</v>
      </c>
      <c r="E12" t="s">
        <v>24</v>
      </c>
      <c r="H12" s="10">
        <v>18</v>
      </c>
      <c r="I12" s="10"/>
      <c r="J12" s="10"/>
      <c r="K12" s="22">
        <f>IF(AND($I12="",$J12=""),$H12,IF($I12="",$H12-$J12,$H12+($I12-$J12)))</f>
        <v>18</v>
      </c>
      <c r="L12" s="10">
        <v>14</v>
      </c>
      <c r="M12" s="5">
        <f>$H12*(1-$D$11/100)*(1-$L12/100)</f>
        <v>9.4969799999999989</v>
      </c>
      <c r="N12" s="5">
        <f>$K12*(1-$D$11/100)*(1-$L12/100)</f>
        <v>9.4969799999999989</v>
      </c>
      <c r="O12" s="3">
        <f>$H12*(1-$D$11/100)*(1-$L12/100)*(1-$D$13/100)</f>
        <v>7.7875236000000001</v>
      </c>
      <c r="P12" s="3">
        <f t="shared" ref="P12:P19" si="0">$K12*(1-$D$11/100)*(1-$L12/100)*(1-$D$13/100)</f>
        <v>7.7875236000000001</v>
      </c>
      <c r="Q12" s="3">
        <f t="shared" ref="Q12:Q19" si="1">$H12*(1-$D$11/100)*(1-$L12/100)*(1-$D$13/100)*(1-$D$17/100)</f>
        <v>6.6193950599999996</v>
      </c>
      <c r="R12" s="3">
        <f t="shared" ref="R12:R19" si="2">$K12*(1-$D$11/100)*(1-$L12/100)*(1-$D$13/100)*(1-$D$17/100)</f>
        <v>6.6193950599999996</v>
      </c>
      <c r="S12" s="3">
        <f t="shared" ref="S12:S19" si="3">$H12*(1-$D$11/100)*(1-$L12/100)*(1-$D$17/100)</f>
        <v>8.0724329999999984</v>
      </c>
      <c r="T12" s="3">
        <f t="shared" ref="T12:T19" si="4">$K12*(1-$D$11/100)*(1-$L12/100)*(1-$D$17/100)</f>
        <v>8.0724329999999984</v>
      </c>
      <c r="U12" s="3">
        <f>$H12*(1-$D$11/100)*(1-$L12/100)*(1-$D$19/100)</f>
        <v>5.6981879999999991</v>
      </c>
      <c r="V12" s="3">
        <f>$K12*(1-$D$11/100)*(1-$L12/100)*(1-$D$19/100)</f>
        <v>5.6981879999999991</v>
      </c>
      <c r="AA12">
        <v>2</v>
      </c>
      <c r="AB12">
        <v>4</v>
      </c>
    </row>
    <row r="13" spans="2:28">
      <c r="D13" s="1">
        <v>18</v>
      </c>
      <c r="E13">
        <v>20</v>
      </c>
      <c r="H13" s="10"/>
      <c r="I13" s="10"/>
      <c r="J13" s="10"/>
      <c r="K13" s="22">
        <f>IF(AND($I13="",$J13=""),$H14,IF($I13="",$H14-$J13,$H14+($I13-$J13)))</f>
        <v>0</v>
      </c>
      <c r="L13" s="10"/>
      <c r="M13" s="5">
        <f>$H14*(1-$D$11/100)*(1-$L13/100)</f>
        <v>0</v>
      </c>
      <c r="N13" s="5">
        <f>$K13*(1-$D$11/100)*(1-$L13/100)</f>
        <v>0</v>
      </c>
      <c r="O13" s="3">
        <f>$H14*(1-$D$11/100)*(1-$L13/100)*(1-$D$13/100)</f>
        <v>0</v>
      </c>
      <c r="P13" s="3">
        <f t="shared" si="0"/>
        <v>0</v>
      </c>
      <c r="Q13" s="3">
        <f t="shared" si="1"/>
        <v>0</v>
      </c>
      <c r="R13" s="3">
        <f t="shared" si="2"/>
        <v>0</v>
      </c>
      <c r="S13" s="3">
        <f t="shared" si="3"/>
        <v>0</v>
      </c>
      <c r="T13" s="3">
        <f t="shared" si="4"/>
        <v>0</v>
      </c>
      <c r="U13" s="3">
        <f>$H14*(1-$D$11/100)*(1-$L13/100)*(1-$D$19/100)</f>
        <v>0</v>
      </c>
      <c r="V13" s="3">
        <f>$K13*(1-$D$11/100)*(1-$L13/100)*(1-$D$19/100)</f>
        <v>0</v>
      </c>
      <c r="AA13">
        <v>3</v>
      </c>
      <c r="AB13">
        <v>6</v>
      </c>
    </row>
    <row r="14" spans="2:28">
      <c r="B14" s="2" t="s">
        <v>25</v>
      </c>
      <c r="C14" s="2">
        <v>1</v>
      </c>
      <c r="D14" s="2">
        <v>2</v>
      </c>
      <c r="E14" s="2">
        <v>3</v>
      </c>
      <c r="H14" s="10"/>
      <c r="I14" s="10"/>
      <c r="J14" s="10"/>
      <c r="K14" s="22">
        <f t="shared" ref="K14:K19" si="5">IF(AND($I14="",$J14=""),$H15,IF($I14="",$H15-$J14,$H15+($I14-$J14)))</f>
        <v>0</v>
      </c>
      <c r="L14" s="10"/>
      <c r="M14" s="5">
        <f>$H15*(1-$D$11/100)*(1-$L14/100)</f>
        <v>0</v>
      </c>
      <c r="N14" s="5">
        <f>$K14*(1-$D$11/100)*(1-$L14/100)</f>
        <v>0</v>
      </c>
      <c r="O14" s="3">
        <f>$H15*(1-$D$11/100)*(1-$L14/100)*(1-$D$13/100)</f>
        <v>0</v>
      </c>
      <c r="P14" s="3">
        <f t="shared" si="0"/>
        <v>0</v>
      </c>
      <c r="Q14" s="3">
        <f t="shared" si="1"/>
        <v>0</v>
      </c>
      <c r="R14" s="3">
        <f t="shared" si="2"/>
        <v>0</v>
      </c>
      <c r="S14" s="3">
        <f t="shared" si="3"/>
        <v>0</v>
      </c>
      <c r="T14" s="3">
        <f t="shared" si="4"/>
        <v>0</v>
      </c>
      <c r="U14" s="3">
        <f>$H15*(1-$D$11/100)*(1-$L14/100)*(1-$D$19/100)</f>
        <v>0</v>
      </c>
      <c r="V14" s="3">
        <f>$K14*(1-$D$11/100)*(1-$L14/100)*(1-$D$19/100)</f>
        <v>0</v>
      </c>
      <c r="AA14">
        <v>4</v>
      </c>
      <c r="AB14">
        <v>8</v>
      </c>
    </row>
    <row r="15" spans="2:28">
      <c r="C15" s="1">
        <v>10</v>
      </c>
      <c r="D15" s="1">
        <v>25</v>
      </c>
      <c r="E15" s="1">
        <v>50</v>
      </c>
      <c r="H15" s="10"/>
      <c r="I15" s="10"/>
      <c r="J15" s="10"/>
      <c r="K15" s="22">
        <f t="shared" si="5"/>
        <v>0</v>
      </c>
      <c r="L15" s="10"/>
      <c r="M15" s="5">
        <f>$H15*(1-$D$11/100)*(1-$L15/100)</f>
        <v>0</v>
      </c>
      <c r="N15" s="5">
        <f>$K15*(1-$D$11/100)*(1-$L15/100)</f>
        <v>0</v>
      </c>
      <c r="O15" s="3">
        <f>$H15*(1-$D$11/100)*(1-$L15/100)*(1-$D$13/100)</f>
        <v>0</v>
      </c>
      <c r="P15" s="3">
        <f t="shared" si="0"/>
        <v>0</v>
      </c>
      <c r="Q15" s="3">
        <f t="shared" si="1"/>
        <v>0</v>
      </c>
      <c r="R15" s="3">
        <f t="shared" si="2"/>
        <v>0</v>
      </c>
      <c r="S15" s="3">
        <f t="shared" si="3"/>
        <v>0</v>
      </c>
      <c r="T15" s="3">
        <f t="shared" si="4"/>
        <v>0</v>
      </c>
      <c r="U15" s="3">
        <f>$H15*(1-$D$11/100)*(1-$L15/100)*(1-$D$19/100)</f>
        <v>0</v>
      </c>
      <c r="V15" s="3">
        <f>$K15*(1-$D$11/100)*(1-$L15/100)*(1-$D$19/100)</f>
        <v>0</v>
      </c>
      <c r="AA15">
        <v>5</v>
      </c>
      <c r="AB15">
        <v>10</v>
      </c>
    </row>
    <row r="16" spans="2:28">
      <c r="D16" s="2" t="s">
        <v>26</v>
      </c>
      <c r="H16" s="10"/>
      <c r="I16" s="10"/>
      <c r="J16" s="10"/>
      <c r="K16" s="22">
        <f t="shared" si="5"/>
        <v>0</v>
      </c>
      <c r="L16" s="10"/>
      <c r="M16" s="5">
        <f>$H16*(1-$D$11/100)*(1-$L16/100)</f>
        <v>0</v>
      </c>
      <c r="N16" s="5">
        <f>$K16*(1-$D$11/100)*(1-$L16/100)</f>
        <v>0</v>
      </c>
      <c r="O16" s="3">
        <f>$H16*(1-$D$11/100)*(1-$L16/100)*(1-$D$13/100)</f>
        <v>0</v>
      </c>
      <c r="P16" s="3">
        <f t="shared" si="0"/>
        <v>0</v>
      </c>
      <c r="Q16" s="3">
        <f t="shared" si="1"/>
        <v>0</v>
      </c>
      <c r="R16" s="3">
        <f t="shared" si="2"/>
        <v>0</v>
      </c>
      <c r="S16" s="3">
        <f t="shared" si="3"/>
        <v>0</v>
      </c>
      <c r="T16" s="3">
        <f t="shared" si="4"/>
        <v>0</v>
      </c>
      <c r="U16" s="3">
        <f>$H16*(1-$D$11/100)*(1-$L16/100)*(1-$D$19/100)</f>
        <v>0</v>
      </c>
      <c r="V16" s="3">
        <f>$K16*(1-$D$11/100)*(1-$L16/100)*(1-$D$19/100)</f>
        <v>0</v>
      </c>
      <c r="AA16">
        <v>6</v>
      </c>
      <c r="AB16">
        <v>12</v>
      </c>
    </row>
    <row r="17" spans="3:35">
      <c r="D17" s="27">
        <v>15</v>
      </c>
      <c r="H17" s="10"/>
      <c r="I17" s="10"/>
      <c r="J17" s="10"/>
      <c r="K17" s="22">
        <f t="shared" si="5"/>
        <v>0</v>
      </c>
      <c r="L17" s="10"/>
      <c r="M17" s="5">
        <f>$H17*(1-$D$11/100)*(1-$L17/100)</f>
        <v>0</v>
      </c>
      <c r="N17" s="5">
        <f>$K17*(1-$D$11/100)*(1-$L17/100)</f>
        <v>0</v>
      </c>
      <c r="O17" s="3">
        <f>$H17*(1-$D$11/100)*(1-$L17/100)*(1-$D$13/100)</f>
        <v>0</v>
      </c>
      <c r="P17" s="3">
        <f t="shared" si="0"/>
        <v>0</v>
      </c>
      <c r="Q17" s="3">
        <f t="shared" si="1"/>
        <v>0</v>
      </c>
      <c r="R17" s="3">
        <f t="shared" si="2"/>
        <v>0</v>
      </c>
      <c r="S17" s="3">
        <f t="shared" si="3"/>
        <v>0</v>
      </c>
      <c r="T17" s="3">
        <f t="shared" si="4"/>
        <v>0</v>
      </c>
      <c r="U17" s="3">
        <f>$H17*(1-$D$11/100)*(1-$L17/100)*(1-$D$19/100)</f>
        <v>0</v>
      </c>
      <c r="V17" s="3">
        <f>$K17*(1-$D$11/100)*(1-$L17/100)*(1-$D$19/100)</f>
        <v>0</v>
      </c>
      <c r="AA17">
        <v>7</v>
      </c>
      <c r="AB17">
        <v>14</v>
      </c>
    </row>
    <row r="18" spans="3:35" ht="17.25" thickBot="1">
      <c r="C18" s="69" t="s">
        <v>27</v>
      </c>
      <c r="D18" s="69"/>
      <c r="E18" s="69"/>
      <c r="H18" s="10"/>
      <c r="I18" s="10"/>
      <c r="J18" s="10"/>
      <c r="K18" s="22">
        <f t="shared" si="5"/>
        <v>0</v>
      </c>
      <c r="L18" s="10"/>
      <c r="M18" s="5">
        <f>$H18*(1-$D$11/100)*(1-$L18/100)</f>
        <v>0</v>
      </c>
      <c r="N18" s="5">
        <f>$K18*(1-$D$11/100)*(1-$L18/100)</f>
        <v>0</v>
      </c>
      <c r="O18" s="3">
        <f>$H18*(1-$D$11/100)*(1-$L18/100)*(1-$D$13/100)</f>
        <v>0</v>
      </c>
      <c r="P18" s="3">
        <f t="shared" si="0"/>
        <v>0</v>
      </c>
      <c r="Q18" s="3">
        <f t="shared" si="1"/>
        <v>0</v>
      </c>
      <c r="R18" s="3">
        <f t="shared" si="2"/>
        <v>0</v>
      </c>
      <c r="S18" s="3">
        <f t="shared" si="3"/>
        <v>0</v>
      </c>
      <c r="T18" s="3">
        <f t="shared" si="4"/>
        <v>0</v>
      </c>
      <c r="U18" s="3">
        <f>$H18*(1-$D$11/100)*(1-$L18/100)*(1-$D$19/100)</f>
        <v>0</v>
      </c>
      <c r="V18" s="3">
        <f>$K18*(1-$D$11/100)*(1-$L18/100)*(1-$D$19/100)</f>
        <v>0</v>
      </c>
      <c r="AA18">
        <v>8</v>
      </c>
      <c r="AB18">
        <v>16</v>
      </c>
    </row>
    <row r="19" spans="3:35">
      <c r="D19" s="27">
        <v>40</v>
      </c>
      <c r="H19" s="10"/>
      <c r="I19" s="10"/>
      <c r="J19" s="10"/>
      <c r="K19" s="22">
        <f t="shared" si="5"/>
        <v>0</v>
      </c>
      <c r="L19" s="10"/>
      <c r="M19" s="5">
        <f>$H19*(1-$D$11/100)*(1-$L19/100)</f>
        <v>0</v>
      </c>
      <c r="N19" s="5">
        <f>$K19*(1-$D$11/100)*(1-$L19/100)</f>
        <v>0</v>
      </c>
      <c r="O19" s="3">
        <f>$H19*(1-$D$11/100)*(1-$L19/100)*(1-$D$13/100)</f>
        <v>0</v>
      </c>
      <c r="P19" s="3">
        <f t="shared" si="0"/>
        <v>0</v>
      </c>
      <c r="Q19" s="3">
        <f t="shared" si="1"/>
        <v>0</v>
      </c>
      <c r="R19" s="3">
        <f t="shared" si="2"/>
        <v>0</v>
      </c>
      <c r="S19" s="3">
        <f t="shared" si="3"/>
        <v>0</v>
      </c>
      <c r="T19" s="3">
        <f t="shared" si="4"/>
        <v>0</v>
      </c>
      <c r="U19" s="3">
        <f>$H19*(1-$D$11/100)*(1-$L19/100)*(1-$D$19/100)</f>
        <v>0</v>
      </c>
      <c r="V19" s="3">
        <f>$K19*(1-$D$11/100)*(1-$L19/100)*(1-$D$19/100)</f>
        <v>0</v>
      </c>
      <c r="AA19">
        <v>9</v>
      </c>
      <c r="AB19">
        <v>18</v>
      </c>
    </row>
    <row r="20" spans="3:35">
      <c r="H20" s="19"/>
      <c r="I20" s="19"/>
      <c r="J20" s="19"/>
      <c r="K20" s="20"/>
      <c r="L20" s="19"/>
      <c r="M20" s="5"/>
      <c r="N20" s="5"/>
      <c r="O20" s="3"/>
      <c r="P20" s="3"/>
      <c r="Q20" s="3"/>
      <c r="R20" s="3"/>
      <c r="S20" s="3"/>
      <c r="T20" s="3"/>
      <c r="AA20">
        <v>10</v>
      </c>
      <c r="AB20">
        <v>20</v>
      </c>
    </row>
    <row r="21" spans="3:35">
      <c r="H21" s="19"/>
      <c r="I21" s="19"/>
      <c r="J21" s="19"/>
      <c r="K21" s="20"/>
      <c r="L21" s="19"/>
      <c r="M21" s="5"/>
      <c r="N21" s="5"/>
      <c r="O21" s="3"/>
      <c r="P21" s="3"/>
      <c r="Q21" s="3"/>
      <c r="R21" s="3"/>
      <c r="S21" s="3"/>
      <c r="T21" s="3"/>
    </row>
    <row r="22" spans="3:35">
      <c r="O22" s="1"/>
    </row>
    <row r="23" spans="3:35">
      <c r="M23" s="7" t="s">
        <v>28</v>
      </c>
    </row>
    <row r="24" spans="3:35">
      <c r="M24" s="38" t="s">
        <v>29</v>
      </c>
      <c r="N24" s="38" t="s">
        <v>30</v>
      </c>
      <c r="O24" s="38" t="s">
        <v>15</v>
      </c>
      <c r="P24" s="38" t="s">
        <v>17</v>
      </c>
      <c r="Q24" s="4" t="s">
        <v>19</v>
      </c>
      <c r="R24" s="4"/>
      <c r="AB24" t="s">
        <v>31</v>
      </c>
      <c r="AC24" t="s">
        <v>32</v>
      </c>
      <c r="AD24" t="s">
        <v>33</v>
      </c>
      <c r="AE24" t="s">
        <v>34</v>
      </c>
      <c r="AF24" t="s">
        <v>35</v>
      </c>
      <c r="AG24" t="s">
        <v>36</v>
      </c>
      <c r="AH24" t="s">
        <v>37</v>
      </c>
      <c r="AI24" t="s">
        <v>38</v>
      </c>
    </row>
    <row r="25" spans="3:35">
      <c r="L25" s="6" t="s">
        <v>39</v>
      </c>
      <c r="M25" s="8">
        <v>300</v>
      </c>
      <c r="N25" s="5">
        <f>$M25*(1-$D$11/100)</f>
        <v>184.04999999999998</v>
      </c>
      <c r="O25" s="3">
        <f>$M25*(1-$D$11/100)*(1-$E$13/100)</f>
        <v>147.23999999999998</v>
      </c>
      <c r="P25" s="3">
        <f>$M25*(1-$D$11/100)*(1-$E$13/100)*(1-$D$17/100)</f>
        <v>125.15399999999998</v>
      </c>
      <c r="Q25" s="3">
        <f>$M25*(1-$D$11/100)*(1-$D$17/100)</f>
        <v>156.4425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3:35">
      <c r="D26" s="32"/>
      <c r="L26" s="6" t="s">
        <v>40</v>
      </c>
      <c r="N26" s="5">
        <f>$M25*(1-$D$11/100)*(1-$C$15/100)</f>
        <v>165.64499999999998</v>
      </c>
      <c r="O26" s="3">
        <f>$M25*(1-$D$11/100)*(1-$E$13/100)*(1-$C$15/100)</f>
        <v>132.51599999999999</v>
      </c>
      <c r="P26" s="3">
        <f>$M25*(1-($D$11+$D$17)/100)*(1-$E$13/100)*(1-$C$15/100)</f>
        <v>100.11600000000001</v>
      </c>
      <c r="Q26" s="3">
        <f>$M25*(1-($D$11+$D$17)/100)*(1-$C$15/100)</f>
        <v>125.14500000000001</v>
      </c>
      <c r="AA26">
        <v>1</v>
      </c>
      <c r="AB26">
        <v>6</v>
      </c>
      <c r="AC26">
        <v>5</v>
      </c>
      <c r="AD26">
        <v>6</v>
      </c>
      <c r="AE26">
        <v>3</v>
      </c>
      <c r="AF26">
        <v>5</v>
      </c>
      <c r="AG26">
        <v>6</v>
      </c>
      <c r="AH26">
        <v>6</v>
      </c>
      <c r="AI26">
        <v>15</v>
      </c>
    </row>
    <row r="27" spans="3:35">
      <c r="L27" s="6" t="s">
        <v>41</v>
      </c>
      <c r="N27" s="5">
        <f>$M25*(1-$D$11/100)*(1-$D$15/100)</f>
        <v>138.03749999999999</v>
      </c>
      <c r="O27" s="3">
        <f>$M25*(1-$D$11/100)*(1-$E$13/100)*(1-$D$15/100)</f>
        <v>110.42999999999998</v>
      </c>
      <c r="P27" s="3">
        <f>$M25*(1-($D$11+$D$17)/100)*(1-$E$13/100)*(1-$D$15/100)</f>
        <v>83.43</v>
      </c>
      <c r="Q27" s="3">
        <f>$M25*(1-($D$11+$D$17)/100)*(1-$D$15/100)</f>
        <v>104.28750000000001</v>
      </c>
      <c r="AA27">
        <v>2</v>
      </c>
      <c r="AB27">
        <v>6</v>
      </c>
      <c r="AC27">
        <v>6</v>
      </c>
      <c r="AD27">
        <v>6.7</v>
      </c>
      <c r="AE27">
        <v>4</v>
      </c>
      <c r="AF27">
        <v>5.5</v>
      </c>
      <c r="AG27">
        <v>6.5</v>
      </c>
      <c r="AH27">
        <v>5.5</v>
      </c>
      <c r="AI27">
        <v>15.2</v>
      </c>
    </row>
    <row r="28" spans="3:35">
      <c r="L28" s="6" t="s">
        <v>42</v>
      </c>
      <c r="N28" s="5">
        <f>$M25*(1-$D$11/100)*(1-$E$15/100)</f>
        <v>92.024999999999991</v>
      </c>
      <c r="O28" s="3">
        <f>$M25*(1-$D$11/100)*(1-$E$13/100)*(1-$E$15/100)</f>
        <v>73.61999999999999</v>
      </c>
      <c r="P28" s="3">
        <f>$M25*(1-($D$11+$D$17)/100)*(1-$E$13/100)*(1-$E$15/100)</f>
        <v>55.620000000000005</v>
      </c>
      <c r="Q28" s="3">
        <f>$M25*(1-($D$11+$D$17)/100)*(1-$E$15/100)</f>
        <v>69.525000000000006</v>
      </c>
      <c r="AA28">
        <v>3</v>
      </c>
      <c r="AB28">
        <v>6</v>
      </c>
      <c r="AC28">
        <v>7</v>
      </c>
      <c r="AD28">
        <v>7.4</v>
      </c>
      <c r="AE28">
        <v>5</v>
      </c>
      <c r="AF28">
        <v>6</v>
      </c>
      <c r="AG28">
        <v>7</v>
      </c>
      <c r="AH28">
        <v>5</v>
      </c>
      <c r="AI28">
        <v>15.4</v>
      </c>
    </row>
    <row r="29" spans="3:35">
      <c r="AA29">
        <v>4</v>
      </c>
      <c r="AB29">
        <v>6</v>
      </c>
      <c r="AC29">
        <v>8</v>
      </c>
      <c r="AD29">
        <v>8.1999999999999993</v>
      </c>
      <c r="AE29">
        <v>6</v>
      </c>
      <c r="AF29">
        <v>6.5</v>
      </c>
      <c r="AG29">
        <v>7.5</v>
      </c>
      <c r="AH29">
        <v>4.5</v>
      </c>
      <c r="AI29">
        <v>15.7</v>
      </c>
    </row>
    <row r="30" spans="3:35">
      <c r="H30" s="29"/>
      <c r="AA30">
        <v>5</v>
      </c>
      <c r="AB30">
        <v>6</v>
      </c>
      <c r="AC30">
        <v>9</v>
      </c>
      <c r="AD30">
        <v>9</v>
      </c>
      <c r="AE30">
        <v>7</v>
      </c>
      <c r="AF30">
        <v>7</v>
      </c>
      <c r="AG30">
        <v>8</v>
      </c>
      <c r="AH30">
        <v>4</v>
      </c>
      <c r="AI30">
        <v>16</v>
      </c>
    </row>
    <row r="31" spans="3:35">
      <c r="H31" s="29"/>
    </row>
    <row r="32" spans="3:35">
      <c r="G32" t="s">
        <v>43</v>
      </c>
      <c r="H32" s="29"/>
      <c r="J32" s="23"/>
    </row>
    <row r="33" spans="6:50">
      <c r="H33" s="29"/>
      <c r="J33" s="23"/>
    </row>
    <row r="34" spans="6:50">
      <c r="H34" s="29"/>
      <c r="J34" s="23"/>
    </row>
    <row r="35" spans="6:50">
      <c r="H35" s="29"/>
      <c r="J35" s="23"/>
    </row>
    <row r="38" spans="6:50">
      <c r="G38" s="4" t="s">
        <v>44</v>
      </c>
      <c r="H38" s="4" t="s">
        <v>8</v>
      </c>
      <c r="I38" s="4" t="s">
        <v>9</v>
      </c>
      <c r="J38" s="4" t="s">
        <v>10</v>
      </c>
      <c r="K38" s="4" t="s">
        <v>11</v>
      </c>
      <c r="L38" s="4" t="s">
        <v>12</v>
      </c>
      <c r="M38" s="4" t="s">
        <v>13</v>
      </c>
      <c r="N38" s="4" t="s">
        <v>14</v>
      </c>
      <c r="O38" s="38" t="s">
        <v>15</v>
      </c>
      <c r="P38" s="38" t="s">
        <v>16</v>
      </c>
      <c r="Q38" s="38" t="s">
        <v>17</v>
      </c>
      <c r="R38" s="38" t="s">
        <v>18</v>
      </c>
      <c r="S38" s="4" t="s">
        <v>19</v>
      </c>
      <c r="T38" s="4" t="s">
        <v>20</v>
      </c>
      <c r="U38" s="31" t="s">
        <v>21</v>
      </c>
      <c r="V38" s="31" t="s">
        <v>22</v>
      </c>
      <c r="AQ38" s="40" t="s">
        <v>15</v>
      </c>
      <c r="AR38" s="40" t="s">
        <v>16</v>
      </c>
      <c r="AS38" s="40" t="s">
        <v>17</v>
      </c>
      <c r="AT38" s="40" t="s">
        <v>18</v>
      </c>
      <c r="AU38" s="40" t="s">
        <v>19</v>
      </c>
      <c r="AV38" s="40" t="s">
        <v>20</v>
      </c>
      <c r="AW38" s="41" t="s">
        <v>21</v>
      </c>
      <c r="AX38" s="41" t="s">
        <v>22</v>
      </c>
    </row>
    <row r="39" spans="6:50">
      <c r="G39" t="s">
        <v>45</v>
      </c>
      <c r="H39">
        <v>8</v>
      </c>
      <c r="K39">
        <f>IF(AND($I39="",$J39=""),$H39,IF($I39="",$H39-$J39,$H39+($I39-$J39)))</f>
        <v>8</v>
      </c>
      <c r="L39">
        <v>12</v>
      </c>
      <c r="M39" s="5">
        <f>H39*((100-$D$11)/100)*((100-L39)/100)</f>
        <v>4.3190400000000002</v>
      </c>
      <c r="N39" s="5">
        <f>K39*((100-$D$11)/100)*((100-L39)/100)</f>
        <v>4.3190400000000002</v>
      </c>
      <c r="O39" s="3">
        <f>$H39*((100-$D$11)/100)*((100-$L39)/100)*((100-$D$13)/100)</f>
        <v>3.5416127999999998</v>
      </c>
      <c r="P39" s="3">
        <f>$K39*(1-$D$11/100)*(1-$L39/100)*(1-$D$13/100)</f>
        <v>3.5416127999999998</v>
      </c>
      <c r="Q39" s="3">
        <f>$H39*(1-$D$11/100)*(1-$L39/100)*(1-$D$13/100)*(1-$D$17/100)</f>
        <v>3.0103708799999995</v>
      </c>
      <c r="R39" s="3">
        <f>$K39*(1-$D$11/100)*(1-$L39/100)*(1-$D$13/100)*(1-$D$17/100)</f>
        <v>3.0103708799999995</v>
      </c>
      <c r="S39" s="3">
        <f>$H39*(1-$D$11/100)*(1-$L39/100)*(1-$D$17/100)</f>
        <v>3.6711839999999993</v>
      </c>
      <c r="T39" s="3">
        <f>$K39*(1-$D$11/100)*(1-$L39/100)*(1-$D$17/100)</f>
        <v>3.6711839999999993</v>
      </c>
      <c r="U39" s="3">
        <f>$H39*(1-($D$11)/100)*(1-$L39/100)*(1-$D$19/100)</f>
        <v>2.5914239999999995</v>
      </c>
      <c r="V39" s="3">
        <f>$K39*(1-($D$11)/100)*(1-$L39/100)*(1-$D$19/100)</f>
        <v>2.5914239999999995</v>
      </c>
      <c r="AQ39" s="3">
        <f>$H39*((100-$D$11)/100)*((100-$L39)/100)*((100-$D$13)/100)</f>
        <v>3.5416127999999998</v>
      </c>
      <c r="AR39" s="3">
        <f>$K39*((100-$D$11)/100)*((100-$L39)/100)*((100-$D$13)/100)</f>
        <v>3.5416127999999998</v>
      </c>
      <c r="AS39" s="3">
        <f>$H39*(1-($D$11+$D$17)/100)*(1-$L39/100)*(1-$D$13/100)</f>
        <v>2.6756928000000002</v>
      </c>
      <c r="AT39" s="3">
        <f>$K39*(1-($D$11+$D$17)/100)*(1-$L39/100)*(1-$D$13/100)</f>
        <v>2.6756928000000002</v>
      </c>
      <c r="AU39" s="3">
        <f>$H39*(1-($D$11+$D$17)/100)*(1-$L39/100)</f>
        <v>3.2630400000000002</v>
      </c>
      <c r="AV39" s="3">
        <f>$K39*(1-($D$11+$D$17)/100)*(1-$L39/100)</f>
        <v>3.2630400000000002</v>
      </c>
      <c r="AW39" s="3">
        <f>$H39*(1-($D$11)/100)*(1-$L39/100)*(1-$D$19/100)</f>
        <v>2.5914239999999995</v>
      </c>
      <c r="AX39" s="3">
        <f>$K39*(1-($D$11)/100)*(1-$L39/100)*(1-$D$19/100)</f>
        <v>2.5914239999999995</v>
      </c>
    </row>
    <row r="40" spans="6:50">
      <c r="G40" t="s">
        <v>46</v>
      </c>
      <c r="H40">
        <v>9</v>
      </c>
      <c r="K40">
        <f>IF(AND(I40="",J40=""),H40,IF(I40="",H40-J40,H40+($I40-$J40)))</f>
        <v>9</v>
      </c>
      <c r="L40">
        <v>12</v>
      </c>
      <c r="M40" s="5">
        <f>H40*((100-$D$11)/100)*((100-L40)/100)</f>
        <v>4.8589200000000003</v>
      </c>
      <c r="N40" s="5">
        <f>K40*((100-$D$11)/100)*((100-L40)/100)</f>
        <v>4.8589200000000003</v>
      </c>
      <c r="O40" s="3">
        <f>$H40*((100-$D$11)/100)*((100-$L40)/100)*((100-$D$13)/100)</f>
        <v>3.9843144000000001</v>
      </c>
      <c r="P40" s="3">
        <f>$K40*((100-$D$11)/100)*((100-$L40)/100)*((100-$D$13)/100)</f>
        <v>3.9843144000000001</v>
      </c>
      <c r="Q40" s="3">
        <f t="shared" ref="Q40:Q55" si="6">$H40*(1-$D$11/100)*(1-$L40/100)*(1-$D$13/100)*(1-$D$17/100)</f>
        <v>3.3866672399999995</v>
      </c>
      <c r="R40" s="3">
        <f t="shared" ref="R40:R55" si="7">$K40*(1-$D$11/100)*(1-$L40/100)*(1-$D$13/100)*(1-$D$17/100)</f>
        <v>3.3866672399999995</v>
      </c>
      <c r="S40" s="3">
        <f t="shared" ref="S40:S55" si="8">$H40*(1-$D$11/100)*(1-$L40/100)*(1-$D$17/100)</f>
        <v>4.1300819999999998</v>
      </c>
      <c r="T40" s="3">
        <f t="shared" ref="T40:T55" si="9">$K40*(1-$D$11/100)*(1-$L40/100)*(1-$D$17/100)</f>
        <v>4.1300819999999998</v>
      </c>
      <c r="U40" s="3">
        <f>$H40*(1-($D$11)/100)*(1-$L40/100)*(1-$D$19/100)</f>
        <v>2.9153519999999995</v>
      </c>
      <c r="V40" s="3">
        <f>$K40*(1-($D$11)/100)*(1-$L40/100)*(1-$D$19/100)</f>
        <v>2.9153519999999995</v>
      </c>
      <c r="AQ40" s="3">
        <f>$H40*((100-$D$11)/100)*((100-$L40)/100)*((100-$D$13)/100)</f>
        <v>3.9843144000000001</v>
      </c>
      <c r="AR40" s="3">
        <f>$K40*((100-$D$11)/100)*((100-$L40)/100)*((100-$D$13)/100)</f>
        <v>3.9843144000000001</v>
      </c>
      <c r="AS40" s="3">
        <f>$H40*(1-($D$11+$D$17)/100)*(1-$L40/100)*(1-$D$13/100)</f>
        <v>3.0101544000000002</v>
      </c>
      <c r="AT40" s="3">
        <f>$K40*(1-($D$11+$D$17)/100)*(1-$L40/100)*(1-$D$13/100)</f>
        <v>3.0101544000000002</v>
      </c>
      <c r="AU40" s="3">
        <f>$H40*(1-($D$11+$D$17)/100)*(1-$L40/100)</f>
        <v>3.6709200000000002</v>
      </c>
      <c r="AV40" s="3">
        <f>$K40*(1-($D$11+$D$17)/100)*(1-$L40/100)</f>
        <v>3.6709200000000002</v>
      </c>
      <c r="AW40" s="3">
        <f>$H40*(1-($D$11)/100)*(1-$L40/100)*(1-$D$19/100)</f>
        <v>2.9153519999999995</v>
      </c>
      <c r="AX40" s="3">
        <f>$K40*(1-($D$11)/100)*(1-$L40/100)*(1-$D$19/100)</f>
        <v>2.9153519999999995</v>
      </c>
    </row>
    <row r="41" spans="6:50">
      <c r="G41" t="s">
        <v>47</v>
      </c>
      <c r="H41">
        <v>14</v>
      </c>
      <c r="K41">
        <f>IF(AND(I41="",J41=""),H41,IF(I41="",H41-J41,H41+($I41-$J41)))</f>
        <v>14</v>
      </c>
      <c r="L41">
        <v>14</v>
      </c>
      <c r="M41" s="5">
        <f>H41*((100-$D$11)/100)*((100-L41)/100)</f>
        <v>7.3865400000000001</v>
      </c>
      <c r="N41" s="5">
        <f>K41*((100-$D$11)/100)*((100-L41)/100)</f>
        <v>7.3865400000000001</v>
      </c>
      <c r="O41" s="3">
        <f>$H41*((100-$D$11)/100)*((100-$L41)/100)*((100-$D$13)/100)</f>
        <v>6.0569628</v>
      </c>
      <c r="P41" s="21">
        <f>$K41*((100-$D$11)/100)*((100-$L41)/100)*((100-$D$13)/100)</f>
        <v>6.0569628</v>
      </c>
      <c r="Q41" s="3">
        <f t="shared" si="6"/>
        <v>5.148418379999999</v>
      </c>
      <c r="R41" s="3">
        <f t="shared" si="7"/>
        <v>5.148418379999999</v>
      </c>
      <c r="S41" s="3">
        <f t="shared" si="8"/>
        <v>6.2785589999999987</v>
      </c>
      <c r="T41" s="3">
        <f t="shared" si="9"/>
        <v>6.2785589999999987</v>
      </c>
      <c r="U41" s="3">
        <f>$H41*(1-($D$11)/100)*(1-$L41/100)*(1-$D$19/100)</f>
        <v>4.4319239999999986</v>
      </c>
      <c r="V41" s="3">
        <f>$K41*(1-($D$11)/100)*(1-$L41/100)*(1-$D$19/100)</f>
        <v>4.4319239999999986</v>
      </c>
      <c r="AQ41" s="3">
        <f>$H41*((100-$D$11)/100)*((100-$L41)/100)*((100-$D$13)/100)</f>
        <v>6.0569628</v>
      </c>
      <c r="AR41" s="21">
        <f>$K41*((100-$D$11)/100)*((100-$L41)/100)*((100-$D$13)/100)</f>
        <v>6.0569628</v>
      </c>
      <c r="AS41" s="3">
        <f>$H41*(1-($D$11+$D$17)/100)*(1-$L41/100)*(1-$D$13/100)</f>
        <v>4.5760428000000015</v>
      </c>
      <c r="AT41" s="3">
        <f>$K41*(1-($D$11+$D$17)/100)*(1-$L41/100)*(1-$D$13/100)</f>
        <v>4.5760428000000015</v>
      </c>
      <c r="AU41" s="3">
        <f>$H41*(1-($D$11+$D$17)/100)*(1-$L41/100)</f>
        <v>5.5805400000000009</v>
      </c>
      <c r="AV41" s="3">
        <f>$K41*(1-($D$11+$D$17)/100)*(1-$L41/100)</f>
        <v>5.5805400000000009</v>
      </c>
      <c r="AW41" s="3">
        <f>$H41*(1-($D$11)/100)*(1-$L41/100)*(1-$D$19/100)</f>
        <v>4.4319239999999986</v>
      </c>
      <c r="AX41" s="3">
        <f>$K41*(1-($D$11)/100)*(1-$L41/100)*(1-$D$19/100)</f>
        <v>4.4319239999999986</v>
      </c>
    </row>
    <row r="42" spans="6:50" s="23" customFormat="1">
      <c r="G42" s="23" t="s">
        <v>48</v>
      </c>
      <c r="H42" s="23">
        <v>22</v>
      </c>
      <c r="J42" s="23">
        <v>0</v>
      </c>
      <c r="K42" s="23">
        <f>IF(AND(I42="",J42=""),H42,IF(I42="",H42-J42,H42+($I42-$J42)))</f>
        <v>22</v>
      </c>
      <c r="L42">
        <v>20</v>
      </c>
      <c r="M42" s="24">
        <f>H42*((100-$D$11)/100)*((100-L42)/100)</f>
        <v>10.797600000000003</v>
      </c>
      <c r="N42" s="24">
        <f>K42*((100-$D$11)/100)*((100-L42)/100)</f>
        <v>10.797600000000003</v>
      </c>
      <c r="O42" s="25">
        <f>$H42*((100-$D$11)/100)*((100-$L42)/100)*((100-$D$13)/100)</f>
        <v>8.8540320000000019</v>
      </c>
      <c r="P42" s="25">
        <f>$K42*((100-$D$11)/100)*((100-$L42)/100)*((100-$D$13)/100)</f>
        <v>8.8540320000000019</v>
      </c>
      <c r="Q42" s="25">
        <f t="shared" si="6"/>
        <v>7.5259271999999999</v>
      </c>
      <c r="R42" s="25">
        <f t="shared" si="7"/>
        <v>7.5259271999999999</v>
      </c>
      <c r="S42" s="25">
        <f t="shared" si="8"/>
        <v>9.1779599999999988</v>
      </c>
      <c r="T42" s="25">
        <f t="shared" si="9"/>
        <v>9.1779599999999988</v>
      </c>
      <c r="U42" s="25">
        <f>$H42*(1-($D$11)/100)*(1-$L42/100)*(1-$D$19/100)</f>
        <v>6.478559999999999</v>
      </c>
      <c r="V42" s="25">
        <f>$K42*(1-($D$11)/100)*(1-$L42/100)*(1-$D$19/100)</f>
        <v>6.478559999999999</v>
      </c>
      <c r="AQ42" s="25">
        <f>$H42*((100-$D$11)/100)*((100-$L42)/100)*((100-$D$13)/100)</f>
        <v>8.8540320000000019</v>
      </c>
      <c r="AR42" s="25">
        <f>$K42*((100-$D$11)/100)*((100-$L42)/100)*((100-$D$13)/100)</f>
        <v>8.8540320000000019</v>
      </c>
      <c r="AS42" s="25">
        <f>$H42*(1-($D$11+$D$17)/100)*(1-$L42/100)*(1-$D$13/100)</f>
        <v>6.6892320000000005</v>
      </c>
      <c r="AT42" s="25">
        <f>$K42*(1-($D$11+$D$17)/100)*(1-$L42/100)*(1-$D$13/100)</f>
        <v>6.6892320000000005</v>
      </c>
      <c r="AU42" s="25">
        <f>$H42*(1-($D$11+$D$17)/100)*(1-$L42/100)</f>
        <v>8.1576000000000004</v>
      </c>
      <c r="AV42" s="25">
        <f>$K42*(1-($D$11+$D$17)/100)*(1-$L42/100)</f>
        <v>8.1576000000000004</v>
      </c>
      <c r="AW42" s="25">
        <f>$H42*(1-($D$11)/100)*(1-$L42/100)*(1-$D$19/100)</f>
        <v>6.478559999999999</v>
      </c>
      <c r="AX42" s="25">
        <f>$K42*(1-($D$11)/100)*(1-$L42/100)*(1-$D$19/100)</f>
        <v>6.478559999999999</v>
      </c>
    </row>
    <row r="43" spans="6:50" s="23" customFormat="1">
      <c r="G43" s="23" t="s">
        <v>49</v>
      </c>
      <c r="H43" s="23">
        <v>30</v>
      </c>
      <c r="J43" s="23">
        <v>9</v>
      </c>
      <c r="K43" s="23">
        <f>IF(AND(I43="",J43=""),H43,IF(I43="",H43-J43,H43+($I43-$J43)))</f>
        <v>21</v>
      </c>
      <c r="L43">
        <v>20</v>
      </c>
      <c r="M43" s="26">
        <f>H43*((100-$D$11)/100)*((100-L43)/100)</f>
        <v>14.724000000000002</v>
      </c>
      <c r="N43" s="26">
        <f>K43*((100-$D$11)/100)*((100-L43)/100)</f>
        <v>10.306800000000003</v>
      </c>
      <c r="O43" s="25">
        <f>$H43*((100-$D$11)/100)*((100-$L43)/100)*((100-$D$13)/100)</f>
        <v>12.073680000000001</v>
      </c>
      <c r="P43" s="25">
        <f>$K43*((100-$D$11)/100)*((100-$L43)/100)*((100-$D$13)/100)</f>
        <v>8.4515760000000011</v>
      </c>
      <c r="Q43" s="25">
        <f t="shared" si="6"/>
        <v>10.262627999999999</v>
      </c>
      <c r="R43" s="25">
        <f t="shared" si="7"/>
        <v>7.1838395999999989</v>
      </c>
      <c r="S43" s="25">
        <f t="shared" si="8"/>
        <v>12.515399999999998</v>
      </c>
      <c r="T43" s="25">
        <f t="shared" si="9"/>
        <v>8.7607799999999987</v>
      </c>
      <c r="U43" s="25">
        <f>$H43*(1-($D$11)/100)*(1-$L43/100)*(1-$D$19/100)</f>
        <v>8.8343999999999987</v>
      </c>
      <c r="V43" s="25">
        <f>$K43*(1-($D$11)/100)*(1-$L43/100)*(1-$D$19/100)</f>
        <v>6.1840799999999989</v>
      </c>
      <c r="AQ43" s="25">
        <f>$H43*((100-$D$11)/100)*((100-$L43)/100)*((100-$D$13)/100)</f>
        <v>12.073680000000001</v>
      </c>
      <c r="AR43" s="25">
        <f>$K43*((100-$D$11)/100)*((100-$L43)/100)*((100-$D$13)/100)</f>
        <v>8.4515760000000011</v>
      </c>
      <c r="AS43" s="25">
        <f>$H43*(1-($D$11+$D$17)/100)*(1-$L43/100)*(1-$D$13/100)</f>
        <v>9.1216800000000031</v>
      </c>
      <c r="AT43" s="25">
        <f>$K43*(1-($D$11+$D$17)/100)*(1-$L43/100)*(1-$D$13/100)</f>
        <v>6.3851760000000013</v>
      </c>
      <c r="AU43" s="25">
        <f>$H43*(1-($D$11+$D$17)/100)*(1-$L43/100)</f>
        <v>11.124000000000002</v>
      </c>
      <c r="AV43" s="25">
        <f>$K43*(1-($D$11+$D$17)/100)*(1-$L43/100)</f>
        <v>7.7868000000000013</v>
      </c>
      <c r="AW43" s="25">
        <f>$H43*(1-($D$11)/100)*(1-$L43/100)*(1-$D$19/100)</f>
        <v>8.8343999999999987</v>
      </c>
      <c r="AX43" s="25">
        <f>$K43*(1-($D$11)/100)*(1-$L43/100)*(1-$D$19/100)</f>
        <v>6.1840799999999989</v>
      </c>
    </row>
    <row r="44" spans="6:50" s="23" customFormat="1">
      <c r="G44" s="23" t="s">
        <v>50</v>
      </c>
      <c r="H44" s="23">
        <v>25</v>
      </c>
      <c r="J44" s="23">
        <v>0</v>
      </c>
      <c r="K44" s="23">
        <f>IF(AND(I44="",J44=""),H44,IF(I44="",H44-J44,H44+($I44-$J44)))</f>
        <v>25</v>
      </c>
      <c r="L44">
        <v>16</v>
      </c>
      <c r="M44" s="24">
        <f>H44*((100-$D$11)/100)*((100-L44)/100)</f>
        <v>12.8835</v>
      </c>
      <c r="N44" s="24">
        <f>K44*((100-$D$11)/100)*((100-L44)/100)</f>
        <v>12.8835</v>
      </c>
      <c r="O44" s="25">
        <f>$H44*((100-$D$11)/100)*((100-$L44)/100)*((100-$D$13)/100)</f>
        <v>10.56447</v>
      </c>
      <c r="P44" s="25">
        <f>$K44*((100-$D$11)/100)*((100-$L44)/100)*((100-$D$13)/100)</f>
        <v>10.56447</v>
      </c>
      <c r="Q44" s="25">
        <f t="shared" si="6"/>
        <v>8.9797994999999986</v>
      </c>
      <c r="R44" s="25">
        <f t="shared" si="7"/>
        <v>8.9797994999999986</v>
      </c>
      <c r="S44" s="25">
        <f t="shared" si="8"/>
        <v>10.950974999999998</v>
      </c>
      <c r="T44" s="25">
        <f t="shared" si="9"/>
        <v>10.950974999999998</v>
      </c>
      <c r="U44" s="25">
        <f>$H44*(1-($D$11)/100)*(1-$L44/100)*(1-$D$19/100)</f>
        <v>7.7300999999999984</v>
      </c>
      <c r="V44" s="25">
        <f>$K44*(1-($D$11)/100)*(1-$L44/100)*(1-$D$19/100)</f>
        <v>7.7300999999999984</v>
      </c>
      <c r="AQ44" s="25">
        <f>$H44*((100-$D$11)/100)*((100-$L44)/100)*((100-$D$13)/100)</f>
        <v>10.56447</v>
      </c>
      <c r="AR44" s="25">
        <f>$K44*((100-$D$11)/100)*((100-$L44)/100)*((100-$D$13)/100)</f>
        <v>10.56447</v>
      </c>
      <c r="AS44" s="25">
        <f>$H44*(1-($D$11+$D$17)/100)*(1-$L44/100)*(1-$D$13/100)</f>
        <v>7.9814699999999998</v>
      </c>
      <c r="AT44" s="25">
        <f>$K44*(1-($D$11+$D$17)/100)*(1-$L44/100)*(1-$D$13/100)</f>
        <v>7.9814699999999998</v>
      </c>
      <c r="AU44" s="25">
        <f>$H44*(1-($D$11+$D$17)/100)*(1-$L44/100)</f>
        <v>9.7334999999999994</v>
      </c>
      <c r="AV44" s="25">
        <f>$K44*(1-($D$11+$D$17)/100)*(1-$L44/100)</f>
        <v>9.7334999999999994</v>
      </c>
      <c r="AW44" s="25">
        <f>$H44*(1-($D$11)/100)*(1-$L44/100)*(1-$D$19/100)</f>
        <v>7.7300999999999984</v>
      </c>
      <c r="AX44" s="25">
        <f>$K44*(1-($D$11)/100)*(1-$L44/100)*(1-$D$19/100)</f>
        <v>7.7300999999999984</v>
      </c>
    </row>
    <row r="45" spans="6:50" s="23" customFormat="1">
      <c r="G45" s="23" t="s">
        <v>51</v>
      </c>
      <c r="H45" s="23">
        <v>25</v>
      </c>
      <c r="K45" s="23">
        <f>IF(AND(I45="",J45=""),H45,IF(I45="",H45-J45,H45+($I45-$J45)))</f>
        <v>25</v>
      </c>
      <c r="L45">
        <v>14</v>
      </c>
      <c r="M45" s="24">
        <f>H45*((100-$D$11)/100)*((100-L45)/100)</f>
        <v>13.190250000000001</v>
      </c>
      <c r="N45" s="24">
        <f>K45*((100-$D$11)/100)*((100-L45)/100)</f>
        <v>13.190250000000001</v>
      </c>
      <c r="O45" s="25">
        <f>$H45*((100-$D$11)/100)*((100-$L45)/100)*((100-$D$13)/100)</f>
        <v>10.816005000000001</v>
      </c>
      <c r="P45" s="25">
        <f>$K45*((100-$D$11)/100)*((100-$L45)/100)*((100-$D$13)/100)</f>
        <v>10.816005000000001</v>
      </c>
      <c r="Q45" s="25">
        <f t="shared" si="6"/>
        <v>9.1936042499999999</v>
      </c>
      <c r="R45" s="25">
        <f t="shared" si="7"/>
        <v>9.1936042499999999</v>
      </c>
      <c r="S45" s="25">
        <f t="shared" si="8"/>
        <v>11.211712499999999</v>
      </c>
      <c r="T45" s="25">
        <f t="shared" si="9"/>
        <v>11.211712499999999</v>
      </c>
      <c r="U45" s="25">
        <f>$H45*(1-($D$11)/100)*(1-$L45/100)*(1-$D$19/100)</f>
        <v>7.9141499999999994</v>
      </c>
      <c r="V45" s="25">
        <f>$K45*(1-($D$11)/100)*(1-$L45/100)*(1-$D$19/100)</f>
        <v>7.9141499999999994</v>
      </c>
      <c r="AQ45" s="25">
        <f>$H45*((100-$D$11)/100)*((100-$L45)/100)*((100-$D$13)/100)</f>
        <v>10.816005000000001</v>
      </c>
      <c r="AR45" s="25">
        <f>$K45*((100-$D$11)/100)*((100-$L45)/100)*((100-$D$13)/100)</f>
        <v>10.816005000000001</v>
      </c>
      <c r="AS45" s="25">
        <f>$H45*(1-($D$11+$D$17)/100)*(1-$L45/100)*(1-$D$13/100)</f>
        <v>8.1715049999999998</v>
      </c>
      <c r="AT45" s="25">
        <f>$K45*(1-($D$11+$D$17)/100)*(1-$L45/100)*(1-$D$13/100)</f>
        <v>8.1715049999999998</v>
      </c>
      <c r="AU45" s="25">
        <f>$H45*(1-($D$11+$D$17)/100)*(1-$L45/100)</f>
        <v>9.9652499999999993</v>
      </c>
      <c r="AV45" s="25">
        <f>$K45*(1-($D$11+$D$17)/100)*(1-$L45/100)</f>
        <v>9.9652499999999993</v>
      </c>
      <c r="AW45" s="25">
        <f>$H45*(1-($D$11)/100)*(1-$L45/100)*(1-$D$19/100)</f>
        <v>7.9141499999999994</v>
      </c>
      <c r="AX45" s="25">
        <f>$K45*(1-($D$11)/100)*(1-$L45/100)*(1-$D$19/100)</f>
        <v>7.9141499999999994</v>
      </c>
    </row>
    <row r="46" spans="6:50">
      <c r="G46" t="s">
        <v>52</v>
      </c>
      <c r="H46">
        <v>36</v>
      </c>
      <c r="K46">
        <f>IF(AND(I46="",J46=""),H46,IF(I46="",H46-J46,H46+($I46-$J46)))</f>
        <v>36</v>
      </c>
      <c r="L46">
        <v>14</v>
      </c>
      <c r="M46" s="11">
        <f>H46*((100-$D$11)/100)*((100-L46)/100)</f>
        <v>18.993960000000001</v>
      </c>
      <c r="N46" s="11">
        <f>K46*((100-$D$11)/100)*((100-L46)/100)</f>
        <v>18.993960000000001</v>
      </c>
      <c r="O46" s="3">
        <f>$H46*((100-$D$11)/100)*((100-$L46)/100)*((100-$D$13)/100)</f>
        <v>15.5750472</v>
      </c>
      <c r="P46" s="21">
        <f>$K46*((100-$D$11)/100)*((100-$L46)/100)*((100-$D$13)/100)</f>
        <v>15.5750472</v>
      </c>
      <c r="Q46" s="3">
        <f t="shared" si="6"/>
        <v>13.238790119999999</v>
      </c>
      <c r="R46" s="3">
        <f t="shared" si="7"/>
        <v>13.238790119999999</v>
      </c>
      <c r="S46" s="3">
        <f t="shared" si="8"/>
        <v>16.144865999999997</v>
      </c>
      <c r="T46" s="3">
        <f t="shared" si="9"/>
        <v>16.144865999999997</v>
      </c>
      <c r="U46" s="3">
        <f>$H46*(1-($D$11)/100)*(1-$L46/100)*(1-$D$19/100)</f>
        <v>11.396375999999998</v>
      </c>
      <c r="V46" s="3">
        <f>$K46*(1-($D$11)/100)*(1-$L46/100)*(1-$D$19/100)</f>
        <v>11.396375999999998</v>
      </c>
      <c r="AQ46" s="3">
        <f>$H46*((100-$D$11)/100)*((100-$L46)/100)*((100-$D$13)/100)</f>
        <v>15.5750472</v>
      </c>
      <c r="AR46" s="21">
        <f>$K46*((100-$D$11)/100)*((100-$L46)/100)*((100-$D$13)/100)</f>
        <v>15.5750472</v>
      </c>
      <c r="AS46" s="3">
        <f>$H46*(1-($D$11+$D$17)/100)*(1-$L46/100)*(1-$D$13/100)</f>
        <v>11.7669672</v>
      </c>
      <c r="AT46" s="3">
        <f>$K46*(1-($D$11+$D$17)/100)*(1-$L46/100)*(1-$D$13/100)</f>
        <v>11.7669672</v>
      </c>
      <c r="AU46" s="3">
        <f>$H46*(1-($D$11+$D$17)/100)*(1-$L46/100)</f>
        <v>14.349959999999999</v>
      </c>
      <c r="AV46" s="3">
        <f>$K46*(1-($D$11+$D$17)/100)*(1-$L46/100)</f>
        <v>14.349959999999999</v>
      </c>
      <c r="AW46" s="3">
        <f>$H46*(1-($D$11)/100)*(1-$L46/100)*(1-$D$19/100)</f>
        <v>11.396375999999998</v>
      </c>
      <c r="AX46" s="3">
        <f>$K46*(1-($D$11)/100)*(1-$L46/100)*(1-$D$19/100)</f>
        <v>11.396375999999998</v>
      </c>
    </row>
    <row r="47" spans="6:50" ht="20.25" customHeight="1">
      <c r="F47" s="67" t="s">
        <v>53</v>
      </c>
      <c r="G47" t="s">
        <v>54</v>
      </c>
      <c r="H47">
        <v>20</v>
      </c>
      <c r="K47">
        <f>IF(AND(I47="",J47=""),H47,IF(I47="",H47-J47,H47+($I47-$J47)))</f>
        <v>20</v>
      </c>
      <c r="L47">
        <v>12</v>
      </c>
      <c r="M47" s="12">
        <f>H47*((100-$D$11)/100)*((100-L47)/100)</f>
        <v>10.797600000000001</v>
      </c>
      <c r="N47" s="5">
        <f>K47*((100-$D$11)/100)*((100-L47)/100)</f>
        <v>10.797600000000001</v>
      </c>
      <c r="O47" s="3">
        <f>$H47*((100-$D$11)/100)*((100-$L47)/100)*((100-$D$13)/100)</f>
        <v>8.8540320000000001</v>
      </c>
      <c r="P47" s="21">
        <f>$K47*((100-$D$11)/100)*((100-$L47)/100)*((100-$D$13)/100)</f>
        <v>8.8540320000000001</v>
      </c>
      <c r="Q47" s="3">
        <f t="shared" si="6"/>
        <v>7.5259271999999999</v>
      </c>
      <c r="R47" s="3">
        <f t="shared" si="7"/>
        <v>7.5259271999999999</v>
      </c>
      <c r="S47" s="3">
        <f t="shared" si="8"/>
        <v>9.1779599999999988</v>
      </c>
      <c r="T47" s="3">
        <f t="shared" si="9"/>
        <v>9.1779599999999988</v>
      </c>
      <c r="U47" s="3">
        <f>$H47*(1-($D$11)/100)*(1-$L47/100)*(1-$D$19/100)</f>
        <v>6.478559999999999</v>
      </c>
      <c r="V47" s="3">
        <f>$K47*(1-($D$11)/100)*(1-$L47/100)*(1-$D$19/100)</f>
        <v>6.478559999999999</v>
      </c>
      <c r="AQ47" s="3">
        <f>$H47*((100-$D$11)/100)*((100-$L47)/100)*((100-$D$13)/100)</f>
        <v>8.8540320000000001</v>
      </c>
      <c r="AR47" s="21">
        <f>$K47*((100-$D$11)/100)*((100-$L47)/100)*((100-$D$13)/100)</f>
        <v>8.8540320000000001</v>
      </c>
      <c r="AS47" s="3">
        <f>$H47*(1-($D$11+$D$17)/100)*(1-$L47/100)*(1-$D$13/100)</f>
        <v>6.6892320000000005</v>
      </c>
      <c r="AT47" s="3">
        <f>$K47*(1-($D$11+$D$17)/100)*(1-$L47/100)*(1-$D$13/100)</f>
        <v>6.6892320000000005</v>
      </c>
      <c r="AU47" s="3">
        <f>$H47*(1-($D$11+$D$17)/100)*(1-$L47/100)</f>
        <v>8.1576000000000004</v>
      </c>
      <c r="AV47" s="3">
        <f>$K47*(1-($D$11+$D$17)/100)*(1-$L47/100)</f>
        <v>8.1576000000000004</v>
      </c>
      <c r="AW47" s="3">
        <f>$H47*(1-($D$11)/100)*(1-$L47/100)*(1-$D$19/100)</f>
        <v>6.478559999999999</v>
      </c>
      <c r="AX47" s="3">
        <f>$K47*(1-($D$11)/100)*(1-$L47/100)*(1-$D$19/100)</f>
        <v>6.478559999999999</v>
      </c>
    </row>
    <row r="48" spans="6:50" ht="20.25" customHeight="1">
      <c r="F48" s="67"/>
      <c r="G48" t="s">
        <v>55</v>
      </c>
      <c r="H48">
        <v>16</v>
      </c>
      <c r="K48">
        <f>IF(AND(I48="",J48=""),H48,IF(I48="",H48-J48,H48+($I48-$J48)))</f>
        <v>16</v>
      </c>
      <c r="M48" s="12">
        <f>H48*((100-$D$11)/100)*((100-L48)/100)</f>
        <v>9.8160000000000007</v>
      </c>
      <c r="N48" s="5">
        <f>K48*((100-$D$11)/100)*((100-L48)/100)</f>
        <v>9.8160000000000007</v>
      </c>
      <c r="O48" s="3">
        <f>$H48*((100-$D$11)/100)*((100-$L48)/100)*((100-$D$13)/100)</f>
        <v>8.0491200000000003</v>
      </c>
      <c r="P48" s="3">
        <f>$K48*((100-$D$11)/100)*((100-$L48)/100)*((100-$D$13)/100)</f>
        <v>8.0491200000000003</v>
      </c>
      <c r="Q48" s="3">
        <f t="shared" si="6"/>
        <v>6.8417519999999996</v>
      </c>
      <c r="R48" s="3">
        <f t="shared" si="7"/>
        <v>6.8417519999999996</v>
      </c>
      <c r="S48" s="3">
        <f t="shared" si="8"/>
        <v>8.3435999999999986</v>
      </c>
      <c r="T48" s="3">
        <f t="shared" si="9"/>
        <v>8.3435999999999986</v>
      </c>
      <c r="U48" s="3">
        <f>$H48*(1-($D$11)/100)*(1-$L48/100)*(1-$D$19/100)</f>
        <v>5.8895999999999988</v>
      </c>
      <c r="V48" s="3">
        <f>$K48*(1-($D$11)/100)*(1-$L48/100)*(1-$D$19/100)</f>
        <v>5.8895999999999988</v>
      </c>
      <c r="AQ48" s="3">
        <f>$H48*((100-$D$11)/100)*((100-$L48)/100)*((100-$D$13)/100)</f>
        <v>8.0491200000000003</v>
      </c>
      <c r="AR48" s="3">
        <f>$K48*((100-$D$11)/100)*((100-$L48)/100)*((100-$D$13)/100)</f>
        <v>8.0491200000000003</v>
      </c>
      <c r="AS48" s="3">
        <f>$H48*(1-($D$11+$D$17)/100)*(1-$L48/100)*(1-$D$13/100)</f>
        <v>6.0811200000000012</v>
      </c>
      <c r="AT48" s="3">
        <f>$K48*(1-($D$11+$D$17)/100)*(1-$L48/100)*(1-$D$13/100)</f>
        <v>6.0811200000000012</v>
      </c>
      <c r="AU48" s="3">
        <f>$H48*(1-($D$11+$D$17)/100)*(1-$L48/100)</f>
        <v>7.4160000000000004</v>
      </c>
      <c r="AV48" s="3">
        <f>$K48*(1-($D$11+$D$17)/100)*(1-$L48/100)</f>
        <v>7.4160000000000004</v>
      </c>
      <c r="AW48" s="3">
        <f>$H48*(1-($D$11)/100)*(1-$L48/100)*(1-$D$19/100)</f>
        <v>5.8895999999999988</v>
      </c>
      <c r="AX48" s="3">
        <f>$K48*(1-($D$11)/100)*(1-$L48/100)*(1-$D$19/100)</f>
        <v>5.8895999999999988</v>
      </c>
    </row>
    <row r="49" spans="6:50" ht="20.25" customHeight="1">
      <c r="F49" s="67"/>
      <c r="G49" t="s">
        <v>56</v>
      </c>
      <c r="H49">
        <v>14</v>
      </c>
      <c r="K49">
        <f>IF(AND(I49="",J49=""),H49,IF(I49="",H49-J49,H49+($I49-$J49)))</f>
        <v>14</v>
      </c>
      <c r="M49" s="12">
        <f>H49*((100-$D$11)/100)*((100-L49)/100)</f>
        <v>8.5890000000000004</v>
      </c>
      <c r="N49" s="5">
        <f>K49*((100-$D$11)/100)*((100-L49)/100)</f>
        <v>8.5890000000000004</v>
      </c>
      <c r="O49" s="3">
        <f>$H49*((100-$D$11)/100)*((100-$L49)/100)*((100-$D$13)/100)</f>
        <v>7.04298</v>
      </c>
      <c r="P49" s="3">
        <f>$K49*((100-$D$11)/100)*((100-$L49)/100)*((100-$D$13)/100)</f>
        <v>7.04298</v>
      </c>
      <c r="Q49" s="3">
        <f t="shared" si="6"/>
        <v>5.9865329999999988</v>
      </c>
      <c r="R49" s="3">
        <f t="shared" si="7"/>
        <v>5.9865329999999988</v>
      </c>
      <c r="S49" s="3">
        <f t="shared" si="8"/>
        <v>7.3006499999999983</v>
      </c>
      <c r="T49" s="3">
        <f t="shared" si="9"/>
        <v>7.3006499999999983</v>
      </c>
      <c r="U49" s="3">
        <f>$H49*(1-($D$11)/100)*(1-$L49/100)*(1-$D$19/100)</f>
        <v>5.1533999999999986</v>
      </c>
      <c r="V49" s="3">
        <f>$K49*(1-($D$11)/100)*(1-$L49/100)*(1-$D$19/100)</f>
        <v>5.1533999999999986</v>
      </c>
      <c r="AQ49" s="3">
        <f>$H49*((100-$D$11)/100)*((100-$L49)/100)*((100-$D$13)/100)</f>
        <v>7.04298</v>
      </c>
      <c r="AR49" s="3">
        <f>$K49*((100-$D$11)/100)*((100-$L49)/100)*((100-$D$13)/100)</f>
        <v>7.04298</v>
      </c>
      <c r="AS49" s="3">
        <f>$H49*(1-($D$11+$D$17)/100)*(1-$L49/100)*(1-$D$13/100)</f>
        <v>5.3209800000000014</v>
      </c>
      <c r="AT49" s="3">
        <f>$K49*(1-($D$11+$D$17)/100)*(1-$L49/100)*(1-$D$13/100)</f>
        <v>5.3209800000000014</v>
      </c>
      <c r="AU49" s="3">
        <f>$H49*(1-($D$11+$D$17)/100)*(1-$L49/100)</f>
        <v>6.4890000000000008</v>
      </c>
      <c r="AV49" s="3">
        <f>$K49*(1-($D$11+$D$17)/100)*(1-$L49/100)</f>
        <v>6.4890000000000008</v>
      </c>
      <c r="AW49" s="3">
        <f>$H49*(1-($D$11)/100)*(1-$L49/100)*(1-$D$19/100)</f>
        <v>5.1533999999999986</v>
      </c>
      <c r="AX49" s="3">
        <f>$K49*(1-($D$11)/100)*(1-$L49/100)*(1-$D$19/100)</f>
        <v>5.1533999999999986</v>
      </c>
    </row>
    <row r="50" spans="6:50" ht="20.25" customHeight="1">
      <c r="F50" s="67"/>
      <c r="G50" t="s">
        <v>57</v>
      </c>
      <c r="H50">
        <v>8</v>
      </c>
      <c r="K50">
        <f>IF(AND(I50="",J50=""),H50,IF(I50="",H50-J50,H50+($I50-$J50)))</f>
        <v>8</v>
      </c>
      <c r="M50" s="12">
        <f>H50*((100-$D$11)/100)*((100-L50)/100)</f>
        <v>4.9080000000000004</v>
      </c>
      <c r="N50" s="5">
        <f>K50*((100-$D$11)/100)*((100-L50)/100)</f>
        <v>4.9080000000000004</v>
      </c>
      <c r="O50" s="3">
        <f>$H50*((100-$D$11)/100)*((100-$L50)/100)*((100-$D$13)/100)</f>
        <v>4.0245600000000001</v>
      </c>
      <c r="P50" s="3">
        <f>$K50*((100-$D$11)/100)*((100-$L50)/100)*((100-$D$13)/100)</f>
        <v>4.0245600000000001</v>
      </c>
      <c r="Q50" s="3">
        <f t="shared" si="6"/>
        <v>3.4208759999999998</v>
      </c>
      <c r="R50" s="3">
        <f t="shared" si="7"/>
        <v>3.4208759999999998</v>
      </c>
      <c r="S50" s="3">
        <f t="shared" si="8"/>
        <v>4.1717999999999993</v>
      </c>
      <c r="T50" s="3">
        <f t="shared" si="9"/>
        <v>4.1717999999999993</v>
      </c>
      <c r="U50" s="3">
        <f>$H50*(1-($D$11)/100)*(1-$L50/100)*(1-$D$19/100)</f>
        <v>2.9447999999999994</v>
      </c>
      <c r="V50" s="3">
        <f>$K50*(1-($D$11)/100)*(1-$L50/100)*(1-$D$19/100)</f>
        <v>2.9447999999999994</v>
      </c>
      <c r="AQ50" s="3">
        <f>$H50*((100-$D$11)/100)*((100-$L50)/100)*((100-$D$13)/100)</f>
        <v>4.0245600000000001</v>
      </c>
      <c r="AR50" s="3">
        <f>$K50*((100-$D$11)/100)*((100-$L50)/100)*((100-$D$13)/100)</f>
        <v>4.0245600000000001</v>
      </c>
      <c r="AS50" s="3">
        <f>$H50*(1-($D$11+$D$17)/100)*(1-$L50/100)*(1-$D$13/100)</f>
        <v>3.0405600000000006</v>
      </c>
      <c r="AT50" s="3">
        <f>$K50*(1-($D$11+$D$17)/100)*(1-$L50/100)*(1-$D$13/100)</f>
        <v>3.0405600000000006</v>
      </c>
      <c r="AU50" s="3">
        <f>$H50*(1-($D$11+$D$17)/100)*(1-$L50/100)</f>
        <v>3.7080000000000002</v>
      </c>
      <c r="AV50" s="3">
        <f>$K50*(1-($D$11+$D$17)/100)*(1-$L50/100)</f>
        <v>3.7080000000000002</v>
      </c>
      <c r="AW50" s="3">
        <f>$H50*(1-($D$11)/100)*(1-$L50/100)*(1-$D$19/100)</f>
        <v>2.9447999999999994</v>
      </c>
      <c r="AX50" s="3">
        <f>$K50*(1-($D$11)/100)*(1-$L50/100)*(1-$D$19/100)</f>
        <v>2.9447999999999994</v>
      </c>
    </row>
    <row r="51" spans="6:50" ht="20.25" customHeight="1">
      <c r="F51" s="67"/>
      <c r="G51" t="s">
        <v>58</v>
      </c>
      <c r="H51">
        <v>16</v>
      </c>
      <c r="K51">
        <f>IF(AND(I51="",J51=""),H51,IF(I51="",H51-J51,H51+($I51-$J51)))</f>
        <v>16</v>
      </c>
      <c r="M51" s="12">
        <f>H51*((100-$D$11)/100)*((100-L51)/100)</f>
        <v>9.8160000000000007</v>
      </c>
      <c r="N51" s="5">
        <f>K51*((100-$D$11)/100)*((100-L51)/100)</f>
        <v>9.8160000000000007</v>
      </c>
      <c r="O51" s="3">
        <f>$H51*((100-$D$11)/100)*((100-$L51)/100)*((100-$D$13)/100)</f>
        <v>8.0491200000000003</v>
      </c>
      <c r="P51" s="3">
        <f>$K51*((100-$D$11)/100)*((100-$L51)/100)*((100-$D$13)/100)</f>
        <v>8.0491200000000003</v>
      </c>
      <c r="Q51" s="3">
        <f t="shared" si="6"/>
        <v>6.8417519999999996</v>
      </c>
      <c r="R51" s="3">
        <f t="shared" si="7"/>
        <v>6.8417519999999996</v>
      </c>
      <c r="S51" s="3">
        <f t="shared" si="8"/>
        <v>8.3435999999999986</v>
      </c>
      <c r="T51" s="3">
        <f t="shared" si="9"/>
        <v>8.3435999999999986</v>
      </c>
      <c r="U51" s="3">
        <f>$H51*(1-($D$11)/100)*(1-$L51/100)*(1-$D$19/100)</f>
        <v>5.8895999999999988</v>
      </c>
      <c r="V51" s="3">
        <f>$K51*(1-($D$11)/100)*(1-$L51/100)*(1-$D$19/100)</f>
        <v>5.8895999999999988</v>
      </c>
      <c r="AQ51" s="3">
        <f>$H51*((100-$D$11)/100)*((100-$L51)/100)*((100-$D$13)/100)</f>
        <v>8.0491200000000003</v>
      </c>
      <c r="AR51" s="3">
        <f>$K51*((100-$D$11)/100)*((100-$L51)/100)*((100-$D$13)/100)</f>
        <v>8.0491200000000003</v>
      </c>
      <c r="AS51" s="3">
        <f>$H51*(1-($D$11+$D$17)/100)*(1-$L51/100)*(1-$D$13/100)</f>
        <v>6.0811200000000012</v>
      </c>
      <c r="AT51" s="3">
        <f>$K51*(1-($D$11+$D$17)/100)*(1-$L51/100)*(1-$D$13/100)</f>
        <v>6.0811200000000012</v>
      </c>
      <c r="AU51" s="3">
        <f>$H51*(1-($D$11+$D$17)/100)*(1-$L51/100)</f>
        <v>7.4160000000000004</v>
      </c>
      <c r="AV51" s="3">
        <f>$K51*(1-($D$11+$D$17)/100)*(1-$L51/100)</f>
        <v>7.4160000000000004</v>
      </c>
      <c r="AW51" s="3">
        <f>$H51*(1-($D$11)/100)*(1-$L51/100)*(1-$D$19/100)</f>
        <v>5.8895999999999988</v>
      </c>
      <c r="AX51" s="3">
        <f>$K51*(1-($D$11)/100)*(1-$L51/100)*(1-$D$19/100)</f>
        <v>5.8895999999999988</v>
      </c>
    </row>
    <row r="52" spans="6:50">
      <c r="F52" s="68" t="s">
        <v>59</v>
      </c>
      <c r="G52" t="s">
        <v>60</v>
      </c>
      <c r="H52">
        <v>6</v>
      </c>
      <c r="K52">
        <f>IF(AND(I52="",J52=""),H52,IF(I52="",H52-J52,H52+($I52-$J52)))</f>
        <v>6</v>
      </c>
      <c r="M52" s="5">
        <f>H52*((100-$D$11)/100)*((100-L52)/100)</f>
        <v>3.681</v>
      </c>
      <c r="N52" s="5">
        <f>K52*((100-$D$11)/100)*((100-L52)/100)</f>
        <v>3.681</v>
      </c>
      <c r="O52" s="3">
        <f>$H52*((100-$D$11)/100)*((100-$L52)/100)*((100-$D$13)/100)</f>
        <v>3.0184199999999999</v>
      </c>
      <c r="P52" s="3">
        <f>$K52*((100-$D$11)/100)*((100-$L52)/100)*((100-$D$13)/100)</f>
        <v>3.0184199999999999</v>
      </c>
      <c r="Q52" s="3">
        <f t="shared" si="6"/>
        <v>2.5656569999999999</v>
      </c>
      <c r="R52" s="3">
        <f t="shared" si="7"/>
        <v>2.5656569999999999</v>
      </c>
      <c r="S52" s="3">
        <f t="shared" si="8"/>
        <v>3.1288499999999995</v>
      </c>
      <c r="T52" s="3">
        <f t="shared" si="9"/>
        <v>3.1288499999999995</v>
      </c>
      <c r="U52" s="3">
        <f>$H52*(1-($D$11)/100)*(1-$L52/100)*(1-$D$19/100)</f>
        <v>2.2085999999999997</v>
      </c>
      <c r="V52" s="3">
        <f>$K52*(1-($D$11)/100)*(1-$L52/100)*(1-$D$19/100)</f>
        <v>2.2085999999999997</v>
      </c>
      <c r="AQ52" s="3">
        <f>$H52*((100-$D$11)/100)*((100-$L52)/100)*((100-$D$13)/100)</f>
        <v>3.0184199999999999</v>
      </c>
      <c r="AR52" s="3">
        <f>$K52*((100-$D$11)/100)*((100-$L52)/100)*((100-$D$13)/100)</f>
        <v>3.0184199999999999</v>
      </c>
      <c r="AS52" s="3">
        <f>$H52*(1-($D$11+$D$17)/100)*(1-$L52/100)*(1-$D$13/100)</f>
        <v>2.2804200000000003</v>
      </c>
      <c r="AT52" s="3">
        <f>$K52*(1-($D$11+$D$17)/100)*(1-$L52/100)*(1-$D$13/100)</f>
        <v>2.2804200000000003</v>
      </c>
      <c r="AU52" s="3">
        <f>$H52*(1-($D$11+$D$17)/100)*(1-$L52/100)</f>
        <v>2.7810000000000001</v>
      </c>
      <c r="AV52" s="3">
        <f>$K52*(1-($D$11+$D$17)/100)*(1-$L52/100)</f>
        <v>2.7810000000000001</v>
      </c>
      <c r="AW52" s="3">
        <f>$H52*(1-($D$11)/100)*(1-$L52/100)*(1-$D$19/100)</f>
        <v>2.2085999999999997</v>
      </c>
      <c r="AX52" s="3">
        <f>$K52*(1-($D$11)/100)*(1-$L52/100)*(1-$D$19/100)</f>
        <v>2.2085999999999997</v>
      </c>
    </row>
    <row r="53" spans="6:50">
      <c r="F53" s="68"/>
      <c r="G53" t="s">
        <v>35</v>
      </c>
      <c r="H53">
        <v>16</v>
      </c>
      <c r="K53">
        <f>IF(AND(I53="",J53=""),H53,IF(I53="",H53-J53,H53+($I53-$J53)))</f>
        <v>16</v>
      </c>
      <c r="M53" s="5">
        <f>H53*((100-$D$11)/100)*((100-L53)/100)</f>
        <v>9.8160000000000007</v>
      </c>
      <c r="N53" s="5">
        <f>K53*((100-$D$11)/100)*((100-L53)/100)</f>
        <v>9.8160000000000007</v>
      </c>
      <c r="O53" s="3">
        <f>$H53*((100-$D$11)/100)*((100-$L53)/100)*((100-$D$13)/100)</f>
        <v>8.0491200000000003</v>
      </c>
      <c r="P53" s="3">
        <f>$K53*((100-$D$11)/100)*((100-$L53)/100)*((100-$D$13)/100)</f>
        <v>8.0491200000000003</v>
      </c>
      <c r="Q53" s="3">
        <f t="shared" si="6"/>
        <v>6.8417519999999996</v>
      </c>
      <c r="R53" s="3">
        <f t="shared" si="7"/>
        <v>6.8417519999999996</v>
      </c>
      <c r="S53" s="3">
        <f t="shared" si="8"/>
        <v>8.3435999999999986</v>
      </c>
      <c r="T53" s="3">
        <f t="shared" si="9"/>
        <v>8.3435999999999986</v>
      </c>
      <c r="U53" s="3">
        <f>$H53*(1-($D$11)/100)*(1-$L53/100)*(1-$D$19/100)</f>
        <v>5.8895999999999988</v>
      </c>
      <c r="V53" s="3">
        <f>$K53*(1-($D$11)/100)*(1-$L53/100)*(1-$D$19/100)</f>
        <v>5.8895999999999988</v>
      </c>
      <c r="AQ53" s="3">
        <f>$H53*((100-$D$11)/100)*((100-$L53)/100)*((100-$D$13)/100)</f>
        <v>8.0491200000000003</v>
      </c>
      <c r="AR53" s="3">
        <f>$K53*((100-$D$11)/100)*((100-$L53)/100)*((100-$D$13)/100)</f>
        <v>8.0491200000000003</v>
      </c>
      <c r="AS53" s="3">
        <f>$H53*(1-($D$11+$D$17)/100)*(1-$L53/100)*(1-$D$13/100)</f>
        <v>6.0811200000000012</v>
      </c>
      <c r="AT53" s="3">
        <f>$K53*(1-($D$11+$D$17)/100)*(1-$L53/100)*(1-$D$13/100)</f>
        <v>6.0811200000000012</v>
      </c>
      <c r="AU53" s="3">
        <f>$H53*(1-($D$11+$D$17)/100)*(1-$L53/100)</f>
        <v>7.4160000000000004</v>
      </c>
      <c r="AV53" s="3">
        <f>$K53*(1-($D$11+$D$17)/100)*(1-$L53/100)</f>
        <v>7.4160000000000004</v>
      </c>
      <c r="AW53" s="3">
        <f>$H53*(1-($D$11)/100)*(1-$L53/100)*(1-$D$19/100)</f>
        <v>5.8895999999999988</v>
      </c>
      <c r="AX53" s="3">
        <f>$K53*(1-($D$11)/100)*(1-$L53/100)*(1-$D$19/100)</f>
        <v>5.8895999999999988</v>
      </c>
    </row>
    <row r="54" spans="6:50">
      <c r="F54" s="68"/>
      <c r="G54" t="s">
        <v>36</v>
      </c>
      <c r="H54">
        <v>20</v>
      </c>
      <c r="K54">
        <f>IF(AND(I54="",J54=""),H54,IF(I54="",H54-J54,H54+($I54-$J54)))</f>
        <v>20</v>
      </c>
      <c r="M54" s="5">
        <f>H54*((100-$D$11)/100)*((100-L54)/100)</f>
        <v>12.270000000000001</v>
      </c>
      <c r="N54" s="5">
        <f>K54*((100-$D$11)/100)*((100-L54)/100)</f>
        <v>12.270000000000001</v>
      </c>
      <c r="O54" s="3">
        <f>$H54*((100-$D$11)/100)*((100-$L54)/100)*((100-$D$13)/100)</f>
        <v>10.061400000000001</v>
      </c>
      <c r="P54" s="3">
        <f>$K54*((100-$D$11)/100)*((100-$L54)/100)*((100-$D$13)/100)</f>
        <v>10.061400000000001</v>
      </c>
      <c r="Q54" s="3">
        <f t="shared" si="6"/>
        <v>8.5521900000000013</v>
      </c>
      <c r="R54" s="3">
        <f t="shared" si="7"/>
        <v>8.5521900000000013</v>
      </c>
      <c r="S54" s="3">
        <f t="shared" si="8"/>
        <v>10.429499999999999</v>
      </c>
      <c r="T54" s="3">
        <f t="shared" si="9"/>
        <v>10.429499999999999</v>
      </c>
      <c r="U54" s="3">
        <f>$H54*(1-($D$11)/100)*(1-$L54/100)*(1-$D$19/100)</f>
        <v>7.3619999999999992</v>
      </c>
      <c r="V54" s="3">
        <f>$K54*(1-($D$11)/100)*(1-$L54/100)*(1-$D$19/100)</f>
        <v>7.3619999999999992</v>
      </c>
      <c r="AQ54" s="3">
        <f>$H54*((100-$D$11)/100)*((100-$L54)/100)*((100-$D$13)/100)</f>
        <v>10.061400000000001</v>
      </c>
      <c r="AR54" s="3">
        <f>$K54*((100-$D$11)/100)*((100-$L54)/100)*((100-$D$13)/100)</f>
        <v>10.061400000000001</v>
      </c>
      <c r="AS54" s="3">
        <f>$H54*(1-($D$11+$D$17)/100)*(1-$L54/100)*(1-$D$13/100)</f>
        <v>7.6013999999999999</v>
      </c>
      <c r="AT54" s="3">
        <f>$K54*(1-($D$11+$D$17)/100)*(1-$L54/100)*(1-$D$13/100)</f>
        <v>7.6013999999999999</v>
      </c>
      <c r="AU54" s="3">
        <f>$H54*(1-($D$11+$D$17)/100)*(1-$L54/100)</f>
        <v>9.27</v>
      </c>
      <c r="AV54" s="3">
        <f>$K54*(1-($D$11+$D$17)/100)*(1-$L54/100)</f>
        <v>9.27</v>
      </c>
      <c r="AW54" s="3">
        <f>$H54*(1-($D$11)/100)*(1-$L54/100)*(1-$D$19/100)</f>
        <v>7.3619999999999992</v>
      </c>
      <c r="AX54" s="3">
        <f>$K54*(1-($D$11)/100)*(1-$L54/100)*(1-$D$19/100)</f>
        <v>7.3619999999999992</v>
      </c>
    </row>
    <row r="55" spans="6:50">
      <c r="F55" s="68"/>
      <c r="G55" t="s">
        <v>37</v>
      </c>
      <c r="H55">
        <v>18</v>
      </c>
      <c r="K55">
        <f>IF(AND(I55="",J55=""),H55,IF(I55="",H55-J55,H55+($I55-$J55)))</f>
        <v>18</v>
      </c>
      <c r="M55" s="5">
        <f>H55*((100-$D$11)/100)*((100-L55)/100)</f>
        <v>11.043000000000001</v>
      </c>
      <c r="N55" s="5">
        <f>K55*((100-$D$11)/100)*((100-L55)/100)</f>
        <v>11.043000000000001</v>
      </c>
      <c r="O55" s="3">
        <f>$H55*((100-$D$11)/100)*((100-$L55)/100)*((100-$D$13)/100)</f>
        <v>9.0552600000000005</v>
      </c>
      <c r="P55" s="3">
        <f>$K55*((100-$D$11)/100)*((100-$L55)/100)*((100-$D$13)/100)</f>
        <v>9.0552600000000005</v>
      </c>
      <c r="Q55" s="3">
        <f t="shared" si="6"/>
        <v>7.6969710000000005</v>
      </c>
      <c r="R55" s="3">
        <f t="shared" si="7"/>
        <v>7.6969710000000005</v>
      </c>
      <c r="S55" s="3">
        <f t="shared" si="8"/>
        <v>9.3865499999999997</v>
      </c>
      <c r="T55" s="3">
        <f t="shared" si="9"/>
        <v>9.3865499999999997</v>
      </c>
      <c r="U55" s="3">
        <f>$H55*(1-($D$11)/100)*(1-$L55/100)*(1-$D$19/100)</f>
        <v>6.625799999999999</v>
      </c>
      <c r="V55" s="3">
        <f>$K55*(1-($D$11)/100)*(1-$L55/100)*(1-$D$19/100)</f>
        <v>6.625799999999999</v>
      </c>
      <c r="AQ55" s="3">
        <f>$H55*((100-$D$11)/100)*((100-$L55)/100)*((100-$D$13)/100)</f>
        <v>9.0552600000000005</v>
      </c>
      <c r="AR55" s="3">
        <f>$K55*((100-$D$11)/100)*((100-$L55)/100)*((100-$D$13)/100)</f>
        <v>9.0552600000000005</v>
      </c>
      <c r="AS55" s="3">
        <f>$H55*(1-($D$11+$D$17)/100)*(1-$L55/100)*(1-$D$13/100)</f>
        <v>6.8412600000000001</v>
      </c>
      <c r="AT55" s="3">
        <f>$K55*(1-($D$11+$D$17)/100)*(1-$L55/100)*(1-$D$13/100)</f>
        <v>6.8412600000000001</v>
      </c>
      <c r="AU55" s="3">
        <f>$H55*(1-($D$11+$D$17)/100)*(1-$L55/100)</f>
        <v>8.343</v>
      </c>
      <c r="AV55" s="3">
        <f>$K55*(1-($D$11+$D$17)/100)*(1-$L55/100)</f>
        <v>8.343</v>
      </c>
      <c r="AW55" s="3">
        <f>$H55*(1-($D$11)/100)*(1-$L55/100)*(1-$D$19/100)</f>
        <v>6.625799999999999</v>
      </c>
      <c r="AX55" s="3">
        <f>$K55*(1-($D$11)/100)*(1-$L55/100)*(1-$D$19/100)</f>
        <v>6.625799999999999</v>
      </c>
    </row>
    <row r="56" spans="6:50">
      <c r="F56" s="28" t="s">
        <v>24</v>
      </c>
      <c r="G56" t="s">
        <v>61</v>
      </c>
      <c r="H56">
        <v>300</v>
      </c>
      <c r="K56">
        <f>IF(AND(I56="",J56=""),H56,IF(I56="",H56-J56,H56+($I56-$J56)))</f>
        <v>300</v>
      </c>
      <c r="M56" s="5">
        <f>H56*((100-D11)/100)*((100-L56)/100)</f>
        <v>184.05</v>
      </c>
      <c r="N56" s="5">
        <f>K56*((100-D11)/100)*((100-L56)/100)</f>
        <v>184.05</v>
      </c>
      <c r="O56" s="1">
        <f>$H$56*((100-$D$11)/100)*((100-$L$56)/100)*((100-$E$13)/100)</f>
        <v>147.24</v>
      </c>
      <c r="P56" s="3"/>
      <c r="Q56" s="1">
        <f>$H$56*(1-$D$11/100)*(1-$L$56/100)*(1-$E$13/100)*(1-$D$17/100)</f>
        <v>125.15399999999998</v>
      </c>
      <c r="S56" s="3">
        <f>$H$56*(1-$D$11/100)*(1-$L56/100)*(1-$D$17/100)</f>
        <v>156.4425</v>
      </c>
      <c r="T56" s="3"/>
      <c r="AQ56" s="1">
        <f>$H$56*((100-$D$11)/100)*((100-$L$56)/100)*((100-$E$13)/100)</f>
        <v>147.24</v>
      </c>
      <c r="AR56" s="3"/>
      <c r="AS56" s="1">
        <f>$H$56*(1-($D$11+$D$17)/100)*(1-$L$56/100)*(1-$E$13/100)</f>
        <v>111.24000000000001</v>
      </c>
      <c r="AU56" s="3">
        <f>$H$56*(1-($D$11+$D$17)/100)*(1-$L56/100)</f>
        <v>139.05000000000001</v>
      </c>
      <c r="AV56" s="3"/>
    </row>
    <row r="57" spans="6:50">
      <c r="O57" s="1">
        <f>$H$56*((100-$D$11)/100)*((100-$L$56)/100)*((100-$E$13)/100)*(1-$C$15/100)</f>
        <v>132.51600000000002</v>
      </c>
      <c r="Q57" s="1">
        <f>$H$56*(1-$D$11/100)*(1-$L$56/100)*(1-$E$13/100)*(1-$C$15/100)*(1-$D$17/100)</f>
        <v>112.63859999999998</v>
      </c>
      <c r="S57" s="1">
        <f>$H$56*(1-$D$11/100)*(1-$L$56/100)*(1-$C$15/100)*(1-$D$17/100)</f>
        <v>140.79824999999997</v>
      </c>
      <c r="AQ57" s="1">
        <f>$H$56*((100-$D$11)/100)*((100-$L$56)/100)*((100-$E$13)/100)*(1-$C$15/100)</f>
        <v>132.51600000000002</v>
      </c>
      <c r="AS57" s="1">
        <f>$H$56*(1-($D$11+$D$17)/100)*(1-$L$56/100)*(1-$E$13/100)*(1-$C$15/100)</f>
        <v>100.11600000000001</v>
      </c>
      <c r="AU57" s="1">
        <f>$H$56*(1-($D$11+$D$17)/100)*(1-$L$56/100)*(1-$C$15/100)</f>
        <v>125.14500000000001</v>
      </c>
    </row>
    <row r="58" spans="6:50">
      <c r="O58" s="1">
        <f>$H$56*((100-$D$11)/100)*((100-$L$56)/100)*((100-$E$13)/100)*(1-$D$15/100)</f>
        <v>110.43</v>
      </c>
      <c r="Q58" s="1">
        <f>$H$56*(1-$D$11/100)*(1-$L$56/100)*(1-$E$13/100)*(1-$D$15/100)*(1-$D$17/100)</f>
        <v>93.865499999999983</v>
      </c>
      <c r="S58" s="1">
        <f>$H$56*(1-$D$11/100)*(1-$L$56/100)*(1-$D$15/100)*(1-$D$17/100)</f>
        <v>117.331875</v>
      </c>
      <c r="AQ58" s="1">
        <f>$H$56*((100-$D$11)/100)*((100-$L$56)/100)*((100-$E$13)/100)*(1-$D$15/100)</f>
        <v>110.43</v>
      </c>
      <c r="AS58" s="1">
        <f>$H$56*(1-($D$11+$D$17)/100)*(1-$L$56/100)*(1-$E$13/100)*(1-$D$15/100)</f>
        <v>83.43</v>
      </c>
      <c r="AU58" s="1">
        <f>$H$56*(1-($D$11+$D$17)/100)*(1-$L$56/100)*(1-$D$15/100)</f>
        <v>104.28750000000001</v>
      </c>
    </row>
    <row r="59" spans="6:50">
      <c r="O59" s="1">
        <f>$H$56*((100-$D$11)/100)*((100-$L$56)/100)*((100-$E$13)/100)*(1-$E$15/100)</f>
        <v>73.62</v>
      </c>
      <c r="Q59" s="1">
        <f>$H$56*(1-$D$11/100)*(1-$L$56/100)*(1-$E$13/100)*(1-$E$15/100)*(1-$D$17/100)</f>
        <v>62.576999999999991</v>
      </c>
      <c r="S59" s="1">
        <f>$H$56*(1-$D$11/100)*(1-$L$56/100)*(1-$E$15/100)*(1-$D$17/100)</f>
        <v>78.221249999999998</v>
      </c>
      <c r="AQ59" s="1">
        <f>$H$56*((100-$D$11)/100)*((100-$L$56)/100)*((100-$E$13)/100)*(1-$E$15/100)</f>
        <v>73.62</v>
      </c>
      <c r="AS59" s="1">
        <f>$H$56*(1-($D$11+$D$17)/100)*(1-$L$56/100)*(1-$E$13/100)*(1-$E$15/100)</f>
        <v>55.620000000000005</v>
      </c>
      <c r="AU59" s="1">
        <f>$H$56*(1-($D$11+$D$17)/100)*(1-$L$56/100)*(1-$E$15/100)</f>
        <v>69.525000000000006</v>
      </c>
    </row>
  </sheetData>
  <autoFilter ref="F38:V59" xr:uid="{00000000-0001-0000-0000-000000000000}"/>
  <mergeCells count="7">
    <mergeCell ref="E1:J1"/>
    <mergeCell ref="F47:F51"/>
    <mergeCell ref="F52:F55"/>
    <mergeCell ref="C18:E18"/>
    <mergeCell ref="G3:J3"/>
    <mergeCell ref="G6:O6"/>
    <mergeCell ref="G5:O5"/>
  </mergeCells>
  <phoneticPr fontId="7" type="noConversion"/>
  <conditionalFormatting sqref="K39">
    <cfRule type="cellIs" dxfId="33" priority="66" operator="greaterThan">
      <formula>$H$39</formula>
    </cfRule>
  </conditionalFormatting>
  <conditionalFormatting sqref="K39">
    <cfRule type="cellIs" dxfId="32" priority="64" operator="lessThan">
      <formula>$H$39</formula>
    </cfRule>
  </conditionalFormatting>
  <conditionalFormatting sqref="K40">
    <cfRule type="cellIs" dxfId="31" priority="63" operator="greaterThan">
      <formula>$H$40</formula>
    </cfRule>
  </conditionalFormatting>
  <conditionalFormatting sqref="K40">
    <cfRule type="cellIs" dxfId="30" priority="62" operator="lessThan">
      <formula>$H$40</formula>
    </cfRule>
  </conditionalFormatting>
  <conditionalFormatting sqref="K41">
    <cfRule type="cellIs" dxfId="29" priority="61" operator="greaterThan">
      <formula>$H$41</formula>
    </cfRule>
  </conditionalFormatting>
  <conditionalFormatting sqref="K41">
    <cfRule type="cellIs" dxfId="28" priority="60" operator="lessThan">
      <formula>$H$41</formula>
    </cfRule>
  </conditionalFormatting>
  <conditionalFormatting sqref="K42">
    <cfRule type="cellIs" dxfId="27" priority="59" operator="greaterThan">
      <formula>$H$42</formula>
    </cfRule>
  </conditionalFormatting>
  <conditionalFormatting sqref="K42">
    <cfRule type="cellIs" dxfId="26" priority="58" operator="lessThan">
      <formula>$H$42</formula>
    </cfRule>
  </conditionalFormatting>
  <conditionalFormatting sqref="K43">
    <cfRule type="cellIs" dxfId="25" priority="53" operator="greaterThan">
      <formula>$H$43</formula>
    </cfRule>
  </conditionalFormatting>
  <conditionalFormatting sqref="K43">
    <cfRule type="cellIs" dxfId="24" priority="52" operator="lessThan">
      <formula>$H$43</formula>
    </cfRule>
  </conditionalFormatting>
  <conditionalFormatting sqref="K44">
    <cfRule type="cellIs" dxfId="23" priority="47" operator="greaterThan">
      <formula>$H$44</formula>
    </cfRule>
  </conditionalFormatting>
  <conditionalFormatting sqref="K44">
    <cfRule type="cellIs" dxfId="22" priority="46" operator="lessThan">
      <formula>$H$44</formula>
    </cfRule>
  </conditionalFormatting>
  <conditionalFormatting sqref="K45">
    <cfRule type="cellIs" dxfId="21" priority="45" operator="greaterThan">
      <formula>$H$45</formula>
    </cfRule>
  </conditionalFormatting>
  <conditionalFormatting sqref="K45">
    <cfRule type="cellIs" dxfId="20" priority="44" operator="lessThan">
      <formula>$H$45</formula>
    </cfRule>
  </conditionalFormatting>
  <conditionalFormatting sqref="K46">
    <cfRule type="cellIs" dxfId="19" priority="43" operator="greaterThan">
      <formula>$H$46</formula>
    </cfRule>
  </conditionalFormatting>
  <conditionalFormatting sqref="K46">
    <cfRule type="cellIs" dxfId="18" priority="42" operator="lessThan">
      <formula>$H$46</formula>
    </cfRule>
  </conditionalFormatting>
  <conditionalFormatting sqref="K48">
    <cfRule type="cellIs" dxfId="17" priority="33" operator="greaterThan">
      <formula>$H$48</formula>
    </cfRule>
  </conditionalFormatting>
  <conditionalFormatting sqref="K48">
    <cfRule type="cellIs" dxfId="16" priority="32" operator="lessThan">
      <formula>$H$48</formula>
    </cfRule>
  </conditionalFormatting>
  <conditionalFormatting sqref="K49">
    <cfRule type="cellIs" dxfId="15" priority="16" operator="greaterThan">
      <formula>$H$49</formula>
    </cfRule>
  </conditionalFormatting>
  <conditionalFormatting sqref="K49">
    <cfRule type="cellIs" dxfId="14" priority="15" operator="lessThan">
      <formula>$H$49</formula>
    </cfRule>
  </conditionalFormatting>
  <conditionalFormatting sqref="K50">
    <cfRule type="cellIs" dxfId="13" priority="14" operator="greaterThan">
      <formula>$H$50</formula>
    </cfRule>
  </conditionalFormatting>
  <conditionalFormatting sqref="K50">
    <cfRule type="cellIs" dxfId="12" priority="13" operator="lessThan">
      <formula>$H$50</formula>
    </cfRule>
  </conditionalFormatting>
  <conditionalFormatting sqref="K51">
    <cfRule type="cellIs" dxfId="11" priority="12" operator="greaterThan">
      <formula>$H$51</formula>
    </cfRule>
  </conditionalFormatting>
  <conditionalFormatting sqref="K51">
    <cfRule type="cellIs" dxfId="10" priority="11" operator="lessThan">
      <formula>$H$51</formula>
    </cfRule>
  </conditionalFormatting>
  <conditionalFormatting sqref="K52">
    <cfRule type="cellIs" dxfId="9" priority="10" operator="greaterThan">
      <formula>$H$52</formula>
    </cfRule>
  </conditionalFormatting>
  <conditionalFormatting sqref="K52">
    <cfRule type="cellIs" dxfId="8" priority="9" operator="lessThan">
      <formula>$H$52</formula>
    </cfRule>
  </conditionalFormatting>
  <conditionalFormatting sqref="K53">
    <cfRule type="cellIs" dxfId="7" priority="8" operator="greaterThan">
      <formula>$H$53</formula>
    </cfRule>
  </conditionalFormatting>
  <conditionalFormatting sqref="K53">
    <cfRule type="cellIs" dxfId="6" priority="7" operator="lessThan">
      <formula>$H$53</formula>
    </cfRule>
  </conditionalFormatting>
  <conditionalFormatting sqref="K54">
    <cfRule type="cellIs" dxfId="5" priority="6" operator="greaterThan">
      <formula>$H$54</formula>
    </cfRule>
  </conditionalFormatting>
  <conditionalFormatting sqref="K54">
    <cfRule type="cellIs" dxfId="4" priority="5" operator="lessThan">
      <formula>$H$54</formula>
    </cfRule>
  </conditionalFormatting>
  <conditionalFormatting sqref="K55">
    <cfRule type="cellIs" dxfId="3" priority="4" operator="greaterThan">
      <formula>$H$55</formula>
    </cfRule>
  </conditionalFormatting>
  <conditionalFormatting sqref="K55">
    <cfRule type="cellIs" dxfId="2" priority="3" operator="lessThan">
      <formula>$H$55</formula>
    </cfRule>
  </conditionalFormatting>
  <conditionalFormatting sqref="K47">
    <cfRule type="cellIs" dxfId="1" priority="2" operator="greaterThan">
      <formula>$H$47</formula>
    </cfRule>
  </conditionalFormatting>
  <conditionalFormatting sqref="K47">
    <cfRule type="cellIs" dxfId="0" priority="1" operator="lessThan">
      <formula>$H$47</formula>
    </cfRule>
  </conditionalFormatting>
  <dataValidations count="9">
    <dataValidation type="list" allowBlank="1" showInputMessage="1" showErrorMessage="1" sqref="J43" xr:uid="{44E59050-3E76-4C8D-87A6-5C5A7774C7E3}">
      <formula1>$AD$25:$AD$30</formula1>
    </dataValidation>
    <dataValidation type="list" allowBlank="1" showInputMessage="1" showErrorMessage="1" sqref="J44" xr:uid="{937BAD07-4A44-41DC-B356-406E401503B1}">
      <formula1>$AC$25:$AC$30</formula1>
    </dataValidation>
    <dataValidation type="list" allowBlank="1" showInputMessage="1" showErrorMessage="1" sqref="I39" xr:uid="{67EEBA90-1216-4269-A6DB-781CE1D872F1}">
      <formula1>$AB$25:$AB$30</formula1>
    </dataValidation>
    <dataValidation type="list" showInputMessage="1" showErrorMessage="1" sqref="J42" xr:uid="{BCB86547-DC03-47CF-B9A6-449520CDC9E2}">
      <formula1>$AE$25:$AE$30</formula1>
    </dataValidation>
    <dataValidation type="list" allowBlank="1" showInputMessage="1" showErrorMessage="1" sqref="J46" xr:uid="{4714A1D1-757A-4626-B511-C82F106654AF}">
      <formula1>$AI$25:$AI$30</formula1>
    </dataValidation>
    <dataValidation type="list" allowBlank="1" showInputMessage="1" showErrorMessage="1" sqref="J53" xr:uid="{84DA9506-368D-4CB3-A1E1-566FC1E7E0F9}">
      <formula1>$AF$25:$AF$30</formula1>
    </dataValidation>
    <dataValidation type="list" allowBlank="1" showInputMessage="1" showErrorMessage="1" sqref="J54" xr:uid="{E084B46D-8245-4FF3-8354-4AFE27BE2F95}">
      <formula1>$AG$25:$AG$30</formula1>
    </dataValidation>
    <dataValidation type="list" allowBlank="1" showInputMessage="1" showErrorMessage="1" sqref="I55" xr:uid="{A008E7B1-19C5-4C15-873B-D8A139AAAF06}">
      <formula1>$AH$25:$AH$30</formula1>
    </dataValidation>
    <dataValidation type="list" allowBlank="1" showInputMessage="1" showErrorMessage="1" sqref="L39:L55" xr:uid="{33F21CBD-F651-48B1-8631-B687B2907894}">
      <formula1>$AB$10:$AB$20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0B1A-257D-4DB3-8BFB-4F5C8B3D20B8}">
  <dimension ref="F1:L11"/>
  <sheetViews>
    <sheetView tabSelected="1" workbookViewId="0">
      <selection activeCell="E4" sqref="E4"/>
    </sheetView>
  </sheetViews>
  <sheetFormatPr defaultRowHeight="16.5"/>
  <cols>
    <col min="5" max="5" width="6.875" customWidth="1"/>
    <col min="6" max="6" width="13.875" customWidth="1"/>
    <col min="7" max="7" width="15.875" customWidth="1"/>
    <col min="8" max="8" width="9.125" bestFit="1" customWidth="1"/>
  </cols>
  <sheetData>
    <row r="1" spans="6:12">
      <c r="G1" t="s">
        <v>62</v>
      </c>
      <c r="H1" s="74" t="s">
        <v>63</v>
      </c>
      <c r="I1" s="74"/>
      <c r="J1" s="74"/>
    </row>
    <row r="2" spans="6:12">
      <c r="H2" s="35" t="s">
        <v>64</v>
      </c>
      <c r="I2" s="35" t="s">
        <v>65</v>
      </c>
      <c r="J2" s="35" t="s">
        <v>66</v>
      </c>
    </row>
    <row r="3" spans="6:12">
      <c r="H3" s="30" t="s">
        <v>67</v>
      </c>
      <c r="I3" s="30" t="s">
        <v>68</v>
      </c>
      <c r="J3" s="30" t="s">
        <v>69</v>
      </c>
    </row>
    <row r="4" spans="6:12" ht="20.25" customHeight="1">
      <c r="F4" s="13" t="s">
        <v>70</v>
      </c>
      <c r="G4" s="15">
        <v>600</v>
      </c>
      <c r="H4" s="73">
        <f>IF($G4="","",$G4/27.947871)</f>
        <v>21.468540483817176</v>
      </c>
      <c r="I4" s="73"/>
      <c r="J4" s="73"/>
    </row>
    <row r="5" spans="6:12" ht="20.25" customHeight="1">
      <c r="F5" s="37" t="s">
        <v>71</v>
      </c>
      <c r="G5" s="16">
        <v>865</v>
      </c>
      <c r="H5" s="33">
        <f>IF($G5="","",$G5/9.986472)</f>
        <v>86.617175715307681</v>
      </c>
      <c r="I5" s="33">
        <f>IF($G5="","",$G5/31.075392)</f>
        <v>27.835529797982918</v>
      </c>
      <c r="J5" s="33">
        <f>IF($G5="","",$G5/18.302)</f>
        <v>47.262594251994315</v>
      </c>
    </row>
    <row r="6" spans="6:12" ht="20.25" customHeight="1">
      <c r="F6" s="14" t="s">
        <v>72</v>
      </c>
      <c r="G6" s="17">
        <v>1800</v>
      </c>
      <c r="H6" s="18">
        <f>IF($G6="","",$G6/58.213)</f>
        <v>30.92092831498119</v>
      </c>
      <c r="I6" s="18">
        <f>IF($G6="","",$G6/58.2211)</f>
        <v>30.916626446425781</v>
      </c>
      <c r="J6" s="18">
        <f>IF($G6="","",$G6/46.5731)</f>
        <v>38.648919655337529</v>
      </c>
    </row>
    <row r="9" spans="6:12">
      <c r="F9" t="s">
        <v>73</v>
      </c>
      <c r="G9" t="s">
        <v>74</v>
      </c>
      <c r="H9" t="s">
        <v>75</v>
      </c>
    </row>
    <row r="10" spans="6:12">
      <c r="F10" s="39" t="s">
        <v>70</v>
      </c>
      <c r="G10" s="15">
        <v>25</v>
      </c>
      <c r="H10" s="75">
        <f>IF($G10="","",$G10*27.944)</f>
        <v>698.6</v>
      </c>
      <c r="I10" s="75"/>
      <c r="J10" s="75"/>
      <c r="L10" s="34"/>
    </row>
    <row r="11" spans="6:12">
      <c r="F11" s="30" t="s">
        <v>72</v>
      </c>
      <c r="G11" s="17">
        <v>31.78</v>
      </c>
      <c r="H11" s="36">
        <f>IF($G11="","",$G11*58.213)</f>
        <v>1850.0091400000001</v>
      </c>
      <c r="I11" s="36">
        <f>IF($G11="","",$G11*58.2211)</f>
        <v>1850.266558</v>
      </c>
      <c r="J11" s="36">
        <f>IF($G11="","",$G11*46.5731)</f>
        <v>1480.093118</v>
      </c>
    </row>
  </sheetData>
  <mergeCells count="3">
    <mergeCell ref="H4:J4"/>
    <mergeCell ref="H1:J1"/>
    <mergeCell ref="H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1B5B-5AA8-4D28-A862-B50749C49012}">
  <dimension ref="A1:W35"/>
  <sheetViews>
    <sheetView topLeftCell="A5" workbookViewId="0">
      <selection activeCell="P15" sqref="P15"/>
    </sheetView>
  </sheetViews>
  <sheetFormatPr defaultRowHeight="16.5"/>
  <cols>
    <col min="4" max="4" width="12.25" customWidth="1"/>
  </cols>
  <sheetData>
    <row r="1" spans="2:23" hidden="1">
      <c r="O1">
        <v>0</v>
      </c>
      <c r="P1">
        <v>0</v>
      </c>
      <c r="Q1">
        <v>0</v>
      </c>
      <c r="R1">
        <v>2</v>
      </c>
      <c r="S1">
        <v>1</v>
      </c>
      <c r="T1">
        <v>2</v>
      </c>
      <c r="U1">
        <v>0</v>
      </c>
      <c r="V1">
        <v>1</v>
      </c>
    </row>
    <row r="2" spans="2:23" hidden="1">
      <c r="O2">
        <v>72</v>
      </c>
      <c r="P2">
        <v>96</v>
      </c>
      <c r="Q2">
        <v>104</v>
      </c>
      <c r="R2">
        <v>34</v>
      </c>
      <c r="S2">
        <v>11</v>
      </c>
      <c r="T2">
        <v>3</v>
      </c>
      <c r="U2">
        <v>1</v>
      </c>
      <c r="V2">
        <v>0</v>
      </c>
    </row>
    <row r="3" spans="2:23" hidden="1">
      <c r="P3">
        <v>288</v>
      </c>
      <c r="Q3">
        <v>312</v>
      </c>
      <c r="R3">
        <v>104</v>
      </c>
      <c r="S3">
        <v>34</v>
      </c>
      <c r="T3">
        <v>11</v>
      </c>
      <c r="U3">
        <v>3</v>
      </c>
      <c r="V3">
        <v>1</v>
      </c>
    </row>
    <row r="4" spans="2:23" hidden="1">
      <c r="O4">
        <v>216</v>
      </c>
      <c r="P4">
        <v>216</v>
      </c>
      <c r="Q4">
        <v>216</v>
      </c>
      <c r="R4">
        <v>0</v>
      </c>
      <c r="S4">
        <v>0</v>
      </c>
      <c r="T4">
        <v>0</v>
      </c>
      <c r="U4">
        <v>0</v>
      </c>
      <c r="V4">
        <v>0</v>
      </c>
    </row>
    <row r="5" spans="2:23">
      <c r="B5" s="76" t="s">
        <v>76</v>
      </c>
      <c r="C5" s="76"/>
      <c r="D5" s="76"/>
      <c r="N5" s="70" t="s">
        <v>77</v>
      </c>
      <c r="O5" s="70"/>
      <c r="P5" s="70"/>
      <c r="Q5" s="70"/>
    </row>
    <row r="6" spans="2:23" ht="33" hidden="1">
      <c r="C6" s="42" t="s">
        <v>78</v>
      </c>
      <c r="D6" s="42" t="s">
        <v>79</v>
      </c>
    </row>
    <row r="7" spans="2:23">
      <c r="B7" s="27" t="s">
        <v>80</v>
      </c>
      <c r="C7" s="27" t="s">
        <v>81</v>
      </c>
      <c r="D7" s="27" t="s">
        <v>82</v>
      </c>
      <c r="E7" s="27" t="s">
        <v>83</v>
      </c>
      <c r="F7" s="27" t="s">
        <v>84</v>
      </c>
      <c r="G7" s="27" t="s">
        <v>85</v>
      </c>
      <c r="H7" s="27" t="s">
        <v>86</v>
      </c>
      <c r="I7" s="27" t="s">
        <v>87</v>
      </c>
      <c r="J7" s="27" t="s">
        <v>88</v>
      </c>
      <c r="N7" s="27" t="s">
        <v>80</v>
      </c>
      <c r="O7" s="27" t="s">
        <v>89</v>
      </c>
      <c r="P7" s="27" t="s">
        <v>81</v>
      </c>
      <c r="Q7" s="27" t="s">
        <v>82</v>
      </c>
      <c r="R7" s="27" t="s">
        <v>83</v>
      </c>
      <c r="S7" s="27" t="s">
        <v>84</v>
      </c>
      <c r="T7" s="27" t="s">
        <v>85</v>
      </c>
      <c r="U7" s="27" t="s">
        <v>86</v>
      </c>
      <c r="V7" s="27" t="s">
        <v>87</v>
      </c>
      <c r="W7" s="27" t="s">
        <v>88</v>
      </c>
    </row>
    <row r="8" spans="2:23" hidden="1">
      <c r="C8" s="22">
        <f>QUOTIENT(C9,3)</f>
        <v>4</v>
      </c>
      <c r="D8">
        <f>SUM(QUOTIENT(C9,3)+D9)</f>
        <v>28</v>
      </c>
      <c r="O8" s="22">
        <f>QUOTIENT(O9,3)</f>
        <v>16</v>
      </c>
      <c r="P8">
        <f>SUM(QUOTIENT(O9,3)+P9)</f>
        <v>66</v>
      </c>
      <c r="Q8">
        <f>SUM(QUOTIENT(P8,3)+Q9)</f>
        <v>72</v>
      </c>
    </row>
    <row r="9" spans="2:23" hidden="1">
      <c r="B9" s="8">
        <v>108</v>
      </c>
      <c r="C9">
        <f>B10*1</f>
        <v>12</v>
      </c>
      <c r="D9">
        <f>B10*2</f>
        <v>24</v>
      </c>
      <c r="N9" s="8"/>
      <c r="O9">
        <f>N10*2</f>
        <v>50</v>
      </c>
      <c r="P9">
        <f>N10*2</f>
        <v>50</v>
      </c>
      <c r="Q9">
        <f>N10*2</f>
        <v>50</v>
      </c>
    </row>
    <row r="10" spans="2:23">
      <c r="B10" s="43">
        <v>12</v>
      </c>
      <c r="C10" s="44">
        <f>MOD(C9,3)</f>
        <v>0</v>
      </c>
      <c r="D10" s="44">
        <f>IF(D8&lt;3,D8,MOD(D8,3))</f>
        <v>1</v>
      </c>
      <c r="E10" s="44">
        <f>IF(D8&lt;9,QUOTIENT(D8,3),MOD(QUOTIENT(D8,3),3))</f>
        <v>0</v>
      </c>
      <c r="F10" s="45">
        <f>IF(D8&lt;27,QUOTIENT(D8,9),MOD(QUOTIENT(D8,9),3))</f>
        <v>0</v>
      </c>
      <c r="G10" s="45">
        <f>IF(D8&lt;81,QUOTIENT(D8,27),MOD(QUOTIENT(D8,27),3))</f>
        <v>1</v>
      </c>
      <c r="H10" s="44">
        <f>IF(D8&lt;243,QUOTIENT(D8,81),MOD(QUOTIENT(D8,81),3))</f>
        <v>0</v>
      </c>
      <c r="I10" s="45">
        <f>IF(D8&lt;729,QUOTIENT(D8,243),MOD(QUOTIENT(D8,243),3))</f>
        <v>0</v>
      </c>
      <c r="J10" s="45">
        <f>IF(D8&lt;2187,QUOTIENT(D8,729),MOD(QUOTIENT(D8,729),3))</f>
        <v>0</v>
      </c>
      <c r="N10" s="43">
        <v>25</v>
      </c>
      <c r="O10" s="44">
        <f>MOD(O9,3)</f>
        <v>2</v>
      </c>
      <c r="P10" s="44">
        <f>IF(P8&lt;3,P8,MOD(P8,3))</f>
        <v>0</v>
      </c>
      <c r="Q10" s="44">
        <f>IF(Q8&lt;3,Q8,MOD(Q8,3))</f>
        <v>0</v>
      </c>
      <c r="R10" s="44">
        <f>IF(Q8&lt;9,QUOTIENT(Q8,3),MOD(QUOTIENT(Q8,3),3))</f>
        <v>0</v>
      </c>
      <c r="S10" s="45">
        <f>IF(Q8&lt;27,QUOTIENT(Q8,9),MOD(QUOTIENT(Q8,9),3))</f>
        <v>2</v>
      </c>
      <c r="T10" s="45">
        <f>IF(Q8&lt;81,QUOTIENT(Q8,27),MOD(QUOTIENT(Q8,27),3))</f>
        <v>2</v>
      </c>
      <c r="U10" s="44">
        <f>IF(Q8&lt;243,QUOTIENT(Q8,81),MOD(QUOTIENT(Q8,81),3))</f>
        <v>0</v>
      </c>
      <c r="V10" s="45">
        <f>IF(Q8&lt;729,QUOTIENT(Q8,243),MOD(QUOTIENT(Q8,243),3))</f>
        <v>0</v>
      </c>
      <c r="W10" s="45">
        <f>IF(Q8&lt;2187,QUOTIENT(Q8,729),MOD(QUOTIENT(Q8,729),3))</f>
        <v>0</v>
      </c>
    </row>
    <row r="12" spans="2:23">
      <c r="B12" s="70" t="s">
        <v>90</v>
      </c>
      <c r="C12" s="70"/>
      <c r="D12" s="70"/>
      <c r="N12" s="70" t="s">
        <v>91</v>
      </c>
      <c r="O12" s="70"/>
      <c r="P12" s="70"/>
      <c r="Q12" s="70"/>
    </row>
    <row r="13" spans="2:23" hidden="1">
      <c r="E13">
        <f>E$24-$C15-$D15*$D$24</f>
        <v>9</v>
      </c>
      <c r="F13">
        <f>F$24-$C15-$D15*$D$24-$E$15*$E$24</f>
        <v>27</v>
      </c>
      <c r="G13">
        <f>G$24-$C15-$D15*$D$24-$E$15*$E$24-$F$15*$F$24</f>
        <v>81</v>
      </c>
      <c r="H13">
        <f>H$24-$C15-$D15*$D$24-$E$15*$E$24-$F$15*$F$24-$G$15*$G$24</f>
        <v>243</v>
      </c>
      <c r="I13">
        <f>I$24-$C15-$D15*$D$24-$E$15*$E$24-$F$15*$F$24-$G$15*$G$24-$H$15*$H$24</f>
        <v>729</v>
      </c>
      <c r="J13">
        <f>J$24-$C15-$D15*$D$24-$E$15*$E$24-$F$15*$F$24-$G$15*$G$24-$H$15*$H$24-$I$15*$I$24</f>
        <v>2187</v>
      </c>
      <c r="R13">
        <f>R$24-O$15-P$15*P$24-Q$15*Q$24</f>
        <v>27</v>
      </c>
      <c r="S13">
        <f>S$24-O$15-P$15*P$24-Q$15*Q$24-R$15*R$24</f>
        <v>81</v>
      </c>
      <c r="T13">
        <f>T$24-O$15-P$15*P$24-Q$15*Q$24-R$15*R$24-S$15*S$24</f>
        <v>243</v>
      </c>
      <c r="U13">
        <f>U$24-O$15-P$15*P$24-Q$15*Q$24-R$15*R$24-S$15*S$24-T$15*T$24</f>
        <v>729</v>
      </c>
      <c r="V13">
        <f>V$24-O$15-P$15*P$24-Q$15*Q$24-R$15*R$24-S$15*S$24-T$15*T$24-U$15*U$24</f>
        <v>2189</v>
      </c>
      <c r="W13">
        <f>W$24-O$15-P$15*P$24-Q$15*Q$24-R$15*R$24-S$15*S$24-T$15*T$24-U$15*U$24-V$15*V$24</f>
        <v>6567</v>
      </c>
    </row>
    <row r="14" spans="2:23">
      <c r="C14" s="27" t="s">
        <v>81</v>
      </c>
      <c r="D14" s="27" t="s">
        <v>82</v>
      </c>
      <c r="E14" s="27" t="s">
        <v>83</v>
      </c>
      <c r="F14" s="27" t="s">
        <v>84</v>
      </c>
      <c r="G14" s="27" t="s">
        <v>85</v>
      </c>
      <c r="H14" s="27" t="s">
        <v>86</v>
      </c>
      <c r="I14" s="27" t="s">
        <v>87</v>
      </c>
      <c r="J14" s="27" t="s">
        <v>88</v>
      </c>
      <c r="O14" s="27" t="s">
        <v>89</v>
      </c>
      <c r="P14" s="27" t="s">
        <v>81</v>
      </c>
      <c r="Q14" s="27" t="s">
        <v>82</v>
      </c>
      <c r="R14" s="27" t="s">
        <v>83</v>
      </c>
      <c r="S14" s="27" t="s">
        <v>84</v>
      </c>
      <c r="T14" s="27" t="s">
        <v>85</v>
      </c>
      <c r="U14" s="27" t="s">
        <v>86</v>
      </c>
      <c r="V14" s="27" t="s">
        <v>87</v>
      </c>
      <c r="W14" s="27" t="s">
        <v>88</v>
      </c>
    </row>
    <row r="15" spans="2:23">
      <c r="B15" s="46" t="s">
        <v>92</v>
      </c>
      <c r="C15" s="47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/>
      <c r="J15" s="49"/>
      <c r="N15" s="46" t="s">
        <v>92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49">
        <v>0</v>
      </c>
    </row>
    <row r="16" spans="2:23">
      <c r="B16" s="50" t="s">
        <v>93</v>
      </c>
      <c r="C16" s="51"/>
      <c r="D16" s="52"/>
      <c r="E16" s="52">
        <f>ROUNDUP(E13/7,0)</f>
        <v>2</v>
      </c>
      <c r="F16" s="52">
        <f>ROUNDUP(F13/7,0)</f>
        <v>4</v>
      </c>
      <c r="G16" s="52">
        <f>ROUNDUP(G13/7,0)</f>
        <v>12</v>
      </c>
      <c r="H16" s="52">
        <f>ROUNDUP(H13/7,0)</f>
        <v>35</v>
      </c>
      <c r="I16" s="52">
        <f>ROUNDUP(I13/7,0)</f>
        <v>105</v>
      </c>
      <c r="J16" s="53">
        <f>ROUNDUP(J13/7,0)</f>
        <v>313</v>
      </c>
      <c r="N16" s="50" t="s">
        <v>93</v>
      </c>
      <c r="O16" s="52"/>
      <c r="P16" s="52"/>
      <c r="Q16" s="52"/>
      <c r="R16" s="52">
        <f>ROUNDUP(R13/26,0)</f>
        <v>2</v>
      </c>
      <c r="S16" s="52">
        <f>ROUNDUP(S13/26,0)</f>
        <v>4</v>
      </c>
      <c r="T16" s="52">
        <f t="shared" ref="T16:W16" si="0">ROUNDUP(T13/26,0)</f>
        <v>10</v>
      </c>
      <c r="U16" s="52">
        <f t="shared" si="0"/>
        <v>29</v>
      </c>
      <c r="V16" s="52">
        <f t="shared" si="0"/>
        <v>85</v>
      </c>
      <c r="W16" s="52">
        <f t="shared" si="0"/>
        <v>253</v>
      </c>
    </row>
    <row r="17" spans="1:23">
      <c r="P17">
        <v>6</v>
      </c>
      <c r="Q17">
        <v>18</v>
      </c>
    </row>
    <row r="19" spans="1:23">
      <c r="B19" s="70" t="s">
        <v>94</v>
      </c>
      <c r="C19" s="70"/>
      <c r="D19" s="70"/>
      <c r="N19" s="77" t="s">
        <v>95</v>
      </c>
      <c r="O19" s="77"/>
      <c r="P19" s="77"/>
      <c r="Q19" s="77"/>
    </row>
    <row r="20" spans="1:23">
      <c r="B20" s="27" t="s">
        <v>80</v>
      </c>
      <c r="C20" s="27" t="s">
        <v>81</v>
      </c>
      <c r="D20" s="27" t="s">
        <v>82</v>
      </c>
      <c r="E20" s="27" t="s">
        <v>83</v>
      </c>
      <c r="F20" s="27" t="s">
        <v>84</v>
      </c>
      <c r="G20" s="27" t="s">
        <v>85</v>
      </c>
      <c r="H20" s="27" t="s">
        <v>86</v>
      </c>
      <c r="I20" s="27" t="s">
        <v>87</v>
      </c>
      <c r="J20" s="27" t="s">
        <v>88</v>
      </c>
      <c r="N20" s="27" t="s">
        <v>80</v>
      </c>
      <c r="O20" s="27" t="s">
        <v>89</v>
      </c>
      <c r="P20" s="27" t="s">
        <v>81</v>
      </c>
      <c r="Q20" s="27" t="s">
        <v>82</v>
      </c>
      <c r="R20" s="27" t="s">
        <v>83</v>
      </c>
      <c r="S20" s="27" t="s">
        <v>84</v>
      </c>
      <c r="T20" s="27" t="s">
        <v>85</v>
      </c>
      <c r="U20" s="27" t="s">
        <v>86</v>
      </c>
      <c r="V20" s="27" t="s">
        <v>87</v>
      </c>
      <c r="W20" s="27" t="s">
        <v>88</v>
      </c>
    </row>
    <row r="21" spans="1:23" hidden="1">
      <c r="C21" s="22">
        <f>QUOTIENT(C22,3)</f>
        <v>0</v>
      </c>
      <c r="D21">
        <f>SUM(QUOTIENT(C22,3)+D22)</f>
        <v>2</v>
      </c>
      <c r="O21" s="22">
        <f>QUOTIENT($O$22,3)</f>
        <v>16</v>
      </c>
      <c r="P21">
        <f>SUM(QUOTIENT($O$22,3)+$P$22)</f>
        <v>66</v>
      </c>
      <c r="Q21">
        <f>SUM(QUOTIENT($P$21,3)+$Q$22)</f>
        <v>72</v>
      </c>
    </row>
    <row r="22" spans="1:23" hidden="1">
      <c r="B22" s="8">
        <v>108</v>
      </c>
      <c r="C22">
        <f>(B23*1)+C15+(D15*3)+(E15*9)+(F15*27)+(G15*81)+(H15*243)+(I15*729)</f>
        <v>1</v>
      </c>
      <c r="D22">
        <f>B23*2</f>
        <v>2</v>
      </c>
      <c r="N22" s="8">
        <v>1</v>
      </c>
      <c r="O22">
        <f>($N$23*2)+$O$15+($P$15*3)+($Q$15*9)+($R$15*27)+($S$15*81)+($T$15*243)+($U$15*729)+($V$15*2187)</f>
        <v>50</v>
      </c>
      <c r="P22">
        <f>$N$23*2</f>
        <v>50</v>
      </c>
      <c r="Q22">
        <f>$N$23*2</f>
        <v>50</v>
      </c>
    </row>
    <row r="23" spans="1:23">
      <c r="B23" s="43">
        <v>1</v>
      </c>
      <c r="C23" s="44">
        <f>MOD(C22,3)</f>
        <v>1</v>
      </c>
      <c r="D23" s="44">
        <f>IF(D21&lt;3,D21,MOD(D21,3))</f>
        <v>2</v>
      </c>
      <c r="E23" s="44">
        <f>IF(D21&lt;9,QUOTIENT(D21,3),MOD(QUOTIENT(D21,3),3))</f>
        <v>0</v>
      </c>
      <c r="F23" s="45">
        <f>IF(D21&lt;27,QUOTIENT(D21,9),MOD(QUOTIENT(D21,9),3))</f>
        <v>0</v>
      </c>
      <c r="G23" s="45">
        <f>IF(D21&lt;81,QUOTIENT(D21,27),MOD(QUOTIENT(D21,27),3))</f>
        <v>0</v>
      </c>
      <c r="H23" s="44">
        <f>IF(D21&lt;243,QUOTIENT(D21,81),MOD(QUOTIENT(D21,81),3))</f>
        <v>0</v>
      </c>
      <c r="I23" s="45">
        <f>IF(D21&lt;729,QUOTIENT(D21,243),MOD(QUOTIENT(D21,243),3))</f>
        <v>0</v>
      </c>
      <c r="J23" s="45">
        <f>IF(D21&lt;2187,QUOTIENT(D21,729),MOD(QUOTIENT(D21,729),3))</f>
        <v>0</v>
      </c>
      <c r="N23" s="43">
        <v>25</v>
      </c>
      <c r="O23" s="55">
        <f>MOD(O22,3)</f>
        <v>2</v>
      </c>
      <c r="P23" s="56">
        <f>IF(P21&lt;3,P21,MOD(P21,3))</f>
        <v>0</v>
      </c>
      <c r="Q23" s="44">
        <f>IF(Q21&lt;3,Q21,MOD(Q21,3))</f>
        <v>0</v>
      </c>
      <c r="R23" s="44">
        <f>IF(Q21&lt;9,QUOTIENT(Q21,3),MOD(QUOTIENT(Q21,3),3))</f>
        <v>0</v>
      </c>
      <c r="S23" s="45">
        <f>IF(Q21&lt;27,QUOTIENT(Q21,9),MOD(QUOTIENT(Q21,9),3))</f>
        <v>2</v>
      </c>
      <c r="T23" s="45">
        <f>IF(Q21&lt;81,QUOTIENT(Q21,27),MOD(QUOTIENT(Q21,27),3))</f>
        <v>2</v>
      </c>
      <c r="U23" s="44">
        <f>IF(Q21&lt;243,QUOTIENT(Q21,81),MOD(QUOTIENT(Q21,81),3))</f>
        <v>0</v>
      </c>
      <c r="V23" s="45">
        <f>IF(Q21&lt;729,QUOTIENT(Q21,243),MOD(QUOTIENT(Q21,243),3))</f>
        <v>0</v>
      </c>
      <c r="W23" s="45">
        <f>IF(Q21&lt;2187,QUOTIENT(Q21,729),MOD(QUOTIENT(Q21,729),3))</f>
        <v>0</v>
      </c>
    </row>
    <row r="24" spans="1:23" hidden="1">
      <c r="D24">
        <v>3</v>
      </c>
      <c r="E24">
        <v>9</v>
      </c>
      <c r="F24">
        <v>27</v>
      </c>
      <c r="G24">
        <v>81</v>
      </c>
      <c r="H24">
        <v>243</v>
      </c>
      <c r="I24">
        <v>729</v>
      </c>
      <c r="J24">
        <v>2187</v>
      </c>
      <c r="P24">
        <v>3</v>
      </c>
      <c r="Q24">
        <v>9</v>
      </c>
      <c r="R24">
        <v>27</v>
      </c>
      <c r="S24">
        <v>81</v>
      </c>
      <c r="T24">
        <v>243</v>
      </c>
      <c r="U24">
        <v>729</v>
      </c>
      <c r="V24">
        <v>2189</v>
      </c>
      <c r="W24">
        <v>6567</v>
      </c>
    </row>
    <row r="26" spans="1:23">
      <c r="E26" s="44"/>
    </row>
    <row r="27" spans="1:23">
      <c r="B27" s="70" t="s">
        <v>96</v>
      </c>
      <c r="C27" s="70"/>
      <c r="D27" s="70"/>
      <c r="E27" s="70"/>
      <c r="F27" s="70"/>
    </row>
    <row r="28" spans="1:23" ht="15.75" customHeight="1">
      <c r="B28" s="59" t="s">
        <v>80</v>
      </c>
      <c r="C28" s="60" t="s">
        <v>89</v>
      </c>
      <c r="D28" s="60" t="s">
        <v>81</v>
      </c>
      <c r="E28" s="60" t="s">
        <v>82</v>
      </c>
      <c r="F28" s="60" t="s">
        <v>83</v>
      </c>
      <c r="G28" s="60" t="s">
        <v>84</v>
      </c>
      <c r="H28" s="60" t="s">
        <v>85</v>
      </c>
      <c r="I28" s="60" t="s">
        <v>86</v>
      </c>
      <c r="J28" s="60" t="s">
        <v>87</v>
      </c>
      <c r="K28" s="61" t="s">
        <v>88</v>
      </c>
      <c r="N28" t="s">
        <v>97</v>
      </c>
      <c r="O28" t="s">
        <v>98</v>
      </c>
      <c r="P28" t="s">
        <v>99</v>
      </c>
      <c r="Q28" t="s">
        <v>100</v>
      </c>
    </row>
    <row r="29" spans="1:23" hidden="1">
      <c r="B29" s="62"/>
      <c r="C29" s="58">
        <f>QUOTIENT(C30,3)</f>
        <v>14</v>
      </c>
      <c r="D29" s="57">
        <f>SUM(C29+D30)</f>
        <v>70</v>
      </c>
      <c r="E29" s="57">
        <f>SUM(QUOTIENT(D29,3)+E30)</f>
        <v>91</v>
      </c>
      <c r="F29" s="57"/>
      <c r="G29" s="57"/>
      <c r="H29" s="57"/>
      <c r="I29" s="57"/>
      <c r="J29" s="57"/>
      <c r="K29" s="63"/>
    </row>
    <row r="30" spans="1:23" hidden="1">
      <c r="B30" s="62"/>
      <c r="C30" s="57">
        <f>(B32*2)+$O$15+($P$15*3)+($Q$15*9)+($R$15*27)+($S$15*81)+($T$15*243)+($U$15*729)+($V$15*2187)+($W$15*6567)</f>
        <v>44</v>
      </c>
      <c r="D30" s="57">
        <f>B32*2+(B31*1)</f>
        <v>56</v>
      </c>
      <c r="E30" s="57">
        <f>B32*2+(B31*2)</f>
        <v>68</v>
      </c>
      <c r="F30" s="57"/>
      <c r="G30" s="57"/>
      <c r="H30" s="57"/>
      <c r="I30" s="57"/>
      <c r="J30" s="57"/>
      <c r="K30" s="63"/>
    </row>
    <row r="31" spans="1:23">
      <c r="A31" s="54" t="s">
        <v>101</v>
      </c>
      <c r="B31" s="64">
        <v>12</v>
      </c>
      <c r="C31" s="78">
        <f>MOD(C30,3)</f>
        <v>2</v>
      </c>
      <c r="D31" s="78">
        <f>IF(D29&lt;3,D29,MOD(D29,3))</f>
        <v>1</v>
      </c>
      <c r="E31" s="78">
        <f>IF(E29&lt;3,E29,MOD(E29,3))</f>
        <v>1</v>
      </c>
      <c r="F31" s="78">
        <f>IF($E$29&lt;9,QUOTIENT($E$29,3),MOD(QUOTIENT($E$29,3),3))</f>
        <v>0</v>
      </c>
      <c r="G31" s="78">
        <f>IF($E$29&lt;27,QUOTIENT($E$29,9),MOD(QUOTIENT($E$29,9),3))</f>
        <v>1</v>
      </c>
      <c r="H31" s="78">
        <f>IF($E$29&lt;81,QUOTIENT($E$29,27),MOD(QUOTIENT($E$29,27),3))</f>
        <v>0</v>
      </c>
      <c r="I31" s="78">
        <f>IF($E$29&lt;243,QUOTIENT($E$29,81),MOD(QUOTIENT($E$29,81),3))</f>
        <v>1</v>
      </c>
      <c r="J31" s="78">
        <f>IF($E$29&lt;729,QUOTIENT($E$29,243),MOD(QUOTIENT($E$29,243),3))</f>
        <v>0</v>
      </c>
      <c r="K31" s="80">
        <f>IF($E$29&lt;2187,QUOTIENT($E$29,729),QUOTIENT($E$29,729))</f>
        <v>0</v>
      </c>
      <c r="N31">
        <v>12</v>
      </c>
      <c r="O31">
        <v>11</v>
      </c>
      <c r="P31">
        <v>24</v>
      </c>
      <c r="Q31">
        <v>3</v>
      </c>
    </row>
    <row r="32" spans="1:23">
      <c r="A32" s="54" t="s">
        <v>102</v>
      </c>
      <c r="B32" s="65">
        <v>22</v>
      </c>
      <c r="C32" s="79"/>
      <c r="D32" s="79"/>
      <c r="E32" s="79"/>
      <c r="F32" s="79"/>
      <c r="G32" s="79"/>
      <c r="H32" s="79"/>
      <c r="I32" s="79"/>
      <c r="J32" s="79"/>
      <c r="K32" s="81"/>
      <c r="N32">
        <v>24</v>
      </c>
    </row>
    <row r="34" spans="1:11">
      <c r="K34" s="6"/>
    </row>
    <row r="35" spans="1:11">
      <c r="A35" t="s">
        <v>103</v>
      </c>
    </row>
  </sheetData>
  <mergeCells count="16">
    <mergeCell ref="H31:H32"/>
    <mergeCell ref="I31:I32"/>
    <mergeCell ref="J31:J32"/>
    <mergeCell ref="K31:K32"/>
    <mergeCell ref="B27:F27"/>
    <mergeCell ref="C31:C32"/>
    <mergeCell ref="D31:D32"/>
    <mergeCell ref="E31:E32"/>
    <mergeCell ref="F31:F32"/>
    <mergeCell ref="G31:G32"/>
    <mergeCell ref="B5:D5"/>
    <mergeCell ref="N5:Q5"/>
    <mergeCell ref="B12:D12"/>
    <mergeCell ref="N12:Q12"/>
    <mergeCell ref="B19:D19"/>
    <mergeCell ref="N19:Q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김 다슬</cp:lastModifiedBy>
  <cp:revision/>
  <dcterms:created xsi:type="dcterms:W3CDTF">2021-05-02T10:13:02Z</dcterms:created>
  <dcterms:modified xsi:type="dcterms:W3CDTF">2022-04-19T03:33:44Z</dcterms:modified>
  <cp:category/>
  <cp:contentStatus/>
</cp:coreProperties>
</file>