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alr\Desktop\"/>
    </mc:Choice>
  </mc:AlternateContent>
  <xr:revisionPtr revIDLastSave="0" documentId="13_ncr:1_{87EF8D4B-4D12-44A7-9E4D-4925B49C6BC1}" xr6:coauthVersionLast="47" xr6:coauthVersionMax="47" xr10:uidLastSave="{00000000-0000-0000-0000-000000000000}"/>
  <bookViews>
    <workbookView xWindow="-120" yWindow="330" windowWidth="38640" windowHeight="21390" xr2:uid="{64377E50-98FE-4679-9FE7-ACA03E951C51}"/>
  </bookViews>
  <sheets>
    <sheet name="Gunsling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  <c r="I16" i="1"/>
  <c r="AB12" i="1"/>
  <c r="AM6" i="1"/>
  <c r="AM7" i="1"/>
  <c r="AM8" i="1"/>
  <c r="AM9" i="1"/>
  <c r="AM10" i="1"/>
  <c r="AM11" i="1"/>
  <c r="AM12" i="1"/>
  <c r="AM13" i="1"/>
  <c r="AM14" i="1"/>
  <c r="AM15" i="1"/>
  <c r="AM5" i="1"/>
  <c r="AG21" i="1" l="1"/>
  <c r="AE21" i="1"/>
  <c r="I21" i="1"/>
  <c r="AG20" i="1"/>
  <c r="AE20" i="1"/>
  <c r="AA20" i="1"/>
  <c r="AB20" i="1" s="1"/>
  <c r="I20" i="1"/>
  <c r="AG19" i="1"/>
  <c r="AE19" i="1"/>
  <c r="AB19" i="1"/>
  <c r="L19" i="1"/>
  <c r="L23" i="1" s="1"/>
  <c r="AG18" i="1"/>
  <c r="AE18" i="1"/>
  <c r="AA18" i="1"/>
  <c r="AB18" i="1" s="1"/>
  <c r="L18" i="1"/>
  <c r="AG17" i="1"/>
  <c r="AE17" i="1"/>
  <c r="AA17" i="1"/>
  <c r="AB17" i="1" s="1"/>
  <c r="I17" i="1"/>
  <c r="AG16" i="1"/>
  <c r="AE16" i="1"/>
  <c r="AB16" i="1"/>
  <c r="L16" i="1"/>
  <c r="AB15" i="1"/>
  <c r="L15" i="1"/>
  <c r="I15" i="1"/>
  <c r="AA14" i="1"/>
  <c r="AB14" i="1" s="1"/>
  <c r="O14" i="1"/>
  <c r="L14" i="1"/>
  <c r="AB13" i="1"/>
  <c r="O13" i="1"/>
  <c r="F10" i="1" s="1"/>
  <c r="AG12" i="1"/>
  <c r="AE12" i="1"/>
  <c r="O12" i="1"/>
  <c r="L12" i="1"/>
  <c r="I12" i="1"/>
  <c r="AB11" i="1"/>
  <c r="L11" i="1"/>
  <c r="L24" i="1" s="1"/>
  <c r="I11" i="1"/>
  <c r="AB10" i="1"/>
  <c r="O10" i="1"/>
  <c r="L10" i="1"/>
  <c r="AB9" i="1"/>
  <c r="L9" i="1"/>
  <c r="C9" i="1"/>
  <c r="AG8" i="1"/>
  <c r="AE8" i="1"/>
  <c r="AB8" i="1"/>
  <c r="AA8" i="1"/>
  <c r="O8" i="1"/>
  <c r="L8" i="1"/>
  <c r="AB7" i="1"/>
  <c r="O7" i="1"/>
  <c r="L7" i="1"/>
  <c r="AA6" i="1"/>
  <c r="AB6" i="1" s="1"/>
  <c r="O6" i="1"/>
  <c r="L6" i="1"/>
  <c r="AB5" i="1"/>
  <c r="O5" i="1"/>
  <c r="L5" i="1"/>
  <c r="AM4" i="1"/>
  <c r="O4" i="1"/>
  <c r="F6" i="1" s="1"/>
  <c r="L4" i="1"/>
  <c r="F24" i="1" l="1"/>
  <c r="Z18" i="1" s="1"/>
  <c r="F23" i="1"/>
  <c r="Z13" i="1" s="1"/>
  <c r="F18" i="1"/>
  <c r="F5" i="1"/>
  <c r="F11" i="1"/>
  <c r="F9" i="1"/>
  <c r="F21" i="1"/>
  <c r="W14" i="1" s="1"/>
  <c r="L22" i="1"/>
  <c r="L21" i="1"/>
  <c r="I22" i="1" s="1"/>
  <c r="F17" i="1" s="1"/>
  <c r="F19" i="1"/>
  <c r="W21" i="1"/>
  <c r="W22" i="1"/>
  <c r="W17" i="1"/>
  <c r="W15" i="1"/>
  <c r="O18" i="1"/>
  <c r="F7" i="1"/>
  <c r="O19" i="1" s="1"/>
  <c r="Z11" i="1" l="1"/>
  <c r="Z12" i="1"/>
  <c r="Z10" i="1"/>
  <c r="Z6" i="1"/>
  <c r="I23" i="1"/>
  <c r="Z20" i="1"/>
  <c r="W20" i="1"/>
  <c r="W16" i="1"/>
  <c r="Z15" i="1"/>
  <c r="AF15" i="1" s="1"/>
  <c r="Z19" i="1"/>
  <c r="W8" i="1"/>
  <c r="O17" i="1"/>
  <c r="F13" i="1" s="1"/>
  <c r="Z8" i="1"/>
  <c r="Z17" i="1"/>
  <c r="AF17" i="1" s="1"/>
  <c r="W11" i="1"/>
  <c r="Z7" i="1"/>
  <c r="Z16" i="1"/>
  <c r="W5" i="1"/>
  <c r="O23" i="1"/>
  <c r="AC18" i="1" s="1"/>
  <c r="AH18" i="1" s="1"/>
  <c r="W19" i="1"/>
  <c r="W7" i="1"/>
  <c r="W12" i="1"/>
  <c r="AF12" i="1" s="1"/>
  <c r="Z21" i="1"/>
  <c r="AF21" i="1" s="1"/>
  <c r="O24" i="1"/>
  <c r="F15" i="1" s="1"/>
  <c r="Z22" i="1"/>
  <c r="AF22" i="1" s="1"/>
  <c r="W10" i="1"/>
  <c r="Z9" i="1"/>
  <c r="O22" i="1"/>
  <c r="Z5" i="1"/>
  <c r="W18" i="1"/>
  <c r="AF18" i="1" s="1"/>
  <c r="AC11" i="1"/>
  <c r="AH11" i="1" s="1"/>
  <c r="AC10" i="1"/>
  <c r="Z14" i="1"/>
  <c r="AF14" i="1" s="1"/>
  <c r="W13" i="1"/>
  <c r="AF13" i="1" s="1"/>
  <c r="W6" i="1"/>
  <c r="AF6" i="1" s="1"/>
  <c r="W9" i="1"/>
  <c r="AC22" i="1"/>
  <c r="AC21" i="1"/>
  <c r="AC16" i="1"/>
  <c r="AF5" i="1" l="1"/>
  <c r="AF16" i="1"/>
  <c r="AC14" i="1"/>
  <c r="AC17" i="1"/>
  <c r="AH17" i="1" s="1"/>
  <c r="AF11" i="1"/>
  <c r="AC19" i="1"/>
  <c r="AH19" i="1" s="1"/>
  <c r="AC15" i="1"/>
  <c r="AD15" i="1" s="1"/>
  <c r="Z23" i="1"/>
  <c r="AF20" i="1"/>
  <c r="AF8" i="1"/>
  <c r="AF10" i="1"/>
  <c r="AF9" i="1"/>
  <c r="AF19" i="1"/>
  <c r="AD10" i="1"/>
  <c r="AF7" i="1"/>
  <c r="AD18" i="1"/>
  <c r="F14" i="1"/>
  <c r="AC20" i="1" s="1"/>
  <c r="AD20" i="1" s="1"/>
  <c r="AD11" i="1"/>
  <c r="AH10" i="1"/>
  <c r="AD17" i="1"/>
  <c r="AC9" i="1"/>
  <c r="AC6" i="1"/>
  <c r="AC7" i="1"/>
  <c r="AC8" i="1"/>
  <c r="AC5" i="1"/>
  <c r="AF23" i="1"/>
  <c r="AH22" i="1"/>
  <c r="AD22" i="1"/>
  <c r="AH21" i="1"/>
  <c r="AD21" i="1"/>
  <c r="AD16" i="1"/>
  <c r="AH16" i="1"/>
  <c r="AH14" i="1"/>
  <c r="AD14" i="1"/>
  <c r="AC12" i="1"/>
  <c r="AC13" i="1"/>
  <c r="AD19" i="1" l="1"/>
  <c r="AH15" i="1"/>
  <c r="AG10" i="1"/>
  <c r="AG13" i="1"/>
  <c r="AH20" i="1"/>
  <c r="AG15" i="1"/>
  <c r="AG9" i="1"/>
  <c r="AG11" i="1"/>
  <c r="AG22" i="1"/>
  <c r="AG14" i="1"/>
  <c r="AG6" i="1"/>
  <c r="AH5" i="1"/>
  <c r="AH23" i="1" s="1"/>
  <c r="AC23" i="1"/>
  <c r="AD5" i="1"/>
  <c r="AG5" i="1"/>
  <c r="AD8" i="1"/>
  <c r="AH8" i="1"/>
  <c r="AH12" i="1"/>
  <c r="AD12" i="1"/>
  <c r="AD7" i="1"/>
  <c r="AH7" i="1"/>
  <c r="AH6" i="1"/>
  <c r="AD6" i="1"/>
  <c r="AH13" i="1"/>
  <c r="AD13" i="1"/>
  <c r="AG7" i="1"/>
  <c r="AD9" i="1"/>
  <c r="AH9" i="1"/>
  <c r="AD23" i="1" l="1"/>
  <c r="AE13" i="1" s="1"/>
  <c r="AE9" i="1" l="1"/>
  <c r="AE10" i="1"/>
  <c r="AE7" i="1"/>
  <c r="AE6" i="1"/>
  <c r="AE11" i="1"/>
  <c r="AE15" i="1"/>
  <c r="AE22" i="1"/>
  <c r="AE14" i="1"/>
  <c r="AE5" i="1"/>
</calcChain>
</file>

<file path=xl/sharedStrings.xml><?xml version="1.0" encoding="utf-8"?>
<sst xmlns="http://schemas.openxmlformats.org/spreadsheetml/2006/main" count="160" uniqueCount="125">
  <si>
    <t>캐릭터 스펙</t>
    <phoneticPr fontId="2" type="noConversion"/>
  </si>
  <si>
    <t>스펙 요약</t>
    <phoneticPr fontId="2" type="noConversion"/>
  </si>
  <si>
    <t>스텟 계수</t>
    <phoneticPr fontId="2" type="noConversion"/>
  </si>
  <si>
    <t>데미지 팩터</t>
    <phoneticPr fontId="2" type="noConversion"/>
  </si>
  <si>
    <t>치명타 팩터</t>
    <phoneticPr fontId="2" type="noConversion"/>
  </si>
  <si>
    <t>Level Scale</t>
  </si>
  <si>
    <t>-%</t>
  </si>
  <si>
    <t>비교</t>
    <phoneticPr fontId="2" type="noConversion"/>
  </si>
  <si>
    <t>DPS</t>
    <phoneticPr fontId="2" type="noConversion"/>
  </si>
  <si>
    <t>FPS</t>
    <phoneticPr fontId="2" type="noConversion"/>
  </si>
  <si>
    <t>DPF</t>
    <phoneticPr fontId="2" type="noConversion"/>
  </si>
  <si>
    <t>치명 계수</t>
    <phoneticPr fontId="2" type="noConversion"/>
  </si>
  <si>
    <t>피해 증가</t>
    <phoneticPr fontId="2" type="noConversion"/>
  </si>
  <si>
    <t>치명타 확률</t>
    <phoneticPr fontId="2" type="noConversion"/>
  </si>
  <si>
    <t>세트</t>
    <phoneticPr fontId="2" type="noConversion"/>
  </si>
  <si>
    <t>특화 계수</t>
    <phoneticPr fontId="2" type="noConversion"/>
  </si>
  <si>
    <t>원한</t>
    <phoneticPr fontId="2" type="noConversion"/>
  </si>
  <si>
    <t>피메(S)</t>
    <phoneticPr fontId="2" type="noConversion"/>
  </si>
  <si>
    <t>스킬</t>
    <phoneticPr fontId="2" type="noConversion"/>
  </si>
  <si>
    <t>레벨</t>
    <phoneticPr fontId="2" type="noConversion"/>
  </si>
  <si>
    <t>멸화</t>
    <phoneticPr fontId="2" type="noConversion"/>
  </si>
  <si>
    <t>홍염</t>
    <phoneticPr fontId="2" type="noConversion"/>
  </si>
  <si>
    <t>트포</t>
    <phoneticPr fontId="2" type="noConversion"/>
  </si>
  <si>
    <t>쿨타임</t>
    <phoneticPr fontId="2" type="noConversion"/>
  </si>
  <si>
    <t>쿨감 적용</t>
    <phoneticPr fontId="2" type="noConversion"/>
  </si>
  <si>
    <t>기본 프레임</t>
    <phoneticPr fontId="2" type="noConversion"/>
  </si>
  <si>
    <t>질풍 룬</t>
    <phoneticPr fontId="2" type="noConversion"/>
  </si>
  <si>
    <t>Frame</t>
    <phoneticPr fontId="2" type="noConversion"/>
  </si>
  <si>
    <t>기본 계수</t>
    <phoneticPr fontId="2" type="noConversion"/>
  </si>
  <si>
    <t>5레벨 트포</t>
    <phoneticPr fontId="2" type="noConversion"/>
  </si>
  <si>
    <t>최종 데미지</t>
    <phoneticPr fontId="2" type="noConversion"/>
  </si>
  <si>
    <t>DPS 점유</t>
    <phoneticPr fontId="2" type="noConversion"/>
  </si>
  <si>
    <t>FPS 점유</t>
    <phoneticPr fontId="2" type="noConversion"/>
  </si>
  <si>
    <t>CHK</t>
    <phoneticPr fontId="2" type="noConversion"/>
  </si>
  <si>
    <t>특성 세팅</t>
    <phoneticPr fontId="2" type="noConversion"/>
  </si>
  <si>
    <t>핸드건</t>
    <phoneticPr fontId="2" type="noConversion"/>
  </si>
  <si>
    <t>핸드건 계수</t>
    <phoneticPr fontId="2" type="noConversion"/>
  </si>
  <si>
    <t>예리한둔기</t>
    <phoneticPr fontId="2" type="noConversion"/>
  </si>
  <si>
    <t>사냥의시간</t>
    <phoneticPr fontId="2" type="noConversion"/>
  </si>
  <si>
    <t>타겟</t>
    <phoneticPr fontId="2" type="noConversion"/>
  </si>
  <si>
    <t>치명 스텟</t>
    <phoneticPr fontId="2" type="noConversion"/>
  </si>
  <si>
    <t>샷건</t>
    <phoneticPr fontId="2" type="noConversion"/>
  </si>
  <si>
    <t>속도 계수</t>
    <phoneticPr fontId="2" type="noConversion"/>
  </si>
  <si>
    <t>돌격대장</t>
    <phoneticPr fontId="2" type="noConversion"/>
  </si>
  <si>
    <t>아드레날린</t>
    <phoneticPr fontId="2" type="noConversion"/>
  </si>
  <si>
    <t>포커스</t>
    <phoneticPr fontId="2" type="noConversion"/>
  </si>
  <si>
    <t>특화 스텟</t>
    <phoneticPr fontId="2" type="noConversion"/>
  </si>
  <si>
    <t>라이플</t>
    <phoneticPr fontId="2" type="noConversion"/>
  </si>
  <si>
    <t>쿨감 계수</t>
    <phoneticPr fontId="2" type="noConversion"/>
  </si>
  <si>
    <t>타격의대가</t>
    <phoneticPr fontId="2" type="noConversion"/>
  </si>
  <si>
    <t>정밀단도</t>
    <phoneticPr fontId="2" type="noConversion"/>
  </si>
  <si>
    <t>퍼샷</t>
    <phoneticPr fontId="2" type="noConversion"/>
  </si>
  <si>
    <t>신속 스텟</t>
    <phoneticPr fontId="2" type="noConversion"/>
  </si>
  <si>
    <t>치명타 피해</t>
    <phoneticPr fontId="2" type="noConversion"/>
  </si>
  <si>
    <t>각성기 계수</t>
    <phoneticPr fontId="2" type="noConversion"/>
  </si>
  <si>
    <t>피메(R)</t>
    <phoneticPr fontId="2" type="noConversion"/>
  </si>
  <si>
    <t>세트 효과</t>
    <phoneticPr fontId="2" type="noConversion"/>
  </si>
  <si>
    <t>스파</t>
    <phoneticPr fontId="2" type="noConversion"/>
  </si>
  <si>
    <t>특성합</t>
    <phoneticPr fontId="2" type="noConversion"/>
  </si>
  <si>
    <t>특화(S)</t>
    <phoneticPr fontId="2" type="noConversion"/>
  </si>
  <si>
    <t>급소노출</t>
    <phoneticPr fontId="2" type="noConversion"/>
  </si>
  <si>
    <t>대재앙</t>
    <phoneticPr fontId="2" type="noConversion"/>
  </si>
  <si>
    <t>기타 세팅</t>
    <phoneticPr fontId="2" type="noConversion"/>
  </si>
  <si>
    <t>쿨다운 감소</t>
    <phoneticPr fontId="2" type="noConversion"/>
  </si>
  <si>
    <t>특화(R)</t>
    <phoneticPr fontId="2" type="noConversion"/>
  </si>
  <si>
    <t>남바절</t>
    <phoneticPr fontId="2" type="noConversion"/>
  </si>
  <si>
    <t>레오불(기습)</t>
    <phoneticPr fontId="2" type="noConversion"/>
  </si>
  <si>
    <t>무기 추피</t>
    <phoneticPr fontId="2" type="noConversion"/>
  </si>
  <si>
    <t>지배 쿨감</t>
    <phoneticPr fontId="2" type="noConversion"/>
  </si>
  <si>
    <t>세트 I</t>
    <phoneticPr fontId="2" type="noConversion"/>
  </si>
  <si>
    <t>레오불(사면)</t>
    <phoneticPr fontId="2" type="noConversion"/>
  </si>
  <si>
    <t>카드 세트</t>
    <phoneticPr fontId="2" type="noConversion"/>
  </si>
  <si>
    <t>세구빛30</t>
    <phoneticPr fontId="2" type="noConversion"/>
  </si>
  <si>
    <t>평균 데미지 배율</t>
    <phoneticPr fontId="2" type="noConversion"/>
  </si>
  <si>
    <t>신속 쿨감</t>
    <phoneticPr fontId="2" type="noConversion"/>
  </si>
  <si>
    <t>세구빛</t>
    <phoneticPr fontId="2" type="noConversion"/>
  </si>
  <si>
    <t>메테오</t>
    <phoneticPr fontId="2" type="noConversion"/>
  </si>
  <si>
    <t>갈망 속도</t>
    <phoneticPr fontId="2" type="noConversion"/>
  </si>
  <si>
    <t>공격력 증가</t>
    <phoneticPr fontId="2" type="noConversion"/>
  </si>
  <si>
    <t>유탄</t>
    <phoneticPr fontId="2" type="noConversion"/>
  </si>
  <si>
    <t>X12</t>
    <phoneticPr fontId="2" type="noConversion"/>
  </si>
  <si>
    <t>각인 세팅</t>
    <phoneticPr fontId="2" type="noConversion"/>
  </si>
  <si>
    <t>속도 팩터</t>
    <phoneticPr fontId="2" type="noConversion"/>
  </si>
  <si>
    <t>저주받은인형</t>
    <phoneticPr fontId="2" type="noConversion"/>
  </si>
  <si>
    <t>특화(H)</t>
    <phoneticPr fontId="2" type="noConversion"/>
  </si>
  <si>
    <t>절멸</t>
    <phoneticPr fontId="2" type="noConversion"/>
  </si>
  <si>
    <t>정기흡수</t>
    <phoneticPr fontId="2" type="noConversion"/>
  </si>
  <si>
    <t>질량증가</t>
    <phoneticPr fontId="2" type="noConversion"/>
  </si>
  <si>
    <t>마탄(사면)</t>
    <phoneticPr fontId="2" type="noConversion"/>
  </si>
  <si>
    <t>각성기 스펙</t>
    <phoneticPr fontId="2" type="noConversion"/>
  </si>
  <si>
    <t>평균 치명타 데미지</t>
    <phoneticPr fontId="2" type="noConversion"/>
  </si>
  <si>
    <t>마탄(일발)</t>
    <phoneticPr fontId="2" type="noConversion"/>
  </si>
  <si>
    <t>데미지(샷)</t>
    <phoneticPr fontId="2" type="noConversion"/>
  </si>
  <si>
    <t>신속</t>
    <phoneticPr fontId="2" type="noConversion"/>
  </si>
  <si>
    <t>추가 피해량</t>
    <phoneticPr fontId="2" type="noConversion"/>
  </si>
  <si>
    <t>샷연(기습)</t>
    <phoneticPr fontId="2" type="noConversion"/>
  </si>
  <si>
    <t>Jewel Scale</t>
    <phoneticPr fontId="2" type="noConversion"/>
  </si>
  <si>
    <t>쿨타임(일반)</t>
    <phoneticPr fontId="2" type="noConversion"/>
  </si>
  <si>
    <t>무기</t>
    <phoneticPr fontId="2" type="noConversion"/>
  </si>
  <si>
    <t>샷연(사면)</t>
    <phoneticPr fontId="2" type="noConversion"/>
  </si>
  <si>
    <t>쿨타임(단심)</t>
    <phoneticPr fontId="2" type="noConversion"/>
  </si>
  <si>
    <t>각성기 팩터</t>
    <phoneticPr fontId="2" type="noConversion"/>
  </si>
  <si>
    <t>악몽/구원</t>
    <phoneticPr fontId="2" type="noConversion"/>
  </si>
  <si>
    <t>만찬(백어택)</t>
    <phoneticPr fontId="2" type="noConversion"/>
  </si>
  <si>
    <t>각성</t>
    <phoneticPr fontId="2" type="noConversion"/>
  </si>
  <si>
    <t>종합</t>
    <phoneticPr fontId="2" type="noConversion"/>
  </si>
  <si>
    <t>심판</t>
    <phoneticPr fontId="2" type="noConversion"/>
  </si>
  <si>
    <t>쿨타임 감소</t>
    <phoneticPr fontId="2" type="noConversion"/>
  </si>
  <si>
    <t>특화</t>
    <phoneticPr fontId="2" type="noConversion"/>
  </si>
  <si>
    <t>각인 피해량</t>
    <phoneticPr fontId="2" type="noConversion"/>
  </si>
  <si>
    <t>데미지 배율</t>
    <phoneticPr fontId="2" type="noConversion"/>
  </si>
  <si>
    <t>1각</t>
    <phoneticPr fontId="2" type="noConversion"/>
  </si>
  <si>
    <t>-</t>
    <phoneticPr fontId="2" type="noConversion"/>
  </si>
  <si>
    <t>각성기(샷)</t>
    <phoneticPr fontId="2" type="noConversion"/>
  </si>
  <si>
    <t>각인 공격력</t>
    <phoneticPr fontId="2" type="noConversion"/>
  </si>
  <si>
    <t>2각</t>
    <phoneticPr fontId="2" type="noConversion"/>
  </si>
  <si>
    <t>공격속도(H)</t>
    <phoneticPr fontId="2" type="noConversion"/>
  </si>
  <si>
    <t>각성기(라)</t>
    <phoneticPr fontId="2" type="noConversion"/>
  </si>
  <si>
    <t>쿨밀림</t>
    <phoneticPr fontId="2" type="noConversion"/>
  </si>
  <si>
    <t>공격속도</t>
    <phoneticPr fontId="2" type="noConversion"/>
  </si>
  <si>
    <t>장비/시너지</t>
    <phoneticPr fontId="2" type="noConversion"/>
  </si>
  <si>
    <t>이동속도</t>
    <phoneticPr fontId="2" type="noConversion"/>
  </si>
  <si>
    <t>피스메이커</t>
    <phoneticPr fontId="2" type="noConversion"/>
  </si>
  <si>
    <t>스킬 계수 계산기 220516</t>
    <phoneticPr fontId="2" type="noConversion"/>
  </si>
  <si>
    <t>구원(3)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</si>
</sst>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;;;"/>
    <numFmt numFmtId="177" formatCode="0.00_ "/>
    <numFmt numFmtId="178" formatCode="0_);[Red]\(0\)"/>
    <numFmt numFmtId="179" formatCode="0.00_);[Red]\(0.00\)"/>
    <numFmt numFmtId="180" formatCode="0.0%"/>
  </numFmts>
  <fonts count="14" x14ac:knownFonts="1"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color theme="5"/>
      <name val="맑은 고딕"/>
      <family val="3"/>
      <charset val="129"/>
      <scheme val="minor"/>
    </font>
    <font>
      <sz val="9"/>
      <color theme="5"/>
      <name val="맑은 고딕"/>
      <family val="3"/>
      <charset val="129"/>
      <scheme val="minor"/>
    </font>
    <font>
      <b/>
      <sz val="9"/>
      <color rgb="FF7030A0"/>
      <name val="맑은 고딕"/>
      <family val="3"/>
      <charset val="129"/>
      <scheme val="minor"/>
    </font>
    <font>
      <b/>
      <sz val="9"/>
      <color theme="4"/>
      <name val="맑은 고딕"/>
      <family val="3"/>
      <charset val="129"/>
      <scheme val="minor"/>
    </font>
    <font>
      <sz val="9"/>
      <color theme="4"/>
      <name val="맑은 고딕"/>
      <family val="3"/>
      <charset val="129"/>
      <scheme val="minor"/>
    </font>
    <font>
      <sz val="9"/>
      <color rgb="FF7030A0"/>
      <name val="맑은 고딕"/>
      <family val="3"/>
      <charset val="129"/>
      <scheme val="minor"/>
    </font>
    <font>
      <b/>
      <sz val="9"/>
      <color theme="5" tint="-0.249977111117893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0" fontId="1" fillId="2" borderId="12" xfId="0" applyNumberFormat="1" applyFont="1" applyFill="1" applyBorder="1" applyAlignment="1">
      <alignment horizontal="center" vertical="center"/>
    </xf>
    <xf numFmtId="10" fontId="1" fillId="2" borderId="8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0" fontId="1" fillId="0" borderId="12" xfId="0" applyNumberFormat="1" applyFont="1" applyBorder="1" applyAlignment="1">
      <alignment horizontal="center" vertical="center"/>
    </xf>
    <xf numFmtId="10" fontId="1" fillId="0" borderId="8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0" fontId="7" fillId="0" borderId="8" xfId="0" applyNumberFormat="1" applyFont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/>
    </xf>
    <xf numFmtId="0" fontId="5" fillId="10" borderId="22" xfId="0" applyFont="1" applyFill="1" applyBorder="1" applyAlignment="1">
      <alignment horizontal="center" vertical="center"/>
    </xf>
    <xf numFmtId="178" fontId="1" fillId="10" borderId="22" xfId="0" applyNumberFormat="1" applyFont="1" applyFill="1" applyBorder="1" applyAlignment="1">
      <alignment horizontal="center" vertical="center"/>
    </xf>
    <xf numFmtId="179" fontId="1" fillId="10" borderId="23" xfId="0" applyNumberFormat="1" applyFont="1" applyFill="1" applyBorder="1" applyAlignment="1">
      <alignment horizontal="center" vertical="center"/>
    </xf>
    <xf numFmtId="178" fontId="1" fillId="10" borderId="24" xfId="0" applyNumberFormat="1" applyFont="1" applyFill="1" applyBorder="1" applyAlignment="1">
      <alignment horizontal="center" vertical="center"/>
    </xf>
    <xf numFmtId="9" fontId="1" fillId="10" borderId="25" xfId="0" applyNumberFormat="1" applyFont="1" applyFill="1" applyBorder="1" applyAlignment="1">
      <alignment horizontal="center" vertical="center"/>
    </xf>
    <xf numFmtId="178" fontId="5" fillId="10" borderId="25" xfId="0" applyNumberFormat="1" applyFont="1" applyFill="1" applyBorder="1" applyAlignment="1">
      <alignment horizontal="center" vertical="center"/>
    </xf>
    <xf numFmtId="179" fontId="1" fillId="8" borderId="21" xfId="0" applyNumberFormat="1" applyFont="1" applyFill="1" applyBorder="1" applyAlignment="1">
      <alignment horizontal="center" vertical="center"/>
    </xf>
    <xf numFmtId="179" fontId="1" fillId="8" borderId="22" xfId="0" applyNumberFormat="1" applyFont="1" applyFill="1" applyBorder="1" applyAlignment="1">
      <alignment horizontal="center" vertical="center"/>
    </xf>
    <xf numFmtId="179" fontId="5" fillId="8" borderId="26" xfId="0" applyNumberFormat="1" applyFont="1" applyFill="1" applyBorder="1" applyAlignment="1">
      <alignment horizontal="center" vertical="center"/>
    </xf>
    <xf numFmtId="179" fontId="5" fillId="7" borderId="27" xfId="0" applyNumberFormat="1" applyFont="1" applyFill="1" applyBorder="1" applyAlignment="1">
      <alignment horizontal="center" vertical="center"/>
    </xf>
    <xf numFmtId="10" fontId="5" fillId="7" borderId="28" xfId="0" applyNumberFormat="1" applyFont="1" applyFill="1" applyBorder="1" applyAlignment="1">
      <alignment horizontal="center" vertical="center"/>
    </xf>
    <xf numFmtId="179" fontId="5" fillId="10" borderId="29" xfId="0" applyNumberFormat="1" applyFont="1" applyFill="1" applyBorder="1" applyAlignment="1">
      <alignment horizontal="center" vertical="center"/>
    </xf>
    <xf numFmtId="10" fontId="5" fillId="11" borderId="28" xfId="0" applyNumberFormat="1" applyFont="1" applyFill="1" applyBorder="1" applyAlignment="1">
      <alignment horizontal="center" vertical="center"/>
    </xf>
    <xf numFmtId="179" fontId="5" fillId="11" borderId="30" xfId="0" applyNumberFormat="1" applyFont="1" applyFill="1" applyBorder="1" applyAlignment="1">
      <alignment horizontal="center" vertical="center"/>
    </xf>
    <xf numFmtId="176" fontId="1" fillId="2" borderId="31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0" fontId="10" fillId="0" borderId="8" xfId="0" applyNumberFormat="1" applyFont="1" applyBorder="1" applyAlignment="1">
      <alignment horizontal="center" vertical="center"/>
    </xf>
    <xf numFmtId="0" fontId="8" fillId="9" borderId="32" xfId="0" applyFont="1" applyFill="1" applyBorder="1" applyAlignment="1">
      <alignment horizontal="center" vertical="center"/>
    </xf>
    <xf numFmtId="0" fontId="8" fillId="9" borderId="33" xfId="0" applyFont="1" applyFill="1" applyBorder="1" applyAlignment="1">
      <alignment horizontal="center" vertical="center"/>
    </xf>
    <xf numFmtId="0" fontId="5" fillId="10" borderId="34" xfId="0" applyFont="1" applyFill="1" applyBorder="1" applyAlignment="1">
      <alignment horizontal="center" vertical="center"/>
    </xf>
    <xf numFmtId="178" fontId="1" fillId="10" borderId="34" xfId="0" applyNumberFormat="1" applyFont="1" applyFill="1" applyBorder="1" applyAlignment="1">
      <alignment horizontal="center" vertical="center"/>
    </xf>
    <xf numFmtId="179" fontId="1" fillId="10" borderId="35" xfId="0" applyNumberFormat="1" applyFont="1" applyFill="1" applyBorder="1" applyAlignment="1">
      <alignment horizontal="center" vertical="center"/>
    </xf>
    <xf numFmtId="178" fontId="1" fillId="10" borderId="36" xfId="0" applyNumberFormat="1" applyFont="1" applyFill="1" applyBorder="1" applyAlignment="1">
      <alignment horizontal="center" vertical="center"/>
    </xf>
    <xf numFmtId="9" fontId="1" fillId="10" borderId="34" xfId="0" applyNumberFormat="1" applyFont="1" applyFill="1" applyBorder="1" applyAlignment="1">
      <alignment horizontal="center" vertical="center"/>
    </xf>
    <xf numFmtId="178" fontId="5" fillId="10" borderId="34" xfId="0" applyNumberFormat="1" applyFont="1" applyFill="1" applyBorder="1" applyAlignment="1">
      <alignment horizontal="center" vertical="center"/>
    </xf>
    <xf numFmtId="179" fontId="1" fillId="8" borderId="33" xfId="0" applyNumberFormat="1" applyFont="1" applyFill="1" applyBorder="1" applyAlignment="1">
      <alignment horizontal="center" vertical="center"/>
    </xf>
    <xf numFmtId="179" fontId="1" fillId="8" borderId="34" xfId="0" applyNumberFormat="1" applyFont="1" applyFill="1" applyBorder="1" applyAlignment="1">
      <alignment horizontal="center" vertical="center"/>
    </xf>
    <xf numFmtId="179" fontId="5" fillId="8" borderId="37" xfId="0" applyNumberFormat="1" applyFont="1" applyFill="1" applyBorder="1" applyAlignment="1">
      <alignment horizontal="center" vertical="center"/>
    </xf>
    <xf numFmtId="179" fontId="5" fillId="7" borderId="29" xfId="0" applyNumberFormat="1" applyFont="1" applyFill="1" applyBorder="1" applyAlignment="1">
      <alignment horizontal="center" vertical="center"/>
    </xf>
    <xf numFmtId="10" fontId="5" fillId="7" borderId="38" xfId="0" applyNumberFormat="1" applyFont="1" applyFill="1" applyBorder="1" applyAlignment="1">
      <alignment horizontal="center" vertical="center"/>
    </xf>
    <xf numFmtId="179" fontId="5" fillId="10" borderId="39" xfId="0" applyNumberFormat="1" applyFont="1" applyFill="1" applyBorder="1" applyAlignment="1">
      <alignment horizontal="center" vertical="center"/>
    </xf>
    <xf numFmtId="10" fontId="5" fillId="11" borderId="40" xfId="0" applyNumberFormat="1" applyFont="1" applyFill="1" applyBorder="1" applyAlignment="1">
      <alignment horizontal="center" vertical="center"/>
    </xf>
    <xf numFmtId="179" fontId="5" fillId="11" borderId="41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0" fontId="11" fillId="0" borderId="8" xfId="0" applyNumberFormat="1" applyFont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center" vertical="center"/>
    </xf>
    <xf numFmtId="0" fontId="12" fillId="9" borderId="32" xfId="0" applyFont="1" applyFill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180" fontId="1" fillId="0" borderId="8" xfId="0" applyNumberFormat="1" applyFont="1" applyBorder="1" applyAlignment="1">
      <alignment horizontal="center" vertical="center"/>
    </xf>
    <xf numFmtId="10" fontId="1" fillId="0" borderId="44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9" fillId="9" borderId="32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177" fontId="1" fillId="8" borderId="34" xfId="0" applyNumberFormat="1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10" fontId="1" fillId="0" borderId="45" xfId="0" applyNumberFormat="1" applyFont="1" applyBorder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9" fontId="1" fillId="0" borderId="12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9" fillId="9" borderId="34" xfId="0" applyFont="1" applyFill="1" applyBorder="1" applyAlignment="1">
      <alignment horizontal="center" vertical="center"/>
    </xf>
    <xf numFmtId="179" fontId="5" fillId="7" borderId="39" xfId="0" applyNumberFormat="1" applyFont="1" applyFill="1" applyBorder="1" applyAlignment="1">
      <alignment horizontal="center" vertical="center"/>
    </xf>
    <xf numFmtId="10" fontId="5" fillId="7" borderId="40" xfId="0" applyNumberFormat="1" applyFont="1" applyFill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3" fillId="9" borderId="33" xfId="0" applyFont="1" applyFill="1" applyBorder="1" applyAlignment="1">
      <alignment horizontal="center" vertical="center"/>
    </xf>
    <xf numFmtId="0" fontId="3" fillId="9" borderId="34" xfId="0" applyFont="1" applyFill="1" applyBorder="1" applyAlignment="1">
      <alignment horizontal="center" vertical="center"/>
    </xf>
    <xf numFmtId="178" fontId="1" fillId="10" borderId="35" xfId="0" applyNumberFormat="1" applyFont="1" applyFill="1" applyBorder="1" applyAlignment="1">
      <alignment horizontal="center" vertical="center"/>
    </xf>
    <xf numFmtId="0" fontId="5" fillId="9" borderId="46" xfId="0" applyFont="1" applyFill="1" applyBorder="1" applyAlignment="1">
      <alignment horizontal="center" vertical="center"/>
    </xf>
    <xf numFmtId="0" fontId="3" fillId="9" borderId="47" xfId="0" applyFont="1" applyFill="1" applyBorder="1" applyAlignment="1">
      <alignment horizontal="center" vertical="center"/>
    </xf>
    <xf numFmtId="0" fontId="3" fillId="9" borderId="48" xfId="0" applyFont="1" applyFill="1" applyBorder="1" applyAlignment="1">
      <alignment horizontal="center" vertical="center"/>
    </xf>
    <xf numFmtId="0" fontId="5" fillId="10" borderId="48" xfId="0" applyFont="1" applyFill="1" applyBorder="1" applyAlignment="1">
      <alignment horizontal="center" vertical="center"/>
    </xf>
    <xf numFmtId="178" fontId="1" fillId="10" borderId="48" xfId="0" applyNumberFormat="1" applyFont="1" applyFill="1" applyBorder="1" applyAlignment="1">
      <alignment horizontal="center" vertical="center"/>
    </xf>
    <xf numFmtId="178" fontId="1" fillId="10" borderId="49" xfId="0" applyNumberFormat="1" applyFont="1" applyFill="1" applyBorder="1" applyAlignment="1">
      <alignment horizontal="center" vertical="center"/>
    </xf>
    <xf numFmtId="178" fontId="1" fillId="10" borderId="50" xfId="0" applyNumberFormat="1" applyFont="1" applyFill="1" applyBorder="1" applyAlignment="1">
      <alignment horizontal="center" vertical="center"/>
    </xf>
    <xf numFmtId="9" fontId="1" fillId="10" borderId="48" xfId="0" applyNumberFormat="1" applyFont="1" applyFill="1" applyBorder="1" applyAlignment="1">
      <alignment horizontal="center" vertical="center"/>
    </xf>
    <xf numFmtId="178" fontId="5" fillId="10" borderId="48" xfId="0" applyNumberFormat="1" applyFont="1" applyFill="1" applyBorder="1" applyAlignment="1">
      <alignment horizontal="center" vertical="center"/>
    </xf>
    <xf numFmtId="179" fontId="1" fillId="8" borderId="47" xfId="0" applyNumberFormat="1" applyFont="1" applyFill="1" applyBorder="1" applyAlignment="1">
      <alignment horizontal="center" vertical="center"/>
    </xf>
    <xf numFmtId="179" fontId="1" fillId="8" borderId="48" xfId="0" applyNumberFormat="1" applyFont="1" applyFill="1" applyBorder="1" applyAlignment="1">
      <alignment horizontal="center" vertical="center"/>
    </xf>
    <xf numFmtId="179" fontId="5" fillId="8" borderId="42" xfId="0" applyNumberFormat="1" applyFont="1" applyFill="1" applyBorder="1" applyAlignment="1">
      <alignment horizontal="center" vertical="center"/>
    </xf>
    <xf numFmtId="179" fontId="5" fillId="7" borderId="51" xfId="0" applyNumberFormat="1" applyFont="1" applyFill="1" applyBorder="1" applyAlignment="1">
      <alignment horizontal="center" vertical="center"/>
    </xf>
    <xf numFmtId="10" fontId="5" fillId="7" borderId="52" xfId="0" applyNumberFormat="1" applyFont="1" applyFill="1" applyBorder="1" applyAlignment="1">
      <alignment horizontal="center" vertical="center"/>
    </xf>
    <xf numFmtId="179" fontId="5" fillId="10" borderId="51" xfId="0" applyNumberFormat="1" applyFont="1" applyFill="1" applyBorder="1" applyAlignment="1">
      <alignment horizontal="center" vertical="center"/>
    </xf>
    <xf numFmtId="10" fontId="5" fillId="11" borderId="52" xfId="0" applyNumberFormat="1" applyFont="1" applyFill="1" applyBorder="1" applyAlignment="1">
      <alignment horizontal="center" vertical="center"/>
    </xf>
    <xf numFmtId="179" fontId="5" fillId="11" borderId="53" xfId="0" applyNumberFormat="1" applyFont="1" applyFill="1" applyBorder="1" applyAlignment="1">
      <alignment horizontal="center" vertical="center"/>
    </xf>
    <xf numFmtId="176" fontId="1" fillId="2" borderId="54" xfId="0" applyNumberFormat="1" applyFont="1" applyFill="1" applyBorder="1" applyAlignment="1">
      <alignment horizontal="center" vertical="center"/>
    </xf>
    <xf numFmtId="178" fontId="5" fillId="10" borderId="55" xfId="0" applyNumberFormat="1" applyFont="1" applyFill="1" applyBorder="1" applyAlignment="1">
      <alignment horizontal="center" vertical="center"/>
    </xf>
    <xf numFmtId="178" fontId="1" fillId="10" borderId="56" xfId="0" applyNumberFormat="1" applyFont="1" applyFill="1" applyBorder="1" applyAlignment="1">
      <alignment horizontal="center" vertical="center"/>
    </xf>
    <xf numFmtId="177" fontId="5" fillId="2" borderId="57" xfId="0" applyNumberFormat="1" applyFont="1" applyFill="1" applyBorder="1" applyAlignment="1">
      <alignment horizontal="center" vertical="center"/>
    </xf>
    <xf numFmtId="0" fontId="5" fillId="7" borderId="43" xfId="0" applyFont="1" applyFill="1" applyBorder="1" applyAlignment="1">
      <alignment horizontal="center" vertical="center"/>
    </xf>
    <xf numFmtId="0" fontId="5" fillId="8" borderId="43" xfId="0" applyFont="1" applyFill="1" applyBorder="1" applyAlignment="1">
      <alignment horizontal="center" vertical="center"/>
    </xf>
    <xf numFmtId="178" fontId="5" fillId="0" borderId="44" xfId="0" applyNumberFormat="1" applyFont="1" applyBorder="1" applyAlignment="1">
      <alignment horizontal="center" vertical="center"/>
    </xf>
    <xf numFmtId="9" fontId="1" fillId="0" borderId="45" xfId="0" applyNumberFormat="1" applyFont="1" applyBorder="1" applyAlignment="1">
      <alignment horizontal="center" vertical="center"/>
    </xf>
    <xf numFmtId="9" fontId="1" fillId="0" borderId="44" xfId="0" applyNumberFormat="1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표준" xfId="0" builtinId="0"/>
  </cellStyles>
  <dxfs count="2">
    <dxf>
      <numFmt numFmtId="176" formatCode=";;;"/>
    </dxf>
    <dxf>
      <fill>
        <patternFill>
          <bgColor rgb="FF92D050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AI5" lockText="1" noThreeD="1"/>
</file>

<file path=xl/ctrlProps/ctrlProp10.xml><?xml version="1.0" encoding="utf-8"?>
<formControlPr xmlns="http://schemas.microsoft.com/office/spreadsheetml/2009/9/main" objectType="CheckBox" fmlaLink="AI15" lockText="1" noThreeD="1"/>
</file>

<file path=xl/ctrlProps/ctrlProp11.xml><?xml version="1.0" encoding="utf-8"?>
<formControlPr xmlns="http://schemas.microsoft.com/office/spreadsheetml/2009/9/main" objectType="CheckBox" fmlaLink="AI16" lockText="1" noThreeD="1"/>
</file>

<file path=xl/ctrlProps/ctrlProp12.xml><?xml version="1.0" encoding="utf-8"?>
<formControlPr xmlns="http://schemas.microsoft.com/office/spreadsheetml/2009/9/main" objectType="CheckBox" fmlaLink="AI17" lockText="1" noThreeD="1"/>
</file>

<file path=xl/ctrlProps/ctrlProp13.xml><?xml version="1.0" encoding="utf-8"?>
<formControlPr xmlns="http://schemas.microsoft.com/office/spreadsheetml/2009/9/main" objectType="CheckBox" fmlaLink="AI18" lockText="1" noThreeD="1"/>
</file>

<file path=xl/ctrlProps/ctrlProp14.xml><?xml version="1.0" encoding="utf-8"?>
<formControlPr xmlns="http://schemas.microsoft.com/office/spreadsheetml/2009/9/main" objectType="CheckBox" fmlaLink="AI19" lockText="1" noThreeD="1"/>
</file>

<file path=xl/ctrlProps/ctrlProp15.xml><?xml version="1.0" encoding="utf-8"?>
<formControlPr xmlns="http://schemas.microsoft.com/office/spreadsheetml/2009/9/main" objectType="CheckBox" fmlaLink="AI20" lockText="1" noThreeD="1"/>
</file>

<file path=xl/ctrlProps/ctrlProp16.xml><?xml version="1.0" encoding="utf-8"?>
<formControlPr xmlns="http://schemas.microsoft.com/office/spreadsheetml/2009/9/main" objectType="CheckBox" fmlaLink="AI21" lockText="1" noThreeD="1"/>
</file>

<file path=xl/ctrlProps/ctrlProp17.xml><?xml version="1.0" encoding="utf-8"?>
<formControlPr xmlns="http://schemas.microsoft.com/office/spreadsheetml/2009/9/main" objectType="CheckBox" checked="Checked" fmlaLink="AI22" lockText="1" noThreeD="1"/>
</file>

<file path=xl/ctrlProps/ctrlProp18.xml><?xml version="1.0" encoding="utf-8"?>
<formControlPr xmlns="http://schemas.microsoft.com/office/spreadsheetml/2009/9/main" objectType="CheckBox" fmlaLink="AI10" lockText="1" noThreeD="1"/>
</file>

<file path=xl/ctrlProps/ctrlProp19.xml><?xml version="1.0" encoding="utf-8"?>
<formControlPr xmlns="http://schemas.microsoft.com/office/spreadsheetml/2009/9/main" objectType="CheckBox" fmlaLink="$C$13" lockText="1" noThreeD="1"/>
</file>

<file path=xl/ctrlProps/ctrlProp2.xml><?xml version="1.0" encoding="utf-8"?>
<formControlPr xmlns="http://schemas.microsoft.com/office/spreadsheetml/2009/9/main" objectType="CheckBox" checked="Checked" fmlaLink="AI6" lockText="1" noThreeD="1"/>
</file>

<file path=xl/ctrlProps/ctrlProp3.xml><?xml version="1.0" encoding="utf-8"?>
<formControlPr xmlns="http://schemas.microsoft.com/office/spreadsheetml/2009/9/main" objectType="CheckBox" checked="Checked" fmlaLink="AI7" lockText="1" noThreeD="1"/>
</file>

<file path=xl/ctrlProps/ctrlProp4.xml><?xml version="1.0" encoding="utf-8"?>
<formControlPr xmlns="http://schemas.microsoft.com/office/spreadsheetml/2009/9/main" objectType="CheckBox" fmlaLink="AI8" lockText="1" noThreeD="1"/>
</file>

<file path=xl/ctrlProps/ctrlProp5.xml><?xml version="1.0" encoding="utf-8"?>
<formControlPr xmlns="http://schemas.microsoft.com/office/spreadsheetml/2009/9/main" objectType="CheckBox" checked="Checked" fmlaLink="AI9" lockText="1" noThreeD="1"/>
</file>

<file path=xl/ctrlProps/ctrlProp6.xml><?xml version="1.0" encoding="utf-8"?>
<formControlPr xmlns="http://schemas.microsoft.com/office/spreadsheetml/2009/9/main" objectType="CheckBox" checked="Checked" fmlaLink="AI11" lockText="1" noThreeD="1"/>
</file>

<file path=xl/ctrlProps/ctrlProp7.xml><?xml version="1.0" encoding="utf-8"?>
<formControlPr xmlns="http://schemas.microsoft.com/office/spreadsheetml/2009/9/main" objectType="CheckBox" fmlaLink="AI12" lockText="1" noThreeD="1"/>
</file>

<file path=xl/ctrlProps/ctrlProp8.xml><?xml version="1.0" encoding="utf-8"?>
<formControlPr xmlns="http://schemas.microsoft.com/office/spreadsheetml/2009/9/main" objectType="CheckBox" checked="Checked" fmlaLink="AI13" lockText="1" noThreeD="1"/>
</file>

<file path=xl/ctrlProps/ctrlProp9.xml><?xml version="1.0" encoding="utf-8"?>
<formControlPr xmlns="http://schemas.microsoft.com/office/spreadsheetml/2009/9/main" objectType="CheckBox" fmlaLink="AI1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4</xdr:row>
          <xdr:rowOff>0</xdr:rowOff>
        </xdr:from>
        <xdr:to>
          <xdr:col>34</xdr:col>
          <xdr:colOff>238125</xdr:colOff>
          <xdr:row>5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5</xdr:row>
          <xdr:rowOff>0</xdr:rowOff>
        </xdr:from>
        <xdr:to>
          <xdr:col>34</xdr:col>
          <xdr:colOff>238125</xdr:colOff>
          <xdr:row>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6</xdr:row>
          <xdr:rowOff>0</xdr:rowOff>
        </xdr:from>
        <xdr:to>
          <xdr:col>34</xdr:col>
          <xdr:colOff>238125</xdr:colOff>
          <xdr:row>7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7</xdr:row>
          <xdr:rowOff>0</xdr:rowOff>
        </xdr:from>
        <xdr:to>
          <xdr:col>34</xdr:col>
          <xdr:colOff>238125</xdr:colOff>
          <xdr:row>8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8</xdr:row>
          <xdr:rowOff>0</xdr:rowOff>
        </xdr:from>
        <xdr:to>
          <xdr:col>34</xdr:col>
          <xdr:colOff>238125</xdr:colOff>
          <xdr:row>9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10</xdr:row>
          <xdr:rowOff>0</xdr:rowOff>
        </xdr:from>
        <xdr:to>
          <xdr:col>34</xdr:col>
          <xdr:colOff>238125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11</xdr:row>
          <xdr:rowOff>0</xdr:rowOff>
        </xdr:from>
        <xdr:to>
          <xdr:col>34</xdr:col>
          <xdr:colOff>238125</xdr:colOff>
          <xdr:row>12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12</xdr:row>
          <xdr:rowOff>0</xdr:rowOff>
        </xdr:from>
        <xdr:to>
          <xdr:col>34</xdr:col>
          <xdr:colOff>238125</xdr:colOff>
          <xdr:row>13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13</xdr:row>
          <xdr:rowOff>0</xdr:rowOff>
        </xdr:from>
        <xdr:to>
          <xdr:col>34</xdr:col>
          <xdr:colOff>238125</xdr:colOff>
          <xdr:row>14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14</xdr:row>
          <xdr:rowOff>0</xdr:rowOff>
        </xdr:from>
        <xdr:to>
          <xdr:col>34</xdr:col>
          <xdr:colOff>238125</xdr:colOff>
          <xdr:row>15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15</xdr:row>
          <xdr:rowOff>0</xdr:rowOff>
        </xdr:from>
        <xdr:to>
          <xdr:col>34</xdr:col>
          <xdr:colOff>238125</xdr:colOff>
          <xdr:row>16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16</xdr:row>
          <xdr:rowOff>0</xdr:rowOff>
        </xdr:from>
        <xdr:to>
          <xdr:col>34</xdr:col>
          <xdr:colOff>238125</xdr:colOff>
          <xdr:row>17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17</xdr:row>
          <xdr:rowOff>0</xdr:rowOff>
        </xdr:from>
        <xdr:to>
          <xdr:col>34</xdr:col>
          <xdr:colOff>238125</xdr:colOff>
          <xdr:row>18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18</xdr:row>
          <xdr:rowOff>0</xdr:rowOff>
        </xdr:from>
        <xdr:to>
          <xdr:col>34</xdr:col>
          <xdr:colOff>238125</xdr:colOff>
          <xdr:row>19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19</xdr:row>
          <xdr:rowOff>0</xdr:rowOff>
        </xdr:from>
        <xdr:to>
          <xdr:col>34</xdr:col>
          <xdr:colOff>238125</xdr:colOff>
          <xdr:row>20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20</xdr:row>
          <xdr:rowOff>0</xdr:rowOff>
        </xdr:from>
        <xdr:to>
          <xdr:col>34</xdr:col>
          <xdr:colOff>238125</xdr:colOff>
          <xdr:row>21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20</xdr:row>
          <xdr:rowOff>219075</xdr:rowOff>
        </xdr:from>
        <xdr:to>
          <xdr:col>34</xdr:col>
          <xdr:colOff>238125</xdr:colOff>
          <xdr:row>22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9</xdr:row>
          <xdr:rowOff>0</xdr:rowOff>
        </xdr:from>
        <xdr:to>
          <xdr:col>34</xdr:col>
          <xdr:colOff>238125</xdr:colOff>
          <xdr:row>10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12</xdr:row>
          <xdr:rowOff>0</xdr:rowOff>
        </xdr:from>
        <xdr:to>
          <xdr:col>2</xdr:col>
          <xdr:colOff>438150</xdr:colOff>
          <xdr:row>13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BF123-9F5C-443E-992A-595F9E91C444}">
  <sheetPr codeName="Sheet7"/>
  <dimension ref="B1:AR69"/>
  <sheetViews>
    <sheetView tabSelected="1" zoomScaleNormal="100" workbookViewId="0">
      <selection activeCell="Y29" sqref="Y29"/>
    </sheetView>
  </sheetViews>
  <sheetFormatPr defaultRowHeight="18" customHeight="1" x14ac:dyDescent="0.3"/>
  <cols>
    <col min="1" max="1" width="3.625" style="1" customWidth="1"/>
    <col min="2" max="2" width="9" style="1"/>
    <col min="3" max="3" width="9" style="1" customWidth="1"/>
    <col min="4" max="4" width="3.625" style="2" customWidth="1"/>
    <col min="5" max="5" width="9.125" style="1" customWidth="1"/>
    <col min="6" max="6" width="9" style="1" customWidth="1"/>
    <col min="7" max="7" width="3.625" style="1" customWidth="1"/>
    <col min="8" max="9" width="9" style="1" hidden="1" customWidth="1"/>
    <col min="10" max="10" width="3.625" style="1" hidden="1" customWidth="1"/>
    <col min="11" max="12" width="9" style="1" hidden="1" customWidth="1"/>
    <col min="13" max="13" width="3.625" style="1" hidden="1" customWidth="1"/>
    <col min="14" max="15" width="9" style="1" hidden="1" customWidth="1"/>
    <col min="16" max="16" width="3.625" style="1" hidden="1" customWidth="1"/>
    <col min="17" max="17" width="9" style="1" customWidth="1"/>
    <col min="18" max="20" width="3.625" style="1" customWidth="1"/>
    <col min="21" max="34" width="9" style="1" customWidth="1"/>
    <col min="35" max="35" width="3.625" style="2" customWidth="1"/>
    <col min="36" max="36" width="3.625" style="1" hidden="1" customWidth="1"/>
    <col min="37" max="39" width="9" style="1" hidden="1" customWidth="1"/>
    <col min="40" max="40" width="3.625" style="1" customWidth="1"/>
    <col min="41" max="16384" width="9" style="1"/>
  </cols>
  <sheetData>
    <row r="1" spans="2:44" ht="18" customHeight="1" thickBot="1" x14ac:dyDescent="0.35"/>
    <row r="2" spans="2:44" ht="18" customHeight="1" x14ac:dyDescent="0.3">
      <c r="B2" s="123" t="s">
        <v>0</v>
      </c>
      <c r="C2" s="124"/>
      <c r="E2" s="123" t="s">
        <v>1</v>
      </c>
      <c r="F2" s="124"/>
      <c r="H2" s="127" t="s">
        <v>2</v>
      </c>
      <c r="I2" s="128"/>
      <c r="K2" s="127" t="s">
        <v>3</v>
      </c>
      <c r="L2" s="128"/>
      <c r="N2" s="127" t="s">
        <v>4</v>
      </c>
      <c r="O2" s="128"/>
      <c r="Q2" s="129" t="s">
        <v>123</v>
      </c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1"/>
      <c r="AK2" s="3" t="s">
        <v>5</v>
      </c>
      <c r="AL2" s="4" t="s">
        <v>6</v>
      </c>
      <c r="AM2" s="5" t="s">
        <v>7</v>
      </c>
      <c r="AP2" s="6"/>
      <c r="AQ2" s="6"/>
      <c r="AR2" s="6"/>
    </row>
    <row r="3" spans="2:44" ht="18" customHeight="1" thickBot="1" x14ac:dyDescent="0.35">
      <c r="B3" s="125"/>
      <c r="C3" s="126"/>
      <c r="E3" s="125"/>
      <c r="F3" s="126"/>
      <c r="H3" s="7" t="s">
        <v>11</v>
      </c>
      <c r="I3" s="8">
        <v>3.5780000000000002E-4</v>
      </c>
      <c r="K3" s="121" t="s">
        <v>12</v>
      </c>
      <c r="L3" s="122"/>
      <c r="N3" s="121" t="s">
        <v>13</v>
      </c>
      <c r="O3" s="122"/>
      <c r="Q3" s="132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4"/>
      <c r="AK3" s="9">
        <v>0</v>
      </c>
      <c r="AL3" s="10">
        <v>0.85589999999999999</v>
      </c>
      <c r="AM3" s="11"/>
      <c r="AP3" s="6"/>
      <c r="AQ3" s="6"/>
      <c r="AR3" s="6"/>
    </row>
    <row r="4" spans="2:44" ht="18" customHeight="1" x14ac:dyDescent="0.3">
      <c r="B4" s="12" t="s">
        <v>14</v>
      </c>
      <c r="C4" s="13" t="s">
        <v>124</v>
      </c>
      <c r="E4" s="121" t="s">
        <v>13</v>
      </c>
      <c r="F4" s="122"/>
      <c r="H4" s="7" t="s">
        <v>15</v>
      </c>
      <c r="I4" s="8">
        <v>3.5780000000000002E-4</v>
      </c>
      <c r="K4" s="14" t="s">
        <v>16</v>
      </c>
      <c r="L4" s="15">
        <f>IF(C15=1,104%,IF(C15=2,110%,IF(C15=3,120%,1)))</f>
        <v>1.2</v>
      </c>
      <c r="N4" s="14" t="s">
        <v>17</v>
      </c>
      <c r="O4" s="15">
        <f>IF(C26=1,15%,IF(C26=2,20%,IF(C26=3,25%,0)))</f>
        <v>0.15</v>
      </c>
      <c r="Q4" s="16" t="s">
        <v>18</v>
      </c>
      <c r="R4" s="17" t="s">
        <v>19</v>
      </c>
      <c r="S4" s="17" t="s">
        <v>20</v>
      </c>
      <c r="T4" s="17" t="s">
        <v>21</v>
      </c>
      <c r="U4" s="18" t="s">
        <v>22</v>
      </c>
      <c r="V4" s="18" t="s">
        <v>23</v>
      </c>
      <c r="W4" s="19" t="s">
        <v>24</v>
      </c>
      <c r="X4" s="20" t="s">
        <v>25</v>
      </c>
      <c r="Y4" s="18" t="s">
        <v>26</v>
      </c>
      <c r="Z4" s="18" t="s">
        <v>27</v>
      </c>
      <c r="AA4" s="17" t="s">
        <v>28</v>
      </c>
      <c r="AB4" s="18" t="s">
        <v>29</v>
      </c>
      <c r="AC4" s="21" t="s">
        <v>30</v>
      </c>
      <c r="AD4" s="22" t="s">
        <v>8</v>
      </c>
      <c r="AE4" s="23" t="s">
        <v>31</v>
      </c>
      <c r="AF4" s="22" t="s">
        <v>9</v>
      </c>
      <c r="AG4" s="23" t="s">
        <v>32</v>
      </c>
      <c r="AH4" s="23" t="s">
        <v>10</v>
      </c>
      <c r="AI4" s="23" t="s">
        <v>33</v>
      </c>
      <c r="AK4" s="24">
        <v>1</v>
      </c>
      <c r="AL4" s="25">
        <v>0.85589999999999999</v>
      </c>
      <c r="AM4" s="26">
        <f>AL4/AL3-1</f>
        <v>0</v>
      </c>
      <c r="AP4" s="6"/>
      <c r="AQ4" s="6"/>
      <c r="AR4" s="6"/>
    </row>
    <row r="5" spans="2:44" ht="18" customHeight="1" x14ac:dyDescent="0.3">
      <c r="B5" s="121" t="s">
        <v>34</v>
      </c>
      <c r="C5" s="122"/>
      <c r="E5" s="27" t="s">
        <v>35</v>
      </c>
      <c r="F5" s="28">
        <f>IF(SUM(C6*I3,O5:O10)&gt;=100%,100%,SUM(C6*I3,O5:O10))</f>
        <v>0.86468</v>
      </c>
      <c r="H5" s="7" t="s">
        <v>36</v>
      </c>
      <c r="I5" s="8">
        <v>1.0727E-3</v>
      </c>
      <c r="K5" s="14" t="s">
        <v>37</v>
      </c>
      <c r="L5" s="15">
        <f>IF(C16=0,1,98%)</f>
        <v>0.98</v>
      </c>
      <c r="N5" s="14" t="s">
        <v>38</v>
      </c>
      <c r="O5" s="15">
        <f>IF(C25=3, 40%, IF(C25=2, 30%, IF(C25=1,20%,0%)))</f>
        <v>0.4</v>
      </c>
      <c r="Q5" s="29" t="s">
        <v>39</v>
      </c>
      <c r="R5" s="30">
        <v>12</v>
      </c>
      <c r="S5" s="30">
        <v>9</v>
      </c>
      <c r="T5" s="30">
        <v>7</v>
      </c>
      <c r="U5" s="31">
        <v>111</v>
      </c>
      <c r="V5" s="32">
        <v>36</v>
      </c>
      <c r="W5" s="33">
        <f t="shared" ref="W5:W20" si="0">V5*(1-$F$21)*(1-VLOOKUP(T5,$AK$17:$AM$28,3,0))+$W$23</f>
        <v>30.627799200000002</v>
      </c>
      <c r="X5" s="34">
        <v>173</v>
      </c>
      <c r="Y5" s="35"/>
      <c r="Z5" s="36">
        <f>X5/($F$24+Y5)</f>
        <v>156.05479056635261</v>
      </c>
      <c r="AA5" s="37">
        <v>38.133615882221697</v>
      </c>
      <c r="AB5" s="38">
        <f>AA5*(11/6)*2.2</f>
        <v>153.80558405829419</v>
      </c>
      <c r="AC5" s="39">
        <f>(VLOOKUP(R5,$AK$2:$AM$15,2,0))*(1+VLOOKUP(S5,$AK$17:$AM$28,2,1))*AB5*$F$15*$L$7</f>
        <v>2948.4313699018317</v>
      </c>
      <c r="AD5" s="40">
        <f t="shared" ref="AD5:AD22" si="1">AC5/W5</f>
        <v>96.266511042746799</v>
      </c>
      <c r="AE5" s="41">
        <f t="shared" ref="AE5:AE22" si="2">IF(AI5,AD5/$AD$23,0)</f>
        <v>0.18966610225447419</v>
      </c>
      <c r="AF5" s="42">
        <f>Z5/W5</f>
        <v>5.0952009168961965</v>
      </c>
      <c r="AG5" s="43">
        <f t="shared" ref="AG5:AG22" si="3">IF(AI5,AF5/$AF$23,0)</f>
        <v>0.14526687759955784</v>
      </c>
      <c r="AH5" s="44">
        <f>AC5/Z5</f>
        <v>18.893565261286831</v>
      </c>
      <c r="AI5" s="45" t="b">
        <v>1</v>
      </c>
      <c r="AK5" s="24">
        <v>2</v>
      </c>
      <c r="AL5" s="25">
        <v>0.86209999999999998</v>
      </c>
      <c r="AM5" s="26">
        <f>AL5/$AL$4-1</f>
        <v>7.2438368968337219E-3</v>
      </c>
      <c r="AP5" s="6"/>
      <c r="AQ5" s="6"/>
      <c r="AR5" s="6"/>
    </row>
    <row r="6" spans="2:44" ht="18" customHeight="1" x14ac:dyDescent="0.3">
      <c r="B6" s="7" t="s">
        <v>40</v>
      </c>
      <c r="C6" s="46">
        <v>600</v>
      </c>
      <c r="E6" s="47" t="s">
        <v>41</v>
      </c>
      <c r="F6" s="48">
        <f>IF(SUM(C6*I3,O4:O10)&gt;=100%,100%,SUM(C6*I3,O4:O10))</f>
        <v>1</v>
      </c>
      <c r="H6" s="7" t="s">
        <v>42</v>
      </c>
      <c r="I6" s="8">
        <v>1.717E-4</v>
      </c>
      <c r="K6" s="14" t="s">
        <v>43</v>
      </c>
      <c r="L6" s="15">
        <f>1+IF(C19=1,(F25-1)*10%,IF(C19=2,(F25-1)*22%,IF(C19=3,(F25-1)*45%,0)))</f>
        <v>1</v>
      </c>
      <c r="N6" s="14" t="s">
        <v>44</v>
      </c>
      <c r="O6" s="15">
        <f>IF(C21=1,5%,IF(C21=2,10%,IF(C21=3,15%,0)))</f>
        <v>0.15</v>
      </c>
      <c r="Q6" s="49" t="s">
        <v>45</v>
      </c>
      <c r="R6" s="50">
        <v>12</v>
      </c>
      <c r="S6" s="50">
        <v>9</v>
      </c>
      <c r="T6" s="50">
        <v>7</v>
      </c>
      <c r="U6" s="51">
        <v>232</v>
      </c>
      <c r="V6" s="52">
        <v>27</v>
      </c>
      <c r="W6" s="53">
        <f t="shared" si="0"/>
        <v>22.970849399999999</v>
      </c>
      <c r="X6" s="54">
        <v>219</v>
      </c>
      <c r="Y6" s="55"/>
      <c r="Z6" s="56">
        <f>X6/($F$24+Y6)</f>
        <v>197.549127942377</v>
      </c>
      <c r="AA6" s="57">
        <f>8.24113316975239*2+16.4822663395047</f>
        <v>32.96453267900948</v>
      </c>
      <c r="AB6" s="58">
        <f>AA6*4.54</f>
        <v>149.65897836270304</v>
      </c>
      <c r="AC6" s="59">
        <f>(VLOOKUP(R6,$AK$2:$AM$15,2,0))*(1+VLOOKUP(S6,$AK$17:$AM$28,2,1))*AB6*$F$15*$L$7</f>
        <v>2868.9415231166809</v>
      </c>
      <c r="AD6" s="60">
        <f t="shared" si="1"/>
        <v>124.89488190700867</v>
      </c>
      <c r="AE6" s="61">
        <f t="shared" si="2"/>
        <v>0.24607026042853541</v>
      </c>
      <c r="AF6" s="62">
        <f t="shared" ref="AF6:AF22" si="4">Z6/W6</f>
        <v>8.5999922990386679</v>
      </c>
      <c r="AG6" s="63">
        <f t="shared" si="3"/>
        <v>0.24519033675763521</v>
      </c>
      <c r="AH6" s="64">
        <f t="shared" ref="AH6:AH22" si="5">AC6/Z6</f>
        <v>14.522673691343861</v>
      </c>
      <c r="AI6" s="45" t="b">
        <v>1</v>
      </c>
      <c r="AK6" s="24">
        <v>3</v>
      </c>
      <c r="AL6" s="25">
        <v>0.86599999999999999</v>
      </c>
      <c r="AM6" s="26">
        <f t="shared" ref="AM6:AM15" si="6">AL6/$AL$4-1</f>
        <v>1.1800443977100228E-2</v>
      </c>
      <c r="AP6" s="6"/>
      <c r="AQ6" s="6"/>
      <c r="AR6" s="6"/>
    </row>
    <row r="7" spans="2:44" ht="18" customHeight="1" x14ac:dyDescent="0.3">
      <c r="B7" s="7" t="s">
        <v>46</v>
      </c>
      <c r="C7" s="46">
        <v>1800</v>
      </c>
      <c r="E7" s="65" t="s">
        <v>47</v>
      </c>
      <c r="F7" s="66">
        <f>IF(SUM(C6*I3,O5:O10)&gt;=100%,100%,SUM(C6*I3,O5:O10))</f>
        <v>0.86468</v>
      </c>
      <c r="H7" s="7" t="s">
        <v>48</v>
      </c>
      <c r="I7" s="8">
        <v>2.1460000000000001E-4</v>
      </c>
      <c r="K7" s="14" t="s">
        <v>49</v>
      </c>
      <c r="L7" s="15">
        <f>IF(C18=1,103%,IF(C18=2,108%,IF(C18=3,116%,1)))</f>
        <v>1.1599999999999999</v>
      </c>
      <c r="N7" s="14" t="s">
        <v>50</v>
      </c>
      <c r="O7" s="15">
        <f>IF(C22=1,4%,IF(C22=2,10%,IF(C22=3,20%,0)))</f>
        <v>0</v>
      </c>
      <c r="Q7" s="49" t="s">
        <v>51</v>
      </c>
      <c r="R7" s="50">
        <v>12</v>
      </c>
      <c r="S7" s="50">
        <v>9</v>
      </c>
      <c r="T7" s="50">
        <v>7</v>
      </c>
      <c r="U7" s="51">
        <v>232</v>
      </c>
      <c r="V7" s="52">
        <v>30</v>
      </c>
      <c r="W7" s="53">
        <f t="shared" si="0"/>
        <v>25.523166</v>
      </c>
      <c r="X7" s="54">
        <v>110</v>
      </c>
      <c r="Y7" s="55"/>
      <c r="Z7" s="56">
        <f>X7/($F$24+Y7)</f>
        <v>99.225589377449637</v>
      </c>
      <c r="AA7" s="57">
        <v>29.902297568592399</v>
      </c>
      <c r="AB7" s="58">
        <f>(AA7*1.8+AA7*1.8*1.96)/2</f>
        <v>79.659720722730157</v>
      </c>
      <c r="AC7" s="59">
        <f>(VLOOKUP(R7,$AK$2:$AM$15,2,0))*(1+VLOOKUP(S7,$AK$17:$AM$28,2,1))*AB7*$F$15*$L$7</f>
        <v>1527.0656194608487</v>
      </c>
      <c r="AD7" s="60">
        <f t="shared" si="1"/>
        <v>59.83057193848321</v>
      </c>
      <c r="AE7" s="61">
        <f t="shared" si="2"/>
        <v>0.11787932534699494</v>
      </c>
      <c r="AF7" s="62">
        <f t="shared" si="4"/>
        <v>3.8876677516202198</v>
      </c>
      <c r="AG7" s="63">
        <f t="shared" si="3"/>
        <v>0.11083946730139674</v>
      </c>
      <c r="AH7" s="64">
        <f t="shared" si="5"/>
        <v>15.389836725000045</v>
      </c>
      <c r="AI7" s="45" t="b">
        <v>1</v>
      </c>
      <c r="AK7" s="24">
        <v>4</v>
      </c>
      <c r="AL7" s="25">
        <v>0.86929999999999996</v>
      </c>
      <c r="AM7" s="26">
        <f t="shared" si="6"/>
        <v>1.5656034583479306E-2</v>
      </c>
      <c r="AP7" s="6"/>
      <c r="AQ7" s="6"/>
      <c r="AR7" s="6"/>
    </row>
    <row r="8" spans="2:44" ht="18" customHeight="1" thickBot="1" x14ac:dyDescent="0.35">
      <c r="B8" s="7" t="s">
        <v>52</v>
      </c>
      <c r="C8" s="46">
        <v>50</v>
      </c>
      <c r="E8" s="121" t="s">
        <v>53</v>
      </c>
      <c r="F8" s="122"/>
      <c r="H8" s="67" t="s">
        <v>54</v>
      </c>
      <c r="I8" s="68">
        <v>5.4640000000000005E-4</v>
      </c>
      <c r="K8" s="14" t="s">
        <v>55</v>
      </c>
      <c r="L8" s="26">
        <f>IF(C26=1,114.78%,IF(C26=2,119.16%,IF(C26=3,123.2%,1)))</f>
        <v>1.1477999999999999</v>
      </c>
      <c r="N8" s="69" t="s">
        <v>56</v>
      </c>
      <c r="O8" s="15">
        <f>IF(C4="환각(2)",25%,0)+IF(C4="환각(3)",28%,0)</f>
        <v>0</v>
      </c>
      <c r="Q8" s="49" t="s">
        <v>57</v>
      </c>
      <c r="R8" s="50"/>
      <c r="S8" s="50"/>
      <c r="T8" s="50"/>
      <c r="U8" s="51">
        <v>212</v>
      </c>
      <c r="V8" s="52">
        <v>27</v>
      </c>
      <c r="W8" s="53">
        <f t="shared" si="0"/>
        <v>26.710290000000001</v>
      </c>
      <c r="X8" s="54">
        <v>96</v>
      </c>
      <c r="Y8" s="55"/>
      <c r="Z8" s="56">
        <f>X8/($F$24+Y8)</f>
        <v>86.596878002137871</v>
      </c>
      <c r="AA8" s="57">
        <f>18.5739460182913+1.54762435868837*3</f>
        <v>23.21681909435641</v>
      </c>
      <c r="AB8" s="58">
        <f>18.5739460182913*1.8*1.64+4.64287307606513</f>
        <v>59.473161722061043</v>
      </c>
      <c r="AC8" s="59">
        <f>(VLOOKUP(R8,$AK$2:$AM$15,2,0))*(1+VLOOKUP(S8,$AK$17:$AM$28,2,1))*AB8*$F$15*$L$7</f>
        <v>750.61911745856537</v>
      </c>
      <c r="AD8" s="60">
        <f t="shared" si="1"/>
        <v>28.102245144420571</v>
      </c>
      <c r="AE8" s="61">
        <f t="shared" si="2"/>
        <v>0</v>
      </c>
      <c r="AF8" s="62">
        <f t="shared" si="4"/>
        <v>3.2420792886238923</v>
      </c>
      <c r="AG8" s="63">
        <f t="shared" si="3"/>
        <v>0</v>
      </c>
      <c r="AH8" s="64">
        <f t="shared" si="5"/>
        <v>8.6679697325812874</v>
      </c>
      <c r="AI8" s="45" t="b">
        <v>0</v>
      </c>
      <c r="AK8" s="24">
        <v>5</v>
      </c>
      <c r="AL8" s="25">
        <v>0.87180000000000002</v>
      </c>
      <c r="AM8" s="26">
        <f t="shared" si="6"/>
        <v>1.8576936558009072E-2</v>
      </c>
      <c r="AP8" s="6"/>
      <c r="AQ8" s="6"/>
      <c r="AR8" s="6"/>
    </row>
    <row r="9" spans="2:44" ht="18" customHeight="1" x14ac:dyDescent="0.3">
      <c r="B9" s="7" t="s">
        <v>58</v>
      </c>
      <c r="C9" s="70">
        <f>SUM(C6:C8)</f>
        <v>2450</v>
      </c>
      <c r="E9" s="27" t="s">
        <v>35</v>
      </c>
      <c r="F9" s="28">
        <f>SUM(200%,O12:O14)</f>
        <v>4.43086</v>
      </c>
      <c r="K9" s="7" t="s">
        <v>59</v>
      </c>
      <c r="L9" s="26">
        <f>1+(C7*I4*2/3)</f>
        <v>1.42936</v>
      </c>
      <c r="N9" s="71" t="s">
        <v>60</v>
      </c>
      <c r="O9" s="15">
        <v>0.1</v>
      </c>
      <c r="Q9" s="49" t="s">
        <v>61</v>
      </c>
      <c r="R9" s="50">
        <v>12</v>
      </c>
      <c r="S9" s="50">
        <v>9</v>
      </c>
      <c r="T9" s="50">
        <v>7</v>
      </c>
      <c r="U9" s="51">
        <v>111</v>
      </c>
      <c r="V9" s="52">
        <v>24</v>
      </c>
      <c r="W9" s="53">
        <f t="shared" si="0"/>
        <v>20.418532800000001</v>
      </c>
      <c r="X9" s="54">
        <v>80</v>
      </c>
      <c r="Y9" s="55"/>
      <c r="Z9" s="56">
        <f>X9/($F$24+Y9)</f>
        <v>72.164065001781552</v>
      </c>
      <c r="AA9" s="57">
        <v>23.5346865937987</v>
      </c>
      <c r="AB9" s="58">
        <f>AA9*1.4*1.1*2</f>
        <v>72.486834708900005</v>
      </c>
      <c r="AC9" s="59">
        <f>(VLOOKUP(R9,$AK$2:$AM$15,2,0))*(1+VLOOKUP(S9,$AK$17:$AM$28,2,1))*AB9*$F$15*$L$7</f>
        <v>1389.5624054820159</v>
      </c>
      <c r="AD9" s="60">
        <f t="shared" si="1"/>
        <v>68.053979151823086</v>
      </c>
      <c r="AE9" s="61">
        <f t="shared" si="2"/>
        <v>0.13408123789696699</v>
      </c>
      <c r="AF9" s="62">
        <f t="shared" si="4"/>
        <v>3.5342434105638358</v>
      </c>
      <c r="AG9" s="63">
        <f t="shared" si="3"/>
        <v>0.10076315209217884</v>
      </c>
      <c r="AH9" s="64">
        <f t="shared" si="5"/>
        <v>19.255600491016008</v>
      </c>
      <c r="AI9" s="45" t="b">
        <v>1</v>
      </c>
      <c r="AK9" s="24">
        <v>6</v>
      </c>
      <c r="AL9" s="25">
        <v>0.87380000000000002</v>
      </c>
      <c r="AM9" s="26">
        <f t="shared" si="6"/>
        <v>2.0913658137633018E-2</v>
      </c>
      <c r="AP9" s="6"/>
      <c r="AQ9" s="6"/>
      <c r="AR9" s="6"/>
    </row>
    <row r="10" spans="2:44" ht="18" customHeight="1" x14ac:dyDescent="0.3">
      <c r="B10" s="121" t="s">
        <v>62</v>
      </c>
      <c r="C10" s="122"/>
      <c r="E10" s="47" t="s">
        <v>41</v>
      </c>
      <c r="F10" s="48">
        <f>SUM(200%,O12:O13)</f>
        <v>2.5</v>
      </c>
      <c r="H10" s="135" t="s">
        <v>63</v>
      </c>
      <c r="I10" s="136"/>
      <c r="K10" s="7" t="s">
        <v>64</v>
      </c>
      <c r="L10" s="26">
        <f>1+C7*I4</f>
        <v>1.6440399999999999</v>
      </c>
      <c r="N10" s="71" t="s">
        <v>65</v>
      </c>
      <c r="O10" s="15">
        <f>IF(C12="남바절",7%,0%)</f>
        <v>0</v>
      </c>
      <c r="Q10" s="72" t="s">
        <v>66</v>
      </c>
      <c r="R10" s="73"/>
      <c r="S10" s="73"/>
      <c r="T10" s="73"/>
      <c r="U10" s="51">
        <v>131</v>
      </c>
      <c r="V10" s="52">
        <v>22</v>
      </c>
      <c r="W10" s="53">
        <f t="shared" si="0"/>
        <v>21.763939999999998</v>
      </c>
      <c r="X10" s="54">
        <v>198</v>
      </c>
      <c r="Y10" s="55"/>
      <c r="Z10" s="56">
        <f>X10/($F$23+Y10)</f>
        <v>166.58463635331086</v>
      </c>
      <c r="AA10" s="57">
        <v>20.8414008476466</v>
      </c>
      <c r="AB10" s="58">
        <f>AA10*1.45*1.95*1.95</f>
        <v>114.91166874860548</v>
      </c>
      <c r="AC10" s="59">
        <f>IF(($F$5+10%)&gt;=100%, ((VLOOKUP(R10,$AK$2:$AM$15,2,0))*(1+VLOOKUP(S10,$AK$17:$AM$28,2,1))*AB10*$O$22*$F$9)*1.05,((VLOOKUP(R10,$AK$2:$AM$15,2,0))*(1+VLOOKUP(S10,$AK$17:$AM$28,2,1))*AB10*$O$22*(($F$5+10%)*$F$9+(90%-$F$5)))*1.05)</f>
        <v>1305.2565672942621</v>
      </c>
      <c r="AD10" s="60">
        <f t="shared" si="1"/>
        <v>59.973358100337634</v>
      </c>
      <c r="AE10" s="61">
        <f t="shared" si="2"/>
        <v>0</v>
      </c>
      <c r="AF10" s="62">
        <f t="shared" si="4"/>
        <v>7.6541580409296692</v>
      </c>
      <c r="AG10" s="63">
        <f t="shared" si="3"/>
        <v>0</v>
      </c>
      <c r="AH10" s="64">
        <f t="shared" si="5"/>
        <v>7.8353958436234885</v>
      </c>
      <c r="AI10" s="45" t="b">
        <v>0</v>
      </c>
      <c r="AK10" s="24">
        <v>7</v>
      </c>
      <c r="AL10" s="25">
        <v>0.87549999999999994</v>
      </c>
      <c r="AM10" s="26">
        <f t="shared" si="6"/>
        <v>2.2899871480313028E-2</v>
      </c>
      <c r="AP10" s="6"/>
      <c r="AQ10" s="6"/>
      <c r="AR10" s="6"/>
    </row>
    <row r="11" spans="2:44" ht="18" customHeight="1" x14ac:dyDescent="0.3">
      <c r="B11" s="74" t="s">
        <v>67</v>
      </c>
      <c r="C11" s="75">
        <v>0.3</v>
      </c>
      <c r="E11" s="65" t="s">
        <v>47</v>
      </c>
      <c r="F11" s="66">
        <f>SUM(200%,O12:O13)</f>
        <v>2.5</v>
      </c>
      <c r="H11" s="69" t="s">
        <v>68</v>
      </c>
      <c r="I11" s="15">
        <f>IF(C4="지배(2)",18%,0%)+IF(C4="지배(3)",18%,0%)</f>
        <v>0</v>
      </c>
      <c r="K11" s="69" t="s">
        <v>69</v>
      </c>
      <c r="L11" s="15">
        <f>1+IF(C4="지배(2)",(128%*118%-1),0)+IF(C4="지배(3)",(131%*120%-1),0)+IF(C4="환각(2)",(129%-1),0)+IF(C4="환각(3)",(132%-1),0)+IF(C4="악몽(2)",(115%*118%-1),0)+IF(C4="악몽(3)",(117%*120%-1),0)+IF(C4="구원(2)",(105%-1),0)+IF(C4="구원(3)",(106%-1),0)</f>
        <v>1.06</v>
      </c>
      <c r="N11" s="121" t="s">
        <v>53</v>
      </c>
      <c r="O11" s="122"/>
      <c r="Q11" s="72" t="s">
        <v>70</v>
      </c>
      <c r="R11" s="73">
        <v>12</v>
      </c>
      <c r="S11" s="73">
        <v>9</v>
      </c>
      <c r="T11" s="73">
        <v>7</v>
      </c>
      <c r="U11" s="51">
        <v>331</v>
      </c>
      <c r="V11" s="52">
        <v>22</v>
      </c>
      <c r="W11" s="53">
        <f t="shared" si="0"/>
        <v>18.716988399999998</v>
      </c>
      <c r="X11" s="54">
        <v>198</v>
      </c>
      <c r="Y11" s="55"/>
      <c r="Z11" s="56">
        <f>X11/($F$23+Y11)</f>
        <v>166.58463635331086</v>
      </c>
      <c r="AA11" s="57">
        <v>20.8414008476466</v>
      </c>
      <c r="AB11" s="58">
        <f>AA11*1.28*1.95*1.95</f>
        <v>101.43926620566553</v>
      </c>
      <c r="AC11" s="59">
        <f>IF(($F$5+10%)&gt;=100%, ((VLOOKUP(R11,$AK$2:$AM$15,2,0))*(1+VLOOKUP(S11,$AK$17:$AM$28,2,1))*AB11*$O$22*$L$7*$F$9),((VLOOKUP(R11,$AK$2:$AM$15,2,0))*(1+VLOOKUP(S11,$AK$17:$AM$28,2,1))*AB11*$O$22*$L$7*(($F$5+10%)*$F$9+(90%-$F$5))))</f>
        <v>1933.4229548201802</v>
      </c>
      <c r="AD11" s="60">
        <f t="shared" si="1"/>
        <v>103.29775888626294</v>
      </c>
      <c r="AE11" s="61">
        <f t="shared" si="2"/>
        <v>0.20351919984801539</v>
      </c>
      <c r="AF11" s="62">
        <f t="shared" si="4"/>
        <v>8.9001837685228722</v>
      </c>
      <c r="AG11" s="63">
        <f t="shared" si="3"/>
        <v>0.25374895459533131</v>
      </c>
      <c r="AH11" s="64">
        <f t="shared" si="5"/>
        <v>11.606250114923959</v>
      </c>
      <c r="AI11" s="45" t="b">
        <v>1</v>
      </c>
      <c r="AK11" s="24">
        <v>8</v>
      </c>
      <c r="AL11" s="25">
        <v>0.87719999999999998</v>
      </c>
      <c r="AM11" s="26">
        <f t="shared" si="6"/>
        <v>2.488608482299326E-2</v>
      </c>
      <c r="AP11" s="6"/>
      <c r="AQ11" s="6"/>
      <c r="AR11" s="6"/>
    </row>
    <row r="12" spans="2:44" ht="18" customHeight="1" thickBot="1" x14ac:dyDescent="0.35">
      <c r="B12" s="74" t="s">
        <v>71</v>
      </c>
      <c r="C12" s="8" t="s">
        <v>72</v>
      </c>
      <c r="E12" s="121" t="s">
        <v>73</v>
      </c>
      <c r="F12" s="122"/>
      <c r="H12" s="67" t="s">
        <v>74</v>
      </c>
      <c r="I12" s="76">
        <f>C8*I7</f>
        <v>1.073E-2</v>
      </c>
      <c r="K12" s="71" t="s">
        <v>75</v>
      </c>
      <c r="L12" s="15">
        <f>IF(C12="세구빛18", 107%, IF(C12="세구빛30",115%,1))</f>
        <v>1.1499999999999999</v>
      </c>
      <c r="N12" s="14" t="s">
        <v>50</v>
      </c>
      <c r="O12" s="15">
        <f>IF(C22=0, 0%, -12%)</f>
        <v>0</v>
      </c>
      <c r="Q12" s="72" t="s">
        <v>76</v>
      </c>
      <c r="R12" s="73"/>
      <c r="S12" s="73"/>
      <c r="T12" s="73"/>
      <c r="U12" s="51">
        <v>332</v>
      </c>
      <c r="V12" s="52">
        <v>20</v>
      </c>
      <c r="W12" s="53">
        <f t="shared" si="0"/>
        <v>19.785399999999999</v>
      </c>
      <c r="X12" s="54">
        <v>88</v>
      </c>
      <c r="Y12" s="55"/>
      <c r="Z12" s="56">
        <f>X12/($F$23+Y12)</f>
        <v>74.03761615702706</v>
      </c>
      <c r="AA12" s="57">
        <v>12.147222841846901</v>
      </c>
      <c r="AB12" s="58">
        <f>AA12*1.45*(1+70%*66%)*1.952</f>
        <v>50.265752315145782</v>
      </c>
      <c r="AC12" s="59">
        <f>(VLOOKUP(R12,$AK$2:$AM$15,2,0))*(1+VLOOKUP(S12,$AK$17:$AM$28,2,1))*AB12*$F$13*$L$7</f>
        <v>580.55768253120584</v>
      </c>
      <c r="AD12" s="60">
        <f t="shared" si="1"/>
        <v>29.342731637025576</v>
      </c>
      <c r="AE12" s="61">
        <f t="shared" si="2"/>
        <v>0</v>
      </c>
      <c r="AF12" s="62">
        <f t="shared" si="4"/>
        <v>3.7420328200100612</v>
      </c>
      <c r="AG12" s="63">
        <f t="shared" si="3"/>
        <v>0</v>
      </c>
      <c r="AH12" s="64">
        <f t="shared" si="5"/>
        <v>7.8413881033108321</v>
      </c>
      <c r="AI12" s="45" t="b">
        <v>0</v>
      </c>
      <c r="AK12" s="24">
        <v>9</v>
      </c>
      <c r="AL12" s="25">
        <v>0.87839999999999996</v>
      </c>
      <c r="AM12" s="26">
        <f t="shared" si="6"/>
        <v>2.6288117770767672E-2</v>
      </c>
      <c r="AP12" s="6"/>
      <c r="AQ12" s="6"/>
      <c r="AR12" s="6"/>
    </row>
    <row r="13" spans="2:44" ht="18" customHeight="1" thickBot="1" x14ac:dyDescent="0.35">
      <c r="B13" s="74" t="s">
        <v>77</v>
      </c>
      <c r="C13" s="77" t="b">
        <v>0</v>
      </c>
      <c r="E13" s="27" t="s">
        <v>35</v>
      </c>
      <c r="F13" s="28">
        <f>O17*O22</f>
        <v>11.633011942427119</v>
      </c>
      <c r="K13" s="121" t="s">
        <v>78</v>
      </c>
      <c r="L13" s="122"/>
      <c r="N13" s="14" t="s">
        <v>37</v>
      </c>
      <c r="O13" s="15">
        <f>IF(C16=1,10%,IF(C16=2,25%,IF(C16=3,50%,0)))</f>
        <v>0.5</v>
      </c>
      <c r="Q13" s="72" t="s">
        <v>79</v>
      </c>
      <c r="R13" s="73">
        <v>12</v>
      </c>
      <c r="S13" s="73">
        <v>9</v>
      </c>
      <c r="T13" s="73"/>
      <c r="U13" s="51" t="s">
        <v>80</v>
      </c>
      <c r="V13" s="52">
        <v>6</v>
      </c>
      <c r="W13" s="53">
        <f t="shared" si="0"/>
        <v>5.9356200000000001</v>
      </c>
      <c r="X13" s="54">
        <v>33</v>
      </c>
      <c r="Y13" s="55"/>
      <c r="Z13" s="56">
        <f>X13/($F$23+Y13)</f>
        <v>27.764106058885144</v>
      </c>
      <c r="AA13" s="57">
        <v>3.69819317421369</v>
      </c>
      <c r="AB13" s="58">
        <f>AA13*1.8*2.45</f>
        <v>16.309031898282374</v>
      </c>
      <c r="AC13" s="59">
        <f>(VLOOKUP(R13,$AK$2:$AM$15,2,0))*(1+VLOOKUP(S13,$AK$17:$AM$28,2,1))*AB13*$F$13*$L$7</f>
        <v>286.10252956595264</v>
      </c>
      <c r="AD13" s="60">
        <f t="shared" si="1"/>
        <v>48.200951133319286</v>
      </c>
      <c r="AE13" s="61">
        <f t="shared" si="2"/>
        <v>9.4966426303281504E-2</v>
      </c>
      <c r="AF13" s="62">
        <f t="shared" si="4"/>
        <v>4.6775410250125757</v>
      </c>
      <c r="AG13" s="63">
        <f t="shared" si="3"/>
        <v>0.13335917280399076</v>
      </c>
      <c r="AH13" s="64">
        <f t="shared" si="5"/>
        <v>10.304762881943873</v>
      </c>
      <c r="AI13" s="45" t="b">
        <v>1</v>
      </c>
      <c r="AK13" s="24">
        <v>10</v>
      </c>
      <c r="AL13" s="25">
        <v>0.87949999999999995</v>
      </c>
      <c r="AM13" s="26">
        <f t="shared" si="6"/>
        <v>2.7573314639560698E-2</v>
      </c>
      <c r="AP13" s="6"/>
      <c r="AQ13" s="6"/>
      <c r="AR13" s="6"/>
    </row>
    <row r="14" spans="2:44" ht="18" customHeight="1" thickBot="1" x14ac:dyDescent="0.35">
      <c r="B14" s="121" t="s">
        <v>81</v>
      </c>
      <c r="C14" s="122"/>
      <c r="E14" s="47" t="s">
        <v>41</v>
      </c>
      <c r="F14" s="48">
        <f>O18*O23</f>
        <v>10.47986853593568</v>
      </c>
      <c r="H14" s="127" t="s">
        <v>82</v>
      </c>
      <c r="I14" s="128"/>
      <c r="K14" s="78" t="s">
        <v>83</v>
      </c>
      <c r="L14" s="15">
        <f>IF(C17=1,3%,IF(C17=2,8%,IF(C17=3,16%,0)))</f>
        <v>0</v>
      </c>
      <c r="N14" s="67" t="s">
        <v>84</v>
      </c>
      <c r="O14" s="76">
        <f>C7*I5</f>
        <v>1.93086</v>
      </c>
      <c r="Q14" s="79" t="s">
        <v>85</v>
      </c>
      <c r="R14" s="80"/>
      <c r="S14" s="80"/>
      <c r="T14" s="80"/>
      <c r="U14" s="51">
        <v>121</v>
      </c>
      <c r="V14" s="52">
        <v>30</v>
      </c>
      <c r="W14" s="53">
        <f t="shared" si="0"/>
        <v>29.678100000000001</v>
      </c>
      <c r="X14" s="54">
        <v>143</v>
      </c>
      <c r="Y14" s="55"/>
      <c r="Z14" s="56">
        <f t="shared" ref="Z14:Z22" si="7">X14/($F$24+Y14)</f>
        <v>128.99326619068452</v>
      </c>
      <c r="AA14" s="57">
        <f>7.45839839393263*2+14.9145661387463</f>
        <v>29.831362926611561</v>
      </c>
      <c r="AB14" s="58">
        <f>AA14*1.6*3.45</f>
        <v>164.66912335489585</v>
      </c>
      <c r="AC14" s="59">
        <f>IF(($F$6+10%)&gt;=100%, (VLOOKUP(R14,$AK$2:$AM$15,2,0))*(1+VLOOKUP(S14,$AK$17:$AM$28,2,1))*AB14*$O$23*$L$7*$F$10,(VLOOKUP(R14,$AK$2:$AM$15,2,0))*(1+VLOOKUP(S14,$AK$17:$AM$28,2,1))*AB14*$O$23*$L$7*(($F$6+10%)*$F$10+(90%-$F$6)))</f>
        <v>1713.3615784549831</v>
      </c>
      <c r="AD14" s="60">
        <f>AC14/W14</f>
        <v>57.731511736094397</v>
      </c>
      <c r="AE14" s="61">
        <f t="shared" si="2"/>
        <v>0</v>
      </c>
      <c r="AF14" s="62">
        <f t="shared" si="4"/>
        <v>4.3464125463114049</v>
      </c>
      <c r="AG14" s="63">
        <f t="shared" si="3"/>
        <v>0</v>
      </c>
      <c r="AH14" s="64">
        <f t="shared" si="5"/>
        <v>13.282566052108514</v>
      </c>
      <c r="AI14" s="45" t="b">
        <v>0</v>
      </c>
      <c r="AK14" s="24">
        <v>11</v>
      </c>
      <c r="AL14" s="25">
        <v>0.95420000000000005</v>
      </c>
      <c r="AM14" s="26">
        <f t="shared" si="6"/>
        <v>0.1148498656385093</v>
      </c>
      <c r="AP14" s="6"/>
      <c r="AQ14" s="6"/>
      <c r="AR14" s="6"/>
    </row>
    <row r="15" spans="2:44" ht="18" customHeight="1" thickBot="1" x14ac:dyDescent="0.35">
      <c r="B15" s="14" t="s">
        <v>16</v>
      </c>
      <c r="C15" s="81">
        <v>3</v>
      </c>
      <c r="E15" s="65" t="s">
        <v>47</v>
      </c>
      <c r="F15" s="66">
        <f>O19*O24</f>
        <v>12.712108133695791</v>
      </c>
      <c r="H15" s="14" t="s">
        <v>86</v>
      </c>
      <c r="I15" s="15">
        <f>IF(C24=1,3%,IF(C24=2,8%,IF(C24=3,15%,0)))</f>
        <v>0</v>
      </c>
      <c r="K15" s="14" t="s">
        <v>87</v>
      </c>
      <c r="L15" s="15">
        <f>IF(C20=1,4%,IF(C20=2,10%,IF(C20=3,18%,0)))</f>
        <v>0</v>
      </c>
      <c r="Q15" s="79" t="s">
        <v>88</v>
      </c>
      <c r="R15" s="80"/>
      <c r="S15" s="80"/>
      <c r="T15" s="80"/>
      <c r="U15" s="51">
        <v>311</v>
      </c>
      <c r="V15" s="52">
        <v>30</v>
      </c>
      <c r="W15" s="53">
        <f t="shared" si="0"/>
        <v>29.678100000000001</v>
      </c>
      <c r="X15" s="54">
        <v>159</v>
      </c>
      <c r="Y15" s="55"/>
      <c r="Z15" s="56">
        <f t="shared" si="7"/>
        <v>143.42607919104083</v>
      </c>
      <c r="AA15" s="57">
        <v>39.0102609859469</v>
      </c>
      <c r="AB15" s="82">
        <f>AA15*1.6*1.35*2.02</f>
        <v>170.20957073388354</v>
      </c>
      <c r="AC15" s="59">
        <f>IF(($F$6+20%)&gt;=100%,(VLOOKUP(R15,$AK$2:$AM$15,2,0))*(1+VLOOKUP(S15,$AK$17:$AM$28,2,1))*AB15*$O$23*$L$7*$F$10*(($L$9-1)/2+1)/$L$9,(VLOOKUP(R15,$AK$2:$AM$15,2,0))*(1+VLOOKUP(S15,$AK$17:$AM$28,2,1))*AB15*$O$23*$L$7*(($F$6+20%)*$F$10+(80%-$F$6))*(($L$9-1)/2+1)/$L$9)</f>
        <v>1505.0158826291397</v>
      </c>
      <c r="AD15" s="60">
        <f t="shared" si="1"/>
        <v>50.711328643987983</v>
      </c>
      <c r="AE15" s="61">
        <f t="shared" si="2"/>
        <v>0</v>
      </c>
      <c r="AF15" s="62">
        <f t="shared" si="4"/>
        <v>4.8327244396049887</v>
      </c>
      <c r="AG15" s="63">
        <f t="shared" si="3"/>
        <v>0</v>
      </c>
      <c r="AH15" s="64">
        <f t="shared" si="5"/>
        <v>10.493320957512106</v>
      </c>
      <c r="AI15" s="45" t="b">
        <v>0</v>
      </c>
      <c r="AK15" s="83">
        <v>12</v>
      </c>
      <c r="AL15" s="84">
        <v>1</v>
      </c>
      <c r="AM15" s="76">
        <f t="shared" si="6"/>
        <v>0.16836078981189395</v>
      </c>
      <c r="AP15" s="6"/>
      <c r="AQ15" s="6"/>
      <c r="AR15" s="6"/>
    </row>
    <row r="16" spans="2:44" ht="18" customHeight="1" thickBot="1" x14ac:dyDescent="0.35">
      <c r="B16" s="14" t="s">
        <v>37</v>
      </c>
      <c r="C16" s="81">
        <v>3</v>
      </c>
      <c r="E16" s="121" t="s">
        <v>89</v>
      </c>
      <c r="F16" s="122"/>
      <c r="H16" s="14" t="s">
        <v>87</v>
      </c>
      <c r="I16" s="15">
        <f>IF(C20=0,0,-10%)</f>
        <v>0</v>
      </c>
      <c r="K16" s="14" t="s">
        <v>44</v>
      </c>
      <c r="L16" s="75">
        <f>IF(C21=1,1.8%,IF(C21=2,3.6%,IF(C21=3,6%,0)))</f>
        <v>0.06</v>
      </c>
      <c r="N16" s="127" t="s">
        <v>90</v>
      </c>
      <c r="O16" s="128"/>
      <c r="Q16" s="79" t="s">
        <v>91</v>
      </c>
      <c r="R16" s="80"/>
      <c r="S16" s="80"/>
      <c r="T16" s="80"/>
      <c r="U16" s="51">
        <v>331</v>
      </c>
      <c r="V16" s="52">
        <v>30</v>
      </c>
      <c r="W16" s="53">
        <f t="shared" si="0"/>
        <v>29.678100000000001</v>
      </c>
      <c r="X16" s="54">
        <v>183</v>
      </c>
      <c r="Y16" s="55"/>
      <c r="Z16" s="56">
        <f t="shared" si="7"/>
        <v>165.07529869157531</v>
      </c>
      <c r="AA16" s="57">
        <v>39.0102609859469</v>
      </c>
      <c r="AB16" s="82">
        <f>AA16*4.43245714285714</f>
        <v>172.91130995188155</v>
      </c>
      <c r="AC16" s="59">
        <f>IF(($F$6+10%)&gt;=100%,(VLOOKUP(R16,$AK$2:$AM$15,2,0))*(1+VLOOKUP(S16,$AK$17:$AM$28,2,1))*AB16*$O$23*$F$10*1.05,(VLOOKUP(R16,$AK$2:$AM$15,2,0))*(1+VLOOKUP(S16,$AK$17:$AM$28,2,1))*AB16*$O$23*(($F$6+10%)*$F$10+(90%-$F$6))*1.05)</f>
        <v>1628.514242430274</v>
      </c>
      <c r="AD16" s="60">
        <f t="shared" si="1"/>
        <v>54.87259098224866</v>
      </c>
      <c r="AE16" s="61">
        <f t="shared" si="2"/>
        <v>0</v>
      </c>
      <c r="AF16" s="62">
        <f t="shared" si="4"/>
        <v>5.5621922795453651</v>
      </c>
      <c r="AG16" s="63">
        <f t="shared" si="3"/>
        <v>0</v>
      </c>
      <c r="AH16" s="64">
        <f t="shared" si="5"/>
        <v>9.8652812100795906</v>
      </c>
      <c r="AI16" s="45" t="b">
        <v>0</v>
      </c>
      <c r="AP16" s="6"/>
      <c r="AQ16" s="6"/>
      <c r="AR16" s="6"/>
    </row>
    <row r="17" spans="2:44" ht="18" customHeight="1" thickBot="1" x14ac:dyDescent="0.35">
      <c r="B17" s="78" t="s">
        <v>83</v>
      </c>
      <c r="C17" s="81"/>
      <c r="E17" s="47" t="s">
        <v>92</v>
      </c>
      <c r="F17" s="48">
        <f>IF(C4="지배(2)",I22*0.7/1.28,I22)</f>
        <v>9.3074512065368058</v>
      </c>
      <c r="H17" s="67" t="s">
        <v>93</v>
      </c>
      <c r="I17" s="76">
        <f>C8*I6</f>
        <v>8.5850000000000006E-3</v>
      </c>
      <c r="K17" s="121" t="s">
        <v>94</v>
      </c>
      <c r="L17" s="122"/>
      <c r="N17" s="27" t="s">
        <v>35</v>
      </c>
      <c r="O17" s="26">
        <f>(F5*F9)+(1-F5)</f>
        <v>3.9665960248000003</v>
      </c>
      <c r="Q17" s="79" t="s">
        <v>95</v>
      </c>
      <c r="R17" s="80"/>
      <c r="S17" s="80"/>
      <c r="T17" s="80"/>
      <c r="U17" s="51">
        <v>112</v>
      </c>
      <c r="V17" s="52">
        <v>36</v>
      </c>
      <c r="W17" s="53">
        <f t="shared" si="0"/>
        <v>35.613720000000001</v>
      </c>
      <c r="X17" s="54">
        <v>169</v>
      </c>
      <c r="Y17" s="55"/>
      <c r="Z17" s="56">
        <f t="shared" si="7"/>
        <v>152.44658731626353</v>
      </c>
      <c r="AA17" s="57">
        <f>7.00758420700423*2+9.94378764220388</f>
        <v>23.95895605621234</v>
      </c>
      <c r="AB17" s="58">
        <f>AA17*1.45*1.5*2.2</f>
        <v>114.64360472897606</v>
      </c>
      <c r="AC17" s="59">
        <f>IF(($F$6+10%)&gt;=100%,(VLOOKUP(R17,$AK$2:$AM$15,2,0))*(1+VLOOKUP(S17,$AK$17:$AM$28,2,1))*AB17*$O$23*$F$10*1.05,(VLOOKUP(R17,$AK$2:$AM$15,2,0))*(1+VLOOKUP(S17,$AK$17:$AM$28,2,1))*AB17*$O$23*(($F$6+10%)*$F$10+(90%-$F$6))*1.05)</f>
        <v>1079.7370233135093</v>
      </c>
      <c r="AD17" s="60">
        <f t="shared" si="1"/>
        <v>30.318007310483413</v>
      </c>
      <c r="AE17" s="61">
        <f t="shared" si="2"/>
        <v>0</v>
      </c>
      <c r="AF17" s="62">
        <f t="shared" si="4"/>
        <v>4.2805578107612323</v>
      </c>
      <c r="AG17" s="63">
        <f t="shared" si="3"/>
        <v>0</v>
      </c>
      <c r="AH17" s="64">
        <f t="shared" si="5"/>
        <v>7.0827234792308085</v>
      </c>
      <c r="AI17" s="45" t="b">
        <v>0</v>
      </c>
      <c r="AK17" s="3" t="s">
        <v>96</v>
      </c>
      <c r="AL17" s="4" t="s">
        <v>20</v>
      </c>
      <c r="AM17" s="5" t="s">
        <v>21</v>
      </c>
      <c r="AP17" s="6"/>
      <c r="AQ17" s="6"/>
      <c r="AR17" s="6"/>
    </row>
    <row r="18" spans="2:44" ht="18" customHeight="1" thickBot="1" x14ac:dyDescent="0.35">
      <c r="B18" s="14" t="s">
        <v>49</v>
      </c>
      <c r="C18" s="81">
        <v>3</v>
      </c>
      <c r="E18" s="24" t="s">
        <v>97</v>
      </c>
      <c r="F18" s="85">
        <f>300*(1-I20)*(1-I12)*IF(C4="지배(2)",80%,1)*IF(C4="지배(3)",80%,1)</f>
        <v>296.78100000000001</v>
      </c>
      <c r="K18" s="71" t="s">
        <v>98</v>
      </c>
      <c r="L18" s="26">
        <f>C11</f>
        <v>0.3</v>
      </c>
      <c r="N18" s="47" t="s">
        <v>41</v>
      </c>
      <c r="O18" s="26">
        <f>(F6*F10)+(1-F6)</f>
        <v>2.5</v>
      </c>
      <c r="Q18" s="79" t="s">
        <v>99</v>
      </c>
      <c r="R18" s="80"/>
      <c r="S18" s="80"/>
      <c r="T18" s="80"/>
      <c r="U18" s="51">
        <v>212</v>
      </c>
      <c r="V18" s="52">
        <v>36</v>
      </c>
      <c r="W18" s="53">
        <f t="shared" si="0"/>
        <v>35.613720000000001</v>
      </c>
      <c r="X18" s="54">
        <v>169</v>
      </c>
      <c r="Y18" s="55"/>
      <c r="Z18" s="56">
        <f t="shared" si="7"/>
        <v>152.44658731626353</v>
      </c>
      <c r="AA18" s="57">
        <f>7.00758420700423*2+9.94378764220388</f>
        <v>23.95895605621234</v>
      </c>
      <c r="AB18" s="58">
        <f>AA18*1.28*1.5*2.2</f>
        <v>101.20263038144093</v>
      </c>
      <c r="AC18" s="59">
        <f>IF(($F$6+10%)&gt;=100%,(VLOOKUP(R18,$AK$2:$AM$15,2,0))*(1+VLOOKUP(S18,$AK$17:$AM$28,2,1))*AB18*$O$23*$L$7*$F$10,(VLOOKUP(R18,$AK$2:$AM$15,2,0))*(1+VLOOKUP(S18,$AK$17:$AM$28,2,1))*AB18*$O$23*$L$7*(($F$6+10%)*$F$10+(90%-$F$6)))</f>
        <v>1053.0006779743176</v>
      </c>
      <c r="AD18" s="60">
        <f t="shared" si="1"/>
        <v>29.567275700890487</v>
      </c>
      <c r="AE18" s="61">
        <f t="shared" si="2"/>
        <v>0</v>
      </c>
      <c r="AF18" s="62">
        <f t="shared" si="4"/>
        <v>4.2805578107612323</v>
      </c>
      <c r="AG18" s="63">
        <f t="shared" si="3"/>
        <v>0</v>
      </c>
      <c r="AH18" s="64">
        <f t="shared" si="5"/>
        <v>6.9073417549831877</v>
      </c>
      <c r="AI18" s="45" t="b">
        <v>0</v>
      </c>
      <c r="AK18" s="24">
        <v>0</v>
      </c>
      <c r="AL18" s="86">
        <v>0</v>
      </c>
      <c r="AM18" s="15">
        <v>0</v>
      </c>
      <c r="AP18" s="6"/>
      <c r="AQ18" s="6"/>
      <c r="AR18" s="6"/>
    </row>
    <row r="19" spans="2:44" ht="18" customHeight="1" thickBot="1" x14ac:dyDescent="0.35">
      <c r="B19" s="14" t="s">
        <v>43</v>
      </c>
      <c r="C19" s="81"/>
      <c r="E19" s="24" t="s">
        <v>100</v>
      </c>
      <c r="F19" s="85">
        <f>300*(1-I20)*(1-I12)*0.85*IF(C4="지배(2)",80%,1)*IF(C4="지배(3)",80%,1)</f>
        <v>252.26384999999999</v>
      </c>
      <c r="H19" s="127" t="s">
        <v>101</v>
      </c>
      <c r="I19" s="128"/>
      <c r="K19" s="69" t="s">
        <v>102</v>
      </c>
      <c r="L19" s="26">
        <f>IF(C4="악몽(2)",18%,0%)+IF(C4="악몽(3)",20%,0%)+IF(C4="구원(2)", 54%, 0%)+IF(C4="구원(3)",63%,0%)</f>
        <v>0.63</v>
      </c>
      <c r="N19" s="87" t="s">
        <v>47</v>
      </c>
      <c r="O19" s="76">
        <f>(F7*F11)+(1-F7)</f>
        <v>2.2970200000000003</v>
      </c>
      <c r="Q19" s="79" t="s">
        <v>103</v>
      </c>
      <c r="R19" s="80"/>
      <c r="S19" s="80"/>
      <c r="T19" s="80"/>
      <c r="U19" s="51">
        <v>122</v>
      </c>
      <c r="V19" s="52">
        <v>23</v>
      </c>
      <c r="W19" s="53">
        <f t="shared" si="0"/>
        <v>22.753209999999999</v>
      </c>
      <c r="X19" s="54">
        <v>101</v>
      </c>
      <c r="Y19" s="55"/>
      <c r="Z19" s="56">
        <f t="shared" si="7"/>
        <v>91.107132064749209</v>
      </c>
      <c r="AA19" s="57">
        <v>21.233102832924299</v>
      </c>
      <c r="AB19" s="58">
        <f>AA19*1.45*2.196</f>
        <v>67.610446040597552</v>
      </c>
      <c r="AC19" s="59">
        <f>IF(($F$6+10%)&gt;=100%,(VLOOKUP(R19,$AK$2:$AM$15,2,0))*(1+VLOOKUP(S19,$AK$17:$AM$28,2,1))*AB19*$O$23*$F$10*1.05,(VLOOKUP(R19,$AK$2:$AM$15,2,0))*(1+VLOOKUP(S19,$AK$17:$AM$28,2,1))*AB19*$O$23*(($F$6+10%)*$F$10+(90%-$F$6))*1.05)</f>
        <v>636.76907164035117</v>
      </c>
      <c r="AD19" s="60">
        <f t="shared" si="1"/>
        <v>27.985900523062512</v>
      </c>
      <c r="AE19" s="61">
        <f t="shared" si="2"/>
        <v>0</v>
      </c>
      <c r="AF19" s="62">
        <f t="shared" si="4"/>
        <v>4.0041441214118452</v>
      </c>
      <c r="AG19" s="63">
        <f t="shared" si="3"/>
        <v>0</v>
      </c>
      <c r="AH19" s="64">
        <f t="shared" si="5"/>
        <v>6.9892340721229571</v>
      </c>
      <c r="AI19" s="45" t="b">
        <v>0</v>
      </c>
      <c r="AK19" s="24">
        <v>1</v>
      </c>
      <c r="AL19" s="86">
        <v>0.03</v>
      </c>
      <c r="AM19" s="15">
        <v>0.02</v>
      </c>
      <c r="AP19" s="6"/>
      <c r="AQ19" s="6"/>
      <c r="AR19" s="6"/>
    </row>
    <row r="20" spans="2:44" ht="18" customHeight="1" thickBot="1" x14ac:dyDescent="0.35">
      <c r="B20" s="14" t="s">
        <v>87</v>
      </c>
      <c r="C20" s="81"/>
      <c r="E20" s="121" t="s">
        <v>63</v>
      </c>
      <c r="F20" s="122"/>
      <c r="H20" s="14" t="s">
        <v>104</v>
      </c>
      <c r="I20" s="15">
        <f>IF(C23=1,10%,IF(C23=2,25%,IF(C23=3,50%,0)))</f>
        <v>0</v>
      </c>
      <c r="K20" s="121" t="s">
        <v>105</v>
      </c>
      <c r="L20" s="122"/>
      <c r="Q20" s="79" t="s">
        <v>106</v>
      </c>
      <c r="R20" s="80"/>
      <c r="S20" s="88"/>
      <c r="T20" s="88"/>
      <c r="U20" s="51">
        <v>131</v>
      </c>
      <c r="V20" s="52">
        <v>19</v>
      </c>
      <c r="W20" s="53">
        <f t="shared" si="0"/>
        <v>18.796129999999998</v>
      </c>
      <c r="X20" s="54">
        <v>66</v>
      </c>
      <c r="Y20" s="55"/>
      <c r="Z20" s="56">
        <f t="shared" si="7"/>
        <v>59.535353626469785</v>
      </c>
      <c r="AA20" s="57">
        <f>4.65090341289315*3+1.16172206111978*3</f>
        <v>17.437876422038791</v>
      </c>
      <c r="AB20" s="58">
        <f>AA20*(5/3)*1.8</f>
        <v>52.313629266116372</v>
      </c>
      <c r="AC20" s="59">
        <f>(VLOOKUP(R20,$AK$2:$AM$15,2,0))*(1+VLOOKUP(S20,$AK$17:$AM$28,2,1))*AB20*$F$14*$L$7</f>
        <v>544.31675221180478</v>
      </c>
      <c r="AD20" s="89">
        <f t="shared" si="1"/>
        <v>28.95897997150503</v>
      </c>
      <c r="AE20" s="90">
        <f t="shared" si="2"/>
        <v>0</v>
      </c>
      <c r="AF20" s="62">
        <f t="shared" si="4"/>
        <v>3.1674261471095271</v>
      </c>
      <c r="AG20" s="63">
        <f t="shared" si="3"/>
        <v>0</v>
      </c>
      <c r="AH20" s="64">
        <f t="shared" si="5"/>
        <v>9.1427482841018719</v>
      </c>
      <c r="AI20" s="45" t="b">
        <v>0</v>
      </c>
      <c r="AK20" s="24">
        <v>2</v>
      </c>
      <c r="AL20" s="86">
        <v>0.06</v>
      </c>
      <c r="AM20" s="15">
        <v>0.04</v>
      </c>
      <c r="AP20" s="6"/>
      <c r="AQ20" s="6"/>
      <c r="AR20" s="6"/>
    </row>
    <row r="21" spans="2:44" ht="18" customHeight="1" x14ac:dyDescent="0.3">
      <c r="B21" s="14" t="s">
        <v>44</v>
      </c>
      <c r="C21" s="81">
        <v>3</v>
      </c>
      <c r="E21" s="24" t="s">
        <v>107</v>
      </c>
      <c r="F21" s="26">
        <f>1-(1-I12)*(1-I11)</f>
        <v>1.0730000000000017E-2</v>
      </c>
      <c r="H21" s="7" t="s">
        <v>108</v>
      </c>
      <c r="I21" s="26">
        <f>1+(C7*I8)</f>
        <v>1.9835199999999999</v>
      </c>
      <c r="K21" s="14" t="s">
        <v>109</v>
      </c>
      <c r="L21" s="26">
        <f>L4*L5*L6</f>
        <v>1.1759999999999999</v>
      </c>
      <c r="N21" s="127" t="s">
        <v>110</v>
      </c>
      <c r="O21" s="128"/>
      <c r="Q21" s="91" t="s">
        <v>111</v>
      </c>
      <c r="R21" s="92"/>
      <c r="S21" s="93"/>
      <c r="T21" s="93"/>
      <c r="U21" s="51" t="s">
        <v>112</v>
      </c>
      <c r="V21" s="52">
        <v>300</v>
      </c>
      <c r="W21" s="94">
        <f>$F$18</f>
        <v>296.78100000000001</v>
      </c>
      <c r="X21" s="54">
        <v>155</v>
      </c>
      <c r="Y21" s="55"/>
      <c r="Z21" s="56">
        <f t="shared" si="7"/>
        <v>139.81787594095175</v>
      </c>
      <c r="AA21" s="57">
        <v>268.023198750836</v>
      </c>
      <c r="AB21" s="58"/>
      <c r="AC21" s="59">
        <f>AA21*$F$17</f>
        <v>2494.6128445933227</v>
      </c>
      <c r="AD21" s="89">
        <f t="shared" si="1"/>
        <v>8.4055678921269301</v>
      </c>
      <c r="AE21" s="90">
        <f t="shared" si="2"/>
        <v>0</v>
      </c>
      <c r="AF21" s="62">
        <f t="shared" si="4"/>
        <v>0.47111464662815933</v>
      </c>
      <c r="AG21" s="63">
        <f t="shared" si="3"/>
        <v>0</v>
      </c>
      <c r="AH21" s="64">
        <f t="shared" si="5"/>
        <v>17.841873421441864</v>
      </c>
      <c r="AI21" s="45" t="b">
        <v>0</v>
      </c>
      <c r="AK21" s="24">
        <v>3</v>
      </c>
      <c r="AL21" s="86">
        <v>0.09</v>
      </c>
      <c r="AM21" s="15">
        <v>0.06</v>
      </c>
      <c r="AP21" s="6"/>
      <c r="AQ21" s="6"/>
      <c r="AR21" s="6"/>
    </row>
    <row r="22" spans="2:44" ht="18" customHeight="1" thickBot="1" x14ac:dyDescent="0.35">
      <c r="B22" s="14" t="s">
        <v>50</v>
      </c>
      <c r="C22" s="81"/>
      <c r="E22" s="121" t="s">
        <v>82</v>
      </c>
      <c r="F22" s="122"/>
      <c r="H22" s="47" t="s">
        <v>113</v>
      </c>
      <c r="I22" s="26">
        <f>(SUM(O4,O6:O10)*F10+(1-SUM(O4,O6:O10)))*L21*L22*L23*L24*I21*IF(C4="지배(2)",70%,1)*IF(C4="지배(3)",90%,1)/(IF(C4="악몽(2)",115%,1)*IF(C4="악몽(3)",117%,1)*IF(C4="지배(2)",118%*128%,1)*IF(C4="지배(3)",120%*131%,1))</f>
        <v>9.3074512065368058</v>
      </c>
      <c r="K22" s="14" t="s">
        <v>114</v>
      </c>
      <c r="L22" s="26">
        <f>SUM(1,L14:L16)</f>
        <v>1.06</v>
      </c>
      <c r="N22" s="27" t="s">
        <v>35</v>
      </c>
      <c r="O22" s="26">
        <f>L21*L22*L23*L24</f>
        <v>2.9327443151999999</v>
      </c>
      <c r="Q22" s="95" t="s">
        <v>115</v>
      </c>
      <c r="R22" s="96"/>
      <c r="S22" s="97"/>
      <c r="T22" s="97"/>
      <c r="U22" s="98" t="s">
        <v>112</v>
      </c>
      <c r="V22" s="99">
        <v>300</v>
      </c>
      <c r="W22" s="100">
        <f>$F$18</f>
        <v>296.78100000000001</v>
      </c>
      <c r="X22" s="101">
        <v>125</v>
      </c>
      <c r="Y22" s="102"/>
      <c r="Z22" s="103">
        <f t="shared" si="7"/>
        <v>112.75635156528368</v>
      </c>
      <c r="AA22" s="104">
        <v>223.624135623466</v>
      </c>
      <c r="AB22" s="105"/>
      <c r="AC22" s="106">
        <f>AA22*$F$17</f>
        <v>2081.3707309193787</v>
      </c>
      <c r="AD22" s="107">
        <f t="shared" si="1"/>
        <v>7.0131535742496274</v>
      </c>
      <c r="AE22" s="108">
        <f t="shared" si="2"/>
        <v>1.3817447921731674E-2</v>
      </c>
      <c r="AF22" s="109">
        <f t="shared" si="4"/>
        <v>0.37993116663561238</v>
      </c>
      <c r="AG22" s="110">
        <f t="shared" si="3"/>
        <v>1.0832038849909227E-2</v>
      </c>
      <c r="AH22" s="111">
        <f t="shared" si="5"/>
        <v>18.459010973890074</v>
      </c>
      <c r="AI22" s="112" t="b">
        <v>1</v>
      </c>
      <c r="AK22" s="24">
        <v>4</v>
      </c>
      <c r="AL22" s="86">
        <v>0.12</v>
      </c>
      <c r="AM22" s="15">
        <v>0.08</v>
      </c>
      <c r="AP22" s="6"/>
      <c r="AQ22" s="6"/>
      <c r="AR22" s="6"/>
    </row>
    <row r="23" spans="2:44" ht="18" customHeight="1" thickBot="1" x14ac:dyDescent="0.35">
      <c r="B23" s="14" t="s">
        <v>104</v>
      </c>
      <c r="C23" s="81"/>
      <c r="E23" s="24" t="s">
        <v>116</v>
      </c>
      <c r="F23" s="26">
        <f>IF(IF(C26=1,8%,IF(C26=2,12%,IF(C26=3,16%,0)))+SUM(I15:I17)+IF(C13,10%,0)+IF(OR(C4="구원(2)",C4="구원(3)"),10%,0)+1&gt;=140%,140%,IF(C26=1,8%,IF(C26=2,12%,IF(C26=3,16%,0)))+SUM(I15:I17)+IF(C13,10%,0)+IF(OR(C4="구원(2)",C4="구원(3)"),10%,0)+1)</f>
        <v>1.188585</v>
      </c>
      <c r="H23" s="87" t="s">
        <v>117</v>
      </c>
      <c r="I23" s="76">
        <f>(SUM(O6:O10)*F10+(1-SUM(O6:O10)))*L21*L22*L23*L24*L8*I21*IF(C4="지배(2)",70%,1)*IF(C4="지배(3)",90%,1)/(IF(C4="악몽(2)",115%,1)*IF(C4="악몽(3)",117%,1)*IF(C4="지배(2)",118%*128%,1)*IF(C4="지배(3)",120%*131%,1))</f>
        <v>9.1807826127728429</v>
      </c>
      <c r="K23" s="71" t="s">
        <v>94</v>
      </c>
      <c r="L23" s="26">
        <f>SUM(1,L18:L19)</f>
        <v>1.9300000000000002</v>
      </c>
      <c r="N23" s="47" t="s">
        <v>41</v>
      </c>
      <c r="O23" s="26">
        <f>L21*L22*L23*L24*L9</f>
        <v>4.1919474143742717</v>
      </c>
      <c r="V23" s="113" t="s">
        <v>118</v>
      </c>
      <c r="W23" s="114"/>
      <c r="Z23" s="115">
        <f>SUMIF($AI$5:$AI$22,TRUE,$Z$5:$Z$22)</f>
        <v>832.09866686544046</v>
      </c>
      <c r="AC23" s="115">
        <f>SUMIF($AI$5:$AI$22,TRUE,$AC$5:$AC$22)</f>
        <v>13034.897133266888</v>
      </c>
      <c r="AD23" s="115">
        <f>SUMIF($AI$5:$AI$22,TRUE,$AD$5:$AD$22)</f>
        <v>507.55780763389356</v>
      </c>
      <c r="AF23" s="115">
        <f>SUMIF($AI$5:$AI$22,TRUE,$AF$5:$AF$22)</f>
        <v>35.074760338289984</v>
      </c>
      <c r="AH23" s="115">
        <f>SUMIF($AI$5:$AI$22,TRUE,$AH$5:$AH$22)</f>
        <v>108.43170013940464</v>
      </c>
      <c r="AK23" s="24">
        <v>5</v>
      </c>
      <c r="AL23" s="86">
        <v>0.15</v>
      </c>
      <c r="AM23" s="15">
        <v>0.1</v>
      </c>
      <c r="AP23" s="6"/>
      <c r="AQ23" s="6"/>
      <c r="AR23" s="6"/>
    </row>
    <row r="24" spans="2:44" ht="18" customHeight="1" thickBot="1" x14ac:dyDescent="0.35">
      <c r="B24" s="14" t="s">
        <v>86</v>
      </c>
      <c r="C24" s="81"/>
      <c r="E24" s="24" t="s">
        <v>119</v>
      </c>
      <c r="F24" s="26">
        <f>IF(SUM(I15:I17)+IF(C13,10%,0)+IF(OR(C4="구원(2)",C4="구원(3)"),10%,0)+1&gt;=140%,140%,SUM(I15:I17)+IF(C13,10%,0)+IF(OR(C4="구원(2)",C4="구원(3)"),10%,0)+1)</f>
        <v>1.1085849999999999</v>
      </c>
      <c r="K24" s="116" t="s">
        <v>120</v>
      </c>
      <c r="L24" s="76">
        <f>L11*L12</f>
        <v>1.2189999999999999</v>
      </c>
      <c r="N24" s="87" t="s">
        <v>47</v>
      </c>
      <c r="O24" s="76">
        <f>L21*L22*L23*L24*L8*L10</f>
        <v>5.5341739008349036</v>
      </c>
      <c r="AK24" s="24">
        <v>6</v>
      </c>
      <c r="AL24" s="86">
        <v>0.18</v>
      </c>
      <c r="AM24" s="15">
        <v>0.12</v>
      </c>
      <c r="AP24" s="6"/>
      <c r="AQ24" s="6"/>
      <c r="AR24" s="6"/>
    </row>
    <row r="25" spans="2:44" ht="18" customHeight="1" thickBot="1" x14ac:dyDescent="0.35">
      <c r="B25" s="14" t="s">
        <v>38</v>
      </c>
      <c r="C25" s="81">
        <v>3</v>
      </c>
      <c r="E25" s="83" t="s">
        <v>121</v>
      </c>
      <c r="F25" s="76">
        <f>IF(SUM(I15,I17)+IF(C13,10%,0)+1&gt;=140%,140%,SUM(I15,I17)+IF(C13,10%,0)+1)</f>
        <v>1.0085850000000001</v>
      </c>
      <c r="AK25" s="24">
        <v>7</v>
      </c>
      <c r="AL25" s="86">
        <v>0.21</v>
      </c>
      <c r="AM25" s="15">
        <v>0.14000000000000001</v>
      </c>
      <c r="AP25" s="6"/>
      <c r="AQ25" s="6"/>
      <c r="AR25" s="6"/>
    </row>
    <row r="26" spans="2:44" ht="18" customHeight="1" thickBot="1" x14ac:dyDescent="0.35">
      <c r="B26" s="117" t="s">
        <v>122</v>
      </c>
      <c r="C26" s="118">
        <v>1</v>
      </c>
      <c r="D26" s="1"/>
      <c r="AK26" s="24">
        <v>8</v>
      </c>
      <c r="AL26" s="86">
        <v>0.24</v>
      </c>
      <c r="AM26" s="15">
        <v>0.16</v>
      </c>
      <c r="AP26" s="6"/>
      <c r="AQ26" s="6"/>
      <c r="AR26" s="6"/>
    </row>
    <row r="27" spans="2:44" ht="18" customHeight="1" x14ac:dyDescent="0.3">
      <c r="AD27" s="2"/>
      <c r="AK27" s="24">
        <v>9</v>
      </c>
      <c r="AL27" s="86">
        <v>0.3</v>
      </c>
      <c r="AM27" s="15">
        <v>0.18</v>
      </c>
      <c r="AP27" s="6"/>
      <c r="AQ27" s="6"/>
      <c r="AR27" s="6"/>
    </row>
    <row r="28" spans="2:44" ht="18" customHeight="1" thickBot="1" x14ac:dyDescent="0.35">
      <c r="AD28" s="2"/>
      <c r="AK28" s="83">
        <v>10</v>
      </c>
      <c r="AL28" s="119">
        <v>0.4</v>
      </c>
      <c r="AM28" s="120">
        <v>0.2</v>
      </c>
    </row>
    <row r="29" spans="2:44" ht="18" customHeight="1" x14ac:dyDescent="0.3">
      <c r="D29" s="1"/>
      <c r="R29" s="2"/>
      <c r="AD29" s="2"/>
    </row>
    <row r="30" spans="2:44" ht="18" customHeight="1" x14ac:dyDescent="0.3">
      <c r="D30" s="1"/>
      <c r="R30" s="2"/>
      <c r="AD30" s="2"/>
    </row>
    <row r="31" spans="2:44" ht="18" customHeight="1" x14ac:dyDescent="0.3">
      <c r="D31" s="1"/>
      <c r="R31" s="2"/>
      <c r="AD31" s="2"/>
      <c r="AI31" s="1"/>
    </row>
    <row r="32" spans="2:44" ht="18" customHeight="1" x14ac:dyDescent="0.3">
      <c r="D32" s="1"/>
      <c r="R32" s="2"/>
      <c r="AD32" s="2"/>
      <c r="AI32" s="1"/>
    </row>
    <row r="33" spans="4:35" ht="18" customHeight="1" x14ac:dyDescent="0.3">
      <c r="D33" s="1"/>
      <c r="R33" s="2"/>
      <c r="AD33" s="2"/>
      <c r="AI33" s="1"/>
    </row>
    <row r="34" spans="4:35" ht="18" customHeight="1" x14ac:dyDescent="0.3">
      <c r="D34" s="1"/>
      <c r="R34" s="2"/>
      <c r="AD34" s="2"/>
      <c r="AI34" s="1"/>
    </row>
    <row r="35" spans="4:35" ht="18" customHeight="1" x14ac:dyDescent="0.3">
      <c r="D35" s="1"/>
      <c r="R35" s="2"/>
      <c r="AD35" s="2"/>
      <c r="AI35" s="1"/>
    </row>
    <row r="36" spans="4:35" ht="18" customHeight="1" x14ac:dyDescent="0.3">
      <c r="D36" s="1"/>
      <c r="R36" s="2"/>
      <c r="AD36" s="2"/>
      <c r="AI36" s="1"/>
    </row>
    <row r="37" spans="4:35" ht="18" customHeight="1" x14ac:dyDescent="0.3">
      <c r="D37" s="1"/>
      <c r="R37" s="2"/>
      <c r="AD37" s="2"/>
      <c r="AI37" s="1"/>
    </row>
    <row r="38" spans="4:35" ht="18" customHeight="1" x14ac:dyDescent="0.3">
      <c r="D38" s="1"/>
      <c r="R38" s="2"/>
      <c r="AD38" s="2"/>
      <c r="AI38" s="1"/>
    </row>
    <row r="39" spans="4:35" ht="18" customHeight="1" x14ac:dyDescent="0.3">
      <c r="D39" s="1"/>
      <c r="R39" s="2"/>
      <c r="AI39" s="1"/>
    </row>
    <row r="40" spans="4:35" ht="18" customHeight="1" x14ac:dyDescent="0.3">
      <c r="D40" s="1"/>
      <c r="R40" s="2"/>
      <c r="AI40" s="1"/>
    </row>
    <row r="41" spans="4:35" ht="18" customHeight="1" x14ac:dyDescent="0.3">
      <c r="D41" s="1"/>
      <c r="AI41" s="1"/>
    </row>
    <row r="42" spans="4:35" ht="18" customHeight="1" x14ac:dyDescent="0.3">
      <c r="D42" s="1"/>
      <c r="AI42" s="1"/>
    </row>
    <row r="43" spans="4:35" ht="18" customHeight="1" x14ac:dyDescent="0.3">
      <c r="D43" s="1"/>
      <c r="AI43" s="1"/>
    </row>
    <row r="44" spans="4:35" ht="18" customHeight="1" x14ac:dyDescent="0.3">
      <c r="D44" s="1"/>
      <c r="AI44" s="1"/>
    </row>
    <row r="45" spans="4:35" ht="18" customHeight="1" x14ac:dyDescent="0.3">
      <c r="AI45" s="1"/>
    </row>
    <row r="46" spans="4:35" ht="18" customHeight="1" x14ac:dyDescent="0.3">
      <c r="AI46" s="1"/>
    </row>
    <row r="47" spans="4:35" ht="18" customHeight="1" x14ac:dyDescent="0.3">
      <c r="AI47" s="1"/>
    </row>
    <row r="48" spans="4:35" ht="18" customHeight="1" x14ac:dyDescent="0.3">
      <c r="AI48" s="1"/>
    </row>
    <row r="49" spans="30:35" ht="18" customHeight="1" x14ac:dyDescent="0.3">
      <c r="AI49" s="1"/>
    </row>
    <row r="50" spans="30:35" ht="18" customHeight="1" x14ac:dyDescent="0.3">
      <c r="AI50" s="1"/>
    </row>
    <row r="51" spans="30:35" ht="18" customHeight="1" x14ac:dyDescent="0.3">
      <c r="AI51" s="1"/>
    </row>
    <row r="52" spans="30:35" ht="18" customHeight="1" x14ac:dyDescent="0.3">
      <c r="AI52" s="1"/>
    </row>
    <row r="53" spans="30:35" ht="18" customHeight="1" x14ac:dyDescent="0.3">
      <c r="AI53" s="1"/>
    </row>
    <row r="54" spans="30:35" ht="18" customHeight="1" x14ac:dyDescent="0.3">
      <c r="AI54" s="1"/>
    </row>
    <row r="55" spans="30:35" ht="18" customHeight="1" x14ac:dyDescent="0.3">
      <c r="AI55" s="1"/>
    </row>
    <row r="56" spans="30:35" ht="18" customHeight="1" x14ac:dyDescent="0.3">
      <c r="AI56" s="1"/>
    </row>
    <row r="57" spans="30:35" ht="18" customHeight="1" x14ac:dyDescent="0.3">
      <c r="AI57" s="1"/>
    </row>
    <row r="58" spans="30:35" ht="18" customHeight="1" x14ac:dyDescent="0.3">
      <c r="AD58" s="2"/>
      <c r="AI58" s="1"/>
    </row>
    <row r="59" spans="30:35" ht="18" customHeight="1" x14ac:dyDescent="0.3">
      <c r="AD59" s="2"/>
      <c r="AI59" s="1"/>
    </row>
    <row r="60" spans="30:35" ht="18" customHeight="1" x14ac:dyDescent="0.3">
      <c r="AD60" s="2"/>
      <c r="AI60" s="1"/>
    </row>
    <row r="61" spans="30:35" ht="18" customHeight="1" x14ac:dyDescent="0.3">
      <c r="AD61" s="2"/>
      <c r="AI61" s="1"/>
    </row>
    <row r="62" spans="30:35" ht="18" customHeight="1" x14ac:dyDescent="0.3">
      <c r="AD62" s="2"/>
      <c r="AI62" s="1"/>
    </row>
    <row r="63" spans="30:35" ht="18" customHeight="1" x14ac:dyDescent="0.3">
      <c r="AD63" s="2"/>
      <c r="AI63" s="1"/>
    </row>
    <row r="64" spans="30:35" ht="18" customHeight="1" x14ac:dyDescent="0.3">
      <c r="AD64" s="2"/>
      <c r="AI64" s="1"/>
    </row>
    <row r="65" spans="30:35" ht="18" customHeight="1" x14ac:dyDescent="0.3">
      <c r="AD65" s="2"/>
      <c r="AI65" s="1"/>
    </row>
    <row r="66" spans="30:35" ht="18" customHeight="1" x14ac:dyDescent="0.3">
      <c r="AD66" s="2"/>
    </row>
    <row r="67" spans="30:35" ht="18" customHeight="1" x14ac:dyDescent="0.3">
      <c r="AD67" s="2"/>
    </row>
    <row r="68" spans="30:35" ht="18" customHeight="1" x14ac:dyDescent="0.3">
      <c r="AD68" s="2"/>
    </row>
    <row r="69" spans="30:35" ht="18" customHeight="1" x14ac:dyDescent="0.3">
      <c r="AD69" s="2"/>
    </row>
  </sheetData>
  <mergeCells count="26">
    <mergeCell ref="H19:I19"/>
    <mergeCell ref="E20:F20"/>
    <mergeCell ref="K20:L20"/>
    <mergeCell ref="N21:O21"/>
    <mergeCell ref="E22:F22"/>
    <mergeCell ref="E8:F8"/>
    <mergeCell ref="B10:C10"/>
    <mergeCell ref="H10:I10"/>
    <mergeCell ref="K17:L17"/>
    <mergeCell ref="N11:O11"/>
    <mergeCell ref="E12:F12"/>
    <mergeCell ref="K13:L13"/>
    <mergeCell ref="B14:C14"/>
    <mergeCell ref="H14:I14"/>
    <mergeCell ref="E16:F16"/>
    <mergeCell ref="N16:O16"/>
    <mergeCell ref="N2:O2"/>
    <mergeCell ref="Q2:AI3"/>
    <mergeCell ref="K3:L3"/>
    <mergeCell ref="N3:O3"/>
    <mergeCell ref="E4:F4"/>
    <mergeCell ref="B5:C5"/>
    <mergeCell ref="B2:C3"/>
    <mergeCell ref="E2:F3"/>
    <mergeCell ref="H2:I2"/>
    <mergeCell ref="K2:L2"/>
  </mergeCells>
  <phoneticPr fontId="2" type="noConversion"/>
  <conditionalFormatting sqref="AI5:AI22 C13">
    <cfRule type="cellIs" dxfId="1" priority="2" operator="equal">
      <formula>TRUE</formula>
    </cfRule>
  </conditionalFormatting>
  <conditionalFormatting sqref="AE5:AH22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34</xdr:col>
                    <xdr:colOff>28575</xdr:colOff>
                    <xdr:row>4</xdr:row>
                    <xdr:rowOff>0</xdr:rowOff>
                  </from>
                  <to>
                    <xdr:col>34</xdr:col>
                    <xdr:colOff>238125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34</xdr:col>
                    <xdr:colOff>28575</xdr:colOff>
                    <xdr:row>5</xdr:row>
                    <xdr:rowOff>0</xdr:rowOff>
                  </from>
                  <to>
                    <xdr:col>34</xdr:col>
                    <xdr:colOff>238125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34</xdr:col>
                    <xdr:colOff>28575</xdr:colOff>
                    <xdr:row>6</xdr:row>
                    <xdr:rowOff>0</xdr:rowOff>
                  </from>
                  <to>
                    <xdr:col>34</xdr:col>
                    <xdr:colOff>238125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34</xdr:col>
                    <xdr:colOff>28575</xdr:colOff>
                    <xdr:row>7</xdr:row>
                    <xdr:rowOff>0</xdr:rowOff>
                  </from>
                  <to>
                    <xdr:col>34</xdr:col>
                    <xdr:colOff>238125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34</xdr:col>
                    <xdr:colOff>28575</xdr:colOff>
                    <xdr:row>8</xdr:row>
                    <xdr:rowOff>0</xdr:rowOff>
                  </from>
                  <to>
                    <xdr:col>34</xdr:col>
                    <xdr:colOff>238125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34</xdr:col>
                    <xdr:colOff>28575</xdr:colOff>
                    <xdr:row>10</xdr:row>
                    <xdr:rowOff>0</xdr:rowOff>
                  </from>
                  <to>
                    <xdr:col>34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34</xdr:col>
                    <xdr:colOff>28575</xdr:colOff>
                    <xdr:row>11</xdr:row>
                    <xdr:rowOff>0</xdr:rowOff>
                  </from>
                  <to>
                    <xdr:col>34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34</xdr:col>
                    <xdr:colOff>28575</xdr:colOff>
                    <xdr:row>12</xdr:row>
                    <xdr:rowOff>0</xdr:rowOff>
                  </from>
                  <to>
                    <xdr:col>34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34</xdr:col>
                    <xdr:colOff>28575</xdr:colOff>
                    <xdr:row>13</xdr:row>
                    <xdr:rowOff>0</xdr:rowOff>
                  </from>
                  <to>
                    <xdr:col>34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34</xdr:col>
                    <xdr:colOff>28575</xdr:colOff>
                    <xdr:row>14</xdr:row>
                    <xdr:rowOff>0</xdr:rowOff>
                  </from>
                  <to>
                    <xdr:col>34</xdr:col>
                    <xdr:colOff>238125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34</xdr:col>
                    <xdr:colOff>28575</xdr:colOff>
                    <xdr:row>15</xdr:row>
                    <xdr:rowOff>0</xdr:rowOff>
                  </from>
                  <to>
                    <xdr:col>34</xdr:col>
                    <xdr:colOff>238125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34</xdr:col>
                    <xdr:colOff>28575</xdr:colOff>
                    <xdr:row>16</xdr:row>
                    <xdr:rowOff>0</xdr:rowOff>
                  </from>
                  <to>
                    <xdr:col>34</xdr:col>
                    <xdr:colOff>238125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34</xdr:col>
                    <xdr:colOff>28575</xdr:colOff>
                    <xdr:row>17</xdr:row>
                    <xdr:rowOff>0</xdr:rowOff>
                  </from>
                  <to>
                    <xdr:col>34</xdr:col>
                    <xdr:colOff>238125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34</xdr:col>
                    <xdr:colOff>28575</xdr:colOff>
                    <xdr:row>18</xdr:row>
                    <xdr:rowOff>0</xdr:rowOff>
                  </from>
                  <to>
                    <xdr:col>34</xdr:col>
                    <xdr:colOff>238125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34</xdr:col>
                    <xdr:colOff>28575</xdr:colOff>
                    <xdr:row>19</xdr:row>
                    <xdr:rowOff>0</xdr:rowOff>
                  </from>
                  <to>
                    <xdr:col>34</xdr:col>
                    <xdr:colOff>238125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34</xdr:col>
                    <xdr:colOff>28575</xdr:colOff>
                    <xdr:row>20</xdr:row>
                    <xdr:rowOff>0</xdr:rowOff>
                  </from>
                  <to>
                    <xdr:col>34</xdr:col>
                    <xdr:colOff>238125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34</xdr:col>
                    <xdr:colOff>28575</xdr:colOff>
                    <xdr:row>20</xdr:row>
                    <xdr:rowOff>219075</xdr:rowOff>
                  </from>
                  <to>
                    <xdr:col>34</xdr:col>
                    <xdr:colOff>238125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34</xdr:col>
                    <xdr:colOff>28575</xdr:colOff>
                    <xdr:row>9</xdr:row>
                    <xdr:rowOff>0</xdr:rowOff>
                  </from>
                  <to>
                    <xdr:col>34</xdr:col>
                    <xdr:colOff>238125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</xdr:col>
                    <xdr:colOff>228600</xdr:colOff>
                    <xdr:row>12</xdr:row>
                    <xdr:rowOff>0</xdr:rowOff>
                  </from>
                  <to>
                    <xdr:col>2</xdr:col>
                    <xdr:colOff>438150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Gunslinger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 Hwan Kim</dc:creator>
  <cp:lastModifiedBy>Ji Hwan Kim</cp:lastModifiedBy>
  <dcterms:created xsi:type="dcterms:W3CDTF">2022-05-16T06:37:54Z</dcterms:created>
  <dcterms:modified xsi:type="dcterms:W3CDTF">2022-05-16T07:45:10Z</dcterms:modified>
</cp:coreProperties>
</file>