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현재스팩차트" sheetId="1" r:id="rId4"/>
    <sheet state="visible" name="쓸만한것들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">
      <text>
        <t xml:space="preserve">현재스팩차트에 스팩기입하고
비교하고싶은만큼 차트복사후
비교하고싶은 스팩 입력
</t>
      </text>
    </comment>
    <comment authorId="0" ref="B2">
      <text>
        <t xml:space="preserve">상세정보에있는 무기공격력,
힘/민첩/지능 스텟만 기입</t>
      </text>
    </comment>
    <comment authorId="0" ref="C2">
      <text>
        <t xml:space="preserve">상세정보에 나오는 무기 공격력 입력</t>
      </text>
    </comment>
    <comment authorId="0" ref="D2">
      <text>
        <t xml:space="preserve">상세정보에 스텟 입력</t>
      </text>
    </comment>
    <comment authorId="0" ref="H2">
      <text>
        <t xml:space="preserve">각인으로 인한 피해증가 수치 기입
원한, 달저, 돌대, 마효증, 바케, 속속,
슈차, 안상, 타대
</t>
      </text>
    </comment>
    <comment authorId="0" ref="I2">
      <text>
        <t xml:space="preserve">각인으로 인한 공격력 증가량 기입
아드, 에포, 저받, 질증</t>
      </text>
    </comment>
    <comment authorId="0" ref="J2">
      <text>
        <t xml:space="preserve">각인으로 인핸 백어택, 헤드어택피해
추가 증가량 기입
기습의대가, 결투의 대가</t>
      </text>
    </comment>
    <comment authorId="0" ref="K2">
      <text>
        <t xml:space="preserve">각인으로 인한 치명타 적중률 기입
아드, 정단, 강무 등</t>
      </text>
    </comment>
    <comment authorId="0" ref="L2">
      <text>
        <t xml:space="preserve">각인으로 인한 치명타 피해량 기입
예둔 50, 정단-12, 고기 50 등
</t>
      </text>
    </comment>
    <comment authorId="0" ref="A3">
      <text>
        <t xml:space="preserve">노란칸은 수치 입력하는 칸
파란칸,보라색은 몰라도 되는데 
알면 좋은거
녹색칸은 딜기대값</t>
      </text>
    </comment>
    <comment authorId="0" ref="A4">
      <text>
        <t xml:space="preserve">노란칸말고 다른거 수정 ㄴㄴ
괜히 수정했다가 결과 이상해도
책임안짐ㅋ</t>
      </text>
    </comment>
    <comment authorId="0" ref="A5">
      <text>
        <t xml:space="preserve">쿨감 DPS는 그냥 참고용임
실제론 보스패턴이나 상황에따라
효율이 다 안나옴 참고만혀</t>
      </text>
    </comment>
    <comment authorId="0" ref="B5">
      <text>
        <t xml:space="preserve">악세서리, 펫 전부 착용해제 후
캐릭터 정보창의 전투특성 기입</t>
      </text>
    </comment>
    <comment authorId="0" ref="H12">
      <text>
        <t xml:space="preserve">지배15~18~20, 환각25~29~32, 
구원5~6, 사멸21~24~26,
악몽(마나중독)30~36~40, </t>
      </text>
    </comment>
    <comment authorId="0" ref="K12">
      <text>
        <t xml:space="preserve">백어택 캐릭만 10% 
 </t>
      </text>
    </comment>
    <comment authorId="0" ref="H13">
      <text>
        <t xml:space="preserve">지배25~28~31, 악몽12~15~17</t>
      </text>
    </comment>
    <comment authorId="0" ref="K13">
      <text>
        <t xml:space="preserve">본인시너지 포함 파티 치적시너지
알카,데헌,건슬 상시 10%
창술,베마,스커 순간 18%
등</t>
      </text>
    </comment>
    <comment authorId="0" ref="H14">
      <text>
        <t xml:space="preserve">구원42~54~63
</t>
      </text>
    </comment>
    <comment authorId="0" ref="H15">
      <text>
        <t xml:space="preserve">지배18, 악몽(끝마)35~40~43
</t>
      </text>
    </comment>
    <comment authorId="0" ref="H16">
      <text>
        <t xml:space="preserve">장비에 달려있는 치명타율 기입
환각20~25~28, 사멸20-22</t>
      </text>
    </comment>
    <comment authorId="0" ref="K16">
      <text>
        <t xml:space="preserve">공격력증가 시너지 합해서 기입
기공, 스카우터 +6% 등</t>
      </text>
    </comment>
    <comment authorId="0" ref="H17">
      <text>
        <t xml:space="preserve">사멸55~60~65</t>
      </text>
    </comment>
    <comment authorId="0" ref="K17">
      <text>
        <t xml:space="preserve">방깎시너지 전부 합해서 기입
디트,서머너, 블래, 워로드,리퍼 +12%
</t>
      </text>
    </comment>
    <comment authorId="0" ref="H18">
      <text>
        <t xml:space="preserve">구원10, 악몽(끝마)15
</t>
      </text>
    </comment>
    <comment authorId="0" ref="K18">
      <text>
        <t xml:space="preserve">피해증가 시너지 전부 합해서 기입
인파,호크,소서,데모닉 +6%
블레,워로드+3%</t>
      </text>
    </comment>
    <comment authorId="0" ref="H19">
      <text>
        <t xml:space="preserve">악몽(끝마)15</t>
      </text>
    </comment>
    <comment authorId="0" ref="K19">
      <text>
        <t xml:space="preserve">주딜기가 백어택,헤드어택일 경우
백어택, 헤드어텍 시너지 전부 기입
블레, 워로드 +9%</t>
      </text>
    </comment>
    <comment authorId="0" ref="B21">
      <text>
        <t xml:space="preserve">일부러 직접 기입으로 적용</t>
      </text>
    </comment>
    <comment authorId="0" ref="K22">
      <text>
        <t xml:space="preserve">예둔체용시 2 라고 기입
예둔체용안할시 0이라고 기입
</t>
      </text>
    </comment>
    <comment authorId="0" ref="K23">
      <text>
        <t xml:space="preserve">팔찌효과 등등</t>
      </text>
    </comment>
    <comment authorId="0" ref="K24">
      <text>
        <t xml:space="preserve">갈망8~10~12
</t>
      </text>
    </comment>
    <comment authorId="0" ref="H26">
      <text>
        <t xml:space="preserve">남바절 채용 할 경우 7
채용 안 할 경우 0
</t>
      </text>
    </comment>
    <comment authorId="0" ref="K26">
      <text>
        <t xml:space="preserve">직업별 특화효율같은거 넣으면됨
방감넣을꺼면 나누기2 해서 넣으면
대충맞음</t>
      </text>
    </comment>
    <comment authorId="0" ref="E31">
      <text>
        <t xml:space="preserve">각성1= 10, 각성2= 25, 각성3= 50</t>
      </text>
    </comment>
    <comment authorId="0" ref="E32">
      <text>
        <t xml:space="preserve">지배쓰면20 안쓰면0</t>
      </text>
    </comment>
    <comment authorId="0" ref="H32">
      <text>
        <t xml:space="preserve">5랩15%, 6랩18%, 7랩21%, 
8랩24%, 9랩30%, 10랩40%</t>
      </text>
    </comment>
    <comment authorId="0" ref="H34">
      <text>
        <t xml:space="preserve">백어택 캐릭터 5%
헤드어택 캐릭터 20%
</t>
      </text>
    </comment>
    <comment authorId="0" ref="N35">
      <text>
        <t xml:space="preserve">실제론 보스패턴, 스킬 시전시간 등
변수가많아서 이정도의 효율은 절대
안나옴 그냥 참고용</t>
      </text>
    </comment>
    <comment authorId="0" ref="H42">
      <text>
        <t xml:space="preserve">특화가는 서머너 본적없어서
뎀지총합 안넣음 궁금하면 직접 계산
ㅅㄱㅎㅅㅅ
</t>
      </text>
    </comment>
    <comment authorId="0" ref="K43">
      <text>
        <t xml:space="preserve">피메적용x 피메각인은 증가량별로
위에 추가해서 샷건라이플 따로
봐야됨</t>
      </text>
    </comment>
    <comment authorId="0" ref="N61">
      <text>
        <t xml:space="preserve">도화가 체력의 %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">
      <text>
        <t xml:space="preserve">상시 추가 예정</t>
      </text>
    </comment>
    <comment authorId="0" ref="D14">
      <text>
        <t xml:space="preserve">이전수치에서 이후수치로 
변경되었을때 % 증가 혹은 감소 수치
소숫점 두자리에서 반올림</t>
      </text>
    </comment>
  </commentList>
</comments>
</file>

<file path=xl/sharedStrings.xml><?xml version="1.0" encoding="utf-8"?>
<sst xmlns="http://schemas.openxmlformats.org/spreadsheetml/2006/main" count="348" uniqueCount="261">
  <si>
    <t>사용법</t>
  </si>
  <si>
    <t>기본스텟</t>
  </si>
  <si>
    <t>무기공격력</t>
  </si>
  <si>
    <t>힘/민첩/지능</t>
  </si>
  <si>
    <t>공격력</t>
  </si>
  <si>
    <t>각인</t>
  </si>
  <si>
    <t>피해증가</t>
  </si>
  <si>
    <t>공격력증가</t>
  </si>
  <si>
    <t>백/헤드피해추가</t>
  </si>
  <si>
    <t>치명타확률</t>
  </si>
  <si>
    <t>치명타피해증가</t>
  </si>
  <si>
    <t>공격속도</t>
  </si>
  <si>
    <t>이동속도</t>
  </si>
  <si>
    <t>쿨타임감소</t>
  </si>
  <si>
    <t>안내1</t>
  </si>
  <si>
    <t>수치</t>
  </si>
  <si>
    <t>원한3</t>
  </si>
  <si>
    <t>안내2</t>
  </si>
  <si>
    <t>예둔3</t>
  </si>
  <si>
    <t>안내3</t>
  </si>
  <si>
    <t>기본특성</t>
  </si>
  <si>
    <t>치명</t>
  </si>
  <si>
    <t>특화</t>
  </si>
  <si>
    <t>신속</t>
  </si>
  <si>
    <t>저받3</t>
  </si>
  <si>
    <t>정흡3</t>
  </si>
  <si>
    <t>악세서리 특성</t>
  </si>
  <si>
    <t>기대3</t>
  </si>
  <si>
    <t>목걸이</t>
  </si>
  <si>
    <t>강무1</t>
  </si>
  <si>
    <t>귀걸이1</t>
  </si>
  <si>
    <t>귀걸이2</t>
  </si>
  <si>
    <t>반지1</t>
  </si>
  <si>
    <t>장비효과</t>
  </si>
  <si>
    <t>치명타확률증가</t>
  </si>
  <si>
    <t>공이속</t>
  </si>
  <si>
    <t>반지2</t>
  </si>
  <si>
    <t>장비피증</t>
  </si>
  <si>
    <t>백어택치명율</t>
  </si>
  <si>
    <t>공속합</t>
  </si>
  <si>
    <t>팔찌</t>
  </si>
  <si>
    <t>장비스킬피증</t>
  </si>
  <si>
    <t>파티치적시너지</t>
  </si>
  <si>
    <t>이속합</t>
  </si>
  <si>
    <t>악세특성합</t>
  </si>
  <si>
    <t>장비추가피해</t>
  </si>
  <si>
    <t>돌대1공증</t>
  </si>
  <si>
    <t>최종 특성값</t>
  </si>
  <si>
    <t>장비쿨감</t>
  </si>
  <si>
    <t>시너지딜증가</t>
  </si>
  <si>
    <t>돌대2공증</t>
  </si>
  <si>
    <t>합</t>
  </si>
  <si>
    <t>장비치명타율</t>
  </si>
  <si>
    <t>공증시너지</t>
  </si>
  <si>
    <t>돌대3공증</t>
  </si>
  <si>
    <t>치명펫</t>
  </si>
  <si>
    <t>장비치명타피해</t>
  </si>
  <si>
    <t>방깎시너지</t>
  </si>
  <si>
    <t>특화펫</t>
  </si>
  <si>
    <t>장비공속</t>
  </si>
  <si>
    <t>받피증시너지</t>
  </si>
  <si>
    <t>치명타</t>
  </si>
  <si>
    <t>신속펫</t>
  </si>
  <si>
    <t>장비이속</t>
  </si>
  <si>
    <t>백/헤드시너지</t>
  </si>
  <si>
    <t>치명타피해량</t>
  </si>
  <si>
    <t>치명타율 합</t>
  </si>
  <si>
    <t>특성수치기입</t>
  </si>
  <si>
    <t>치명특성</t>
  </si>
  <si>
    <t>특화 특성</t>
  </si>
  <si>
    <t>신속특성</t>
  </si>
  <si>
    <t>카드효과</t>
  </si>
  <si>
    <t>기타 효과</t>
  </si>
  <si>
    <t>카드피증1</t>
  </si>
  <si>
    <t>예둔채용</t>
  </si>
  <si>
    <t>효과</t>
  </si>
  <si>
    <t>각성기 딜증</t>
  </si>
  <si>
    <t>쿨감</t>
  </si>
  <si>
    <t>카드피증2</t>
  </si>
  <si>
    <t>기타치명타확률</t>
  </si>
  <si>
    <t>주는피해</t>
  </si>
  <si>
    <t>카드추가피해</t>
  </si>
  <si>
    <t>갈망공이속</t>
  </si>
  <si>
    <t>추가피해</t>
  </si>
  <si>
    <t>카드 공증</t>
  </si>
  <si>
    <t>스킬피해</t>
  </si>
  <si>
    <t>스킬쿨 계산기</t>
  </si>
  <si>
    <t>쿨타임</t>
  </si>
  <si>
    <t>카드치명타확률</t>
  </si>
  <si>
    <t>직업특화</t>
  </si>
  <si>
    <t>시너지피해</t>
  </si>
  <si>
    <t>스킬쿨타임</t>
  </si>
  <si>
    <t>쿨타임감소율</t>
  </si>
  <si>
    <t>카드치명타피해</t>
  </si>
  <si>
    <t>쿨감적용</t>
  </si>
  <si>
    <t>쿨감DPS증가</t>
  </si>
  <si>
    <t>카드공속</t>
  </si>
  <si>
    <t>증가량 종합</t>
  </si>
  <si>
    <t>1분사용횟수</t>
  </si>
  <si>
    <t>카드이속</t>
  </si>
  <si>
    <t>방어관통</t>
  </si>
  <si>
    <t>3분사용횟수</t>
  </si>
  <si>
    <t>각성기 쿨타임</t>
  </si>
  <si>
    <t>쿨타임 감소</t>
  </si>
  <si>
    <t>딜증가량 합</t>
  </si>
  <si>
    <t>5분사용횟수</t>
  </si>
  <si>
    <t>각성각인쿨감</t>
  </si>
  <si>
    <t>보석/기본/무기</t>
  </si>
  <si>
    <t>치명타적중률</t>
  </si>
  <si>
    <t>전체딜증 적용</t>
  </si>
  <si>
    <t>7분사용횟수</t>
  </si>
  <si>
    <t>지배쿨감</t>
  </si>
  <si>
    <t>보석 스킬 피증</t>
  </si>
  <si>
    <t>10분사용횟수</t>
  </si>
  <si>
    <t>각성쿨</t>
  </si>
  <si>
    <t>보석 스킬 쿨감</t>
  </si>
  <si>
    <t>공격속도증가</t>
  </si>
  <si>
    <t>결과값</t>
  </si>
  <si>
    <t>쿨감+단심</t>
  </si>
  <si>
    <t>단심적용</t>
  </si>
  <si>
    <t>백/헤드피증</t>
  </si>
  <si>
    <t>이동속도 증가</t>
  </si>
  <si>
    <t>딜기대값</t>
  </si>
  <si>
    <t>무기 품질</t>
  </si>
  <si>
    <t>쿨감적용DPS</t>
  </si>
  <si>
    <t>워로드</t>
  </si>
  <si>
    <t>창술사(절정3)</t>
  </si>
  <si>
    <t>아르카나</t>
  </si>
  <si>
    <t>데빌헌터</t>
  </si>
  <si>
    <t>데모닉</t>
  </si>
  <si>
    <t>일반스킬피해</t>
  </si>
  <si>
    <t>듀얼게이지회복</t>
  </si>
  <si>
    <t>루인피해량</t>
  </si>
  <si>
    <t>핸드건치뎀</t>
  </si>
  <si>
    <t>악마화스킬피해</t>
  </si>
  <si>
    <t>쉴드 회복량</t>
  </si>
  <si>
    <t>아덴버프효율</t>
  </si>
  <si>
    <t>카드게이지획득</t>
  </si>
  <si>
    <t>샷건스킬피해</t>
  </si>
  <si>
    <t>잠식게이지회복</t>
  </si>
  <si>
    <t>방패쉴드량</t>
  </si>
  <si>
    <t>난무3단계공속</t>
  </si>
  <si>
    <t>라이플방관</t>
  </si>
  <si>
    <t>악마화시간증가</t>
  </si>
  <si>
    <t>서머너</t>
  </si>
  <si>
    <t>디붕</t>
  </si>
  <si>
    <t>치적</t>
  </si>
  <si>
    <t>고대정령피해량</t>
  </si>
  <si>
    <t>건슬링어</t>
  </si>
  <si>
    <t>-리-</t>
  </si>
  <si>
    <t>중력게이지획득</t>
  </si>
  <si>
    <t>집중3단계이속</t>
  </si>
  <si>
    <t>고대의기운획득</t>
  </si>
  <si>
    <t>급습피해</t>
  </si>
  <si>
    <t>코어딜증</t>
  </si>
  <si>
    <t>라이플스킬피해</t>
  </si>
  <si>
    <t>어둠게이지회복</t>
  </si>
  <si>
    <t>3코어데미지</t>
  </si>
  <si>
    <t>치피증</t>
  </si>
  <si>
    <t>소서리스</t>
  </si>
  <si>
    <t>샷건방관</t>
  </si>
  <si>
    <t>중력가중피해</t>
  </si>
  <si>
    <t>마력방출효율</t>
  </si>
  <si>
    <t>블레이드</t>
  </si>
  <si>
    <t>기공사</t>
  </si>
  <si>
    <t>특화적용해방</t>
  </si>
  <si>
    <t>호크아이</t>
  </si>
  <si>
    <t>버스트피해증가</t>
  </si>
  <si>
    <t>버서커</t>
  </si>
  <si>
    <t>운기조식감소</t>
  </si>
  <si>
    <t>마력게이지회복</t>
  </si>
  <si>
    <t>호크피해증가</t>
  </si>
  <si>
    <t>버스트 스택</t>
  </si>
  <si>
    <t>분노 획득량</t>
  </si>
  <si>
    <t>운기조식시간</t>
  </si>
  <si>
    <t>호크게이지회복</t>
  </si>
  <si>
    <t>버1딜증,아덴</t>
  </si>
  <si>
    <t>폭주시간증가</t>
  </si>
  <si>
    <t>금강선공효과</t>
  </si>
  <si>
    <t>바드</t>
  </si>
  <si>
    <t>버3딜증</t>
  </si>
  <si>
    <t>폭주시간</t>
  </si>
  <si>
    <t>3단계쿨감</t>
  </si>
  <si>
    <t>구원회복량증가</t>
  </si>
  <si>
    <t>스카우터</t>
  </si>
  <si>
    <t>아츠게이지회복</t>
  </si>
  <si>
    <t>러쉬피증</t>
  </si>
  <si>
    <t>아덴쿨감DPS</t>
  </si>
  <si>
    <t>버블획득량</t>
  </si>
  <si>
    <t>싱크스킬피해</t>
  </si>
  <si>
    <t>아츠쿨감효율</t>
  </si>
  <si>
    <t>3단계공속증가</t>
  </si>
  <si>
    <t>용맹효율</t>
  </si>
  <si>
    <t>코어에너지회복</t>
  </si>
  <si>
    <t>3버블아츠쿨감</t>
  </si>
  <si>
    <t>홀리나이트</t>
  </si>
  <si>
    <t>3단계피증</t>
  </si>
  <si>
    <t>1버블용맹(8)</t>
  </si>
  <si>
    <t>신앙게이지획득</t>
  </si>
  <si>
    <t>역천3피증</t>
  </si>
  <si>
    <t>2버블용맹(12)</t>
  </si>
  <si>
    <t>블래스터</t>
  </si>
  <si>
    <t>도화가</t>
  </si>
  <si>
    <t>신성의오라효율</t>
  </si>
  <si>
    <t>3버블용맹(16)</t>
  </si>
  <si>
    <t>포격스킬 피해</t>
  </si>
  <si>
    <t>게이지회복량</t>
  </si>
  <si>
    <t>오라공증</t>
  </si>
  <si>
    <t>배틀마스터</t>
  </si>
  <si>
    <t>버프효율증가</t>
  </si>
  <si>
    <t>저무는달효율</t>
  </si>
  <si>
    <t>오의스킬피해</t>
  </si>
  <si>
    <t>인파이터</t>
  </si>
  <si>
    <t>1단계뎀증</t>
  </si>
  <si>
    <t>저무는달딜증</t>
  </si>
  <si>
    <t>스트라이커</t>
  </si>
  <si>
    <t>아덴획득량</t>
  </si>
  <si>
    <t>충격스킬피해</t>
  </si>
  <si>
    <t>2단계뎀증</t>
  </si>
  <si>
    <t>힐회복량증가</t>
  </si>
  <si>
    <t>충격회수기력</t>
  </si>
  <si>
    <t>3단계뎀증</t>
  </si>
  <si>
    <t>힐량</t>
  </si>
  <si>
    <t>공지사항</t>
  </si>
  <si>
    <t>경매 계산기</t>
  </si>
  <si>
    <t>캐릭별 시너지</t>
  </si>
  <si>
    <t>경매장최저가</t>
  </si>
  <si>
    <t>판매수수료제외</t>
  </si>
  <si>
    <t>상시피증 6%</t>
  </si>
  <si>
    <t>상시공증 6%</t>
  </si>
  <si>
    <t>상시방감 12%</t>
  </si>
  <si>
    <t>상시치적 10%</t>
  </si>
  <si>
    <t>순간치적 18%</t>
  </si>
  <si>
    <t>벡헤드 12%</t>
  </si>
  <si>
    <t>4인경매적정가</t>
  </si>
  <si>
    <t>8인경매적정가</t>
  </si>
  <si>
    <t>창술사</t>
  </si>
  <si>
    <t>다음최소입찰</t>
  </si>
  <si>
    <t>다음최소입찰가</t>
  </si>
  <si>
    <t>판매시차액</t>
  </si>
  <si>
    <t>디스트로이어</t>
  </si>
  <si>
    <t>3인 분배금</t>
  </si>
  <si>
    <t>7인 분배금</t>
  </si>
  <si>
    <t>본인무조건이득</t>
  </si>
  <si>
    <t>리퍼</t>
  </si>
  <si>
    <t>3인분배금</t>
  </si>
  <si>
    <t>7인분배금</t>
  </si>
  <si>
    <t>악세서리별스텟</t>
  </si>
  <si>
    <t>유물</t>
  </si>
  <si>
    <t>고대</t>
  </si>
  <si>
    <t>데미지차이계산</t>
  </si>
  <si>
    <t>귀걸이</t>
  </si>
  <si>
    <t>이전 수치</t>
  </si>
  <si>
    <t>이후 수치</t>
  </si>
  <si>
    <t>결과</t>
  </si>
  <si>
    <t>반지</t>
  </si>
  <si>
    <t>차이</t>
  </si>
  <si>
    <t xml:space="preserve"> </t>
  </si>
  <si>
    <t>악세스텟계산기</t>
  </si>
  <si>
    <t>쿨타임 감소량</t>
  </si>
  <si>
    <t>dps증가량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</si>
</sst>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theme="5"/>
      <name val="Arial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  <font>
      <b/>
      <color rgb="FFEA4335"/>
      <name val="Arial"/>
    </font>
    <font>
      <color rgb="FF000000"/>
      <name val="Arial"/>
    </font>
    <font>
      <sz val="10.0"/>
      <color theme="1"/>
      <name val="Arial"/>
    </font>
    <font>
      <b/>
      <color rgb="FFEA4335"/>
      <name val="Arial"/>
      <scheme val="minor"/>
    </font>
    <font>
      <sz val="10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</fills>
  <borders count="3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</border>
    <border>
      <bottom style="medium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Font="1"/>
    <xf borderId="1" fillId="3" fontId="3" numFmtId="0" xfId="0" applyAlignment="1" applyBorder="1" applyFill="1" applyFont="1">
      <alignment readingOrder="0"/>
    </xf>
    <xf borderId="1" fillId="0" fontId="4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2" fillId="3" fontId="5" numFmtId="0" xfId="0" applyBorder="1" applyFont="1"/>
    <xf borderId="3" fillId="0" fontId="4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3" fillId="4" fontId="1" numFmtId="0" xfId="0" applyAlignment="1" applyBorder="1" applyFill="1" applyFont="1">
      <alignment readingOrder="0"/>
    </xf>
    <xf borderId="4" fillId="4" fontId="1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5" fillId="5" fontId="1" numFmtId="0" xfId="0" applyAlignment="1" applyBorder="1" applyFill="1" applyFont="1">
      <alignment readingOrder="0"/>
    </xf>
    <xf borderId="5" fillId="5" fontId="1" numFmtId="3" xfId="0" applyAlignment="1" applyBorder="1" applyFont="1" applyNumberFormat="1">
      <alignment readingOrder="0"/>
    </xf>
    <xf borderId="5" fillId="6" fontId="1" numFmtId="0" xfId="0" applyBorder="1" applyFill="1" applyFont="1"/>
    <xf borderId="6" fillId="5" fontId="4" numFmtId="0" xfId="0" applyAlignment="1" applyBorder="1" applyFont="1">
      <alignment readingOrder="0"/>
    </xf>
    <xf borderId="7" fillId="5" fontId="4" numFmtId="164" xfId="0" applyBorder="1" applyFont="1" applyNumberFormat="1"/>
    <xf borderId="7" fillId="5" fontId="1" numFmtId="164" xfId="0" applyAlignment="1" applyBorder="1" applyFont="1" applyNumberFormat="1">
      <alignment readingOrder="0"/>
    </xf>
    <xf borderId="7" fillId="5" fontId="1" numFmtId="3" xfId="0" applyAlignment="1" applyBorder="1" applyFont="1" applyNumberFormat="1">
      <alignment readingOrder="0"/>
    </xf>
    <xf borderId="7" fillId="5" fontId="1" numFmtId="0" xfId="0" applyAlignment="1" applyBorder="1" applyFont="1">
      <alignment readingOrder="0"/>
    </xf>
    <xf borderId="7" fillId="5" fontId="4" numFmtId="3" xfId="0" applyAlignment="1" applyBorder="1" applyFont="1" applyNumberFormat="1">
      <alignment readingOrder="0"/>
    </xf>
    <xf borderId="8" fillId="5" fontId="4" numFmtId="4" xfId="0" applyAlignment="1" applyBorder="1" applyFont="1" applyNumberFormat="1">
      <alignment readingOrder="0"/>
    </xf>
    <xf borderId="7" fillId="5" fontId="4" numFmtId="164" xfId="0" applyAlignment="1" applyBorder="1" applyFont="1" applyNumberFormat="1">
      <alignment readingOrder="0"/>
    </xf>
    <xf borderId="0" fillId="2" fontId="4" numFmtId="4" xfId="0" applyFont="1" applyNumberFormat="1"/>
    <xf borderId="1" fillId="3" fontId="5" numFmtId="0" xfId="0" applyBorder="1" applyFont="1"/>
    <xf borderId="5" fillId="0" fontId="4" numFmtId="0" xfId="0" applyAlignment="1" applyBorder="1" applyFont="1">
      <alignment readingOrder="0"/>
    </xf>
    <xf borderId="5" fillId="5" fontId="4" numFmtId="0" xfId="0" applyAlignment="1" applyBorder="1" applyFont="1">
      <alignment readingOrder="0"/>
    </xf>
    <xf borderId="2" fillId="3" fontId="5" numFmtId="0" xfId="0" applyAlignment="1" applyBorder="1" applyFont="1">
      <alignment readingOrder="0"/>
    </xf>
    <xf borderId="3" fillId="0" fontId="4" numFmtId="0" xfId="0" applyBorder="1" applyFont="1"/>
    <xf borderId="4" fillId="0" fontId="4" numFmtId="0" xfId="0" applyBorder="1" applyFont="1"/>
    <xf borderId="0" fillId="2" fontId="4" numFmtId="0" xfId="0" applyFont="1"/>
    <xf borderId="6" fillId="0" fontId="4" numFmtId="0" xfId="0" applyBorder="1" applyFont="1"/>
    <xf borderId="7" fillId="5" fontId="4" numFmtId="0" xfId="0" applyAlignment="1" applyBorder="1" applyFont="1">
      <alignment readingOrder="0"/>
    </xf>
    <xf borderId="8" fillId="5" fontId="4" numFmtId="0" xfId="0" applyAlignment="1" applyBorder="1" applyFont="1">
      <alignment readingOrder="0"/>
    </xf>
    <xf borderId="9" fillId="5" fontId="4" numFmtId="0" xfId="0" applyAlignment="1" applyBorder="1" applyFont="1">
      <alignment readingOrder="0"/>
    </xf>
    <xf borderId="10" fillId="5" fontId="4" numFmtId="164" xfId="0" applyAlignment="1" applyBorder="1" applyFont="1" applyNumberFormat="1">
      <alignment readingOrder="0"/>
    </xf>
    <xf borderId="10" fillId="5" fontId="1" numFmtId="164" xfId="0" applyAlignment="1" applyBorder="1" applyFont="1" applyNumberFormat="1">
      <alignment readingOrder="0"/>
    </xf>
    <xf borderId="10" fillId="5" fontId="1" numFmtId="3" xfId="0" applyAlignment="1" applyBorder="1" applyFont="1" applyNumberFormat="1">
      <alignment readingOrder="0"/>
    </xf>
    <xf borderId="10" fillId="5" fontId="1" numFmtId="0" xfId="0" applyAlignment="1" applyBorder="1" applyFont="1">
      <alignment readingOrder="0"/>
    </xf>
    <xf borderId="10" fillId="5" fontId="4" numFmtId="3" xfId="0" applyAlignment="1" applyBorder="1" applyFont="1" applyNumberFormat="1">
      <alignment readingOrder="0"/>
    </xf>
    <xf borderId="11" fillId="5" fontId="4" numFmtId="4" xfId="0" applyAlignment="1" applyBorder="1" applyFont="1" applyNumberFormat="1">
      <alignment readingOrder="0"/>
    </xf>
    <xf borderId="0" fillId="0" fontId="4" numFmtId="0" xfId="0" applyFont="1"/>
    <xf borderId="5" fillId="7" fontId="1" numFmtId="4" xfId="0" applyBorder="1" applyFill="1" applyFont="1" applyNumberFormat="1"/>
    <xf borderId="5" fillId="7" fontId="1" numFmtId="3" xfId="0" applyBorder="1" applyFont="1" applyNumberFormat="1"/>
    <xf borderId="5" fillId="7" fontId="1" numFmtId="3" xfId="0" applyAlignment="1" applyBorder="1" applyFont="1" applyNumberFormat="1">
      <alignment readingOrder="0"/>
    </xf>
    <xf borderId="5" fillId="7" fontId="1" numFmtId="0" xfId="0" applyBorder="1" applyFont="1"/>
    <xf borderId="12" fillId="7" fontId="1" numFmtId="3" xfId="0" applyBorder="1" applyFont="1" applyNumberFormat="1"/>
    <xf borderId="12" fillId="7" fontId="1" numFmtId="4" xfId="0" applyAlignment="1" applyBorder="1" applyFont="1" applyNumberFormat="1">
      <alignment readingOrder="0"/>
    </xf>
    <xf borderId="13" fillId="3" fontId="3" numFmtId="0" xfId="0" applyAlignment="1" applyBorder="1" applyFont="1">
      <alignment readingOrder="0"/>
    </xf>
    <xf borderId="14" fillId="0" fontId="1" numFmtId="0" xfId="0" applyAlignment="1" applyBorder="1" applyFont="1">
      <alignment readingOrder="0"/>
    </xf>
    <xf borderId="13" fillId="0" fontId="4" numFmtId="0" xfId="0" applyAlignment="1" applyBorder="1" applyFont="1">
      <alignment readingOrder="0"/>
    </xf>
    <xf borderId="14" fillId="5" fontId="4" numFmtId="0" xfId="0" applyAlignment="1" applyBorder="1" applyFont="1">
      <alignment readingOrder="0"/>
    </xf>
    <xf borderId="13" fillId="4" fontId="4" numFmtId="0" xfId="0" applyAlignment="1" applyBorder="1" applyFont="1">
      <alignment readingOrder="0"/>
    </xf>
    <xf borderId="14" fillId="7" fontId="4" numFmtId="4" xfId="0" applyBorder="1" applyFont="1" applyNumberFormat="1"/>
    <xf borderId="13" fillId="0" fontId="4" numFmtId="0" xfId="0" applyBorder="1" applyFont="1"/>
    <xf borderId="15" fillId="4" fontId="4" numFmtId="0" xfId="0" applyAlignment="1" applyBorder="1" applyFont="1">
      <alignment readingOrder="0"/>
    </xf>
    <xf borderId="16" fillId="7" fontId="4" numFmtId="4" xfId="0" applyBorder="1" applyFont="1" applyNumberFormat="1"/>
    <xf borderId="9" fillId="0" fontId="1" numFmtId="0" xfId="0" applyAlignment="1" applyBorder="1" applyFont="1">
      <alignment readingOrder="0"/>
    </xf>
    <xf borderId="10" fillId="7" fontId="1" numFmtId="0" xfId="0" applyBorder="1" applyFont="1"/>
    <xf borderId="11" fillId="7" fontId="1" numFmtId="0" xfId="0" applyBorder="1" applyFont="1"/>
    <xf borderId="13" fillId="0" fontId="1" numFmtId="0" xfId="0" applyAlignment="1" applyBorder="1" applyFont="1">
      <alignment readingOrder="0"/>
    </xf>
    <xf borderId="14" fillId="5" fontId="1" numFmtId="0" xfId="0" applyAlignment="1" applyBorder="1" applyFont="1">
      <alignment readingOrder="0"/>
    </xf>
    <xf borderId="16" fillId="8" fontId="4" numFmtId="4" xfId="0" applyBorder="1" applyFill="1" applyFont="1" applyNumberFormat="1"/>
    <xf borderId="4" fillId="0" fontId="4" numFmtId="0" xfId="0" applyAlignment="1" applyBorder="1" applyFont="1">
      <alignment readingOrder="0"/>
    </xf>
    <xf borderId="17" fillId="4" fontId="4" numFmtId="0" xfId="0" applyAlignment="1" applyBorder="1" applyFont="1">
      <alignment readingOrder="0"/>
    </xf>
    <xf borderId="18" fillId="8" fontId="1" numFmtId="4" xfId="0" applyBorder="1" applyFont="1" applyNumberFormat="1"/>
    <xf borderId="7" fillId="7" fontId="4" numFmtId="0" xfId="0" applyBorder="1" applyFont="1"/>
    <xf borderId="8" fillId="7" fontId="4" numFmtId="0" xfId="0" applyBorder="1" applyFont="1"/>
    <xf borderId="19" fillId="0" fontId="1" numFmtId="0" xfId="0" applyAlignment="1" applyBorder="1" applyFont="1">
      <alignment readingOrder="0"/>
    </xf>
    <xf borderId="20" fillId="8" fontId="1" numFmtId="4" xfId="0" applyBorder="1" applyFont="1" applyNumberFormat="1"/>
    <xf borderId="6" fillId="9" fontId="4" numFmtId="0" xfId="0" applyBorder="1" applyFill="1" applyFont="1"/>
    <xf borderId="7" fillId="9" fontId="4" numFmtId="3" xfId="0" applyBorder="1" applyFont="1" applyNumberFormat="1"/>
    <xf borderId="8" fillId="9" fontId="4" numFmtId="3" xfId="0" applyBorder="1" applyFont="1" applyNumberFormat="1"/>
    <xf borderId="6" fillId="10" fontId="4" numFmtId="0" xfId="0" applyBorder="1" applyFill="1" applyFont="1"/>
    <xf borderId="7" fillId="10" fontId="4" numFmtId="3" xfId="0" applyBorder="1" applyFont="1" applyNumberFormat="1"/>
    <xf borderId="8" fillId="10" fontId="4" numFmtId="3" xfId="0" applyBorder="1" applyFont="1" applyNumberFormat="1"/>
    <xf borderId="9" fillId="11" fontId="4" numFmtId="0" xfId="0" applyBorder="1" applyFill="1" applyFont="1"/>
    <xf borderId="10" fillId="11" fontId="4" numFmtId="3" xfId="0" applyBorder="1" applyFont="1" applyNumberFormat="1"/>
    <xf borderId="11" fillId="11" fontId="4" numFmtId="3" xfId="0" applyBorder="1" applyFont="1" applyNumberFormat="1"/>
    <xf borderId="14" fillId="7" fontId="4" numFmtId="0" xfId="0" applyAlignment="1" applyBorder="1" applyFont="1">
      <alignment readingOrder="0"/>
    </xf>
    <xf borderId="13" fillId="4" fontId="4" numFmtId="0" xfId="0" applyBorder="1" applyFont="1"/>
    <xf borderId="15" fillId="3" fontId="3" numFmtId="0" xfId="0" applyAlignment="1" applyBorder="1" applyFont="1">
      <alignment readingOrder="0"/>
    </xf>
    <xf borderId="15" fillId="0" fontId="4" numFmtId="0" xfId="0" applyBorder="1" applyFont="1"/>
    <xf borderId="1" fillId="0" fontId="4" numFmtId="0" xfId="0" applyBorder="1" applyFont="1"/>
    <xf borderId="17" fillId="0" fontId="1" numFmtId="0" xfId="0" applyAlignment="1" applyBorder="1" applyFont="1">
      <alignment readingOrder="0"/>
    </xf>
    <xf borderId="17" fillId="5" fontId="4" numFmtId="0" xfId="0" applyAlignment="1" applyBorder="1" applyFont="1">
      <alignment readingOrder="0"/>
    </xf>
    <xf borderId="21" fillId="5" fontId="4" numFmtId="0" xfId="0" applyAlignment="1" applyBorder="1" applyFont="1">
      <alignment readingOrder="0"/>
    </xf>
    <xf borderId="13" fillId="4" fontId="1" numFmtId="0" xfId="0" applyAlignment="1" applyBorder="1" applyFont="1">
      <alignment readingOrder="0"/>
    </xf>
    <xf borderId="0" fillId="2" fontId="4" numFmtId="0" xfId="0" applyAlignment="1" applyFont="1">
      <alignment readingOrder="0"/>
    </xf>
    <xf borderId="22" fillId="0" fontId="1" numFmtId="0" xfId="0" applyAlignment="1" applyBorder="1" applyFont="1">
      <alignment readingOrder="0"/>
    </xf>
    <xf borderId="15" fillId="0" fontId="4" numFmtId="0" xfId="0" applyAlignment="1" applyBorder="1" applyFont="1">
      <alignment readingOrder="0"/>
    </xf>
    <xf borderId="14" fillId="7" fontId="1" numFmtId="4" xfId="0" applyAlignment="1" applyBorder="1" applyFont="1" applyNumberFormat="1">
      <alignment readingOrder="0"/>
    </xf>
    <xf borderId="23" fillId="7" fontId="4" numFmtId="4" xfId="0" applyBorder="1" applyFont="1" applyNumberFormat="1"/>
    <xf borderId="19" fillId="7" fontId="4" numFmtId="4" xfId="0" applyBorder="1" applyFont="1" applyNumberFormat="1"/>
    <xf borderId="5" fillId="7" fontId="4" numFmtId="4" xfId="0" applyBorder="1" applyFont="1" applyNumberFormat="1"/>
    <xf borderId="13" fillId="12" fontId="1" numFmtId="0" xfId="0" applyAlignment="1" applyBorder="1" applyFill="1" applyFont="1">
      <alignment readingOrder="0"/>
    </xf>
    <xf borderId="14" fillId="7" fontId="1" numFmtId="4" xfId="0" applyBorder="1" applyFont="1" applyNumberFormat="1"/>
    <xf borderId="13" fillId="3" fontId="5" numFmtId="0" xfId="0" applyAlignment="1" applyBorder="1" applyFont="1">
      <alignment readingOrder="0"/>
    </xf>
    <xf borderId="14" fillId="12" fontId="1" numFmtId="0" xfId="0" applyAlignment="1" applyBorder="1" applyFont="1">
      <alignment readingOrder="0"/>
    </xf>
    <xf borderId="14" fillId="7" fontId="4" numFmtId="4" xfId="0" applyAlignment="1" applyBorder="1" applyFont="1" applyNumberFormat="1">
      <alignment readingOrder="0"/>
    </xf>
    <xf borderId="14" fillId="8" fontId="4" numFmtId="4" xfId="0" applyBorder="1" applyFont="1" applyNumberFormat="1"/>
    <xf borderId="0" fillId="12" fontId="1" numFmtId="0" xfId="0" applyFont="1"/>
    <xf borderId="14" fillId="8" fontId="1" numFmtId="0" xfId="0" applyAlignment="1" applyBorder="1" applyFont="1">
      <alignment readingOrder="0"/>
    </xf>
    <xf borderId="14" fillId="8" fontId="1" numFmtId="0" xfId="0" applyBorder="1" applyFont="1"/>
    <xf borderId="14" fillId="12" fontId="4" numFmtId="0" xfId="0" applyAlignment="1" applyBorder="1" applyFont="1">
      <alignment readingOrder="0"/>
    </xf>
    <xf borderId="13" fillId="12" fontId="4" numFmtId="0" xfId="0" applyAlignment="1" applyBorder="1" applyFont="1">
      <alignment readingOrder="0"/>
    </xf>
    <xf borderId="14" fillId="6" fontId="4" numFmtId="3" xfId="0" applyAlignment="1" applyBorder="1" applyFont="1" applyNumberFormat="1">
      <alignment readingOrder="0"/>
    </xf>
    <xf borderId="13" fillId="12" fontId="4" numFmtId="4" xfId="0" applyAlignment="1" applyBorder="1" applyFont="1" applyNumberFormat="1">
      <alignment readingOrder="0"/>
    </xf>
    <xf borderId="14" fillId="5" fontId="4" numFmtId="3" xfId="0" applyAlignment="1" applyBorder="1" applyFont="1" applyNumberFormat="1">
      <alignment readingOrder="0"/>
    </xf>
    <xf borderId="24" fillId="3" fontId="3" numFmtId="0" xfId="0" applyAlignment="1" applyBorder="1" applyFont="1">
      <alignment readingOrder="0"/>
    </xf>
    <xf borderId="25" fillId="12" fontId="1" numFmtId="0" xfId="0" applyAlignment="1" applyBorder="1" applyFont="1">
      <alignment readingOrder="0"/>
    </xf>
    <xf borderId="26" fillId="0" fontId="4" numFmtId="0" xfId="0" applyAlignment="1" applyBorder="1" applyFont="1">
      <alignment readingOrder="0"/>
    </xf>
    <xf borderId="27" fillId="11" fontId="4" numFmtId="3" xfId="0" applyBorder="1" applyFont="1" applyNumberFormat="1"/>
    <xf borderId="28" fillId="0" fontId="4" numFmtId="0" xfId="0" applyAlignment="1" applyBorder="1" applyFont="1">
      <alignment readingOrder="0"/>
    </xf>
    <xf borderId="29" fillId="9" fontId="4" numFmtId="3" xfId="0" applyBorder="1" applyFont="1" applyNumberFormat="1"/>
    <xf borderId="15" fillId="3" fontId="5" numFmtId="0" xfId="0" applyBorder="1" applyFont="1"/>
    <xf borderId="16" fillId="0" fontId="1" numFmtId="0" xfId="0" applyAlignment="1" applyBorder="1" applyFont="1">
      <alignment readingOrder="0"/>
    </xf>
    <xf borderId="13" fillId="3" fontId="5" numFmtId="0" xfId="0" applyBorder="1" applyFont="1"/>
    <xf borderId="14" fillId="12" fontId="7" numFmtId="0" xfId="0" applyAlignment="1" applyBorder="1" applyFont="1">
      <alignment horizontal="left" readingOrder="0"/>
    </xf>
    <xf borderId="16" fillId="12" fontId="7" numFmtId="0" xfId="0" applyAlignment="1" applyBorder="1" applyFont="1">
      <alignment horizontal="left" readingOrder="0"/>
    </xf>
    <xf borderId="17" fillId="0" fontId="4" numFmtId="0" xfId="0" applyBorder="1" applyFont="1"/>
    <xf borderId="18" fillId="7" fontId="8" numFmtId="4" xfId="0" applyBorder="1" applyFont="1" applyNumberFormat="1"/>
    <xf borderId="19" fillId="0" fontId="4" numFmtId="0" xfId="0" applyBorder="1" applyFont="1"/>
    <xf borderId="20" fillId="7" fontId="4" numFmtId="4" xfId="0" applyBorder="1" applyFont="1" applyNumberFormat="1"/>
    <xf borderId="18" fillId="7" fontId="4" numFmtId="4" xfId="0" applyBorder="1" applyFont="1" applyNumberFormat="1"/>
    <xf borderId="20" fillId="7" fontId="8" numFmtId="4" xfId="0" applyBorder="1" applyFont="1" applyNumberFormat="1"/>
    <xf borderId="16" fillId="7" fontId="8" numFmtId="4" xfId="0" applyBorder="1" applyFont="1" applyNumberFormat="1"/>
    <xf borderId="20" fillId="7" fontId="1" numFmtId="4" xfId="0" applyBorder="1" applyFont="1" applyNumberFormat="1"/>
    <xf borderId="13" fillId="3" fontId="5" numFmtId="4" xfId="0" applyBorder="1" applyFont="1" applyNumberFormat="1"/>
    <xf borderId="19" fillId="0" fontId="4" numFmtId="4" xfId="0" applyBorder="1" applyFont="1" applyNumberFormat="1"/>
    <xf borderId="17" fillId="0" fontId="4" numFmtId="0" xfId="0" applyAlignment="1" applyBorder="1" applyFont="1">
      <alignment readingOrder="0"/>
    </xf>
    <xf borderId="14" fillId="7" fontId="8" numFmtId="4" xfId="0" applyBorder="1" applyFont="1" applyNumberFormat="1"/>
    <xf borderId="13" fillId="0" fontId="4" numFmtId="4" xfId="0" applyBorder="1" applyFont="1" applyNumberFormat="1"/>
    <xf borderId="18" fillId="7" fontId="1" numFmtId="4" xfId="0" applyBorder="1" applyFont="1" applyNumberFormat="1"/>
    <xf borderId="15" fillId="0" fontId="1" numFmtId="0" xfId="0" applyAlignment="1" applyBorder="1" applyFont="1">
      <alignment readingOrder="0"/>
    </xf>
    <xf borderId="16" fillId="5" fontId="1" numFmtId="0" xfId="0" applyAlignment="1" applyBorder="1" applyFont="1">
      <alignment readingOrder="0"/>
    </xf>
    <xf borderId="18" fillId="7" fontId="1" numFmtId="4" xfId="0" applyAlignment="1" applyBorder="1" applyFont="1" applyNumberFormat="1">
      <alignment readingOrder="0"/>
    </xf>
    <xf borderId="18" fillId="7" fontId="1" numFmtId="0" xfId="0" applyBorder="1" applyFont="1"/>
    <xf borderId="20" fillId="7" fontId="1" numFmtId="0" xfId="0" applyBorder="1" applyFont="1"/>
    <xf borderId="16" fillId="7" fontId="1" numFmtId="4" xfId="0" applyBorder="1" applyFont="1" applyNumberFormat="1"/>
    <xf borderId="15" fillId="3" fontId="5" numFmtId="4" xfId="0" applyBorder="1" applyFont="1" applyNumberFormat="1"/>
    <xf borderId="0" fillId="0" fontId="9" numFmtId="0" xfId="0" applyAlignment="1" applyFont="1">
      <alignment readingOrder="0"/>
    </xf>
    <xf borderId="12" fillId="3" fontId="1" numFmtId="0" xfId="0" applyAlignment="1" applyBorder="1" applyFont="1">
      <alignment readingOrder="0"/>
    </xf>
    <xf borderId="30" fillId="5" fontId="1" numFmtId="0" xfId="0" applyAlignment="1" applyBorder="1" applyFont="1">
      <alignment readingOrder="0"/>
    </xf>
    <xf borderId="30" fillId="0" fontId="1" numFmtId="0" xfId="0" applyAlignment="1" applyBorder="1" applyFont="1">
      <alignment readingOrder="0"/>
    </xf>
    <xf borderId="14" fillId="7" fontId="1" numFmtId="0" xfId="0" applyBorder="1" applyFont="1"/>
    <xf borderId="1" fillId="7" fontId="1" numFmtId="0" xfId="0" applyAlignment="1" applyBorder="1" applyFont="1">
      <alignment readingOrder="0"/>
    </xf>
    <xf borderId="15" fillId="7" fontId="1" numFmtId="0" xfId="0" applyAlignment="1" applyBorder="1" applyFont="1">
      <alignment readingOrder="0"/>
    </xf>
    <xf borderId="14" fillId="11" fontId="1" numFmtId="0" xfId="0" applyBorder="1" applyFont="1"/>
    <xf borderId="14" fillId="11" fontId="10" numFmtId="0" xfId="0" applyBorder="1" applyFont="1"/>
    <xf borderId="21" fillId="0" fontId="1" numFmtId="0" xfId="0" applyAlignment="1" applyBorder="1" applyFont="1">
      <alignment readingOrder="0"/>
    </xf>
    <xf borderId="17" fillId="0" fontId="1" numFmtId="0" xfId="0" applyBorder="1" applyFont="1"/>
    <xf borderId="21" fillId="0" fontId="1" numFmtId="0" xfId="0" applyBorder="1" applyFont="1"/>
    <xf borderId="16" fillId="13" fontId="1" numFmtId="3" xfId="0" applyBorder="1" applyFill="1" applyFont="1" applyNumberFormat="1"/>
    <xf borderId="5" fillId="0" fontId="1" numFmtId="0" xfId="0" applyBorder="1" applyFont="1"/>
    <xf borderId="19" fillId="0" fontId="1" numFmtId="0" xfId="0" applyBorder="1" applyFont="1"/>
    <xf borderId="22" fillId="7" fontId="1" numFmtId="3" xfId="0" applyBorder="1" applyFont="1" applyNumberFormat="1"/>
    <xf borderId="16" fillId="7" fontId="1" numFmtId="3" xfId="0" applyBorder="1" applyFont="1" applyNumberFormat="1"/>
    <xf borderId="0" fillId="7" fontId="1" numFmtId="3" xfId="0" applyFont="1" applyNumberFormat="1"/>
    <xf borderId="0" fillId="0" fontId="1" numFmtId="0" xfId="0" applyAlignment="1" applyFont="1">
      <alignment readingOrder="0"/>
    </xf>
    <xf borderId="18" fillId="7" fontId="1" numFmtId="3" xfId="0" applyBorder="1" applyFont="1" applyNumberFormat="1"/>
    <xf borderId="23" fillId="7" fontId="1" numFmtId="3" xfId="0" applyBorder="1" applyFont="1" applyNumberFormat="1"/>
    <xf borderId="23" fillId="0" fontId="1" numFmtId="0" xfId="0" applyAlignment="1" applyBorder="1" applyFont="1">
      <alignment readingOrder="0"/>
    </xf>
    <xf borderId="20" fillId="7" fontId="1" numFmtId="3" xfId="0" applyBorder="1" applyFont="1" applyNumberFormat="1"/>
    <xf borderId="2" fillId="3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8" fillId="0" fontId="1" numFmtId="0" xfId="0" applyAlignment="1" applyBorder="1" applyFont="1">
      <alignment readingOrder="0"/>
    </xf>
    <xf borderId="10" fillId="0" fontId="1" numFmtId="0" xfId="0" applyAlignment="1" applyBorder="1" applyFont="1">
      <alignment readingOrder="0"/>
    </xf>
    <xf borderId="11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38"/>
    <col customWidth="1" min="2" max="17" width="12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5.7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G2" s="6" t="s">
        <v>5</v>
      </c>
      <c r="H2" s="7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9" t="s">
        <v>12</v>
      </c>
      <c r="O2" s="10" t="s">
        <v>13</v>
      </c>
      <c r="P2" s="1"/>
    </row>
    <row r="3" ht="15.75" customHeight="1">
      <c r="A3" s="11" t="s">
        <v>14</v>
      </c>
      <c r="B3" s="12" t="s">
        <v>15</v>
      </c>
      <c r="C3" s="13">
        <v>47717.0</v>
      </c>
      <c r="D3" s="14">
        <v>173729.0</v>
      </c>
      <c r="E3" s="15">
        <f>ROUNDDOWN(((SQRT((C3*D3)/6))/100)*(100+O29),0)</f>
        <v>43117</v>
      </c>
      <c r="G3" s="16" t="s">
        <v>16</v>
      </c>
      <c r="H3" s="17">
        <v>20.0</v>
      </c>
      <c r="I3" s="18">
        <v>0.0</v>
      </c>
      <c r="J3" s="19">
        <v>0.0</v>
      </c>
      <c r="K3" s="19">
        <v>0.0</v>
      </c>
      <c r="L3" s="20">
        <v>0.0</v>
      </c>
      <c r="M3" s="19">
        <v>0.0</v>
      </c>
      <c r="N3" s="21">
        <v>0.0</v>
      </c>
      <c r="O3" s="22">
        <v>0.0</v>
      </c>
      <c r="P3" s="1"/>
    </row>
    <row r="4" ht="15.75" customHeight="1">
      <c r="A4" s="11" t="s">
        <v>17</v>
      </c>
      <c r="G4" s="16" t="s">
        <v>18</v>
      </c>
      <c r="H4" s="23">
        <v>0.0</v>
      </c>
      <c r="I4" s="18">
        <v>0.0</v>
      </c>
      <c r="J4" s="19">
        <v>0.0</v>
      </c>
      <c r="K4" s="19">
        <v>0.0</v>
      </c>
      <c r="L4" s="20">
        <v>50.0</v>
      </c>
      <c r="M4" s="19">
        <v>0.0</v>
      </c>
      <c r="N4" s="21">
        <v>0.0</v>
      </c>
      <c r="O4" s="22">
        <v>0.0</v>
      </c>
      <c r="P4" s="24"/>
    </row>
    <row r="5" ht="15.75" customHeight="1">
      <c r="A5" s="11" t="s">
        <v>19</v>
      </c>
      <c r="B5" s="25" t="s">
        <v>20</v>
      </c>
      <c r="C5" s="5" t="s">
        <v>21</v>
      </c>
      <c r="D5" s="5" t="s">
        <v>22</v>
      </c>
      <c r="E5" s="4" t="s">
        <v>23</v>
      </c>
      <c r="G5" s="16" t="s">
        <v>24</v>
      </c>
      <c r="H5" s="23">
        <v>0.0</v>
      </c>
      <c r="I5" s="18">
        <v>16.0</v>
      </c>
      <c r="J5" s="19">
        <v>0.0</v>
      </c>
      <c r="K5" s="19">
        <v>0.0</v>
      </c>
      <c r="L5" s="20">
        <v>0.0</v>
      </c>
      <c r="M5" s="19">
        <v>0.0</v>
      </c>
      <c r="N5" s="21">
        <v>0.0</v>
      </c>
      <c r="O5" s="22">
        <v>0.0</v>
      </c>
      <c r="P5" s="24"/>
    </row>
    <row r="6" ht="15.75" customHeight="1">
      <c r="A6" s="1"/>
      <c r="B6" s="26" t="s">
        <v>15</v>
      </c>
      <c r="C6" s="27">
        <v>48.0</v>
      </c>
      <c r="D6" s="27">
        <v>53.0</v>
      </c>
      <c r="E6" s="27">
        <v>50.0</v>
      </c>
      <c r="G6" s="16" t="s">
        <v>25</v>
      </c>
      <c r="H6" s="23">
        <v>0.0</v>
      </c>
      <c r="I6" s="18">
        <v>0.0</v>
      </c>
      <c r="J6" s="19">
        <v>0.0</v>
      </c>
      <c r="K6" s="19">
        <v>0.0</v>
      </c>
      <c r="L6" s="20">
        <v>0.0</v>
      </c>
      <c r="M6" s="19">
        <v>16.0</v>
      </c>
      <c r="N6" s="21">
        <v>16.0</v>
      </c>
      <c r="O6" s="22">
        <v>0.0</v>
      </c>
      <c r="P6" s="24"/>
    </row>
    <row r="7" ht="15.75" customHeight="1">
      <c r="A7" s="1"/>
      <c r="B7" s="28" t="s">
        <v>26</v>
      </c>
      <c r="C7" s="29" t="s">
        <v>21</v>
      </c>
      <c r="D7" s="29" t="s">
        <v>22</v>
      </c>
      <c r="E7" s="30" t="s">
        <v>23</v>
      </c>
      <c r="G7" s="16" t="s">
        <v>27</v>
      </c>
      <c r="H7" s="23">
        <v>0.0</v>
      </c>
      <c r="I7" s="18">
        <v>0.0</v>
      </c>
      <c r="J7" s="19">
        <v>25.0</v>
      </c>
      <c r="K7" s="19">
        <v>0.0</v>
      </c>
      <c r="L7" s="20">
        <v>0.0</v>
      </c>
      <c r="M7" s="19">
        <v>0.0</v>
      </c>
      <c r="N7" s="21">
        <v>0.0</v>
      </c>
      <c r="O7" s="22">
        <v>0.0</v>
      </c>
      <c r="P7" s="31"/>
    </row>
    <row r="8" ht="15.75" customHeight="1">
      <c r="A8" s="1"/>
      <c r="B8" s="32" t="s">
        <v>28</v>
      </c>
      <c r="C8" s="33">
        <v>491.0</v>
      </c>
      <c r="D8" s="33">
        <v>499.0</v>
      </c>
      <c r="E8" s="34">
        <v>0.0</v>
      </c>
      <c r="G8" s="35" t="s">
        <v>29</v>
      </c>
      <c r="H8" s="36">
        <v>0.0</v>
      </c>
      <c r="I8" s="37">
        <v>0.0</v>
      </c>
      <c r="J8" s="38">
        <v>0.0</v>
      </c>
      <c r="K8" s="38">
        <v>20.0</v>
      </c>
      <c r="L8" s="39">
        <v>0.0</v>
      </c>
      <c r="M8" s="38">
        <v>0.0</v>
      </c>
      <c r="N8" s="40">
        <v>0.0</v>
      </c>
      <c r="O8" s="41">
        <v>0.0</v>
      </c>
      <c r="P8" s="31"/>
    </row>
    <row r="9" ht="15.75" customHeight="1">
      <c r="A9" s="1"/>
      <c r="B9" s="32" t="s">
        <v>30</v>
      </c>
      <c r="C9" s="33">
        <v>0.0</v>
      </c>
      <c r="D9" s="33">
        <v>299.0</v>
      </c>
      <c r="E9" s="34">
        <v>0.0</v>
      </c>
      <c r="G9" s="42"/>
      <c r="H9" s="43">
        <f>(((((((((((1*(100+H3))/100)*(100+H4))/100)*(100+H5))/100)*(100+H6))/100)*(100+H7))/100)*(100+H8))-100</f>
        <v>20</v>
      </c>
      <c r="I9" s="43">
        <f t="shared" ref="I9:N9" si="1">I3+I4+I5+I6+I7+I8</f>
        <v>16</v>
      </c>
      <c r="J9" s="44">
        <f t="shared" si="1"/>
        <v>25</v>
      </c>
      <c r="K9" s="45">
        <f t="shared" si="1"/>
        <v>20</v>
      </c>
      <c r="L9" s="46">
        <f t="shared" si="1"/>
        <v>50</v>
      </c>
      <c r="M9" s="47">
        <f t="shared" si="1"/>
        <v>16</v>
      </c>
      <c r="N9" s="47">
        <f t="shared" si="1"/>
        <v>16</v>
      </c>
      <c r="O9" s="48">
        <f>100-((((((100*(1-O3/100))*(1-O4/100))*(1-O5/100))*(1-O6/100))*(1-O7/100))*(1-O8/100))</f>
        <v>0</v>
      </c>
      <c r="P9" s="1"/>
    </row>
    <row r="10" ht="15.75" customHeight="1">
      <c r="A10" s="1"/>
      <c r="B10" s="32" t="s">
        <v>31</v>
      </c>
      <c r="C10" s="33">
        <v>0.0</v>
      </c>
      <c r="D10" s="33">
        <v>298.0</v>
      </c>
      <c r="E10" s="34">
        <v>0.0</v>
      </c>
      <c r="P10" s="31"/>
    </row>
    <row r="11" ht="16.5" customHeight="1">
      <c r="A11" s="1"/>
      <c r="B11" s="32" t="s">
        <v>32</v>
      </c>
      <c r="C11" s="33">
        <v>196.0</v>
      </c>
      <c r="D11" s="33">
        <v>0.0</v>
      </c>
      <c r="E11" s="34">
        <v>0.0</v>
      </c>
      <c r="H11" s="49" t="s">
        <v>33</v>
      </c>
      <c r="I11" s="50" t="s">
        <v>15</v>
      </c>
      <c r="K11" s="49" t="s">
        <v>34</v>
      </c>
      <c r="L11" s="50" t="s">
        <v>15</v>
      </c>
      <c r="N11" s="49" t="s">
        <v>35</v>
      </c>
      <c r="O11" s="50" t="s">
        <v>15</v>
      </c>
      <c r="P11" s="1"/>
    </row>
    <row r="12" ht="15.75" customHeight="1">
      <c r="A12" s="1"/>
      <c r="B12" s="32" t="s">
        <v>36</v>
      </c>
      <c r="C12" s="33">
        <v>0.0</v>
      </c>
      <c r="D12" s="33">
        <v>188.0</v>
      </c>
      <c r="E12" s="34">
        <v>0.0</v>
      </c>
      <c r="H12" s="51" t="s">
        <v>37</v>
      </c>
      <c r="I12" s="52">
        <v>24.0</v>
      </c>
      <c r="K12" s="51" t="s">
        <v>38</v>
      </c>
      <c r="L12" s="52">
        <v>10.0</v>
      </c>
      <c r="N12" s="53" t="s">
        <v>39</v>
      </c>
      <c r="O12" s="54">
        <f>M9+I18+F24+L24+I28+L33</f>
        <v>26.85895894</v>
      </c>
      <c r="P12" s="1"/>
    </row>
    <row r="13" ht="15.75" customHeight="1">
      <c r="A13" s="1"/>
      <c r="B13" s="32" t="s">
        <v>40</v>
      </c>
      <c r="C13" s="33">
        <v>0.0</v>
      </c>
      <c r="D13" s="33">
        <v>118.0</v>
      </c>
      <c r="E13" s="34">
        <v>0.0</v>
      </c>
      <c r="H13" s="51" t="s">
        <v>41</v>
      </c>
      <c r="I13" s="52">
        <v>0.0</v>
      </c>
      <c r="K13" s="55" t="s">
        <v>42</v>
      </c>
      <c r="L13" s="52">
        <v>10.0</v>
      </c>
      <c r="N13" s="56" t="s">
        <v>43</v>
      </c>
      <c r="O13" s="57">
        <f>N9+I19+L24+F24+I29+L34</f>
        <v>26.85895894</v>
      </c>
      <c r="P13" s="1"/>
    </row>
    <row r="14" ht="15.75" customHeight="1">
      <c r="A14" s="1"/>
      <c r="B14" s="58" t="s">
        <v>44</v>
      </c>
      <c r="C14" s="59">
        <f t="shared" ref="C14:E14" si="2">C8+C9+C10+C11+C12+C13</f>
        <v>687</v>
      </c>
      <c r="D14" s="59">
        <f t="shared" si="2"/>
        <v>1402</v>
      </c>
      <c r="E14" s="60">
        <f t="shared" si="2"/>
        <v>0</v>
      </c>
      <c r="H14" s="61" t="s">
        <v>45</v>
      </c>
      <c r="I14" s="62">
        <v>0.0</v>
      </c>
      <c r="N14" s="56" t="s">
        <v>46</v>
      </c>
      <c r="O14" s="63">
        <f>O13/10</f>
        <v>2.685895894</v>
      </c>
      <c r="P14" s="1"/>
    </row>
    <row r="15" ht="15.75" customHeight="1">
      <c r="A15" s="1"/>
      <c r="B15" s="6" t="s">
        <v>47</v>
      </c>
      <c r="C15" s="7" t="s">
        <v>21</v>
      </c>
      <c r="D15" s="7" t="s">
        <v>22</v>
      </c>
      <c r="E15" s="64" t="s">
        <v>23</v>
      </c>
      <c r="H15" s="61" t="s">
        <v>48</v>
      </c>
      <c r="I15" s="62">
        <v>0.0</v>
      </c>
      <c r="K15" s="49" t="s">
        <v>49</v>
      </c>
      <c r="L15" s="50" t="s">
        <v>15</v>
      </c>
      <c r="N15" s="65" t="s">
        <v>50</v>
      </c>
      <c r="O15" s="66">
        <f>(O13/100)*22</f>
        <v>5.908970967</v>
      </c>
      <c r="P15" s="1"/>
    </row>
    <row r="16" ht="15.75" customHeight="1">
      <c r="A16" s="1"/>
      <c r="B16" s="32" t="s">
        <v>51</v>
      </c>
      <c r="C16" s="67">
        <f t="shared" ref="C16:E16" si="3">C6+C8+C9+C10+C11+C12+C13</f>
        <v>735</v>
      </c>
      <c r="D16" s="67">
        <f t="shared" si="3"/>
        <v>1455</v>
      </c>
      <c r="E16" s="68">
        <f t="shared" si="3"/>
        <v>50</v>
      </c>
      <c r="H16" s="51" t="s">
        <v>52</v>
      </c>
      <c r="I16" s="52">
        <v>20.0</v>
      </c>
      <c r="K16" s="55" t="s">
        <v>53</v>
      </c>
      <c r="L16" s="52">
        <v>0.0</v>
      </c>
      <c r="N16" s="69" t="s">
        <v>54</v>
      </c>
      <c r="O16" s="70">
        <f>(O13/100)*45</f>
        <v>12.08653152</v>
      </c>
      <c r="P16" s="1"/>
    </row>
    <row r="17" ht="15.75" customHeight="1">
      <c r="A17" s="1"/>
      <c r="B17" s="71" t="s">
        <v>55</v>
      </c>
      <c r="C17" s="72">
        <f>ROUNDDOWN(C16+(C16/10),0)</f>
        <v>808</v>
      </c>
      <c r="D17" s="72">
        <f t="shared" ref="D17:E17" si="4">D16</f>
        <v>1455</v>
      </c>
      <c r="E17" s="73">
        <f t="shared" si="4"/>
        <v>50</v>
      </c>
      <c r="H17" s="61" t="s">
        <v>56</v>
      </c>
      <c r="I17" s="62">
        <v>60.0</v>
      </c>
      <c r="K17" s="55" t="s">
        <v>57</v>
      </c>
      <c r="L17" s="52">
        <v>0.0</v>
      </c>
      <c r="P17" s="1"/>
    </row>
    <row r="18" ht="15.75" customHeight="1">
      <c r="A18" s="31"/>
      <c r="B18" s="74" t="s">
        <v>58</v>
      </c>
      <c r="C18" s="75">
        <f>C16</f>
        <v>735</v>
      </c>
      <c r="D18" s="75">
        <f>ROUNDDOWN(D16+(D16/10),0)</f>
        <v>1600</v>
      </c>
      <c r="E18" s="76">
        <f>E16</f>
        <v>50</v>
      </c>
      <c r="F18" s="42"/>
      <c r="H18" s="61" t="s">
        <v>59</v>
      </c>
      <c r="I18" s="62">
        <v>0.0</v>
      </c>
      <c r="K18" s="55" t="s">
        <v>60</v>
      </c>
      <c r="L18" s="52">
        <v>6.0</v>
      </c>
      <c r="N18" s="49" t="s">
        <v>61</v>
      </c>
      <c r="O18" s="50" t="s">
        <v>15</v>
      </c>
      <c r="P18" s="1"/>
    </row>
    <row r="19" ht="15.75" customHeight="1">
      <c r="A19" s="1"/>
      <c r="B19" s="77" t="s">
        <v>62</v>
      </c>
      <c r="C19" s="78">
        <f t="shared" ref="C19:D19" si="5">C16</f>
        <v>735</v>
      </c>
      <c r="D19" s="78">
        <f t="shared" si="5"/>
        <v>1455</v>
      </c>
      <c r="E19" s="79">
        <f>ROUNDDOWN(E16+(E16/10),0)</f>
        <v>55</v>
      </c>
      <c r="H19" s="61" t="s">
        <v>63</v>
      </c>
      <c r="I19" s="62">
        <v>0.0</v>
      </c>
      <c r="K19" s="55" t="s">
        <v>64</v>
      </c>
      <c r="L19" s="52">
        <v>18.0</v>
      </c>
      <c r="N19" s="61" t="s">
        <v>65</v>
      </c>
      <c r="O19" s="80">
        <f>200+L9+I17+I27+L32</f>
        <v>310</v>
      </c>
      <c r="P19" s="1"/>
    </row>
    <row r="20" ht="15.75" customHeight="1">
      <c r="A20" s="1"/>
      <c r="N20" s="81" t="s">
        <v>66</v>
      </c>
      <c r="O20" s="54">
        <f>C24+I26+L12+I16+L13+K9+L23+L31</f>
        <v>86.30637079</v>
      </c>
      <c r="P20" s="1"/>
    </row>
    <row r="21" ht="15.75" customHeight="1">
      <c r="A21" s="1"/>
      <c r="B21" s="82" t="s">
        <v>67</v>
      </c>
      <c r="C21" s="83" t="s">
        <v>68</v>
      </c>
      <c r="D21" s="83" t="s">
        <v>69</v>
      </c>
      <c r="E21" s="84" t="s">
        <v>70</v>
      </c>
      <c r="H21" s="49" t="s">
        <v>71</v>
      </c>
      <c r="I21" s="50" t="s">
        <v>15</v>
      </c>
      <c r="K21" s="49" t="s">
        <v>72</v>
      </c>
      <c r="L21" s="50" t="s">
        <v>15</v>
      </c>
      <c r="P21" s="1"/>
    </row>
    <row r="22" ht="15.75" customHeight="1">
      <c r="A22" s="1"/>
      <c r="B22" s="85" t="s">
        <v>15</v>
      </c>
      <c r="C22" s="86">
        <v>735.0</v>
      </c>
      <c r="D22" s="86">
        <v>1600.0</v>
      </c>
      <c r="E22" s="87">
        <v>50.0</v>
      </c>
      <c r="H22" s="88" t="s">
        <v>73</v>
      </c>
      <c r="I22" s="62">
        <v>7.0</v>
      </c>
      <c r="K22" s="61" t="s">
        <v>74</v>
      </c>
      <c r="L22" s="62">
        <v>2.0</v>
      </c>
      <c r="N22" s="49" t="s">
        <v>6</v>
      </c>
      <c r="O22" s="50" t="s">
        <v>15</v>
      </c>
      <c r="P22" s="89"/>
    </row>
    <row r="23" ht="15.75" customHeight="1">
      <c r="A23" s="1"/>
      <c r="B23" s="3" t="s">
        <v>75</v>
      </c>
      <c r="C23" s="90" t="s">
        <v>9</v>
      </c>
      <c r="D23" s="91" t="s">
        <v>76</v>
      </c>
      <c r="E23" s="4" t="s">
        <v>77</v>
      </c>
      <c r="F23" s="5" t="s">
        <v>35</v>
      </c>
      <c r="H23" s="61" t="s">
        <v>78</v>
      </c>
      <c r="I23" s="62">
        <v>0.0</v>
      </c>
      <c r="K23" s="61" t="s">
        <v>79</v>
      </c>
      <c r="L23" s="62">
        <v>0.0</v>
      </c>
      <c r="N23" s="61" t="s">
        <v>80</v>
      </c>
      <c r="O23" s="92">
        <f>((100+H9)*((100+I12)/100)*((100+I22)/100)*((100+I23)/100)*((100+I34+J9)/100)*((100+L27)/100)*((100+(L29/2))/100))-100</f>
        <v>106.9808</v>
      </c>
      <c r="P23" s="24"/>
    </row>
    <row r="24" ht="15.75" customHeight="1">
      <c r="A24" s="1"/>
      <c r="B24" s="12" t="s">
        <v>15</v>
      </c>
      <c r="C24" s="93">
        <f>C22/27.94</f>
        <v>26.30637079</v>
      </c>
      <c r="D24" s="94">
        <f>D22/18.302+1%</f>
        <v>87.43213966</v>
      </c>
      <c r="E24" s="95">
        <f>E22/46.511</f>
        <v>1.075014513</v>
      </c>
      <c r="F24" s="43">
        <f>E22/58.21</f>
        <v>0.8589589418</v>
      </c>
      <c r="H24" s="96" t="s">
        <v>81</v>
      </c>
      <c r="I24" s="62">
        <v>0.0</v>
      </c>
      <c r="K24" s="61" t="s">
        <v>82</v>
      </c>
      <c r="L24" s="62">
        <v>10.0</v>
      </c>
      <c r="N24" s="61" t="s">
        <v>83</v>
      </c>
      <c r="O24" s="54">
        <f>10+(0.002*(I35*I35))+I14+I24</f>
        <v>23.778</v>
      </c>
      <c r="P24" s="1"/>
    </row>
    <row r="25" ht="15.75" customHeight="1">
      <c r="A25" s="1"/>
      <c r="H25" s="61" t="s">
        <v>84</v>
      </c>
      <c r="I25" s="62">
        <v>0.0</v>
      </c>
      <c r="N25" s="61" t="s">
        <v>85</v>
      </c>
      <c r="O25" s="97">
        <f>((100+I13)*((100+I32)/100)*((100+L28)/100))-100</f>
        <v>21</v>
      </c>
      <c r="P25" s="1"/>
    </row>
    <row r="26" ht="15.75" customHeight="1">
      <c r="A26" s="1"/>
      <c r="B26" s="98" t="s">
        <v>86</v>
      </c>
      <c r="C26" s="99" t="s">
        <v>15</v>
      </c>
      <c r="E26" s="49" t="s">
        <v>87</v>
      </c>
      <c r="F26" s="50" t="s">
        <v>15</v>
      </c>
      <c r="H26" s="51" t="s">
        <v>88</v>
      </c>
      <c r="I26" s="52">
        <v>0.0</v>
      </c>
      <c r="K26" s="49" t="s">
        <v>89</v>
      </c>
      <c r="L26" s="50" t="s">
        <v>15</v>
      </c>
      <c r="N26" s="61" t="s">
        <v>90</v>
      </c>
      <c r="O26" s="97">
        <f>((100+L17/2)*((100+L18+L19)/100))-100</f>
        <v>24</v>
      </c>
      <c r="P26" s="1"/>
    </row>
    <row r="27" ht="15.75" customHeight="1">
      <c r="A27" s="1"/>
      <c r="B27" s="61" t="s">
        <v>91</v>
      </c>
      <c r="C27" s="52">
        <v>22.0</v>
      </c>
      <c r="E27" s="88" t="s">
        <v>92</v>
      </c>
      <c r="F27" s="100">
        <f>100-(((100*(1-O9/100))*(1-E24/100))*(1-I15/100)*(1-I33/100)*(1-L30/100))</f>
        <v>14.92451248</v>
      </c>
      <c r="H27" s="61" t="s">
        <v>93</v>
      </c>
      <c r="I27" s="62">
        <v>0.0</v>
      </c>
      <c r="K27" s="61" t="s">
        <v>6</v>
      </c>
      <c r="L27" s="62">
        <v>0.0</v>
      </c>
      <c r="P27" s="1"/>
    </row>
    <row r="28" ht="15.75" customHeight="1">
      <c r="A28" s="1"/>
      <c r="B28" s="61" t="s">
        <v>94</v>
      </c>
      <c r="C28" s="100">
        <f>C27-((C27/100)*F27)</f>
        <v>18.71660725</v>
      </c>
      <c r="E28" s="61" t="s">
        <v>95</v>
      </c>
      <c r="F28" s="101">
        <f>((1000/(100-F27))/0.1)-100</f>
        <v>17.54267053</v>
      </c>
      <c r="H28" s="61" t="s">
        <v>96</v>
      </c>
      <c r="I28" s="62">
        <v>0.0</v>
      </c>
      <c r="K28" s="61" t="s">
        <v>85</v>
      </c>
      <c r="L28" s="62">
        <v>0.0</v>
      </c>
      <c r="M28" s="102"/>
      <c r="N28" s="49" t="s">
        <v>97</v>
      </c>
      <c r="O28" s="50" t="s">
        <v>15</v>
      </c>
      <c r="P28" s="1"/>
    </row>
    <row r="29" ht="15.75" customHeight="1">
      <c r="A29" s="1"/>
      <c r="B29" s="61" t="s">
        <v>98</v>
      </c>
      <c r="C29" s="103">
        <f>(ROUNDDOWN((59/C28),0))+1</f>
        <v>4</v>
      </c>
      <c r="H29" s="61" t="s">
        <v>99</v>
      </c>
      <c r="I29" s="62">
        <v>0.0</v>
      </c>
      <c r="K29" s="61" t="s">
        <v>100</v>
      </c>
      <c r="L29" s="62">
        <v>0.0</v>
      </c>
      <c r="N29" s="61" t="s">
        <v>7</v>
      </c>
      <c r="O29" s="97">
        <f>I9+L16+I25</f>
        <v>16</v>
      </c>
      <c r="P29" s="1"/>
    </row>
    <row r="30" ht="15.75" customHeight="1">
      <c r="A30" s="1"/>
      <c r="B30" s="61" t="s">
        <v>101</v>
      </c>
      <c r="C30" s="104">
        <f>(ROUNDDOWN((179/C28),0))+1</f>
        <v>10</v>
      </c>
      <c r="E30" s="49" t="s">
        <v>102</v>
      </c>
      <c r="F30" s="105" t="s">
        <v>15</v>
      </c>
      <c r="K30" s="61" t="s">
        <v>103</v>
      </c>
      <c r="L30" s="62">
        <v>0.0</v>
      </c>
      <c r="N30" s="61" t="s">
        <v>104</v>
      </c>
      <c r="O30" s="97">
        <f>((100+O23+O24)*((100+O25)/100)*((100+O26)/100))-100</f>
        <v>246.2305035</v>
      </c>
      <c r="P30" s="1"/>
    </row>
    <row r="31" ht="15.75" customHeight="1">
      <c r="A31" s="1"/>
      <c r="B31" s="61" t="s">
        <v>105</v>
      </c>
      <c r="C31" s="104">
        <f>(ROUNDDOWN((299/C28),0))+1</f>
        <v>16</v>
      </c>
      <c r="E31" s="106" t="s">
        <v>106</v>
      </c>
      <c r="F31" s="52">
        <v>0.0</v>
      </c>
      <c r="H31" s="49" t="s">
        <v>107</v>
      </c>
      <c r="I31" s="50" t="s">
        <v>15</v>
      </c>
      <c r="K31" s="61" t="s">
        <v>108</v>
      </c>
      <c r="L31" s="62">
        <v>0.0</v>
      </c>
      <c r="N31" s="51" t="s">
        <v>109</v>
      </c>
      <c r="O31" s="107">
        <f>(E3*((100+O30)/100))*(1-L22/100)</f>
        <v>146298.5221</v>
      </c>
      <c r="P31" s="1"/>
    </row>
    <row r="32" ht="15.75" customHeight="1">
      <c r="A32" s="1"/>
      <c r="B32" s="61" t="s">
        <v>110</v>
      </c>
      <c r="C32" s="104">
        <f>(ROUNDDOWN((419/C28),0))+1</f>
        <v>23</v>
      </c>
      <c r="E32" s="108" t="s">
        <v>111</v>
      </c>
      <c r="F32" s="109">
        <v>0.0</v>
      </c>
      <c r="H32" s="55" t="s">
        <v>112</v>
      </c>
      <c r="I32" s="52">
        <v>21.0</v>
      </c>
      <c r="K32" s="61" t="s">
        <v>10</v>
      </c>
      <c r="L32" s="62">
        <v>0.0</v>
      </c>
      <c r="M32" s="1"/>
      <c r="N32" s="1"/>
      <c r="O32" s="1"/>
      <c r="P32" s="31"/>
    </row>
    <row r="33" ht="15.75" customHeight="1">
      <c r="A33" s="1"/>
      <c r="B33" s="61" t="s">
        <v>113</v>
      </c>
      <c r="C33" s="104">
        <f>(ROUNDDOWN((599/C28),0))+1</f>
        <v>33</v>
      </c>
      <c r="E33" s="61" t="s">
        <v>114</v>
      </c>
      <c r="F33" s="54">
        <f>(((300*(1-O9/100))*(1-F31/100))*(1-E24/100))*(1-F32/100)</f>
        <v>296.7749565</v>
      </c>
      <c r="H33" s="96" t="s">
        <v>115</v>
      </c>
      <c r="I33" s="62">
        <v>14.0</v>
      </c>
      <c r="K33" s="61" t="s">
        <v>116</v>
      </c>
      <c r="L33" s="62">
        <v>0.0</v>
      </c>
      <c r="M33" s="1"/>
      <c r="N33" s="110" t="s">
        <v>117</v>
      </c>
      <c r="O33" s="111" t="s">
        <v>15</v>
      </c>
      <c r="P33" s="1"/>
    </row>
    <row r="34" ht="15.75" customHeight="1">
      <c r="A34" s="1"/>
      <c r="B34" s="108" t="s">
        <v>118</v>
      </c>
      <c r="C34" s="54">
        <f>C28-((C28/100)*15)</f>
        <v>15.90911617</v>
      </c>
      <c r="E34" s="108" t="s">
        <v>119</v>
      </c>
      <c r="F34" s="97">
        <f>F33*(1-15/100)</f>
        <v>252.258713</v>
      </c>
      <c r="H34" s="61" t="s">
        <v>120</v>
      </c>
      <c r="I34" s="62">
        <v>5.0</v>
      </c>
      <c r="K34" s="61" t="s">
        <v>121</v>
      </c>
      <c r="L34" s="62">
        <v>0.0</v>
      </c>
      <c r="M34" s="1"/>
      <c r="N34" s="112" t="s">
        <v>122</v>
      </c>
      <c r="O34" s="113">
        <f>((O31/100)*(100-O20))+(((O31/100)*O20)*(O19/100))</f>
        <v>411454.9064</v>
      </c>
      <c r="P34" s="1"/>
    </row>
    <row r="35" ht="15.75" customHeight="1">
      <c r="A35" s="1"/>
      <c r="B35" s="1"/>
      <c r="C35" s="1"/>
      <c r="D35" s="1"/>
      <c r="E35" s="1"/>
      <c r="F35" s="1"/>
      <c r="G35" s="1"/>
      <c r="H35" s="55" t="s">
        <v>123</v>
      </c>
      <c r="I35" s="52">
        <v>83.0</v>
      </c>
      <c r="J35" s="1"/>
      <c r="K35" s="1"/>
      <c r="L35" s="1"/>
      <c r="M35" s="1"/>
      <c r="N35" s="114" t="s">
        <v>124</v>
      </c>
      <c r="O35" s="115">
        <f>O34*((100+F28)/100)</f>
        <v>483635.0851</v>
      </c>
      <c r="P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ht="15.75" customHeight="1">
      <c r="A38" s="1"/>
      <c r="B38" s="116" t="s">
        <v>125</v>
      </c>
      <c r="C38" s="117" t="s">
        <v>15</v>
      </c>
      <c r="D38" s="42"/>
      <c r="E38" s="118" t="s">
        <v>126</v>
      </c>
      <c r="F38" s="119" t="s">
        <v>15</v>
      </c>
      <c r="G38" s="42"/>
      <c r="H38" s="116" t="s">
        <v>127</v>
      </c>
      <c r="I38" s="120" t="s">
        <v>15</v>
      </c>
      <c r="K38" s="118" t="s">
        <v>128</v>
      </c>
      <c r="L38" s="119" t="s">
        <v>15</v>
      </c>
      <c r="M38" s="42"/>
      <c r="N38" s="118" t="s">
        <v>129</v>
      </c>
      <c r="O38" s="119" t="s">
        <v>15</v>
      </c>
      <c r="P38" s="1"/>
    </row>
    <row r="39" ht="15.75" customHeight="1">
      <c r="A39" s="1"/>
      <c r="B39" s="83" t="s">
        <v>130</v>
      </c>
      <c r="C39" s="57">
        <f>D22/6.35472</f>
        <v>251.7813531</v>
      </c>
      <c r="E39" s="121" t="s">
        <v>131</v>
      </c>
      <c r="F39" s="122">
        <f>D22/11.27439</f>
        <v>141.9145515</v>
      </c>
      <c r="H39" s="83" t="s">
        <v>132</v>
      </c>
      <c r="I39" s="57">
        <f>D22/19.973354</f>
        <v>80.10672619</v>
      </c>
      <c r="K39" s="123" t="s">
        <v>133</v>
      </c>
      <c r="L39" s="124">
        <f>D22/9.320087</f>
        <v>171.6722172</v>
      </c>
      <c r="N39" s="123" t="s">
        <v>134</v>
      </c>
      <c r="O39" s="124">
        <f>D22/11.650485</f>
        <v>137.3333385</v>
      </c>
      <c r="P39" s="1"/>
    </row>
    <row r="40" ht="15.75" customHeight="1">
      <c r="A40" s="1"/>
      <c r="B40" s="121" t="s">
        <v>135</v>
      </c>
      <c r="C40" s="125">
        <f>D22/9.9447</f>
        <v>160.8897202</v>
      </c>
      <c r="E40" s="123" t="s">
        <v>136</v>
      </c>
      <c r="F40" s="126">
        <f>D22/13.70665</f>
        <v>116.7316594</v>
      </c>
      <c r="H40" s="123" t="s">
        <v>137</v>
      </c>
      <c r="I40" s="124">
        <f>D22/27.960833</f>
        <v>57.22290176</v>
      </c>
      <c r="K40" s="55" t="s">
        <v>138</v>
      </c>
      <c r="L40" s="54">
        <f>D22/27.960262</f>
        <v>57.22407036</v>
      </c>
      <c r="N40" s="83" t="s">
        <v>139</v>
      </c>
      <c r="O40" s="57">
        <f>D22/13.980225</f>
        <v>114.4473712</v>
      </c>
      <c r="P40" s="1"/>
    </row>
    <row r="41" ht="15.75" customHeight="1">
      <c r="A41" s="1"/>
      <c r="B41" s="123" t="s">
        <v>140</v>
      </c>
      <c r="C41" s="124">
        <f>D22/13.98099</f>
        <v>114.441109</v>
      </c>
      <c r="E41" s="83" t="s">
        <v>141</v>
      </c>
      <c r="F41" s="127">
        <f>(15/100)*(100+F40)</f>
        <v>32.50974892</v>
      </c>
      <c r="K41" s="55" t="s">
        <v>142</v>
      </c>
      <c r="L41" s="54">
        <f>D22/27.960262</f>
        <v>57.22407036</v>
      </c>
      <c r="N41" s="69" t="s">
        <v>143</v>
      </c>
      <c r="O41" s="128">
        <f>D22/23.30097</f>
        <v>68.66666924</v>
      </c>
      <c r="P41" s="1"/>
    </row>
    <row r="42" ht="15.75" customHeight="1">
      <c r="A42" s="1"/>
      <c r="E42" s="121" t="s">
        <v>6</v>
      </c>
      <c r="F42" s="122">
        <f>(15/100)*(100+F40)</f>
        <v>32.50974892</v>
      </c>
      <c r="H42" s="118" t="s">
        <v>144</v>
      </c>
      <c r="I42" s="119" t="s">
        <v>15</v>
      </c>
      <c r="P42" s="1"/>
    </row>
    <row r="43" ht="15.75" customHeight="1">
      <c r="A43" s="1"/>
      <c r="B43" s="116" t="s">
        <v>145</v>
      </c>
      <c r="C43" s="120" t="s">
        <v>15</v>
      </c>
      <c r="E43" s="123" t="s">
        <v>146</v>
      </c>
      <c r="F43" s="126">
        <f>(25/100)*(100+F40)</f>
        <v>54.18291486</v>
      </c>
      <c r="H43" s="121" t="s">
        <v>147</v>
      </c>
      <c r="I43" s="125">
        <f>D22/9.321317</f>
        <v>171.6495641</v>
      </c>
      <c r="K43" s="118" t="s">
        <v>148</v>
      </c>
      <c r="L43" s="119" t="s">
        <v>15</v>
      </c>
      <c r="N43" s="129" t="s">
        <v>149</v>
      </c>
      <c r="O43" s="119" t="s">
        <v>15</v>
      </c>
      <c r="P43" s="1"/>
    </row>
    <row r="44" ht="15.75" customHeight="1">
      <c r="A44" s="1"/>
      <c r="B44" s="83" t="s">
        <v>150</v>
      </c>
      <c r="C44" s="57">
        <f>D22/23.30827</f>
        <v>68.64516328</v>
      </c>
      <c r="E44" s="83" t="s">
        <v>151</v>
      </c>
      <c r="F44" s="127">
        <f>(15/100)*(100+F40)</f>
        <v>32.50974892</v>
      </c>
      <c r="H44" s="123" t="s">
        <v>152</v>
      </c>
      <c r="I44" s="124">
        <f>D22/11.651422</f>
        <v>137.3222942</v>
      </c>
      <c r="K44" s="123" t="s">
        <v>133</v>
      </c>
      <c r="L44" s="126">
        <f>D22/9.320087</f>
        <v>171.6722172</v>
      </c>
      <c r="N44" s="130" t="s">
        <v>153</v>
      </c>
      <c r="O44" s="124">
        <f>D22/24.105218</f>
        <v>66.3756702</v>
      </c>
      <c r="P44" s="1"/>
    </row>
    <row r="45" ht="15.75" customHeight="1">
      <c r="A45" s="1"/>
      <c r="B45" s="131" t="s">
        <v>154</v>
      </c>
      <c r="C45" s="125">
        <f>D22/12.15686</f>
        <v>131.6129329</v>
      </c>
      <c r="E45" s="121" t="s">
        <v>6</v>
      </c>
      <c r="F45" s="122">
        <f>(20/100)*(100+F40)</f>
        <v>43.34633189</v>
      </c>
      <c r="K45" s="55" t="s">
        <v>155</v>
      </c>
      <c r="L45" s="132">
        <f>D22/27.960262</f>
        <v>57.22407036</v>
      </c>
      <c r="N45" s="133" t="s">
        <v>156</v>
      </c>
      <c r="O45" s="54">
        <f>D22/23.301375</f>
        <v>68.66547575</v>
      </c>
      <c r="P45" s="1"/>
    </row>
    <row r="46" ht="15.75" customHeight="1">
      <c r="A46" s="1"/>
      <c r="B46" s="85" t="s">
        <v>157</v>
      </c>
      <c r="C46" s="134">
        <f>(45/100)*(100+C45)</f>
        <v>104.2258198</v>
      </c>
      <c r="E46" s="123" t="s">
        <v>158</v>
      </c>
      <c r="F46" s="126">
        <f>(50/100)*(100+F40)</f>
        <v>108.3658297</v>
      </c>
      <c r="H46" s="116" t="s">
        <v>159</v>
      </c>
      <c r="I46" s="120" t="s">
        <v>15</v>
      </c>
      <c r="K46" s="55" t="s">
        <v>160</v>
      </c>
      <c r="L46" s="132">
        <f>D22/27.960262</f>
        <v>57.22407036</v>
      </c>
      <c r="P46" s="1"/>
    </row>
    <row r="47" ht="15.75" customHeight="1">
      <c r="A47" s="1"/>
      <c r="B47" s="123" t="s">
        <v>161</v>
      </c>
      <c r="C47" s="124">
        <f>D22/12.94663</f>
        <v>123.5842841</v>
      </c>
      <c r="H47" s="83" t="s">
        <v>162</v>
      </c>
      <c r="I47" s="57">
        <f>D22/3.251185</f>
        <v>492.1282548</v>
      </c>
      <c r="N47" s="118" t="s">
        <v>163</v>
      </c>
      <c r="O47" s="119" t="s">
        <v>15</v>
      </c>
      <c r="P47" s="1"/>
    </row>
    <row r="48" ht="15.75" customHeight="1">
      <c r="A48" s="1"/>
      <c r="E48" s="118" t="s">
        <v>164</v>
      </c>
      <c r="F48" s="119" t="s">
        <v>15</v>
      </c>
      <c r="H48" s="121" t="s">
        <v>165</v>
      </c>
      <c r="I48" s="125">
        <f>(18/100)*(100+I47)</f>
        <v>106.5830859</v>
      </c>
      <c r="K48" s="116" t="s">
        <v>166</v>
      </c>
      <c r="L48" s="120" t="s">
        <v>15</v>
      </c>
      <c r="N48" s="121" t="s">
        <v>167</v>
      </c>
      <c r="O48" s="125">
        <f>D22/8.737583</f>
        <v>183.1170016</v>
      </c>
      <c r="P48" s="1"/>
    </row>
    <row r="49" ht="15.75" customHeight="1">
      <c r="A49" s="1"/>
      <c r="B49" s="116" t="s">
        <v>168</v>
      </c>
      <c r="C49" s="120" t="s">
        <v>15</v>
      </c>
      <c r="E49" s="131" t="s">
        <v>169</v>
      </c>
      <c r="F49" s="125">
        <f>D22/23.30083</f>
        <v>68.66708182</v>
      </c>
      <c r="H49" s="123" t="s">
        <v>170</v>
      </c>
      <c r="I49" s="124">
        <f>D22/27.962305</f>
        <v>57.21988942</v>
      </c>
      <c r="K49" s="83" t="s">
        <v>171</v>
      </c>
      <c r="L49" s="57">
        <f>D22/9.320883</f>
        <v>171.6575565</v>
      </c>
      <c r="N49" s="135" t="s">
        <v>172</v>
      </c>
      <c r="O49" s="136">
        <v>20.0</v>
      </c>
      <c r="P49" s="1"/>
    </row>
    <row r="50" ht="15.75" customHeight="1">
      <c r="A50" s="1"/>
      <c r="B50" s="83" t="s">
        <v>173</v>
      </c>
      <c r="C50" s="57">
        <f>D22/17.47629</f>
        <v>91.55261214</v>
      </c>
      <c r="E50" s="85" t="s">
        <v>174</v>
      </c>
      <c r="F50" s="137">
        <f>50-((50/100)*F49)</f>
        <v>15.66645909</v>
      </c>
      <c r="K50" s="123" t="s">
        <v>175</v>
      </c>
      <c r="L50" s="124">
        <f>D22/13.980137</f>
        <v>114.4480916</v>
      </c>
      <c r="N50" s="85" t="s">
        <v>176</v>
      </c>
      <c r="O50" s="138">
        <f>(O49*O49)*0.25</f>
        <v>100</v>
      </c>
      <c r="P50" s="1"/>
    </row>
    <row r="51" ht="15.75" customHeight="1">
      <c r="A51" s="1"/>
      <c r="B51" s="131" t="s">
        <v>177</v>
      </c>
      <c r="C51" s="125">
        <f>D22/5.59218</f>
        <v>286.1138232</v>
      </c>
      <c r="E51" s="123" t="s">
        <v>178</v>
      </c>
      <c r="F51" s="124">
        <f>D22/46.60167</f>
        <v>34.33353354</v>
      </c>
      <c r="H51" s="118" t="s">
        <v>179</v>
      </c>
      <c r="I51" s="119" t="s">
        <v>15</v>
      </c>
      <c r="N51" s="69" t="s">
        <v>180</v>
      </c>
      <c r="O51" s="139">
        <f>(O49*O49)*0.3</f>
        <v>120</v>
      </c>
      <c r="P51" s="1"/>
    </row>
    <row r="52" ht="15.75" customHeight="1">
      <c r="A52" s="1"/>
      <c r="B52" s="85" t="s">
        <v>181</v>
      </c>
      <c r="C52" s="134">
        <f>(30/100)*(100+C51)</f>
        <v>115.834147</v>
      </c>
      <c r="E52" s="135" t="s">
        <v>182</v>
      </c>
      <c r="F52" s="140">
        <f>(25/100)*(100+F51)</f>
        <v>33.58338339</v>
      </c>
      <c r="H52" s="121" t="s">
        <v>183</v>
      </c>
      <c r="I52" s="125">
        <f>D22/34.95912</f>
        <v>45.76774244</v>
      </c>
      <c r="K52" s="116" t="s">
        <v>184</v>
      </c>
      <c r="L52" s="120" t="s">
        <v>15</v>
      </c>
      <c r="N52" s="121" t="s">
        <v>185</v>
      </c>
      <c r="O52" s="125">
        <f>D22/17.475166</f>
        <v>91.55850079</v>
      </c>
      <c r="P52" s="1"/>
    </row>
    <row r="53" ht="15.75" customHeight="1">
      <c r="A53" s="1"/>
      <c r="B53" s="123" t="s">
        <v>186</v>
      </c>
      <c r="C53" s="124">
        <f>D22/5.8252</f>
        <v>274.6686809</v>
      </c>
      <c r="E53" s="85" t="s">
        <v>187</v>
      </c>
      <c r="F53" s="134">
        <f>((1000/(100-F52))/0.1)-100</f>
        <v>50.56473078</v>
      </c>
      <c r="H53" s="123" t="s">
        <v>188</v>
      </c>
      <c r="I53" s="124">
        <f>D22/24.964767</f>
        <v>64.09032378</v>
      </c>
      <c r="K53" s="83" t="s">
        <v>189</v>
      </c>
      <c r="L53" s="57">
        <f>D22/11.27454</f>
        <v>141.9126634</v>
      </c>
      <c r="N53" s="121" t="s">
        <v>190</v>
      </c>
      <c r="O53" s="125">
        <f>D22/34.953703</f>
        <v>45.77483536</v>
      </c>
      <c r="P53" s="1"/>
    </row>
    <row r="54" ht="15.75" customHeight="1">
      <c r="A54" s="1"/>
      <c r="E54" s="85" t="s">
        <v>191</v>
      </c>
      <c r="F54" s="134">
        <f>(15/100)*(100+F51)</f>
        <v>20.15003003</v>
      </c>
      <c r="H54" s="83" t="s">
        <v>192</v>
      </c>
      <c r="I54" s="57">
        <f>D22/19.974227</f>
        <v>80.10322502</v>
      </c>
      <c r="K54" s="123" t="s">
        <v>193</v>
      </c>
      <c r="L54" s="124">
        <f>D22/13.980987</f>
        <v>114.4411335</v>
      </c>
      <c r="N54" s="123" t="s">
        <v>194</v>
      </c>
      <c r="O54" s="124">
        <f>(50/100)*(100+O53)</f>
        <v>72.88741768</v>
      </c>
      <c r="P54" s="1"/>
    </row>
    <row r="55" ht="15.75" customHeight="1">
      <c r="A55" s="1"/>
      <c r="B55" s="116" t="s">
        <v>195</v>
      </c>
      <c r="C55" s="120" t="s">
        <v>15</v>
      </c>
      <c r="E55" s="69" t="s">
        <v>196</v>
      </c>
      <c r="F55" s="128">
        <f>(60/100)*(100+F51)</f>
        <v>80.60012012</v>
      </c>
      <c r="H55" s="121" t="s">
        <v>197</v>
      </c>
      <c r="I55" s="125">
        <f>(5/100)*(100+I54)</f>
        <v>9.005161251</v>
      </c>
      <c r="P55" s="1"/>
    </row>
    <row r="56" ht="15.75" customHeight="1">
      <c r="A56" s="1"/>
      <c r="B56" s="83" t="s">
        <v>198</v>
      </c>
      <c r="C56" s="57">
        <f>D22/27.968338</f>
        <v>57.20754662</v>
      </c>
      <c r="E56" s="69" t="s">
        <v>199</v>
      </c>
      <c r="F56" s="128">
        <f>(90/100)*(100+F51)</f>
        <v>120.9001802</v>
      </c>
      <c r="H56" s="121" t="s">
        <v>200</v>
      </c>
      <c r="I56" s="125">
        <f>(10/100)*(100+I54)</f>
        <v>18.0103225</v>
      </c>
      <c r="K56" s="118" t="s">
        <v>201</v>
      </c>
      <c r="L56" s="119" t="s">
        <v>15</v>
      </c>
      <c r="N56" s="82" t="s">
        <v>202</v>
      </c>
      <c r="O56" s="120" t="s">
        <v>15</v>
      </c>
      <c r="P56" s="1"/>
    </row>
    <row r="57" ht="15.75" customHeight="1">
      <c r="A57" s="1"/>
      <c r="B57" s="121" t="s">
        <v>203</v>
      </c>
      <c r="C57" s="125">
        <f>D22/11.095604</f>
        <v>144.201253</v>
      </c>
      <c r="H57" s="123" t="s">
        <v>204</v>
      </c>
      <c r="I57" s="124">
        <f>(15/100)*(100+I54)</f>
        <v>27.01548375</v>
      </c>
      <c r="K57" s="123" t="s">
        <v>205</v>
      </c>
      <c r="L57" s="124">
        <f>D22/13.98102</f>
        <v>114.4408634</v>
      </c>
      <c r="N57" s="135" t="s">
        <v>206</v>
      </c>
      <c r="O57" s="140">
        <f>D22/27.964427</f>
        <v>57.21554745</v>
      </c>
      <c r="P57" s="1"/>
    </row>
    <row r="58" ht="15.75" customHeight="1">
      <c r="A58" s="1"/>
      <c r="B58" s="123" t="s">
        <v>207</v>
      </c>
      <c r="C58" s="124">
        <f>(10/100)*(100+C57)</f>
        <v>24.4201253</v>
      </c>
      <c r="E58" s="116" t="s">
        <v>208</v>
      </c>
      <c r="F58" s="120" t="s">
        <v>15</v>
      </c>
      <c r="K58" s="83" t="s">
        <v>209</v>
      </c>
      <c r="L58" s="57">
        <f>D22/9.985907</f>
        <v>160.2258062</v>
      </c>
      <c r="N58" s="85" t="s">
        <v>210</v>
      </c>
      <c r="O58" s="134">
        <f>D22/18.400263</f>
        <v>86.95527885</v>
      </c>
      <c r="P58" s="1"/>
    </row>
    <row r="59" ht="15.75" customHeight="1">
      <c r="A59" s="1"/>
      <c r="E59" s="83" t="s">
        <v>211</v>
      </c>
      <c r="F59" s="57">
        <f>D22/25.89139</f>
        <v>61.79660497</v>
      </c>
      <c r="H59" s="116" t="s">
        <v>212</v>
      </c>
      <c r="I59" s="120" t="s">
        <v>15</v>
      </c>
      <c r="K59" s="85" t="s">
        <v>213</v>
      </c>
      <c r="L59" s="134">
        <f>(10/100)*(100+L58)</f>
        <v>26.02258062</v>
      </c>
      <c r="N59" s="85" t="s">
        <v>214</v>
      </c>
      <c r="O59" s="134">
        <f>(10/100)*(100+O58)</f>
        <v>18.69552788</v>
      </c>
      <c r="P59" s="31"/>
    </row>
    <row r="60" ht="15.75" customHeight="1">
      <c r="A60" s="1"/>
      <c r="B60" s="141" t="s">
        <v>215</v>
      </c>
      <c r="C60" s="120" t="s">
        <v>15</v>
      </c>
      <c r="E60" s="123" t="s">
        <v>216</v>
      </c>
      <c r="F60" s="124">
        <f>D22/9.98587</f>
        <v>160.2263999</v>
      </c>
      <c r="H60" s="83" t="s">
        <v>217</v>
      </c>
      <c r="I60" s="57">
        <f>D22/17.476769</f>
        <v>91.55010288</v>
      </c>
      <c r="K60" s="85" t="s">
        <v>218</v>
      </c>
      <c r="L60" s="134">
        <f>(20/100)*(100+L58)</f>
        <v>52.04516125</v>
      </c>
      <c r="N60" s="85" t="s">
        <v>219</v>
      </c>
      <c r="O60" s="134">
        <f>D22/29.129755</f>
        <v>54.92665489</v>
      </c>
      <c r="P60" s="1"/>
    </row>
    <row r="61" ht="15.75" customHeight="1">
      <c r="A61" s="1"/>
      <c r="B61" s="133" t="s">
        <v>211</v>
      </c>
      <c r="C61" s="54">
        <f>D22/31.07431</f>
        <v>51.48947796</v>
      </c>
      <c r="H61" s="123" t="s">
        <v>220</v>
      </c>
      <c r="I61" s="124">
        <f>D22/27.964163</f>
        <v>57.2160876</v>
      </c>
      <c r="K61" s="69" t="s">
        <v>221</v>
      </c>
      <c r="L61" s="128">
        <f>(30/100)*(100+L58)</f>
        <v>78.06774187</v>
      </c>
      <c r="N61" s="69" t="s">
        <v>222</v>
      </c>
      <c r="O61" s="128">
        <f>(25/100)*(100+O60)</f>
        <v>38.73166372</v>
      </c>
      <c r="P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5.75" customHeight="1">
      <c r="A64" s="102"/>
      <c r="P64" s="102"/>
    </row>
    <row r="65" ht="15.75" customHeight="1">
      <c r="A65" s="102"/>
      <c r="P65" s="102"/>
    </row>
    <row r="66" ht="15.75" customHeight="1">
      <c r="A66" s="102"/>
      <c r="P66" s="102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2">
      <c r="A2" s="142" t="s">
        <v>223</v>
      </c>
      <c r="B2" s="143" t="s">
        <v>224</v>
      </c>
      <c r="G2" s="143" t="s">
        <v>225</v>
      </c>
    </row>
    <row r="3">
      <c r="B3" s="61" t="s">
        <v>226</v>
      </c>
      <c r="C3" s="144">
        <v>6300.0</v>
      </c>
      <c r="D3" s="145" t="s">
        <v>227</v>
      </c>
      <c r="E3" s="146">
        <f>ROUNDUP(C3-(C3/20),0)</f>
        <v>5985</v>
      </c>
      <c r="G3" s="147" t="s">
        <v>228</v>
      </c>
      <c r="H3" s="148" t="s">
        <v>229</v>
      </c>
      <c r="I3" s="147" t="s">
        <v>230</v>
      </c>
      <c r="J3" s="147" t="s">
        <v>231</v>
      </c>
      <c r="K3" s="147" t="s">
        <v>232</v>
      </c>
      <c r="L3" s="147" t="s">
        <v>233</v>
      </c>
    </row>
    <row r="4">
      <c r="B4" s="61" t="s">
        <v>234</v>
      </c>
      <c r="C4" s="149">
        <f>ROUNDDOWN(((C3-(C3/20))/4)*3,0)</f>
        <v>4488</v>
      </c>
      <c r="D4" s="61" t="s">
        <v>235</v>
      </c>
      <c r="E4" s="150">
        <f>ROUNDDOWN(((C3-(C3/20))/8)*7,0)</f>
        <v>5236</v>
      </c>
      <c r="G4" s="151" t="s">
        <v>212</v>
      </c>
      <c r="H4" s="85" t="s">
        <v>164</v>
      </c>
      <c r="I4" s="151" t="s">
        <v>201</v>
      </c>
      <c r="J4" s="151" t="s">
        <v>128</v>
      </c>
      <c r="K4" s="151" t="s">
        <v>236</v>
      </c>
      <c r="L4" s="151" t="s">
        <v>125</v>
      </c>
    </row>
    <row r="5">
      <c r="B5" s="85" t="s">
        <v>237</v>
      </c>
      <c r="C5" s="138">
        <f>ROUNDDOWN((C4/100)*110,0)</f>
        <v>4936</v>
      </c>
      <c r="D5" s="85" t="s">
        <v>238</v>
      </c>
      <c r="E5" s="138">
        <f>ROUNDDOWN((E4/100)*110,0)</f>
        <v>5759</v>
      </c>
      <c r="G5" s="151" t="s">
        <v>159</v>
      </c>
      <c r="H5" s="85" t="s">
        <v>184</v>
      </c>
      <c r="I5" s="151" t="s">
        <v>125</v>
      </c>
      <c r="J5" s="151" t="s">
        <v>148</v>
      </c>
      <c r="K5" s="151" t="s">
        <v>215</v>
      </c>
      <c r="L5" s="151" t="s">
        <v>163</v>
      </c>
    </row>
    <row r="6">
      <c r="B6" s="85" t="s">
        <v>239</v>
      </c>
      <c r="C6" s="138">
        <f>E3-C4</f>
        <v>1497</v>
      </c>
      <c r="D6" s="85" t="s">
        <v>239</v>
      </c>
      <c r="E6" s="138">
        <f>E3-E4</f>
        <v>749</v>
      </c>
      <c r="G6" s="151" t="s">
        <v>166</v>
      </c>
      <c r="H6" s="152"/>
      <c r="I6" s="151" t="s">
        <v>240</v>
      </c>
      <c r="J6" s="151" t="s">
        <v>127</v>
      </c>
      <c r="K6" s="151" t="s">
        <v>208</v>
      </c>
      <c r="L6" s="153"/>
    </row>
    <row r="7">
      <c r="B7" s="69" t="s">
        <v>241</v>
      </c>
      <c r="C7" s="139">
        <f>ROUNDUP(C4/3,0)</f>
        <v>1496</v>
      </c>
      <c r="D7" s="69" t="s">
        <v>242</v>
      </c>
      <c r="E7" s="139">
        <f>ROUNDUP(E4/7,0)</f>
        <v>748</v>
      </c>
      <c r="G7" s="151" t="s">
        <v>129</v>
      </c>
      <c r="H7" s="152"/>
      <c r="I7" s="151" t="s">
        <v>144</v>
      </c>
      <c r="J7" s="153"/>
      <c r="K7" s="153"/>
      <c r="L7" s="153"/>
    </row>
    <row r="8">
      <c r="B8" s="135" t="s">
        <v>243</v>
      </c>
      <c r="C8" s="154">
        <f>(C4-(C4/11))+(C4/110)</f>
        <v>4120.8</v>
      </c>
      <c r="D8" s="135" t="s">
        <v>243</v>
      </c>
      <c r="E8" s="154">
        <f>(E4-(E4/11))+(E4/110)</f>
        <v>4807.6</v>
      </c>
      <c r="G8" s="155"/>
      <c r="H8" s="156"/>
      <c r="I8" s="12" t="s">
        <v>244</v>
      </c>
      <c r="J8" s="155"/>
      <c r="K8" s="155"/>
      <c r="L8" s="155"/>
    </row>
    <row r="9">
      <c r="B9" s="135" t="s">
        <v>237</v>
      </c>
      <c r="C9" s="157">
        <f>C8+(C8/10)</f>
        <v>4532.88</v>
      </c>
      <c r="D9" s="90" t="s">
        <v>237</v>
      </c>
      <c r="E9" s="158">
        <f>E8+(E8/10)</f>
        <v>5288.36</v>
      </c>
    </row>
    <row r="10">
      <c r="B10" s="85" t="s">
        <v>239</v>
      </c>
      <c r="C10" s="159">
        <f>E3-C8</f>
        <v>1864.2</v>
      </c>
      <c r="D10" s="160" t="s">
        <v>239</v>
      </c>
      <c r="E10" s="161">
        <f>E3-E8</f>
        <v>1177.4</v>
      </c>
    </row>
    <row r="11">
      <c r="B11" s="69" t="s">
        <v>245</v>
      </c>
      <c r="C11" s="162">
        <f>C8/3</f>
        <v>1373.6</v>
      </c>
      <c r="D11" s="163" t="s">
        <v>246</v>
      </c>
      <c r="E11" s="164">
        <f>E8/7</f>
        <v>686.8</v>
      </c>
      <c r="G11" s="165" t="s">
        <v>247</v>
      </c>
      <c r="H11" s="8" t="s">
        <v>248</v>
      </c>
      <c r="I11" s="166" t="s">
        <v>249</v>
      </c>
    </row>
    <row r="12">
      <c r="G12" s="167" t="s">
        <v>28</v>
      </c>
      <c r="H12" s="168">
        <v>9872.0</v>
      </c>
      <c r="I12" s="169">
        <v>12546.0</v>
      </c>
    </row>
    <row r="13">
      <c r="B13" s="143" t="s">
        <v>250</v>
      </c>
      <c r="G13" s="167" t="s">
        <v>251</v>
      </c>
      <c r="H13" s="168">
        <v>7678.0</v>
      </c>
      <c r="I13" s="169">
        <v>9758.0</v>
      </c>
    </row>
    <row r="14">
      <c r="B14" s="5" t="s">
        <v>252</v>
      </c>
      <c r="C14" s="5" t="s">
        <v>253</v>
      </c>
      <c r="D14" s="5" t="s">
        <v>254</v>
      </c>
      <c r="G14" s="58" t="s">
        <v>255</v>
      </c>
      <c r="H14" s="170">
        <v>7130.0</v>
      </c>
      <c r="I14" s="171">
        <v>9061.0</v>
      </c>
    </row>
    <row r="15">
      <c r="B15" s="13">
        <v>819904.0</v>
      </c>
      <c r="C15" s="13">
        <v>946773.0</v>
      </c>
      <c r="D15" s="43">
        <f>(C15/(B15/100))-100</f>
        <v>15.47364082</v>
      </c>
      <c r="H15" s="61" t="s">
        <v>256</v>
      </c>
      <c r="I15" s="146">
        <f>(I12+(I13*2)+(I14*2))-(H12+(H13*2)+(H14*2))</f>
        <v>10696</v>
      </c>
    </row>
    <row r="16">
      <c r="C16" s="160" t="s">
        <v>257</v>
      </c>
    </row>
    <row r="17">
      <c r="B17" s="143" t="s">
        <v>95</v>
      </c>
      <c r="G17" s="143" t="s">
        <v>258</v>
      </c>
    </row>
    <row r="18">
      <c r="B18" s="5" t="s">
        <v>259</v>
      </c>
      <c r="C18" s="5" t="s">
        <v>260</v>
      </c>
      <c r="G18" s="5" t="s">
        <v>28</v>
      </c>
      <c r="H18" s="5" t="s">
        <v>30</v>
      </c>
      <c r="I18" s="5" t="s">
        <v>31</v>
      </c>
    </row>
    <row r="19">
      <c r="B19" s="13">
        <v>15.11</v>
      </c>
      <c r="C19" s="43">
        <f>((1000/(100-B19))/0.1)-100</f>
        <v>17.79950524</v>
      </c>
      <c r="G19" s="13">
        <v>12546.0</v>
      </c>
      <c r="H19" s="13">
        <v>9758.0</v>
      </c>
      <c r="I19" s="13">
        <v>9758.0</v>
      </c>
    </row>
    <row r="20">
      <c r="G20" s="5" t="s">
        <v>32</v>
      </c>
      <c r="H20" s="5" t="s">
        <v>36</v>
      </c>
      <c r="I20" s="5" t="s">
        <v>51</v>
      </c>
    </row>
    <row r="21">
      <c r="G21" s="13">
        <v>9061.0</v>
      </c>
      <c r="H21" s="13">
        <v>9061.0</v>
      </c>
      <c r="I21" s="46">
        <f>G19+H19+I19+G21+H21</f>
        <v>50184</v>
      </c>
    </row>
    <row r="25">
      <c r="F25" s="160"/>
    </row>
    <row r="26">
      <c r="F26" s="160"/>
    </row>
    <row r="27">
      <c r="F27" s="160"/>
    </row>
    <row r="28">
      <c r="F28" s="160"/>
    </row>
    <row r="29">
      <c r="F29" s="160"/>
    </row>
    <row r="30">
      <c r="F30" s="160"/>
    </row>
    <row r="31">
      <c r="F31" s="160"/>
    </row>
    <row r="32">
      <c r="D32" s="160"/>
      <c r="F32" s="160"/>
    </row>
    <row r="33">
      <c r="D33" s="160"/>
      <c r="F33" s="160"/>
    </row>
    <row r="34">
      <c r="D34" s="160"/>
      <c r="F34" s="160"/>
    </row>
    <row r="35">
      <c r="D35" s="160"/>
      <c r="F35" s="160"/>
    </row>
    <row r="36">
      <c r="D36" s="160"/>
      <c r="F36" s="160"/>
    </row>
    <row r="37">
      <c r="D37" s="160"/>
      <c r="F37" s="160"/>
    </row>
    <row r="38">
      <c r="D38" s="160"/>
      <c r="F38" s="160"/>
    </row>
    <row r="39">
      <c r="D39" s="160"/>
      <c r="F39" s="160"/>
    </row>
    <row r="40">
      <c r="D40" s="160"/>
      <c r="F40" s="160"/>
    </row>
    <row r="41">
      <c r="D41" s="160"/>
      <c r="F41" s="160"/>
    </row>
    <row r="42">
      <c r="D42" s="160"/>
      <c r="F42" s="160"/>
    </row>
    <row r="43">
      <c r="D43" s="160"/>
      <c r="F43" s="160"/>
    </row>
    <row r="44">
      <c r="D44" s="160"/>
      <c r="F44" s="160"/>
    </row>
  </sheetData>
  <drawing r:id="rId2"/>
  <legacyDrawing r:id="rId3"/>
</worksheet>
</file>