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584\OneDrive\바탕 화면\게임\로아\"/>
    </mc:Choice>
  </mc:AlternateContent>
  <xr:revisionPtr revIDLastSave="0" documentId="13_ncr:1_{4941F96D-52F8-463B-B458-91DB4C6733B4}" xr6:coauthVersionLast="47" xr6:coauthVersionMax="47" xr10:uidLastSave="{00000000-0000-0000-0000-000000000000}"/>
  <bookViews>
    <workbookView xWindow="1200" yWindow="468" windowWidth="28176" windowHeight="15780" firstSheet="2" activeTab="2" xr2:uid="{E3B0E332-2990-4ED0-ADDA-7627117A64BA}"/>
  </bookViews>
  <sheets>
    <sheet name="Sheet1" sheetId="1" r:id="rId1"/>
    <sheet name="계산기" sheetId="2" r:id="rId2"/>
    <sheet name="계산기 (리뉴얼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4" l="1"/>
  <c r="B103" i="4"/>
  <c r="R9" i="4" l="1"/>
  <c r="Q5" i="4"/>
  <c r="G16" i="4"/>
  <c r="G20" i="4" s="1"/>
  <c r="Q8" i="4"/>
  <c r="Q7" i="4"/>
  <c r="M10" i="4"/>
  <c r="M6" i="4"/>
  <c r="G5" i="4"/>
  <c r="G4" i="4"/>
  <c r="B101" i="4" s="1"/>
  <c r="M3" i="4"/>
  <c r="G1" i="4"/>
  <c r="I24" i="2"/>
  <c r="I23" i="2"/>
  <c r="I20" i="2"/>
  <c r="I19" i="2"/>
  <c r="F20" i="2"/>
  <c r="G4" i="2" l="1"/>
  <c r="M7" i="2"/>
  <c r="M8" i="2" s="1"/>
  <c r="L5" i="2"/>
  <c r="M10" i="2"/>
  <c r="M9" i="2"/>
  <c r="M6" i="2"/>
  <c r="M3" i="2"/>
  <c r="E30" i="1" l="1"/>
  <c r="G5" i="2"/>
  <c r="G3" i="2"/>
  <c r="G1" i="2"/>
  <c r="Q32" i="1"/>
  <c r="P32" i="1"/>
  <c r="P33" i="1"/>
  <c r="T27" i="1"/>
  <c r="Q18" i="1"/>
  <c r="T22" i="1"/>
  <c r="W14" i="1"/>
  <c r="W15" i="1" s="1"/>
  <c r="K31" i="1"/>
  <c r="U16" i="1"/>
  <c r="N7" i="1"/>
  <c r="N6" i="1"/>
  <c r="L6" i="1"/>
  <c r="G10" i="2" l="1"/>
  <c r="M5" i="2" s="1"/>
  <c r="K30" i="1"/>
  <c r="K29" i="1"/>
  <c r="E31" i="1"/>
  <c r="G30" i="1"/>
  <c r="D28" i="1"/>
  <c r="D27" i="1"/>
  <c r="U15" i="1"/>
  <c r="R15" i="1"/>
  <c r="G17" i="1"/>
  <c r="B17" i="1"/>
  <c r="G15" i="1"/>
  <c r="G14" i="1"/>
  <c r="H9" i="1"/>
  <c r="H14" i="1" s="1"/>
  <c r="B14" i="1"/>
  <c r="C9" i="1"/>
  <c r="C14" i="1" s="1"/>
  <c r="M4" i="2" l="1"/>
  <c r="M12" i="2" l="1"/>
  <c r="E3" i="4"/>
  <c r="G3" i="4" s="1"/>
  <c r="G10" i="4" l="1"/>
  <c r="O5" i="4" s="1"/>
  <c r="B105" i="4"/>
  <c r="I100" i="4" s="1"/>
  <c r="P4" i="4"/>
  <c r="M12" i="4" l="1"/>
</calcChain>
</file>

<file path=xl/sharedStrings.xml><?xml version="1.0" encoding="utf-8"?>
<sst xmlns="http://schemas.openxmlformats.org/spreadsheetml/2006/main" count="124" uniqueCount="91">
  <si>
    <t>각인 효율 계산</t>
    <phoneticPr fontId="1" type="noConversion"/>
  </si>
  <si>
    <t>돌대</t>
    <phoneticPr fontId="1" type="noConversion"/>
  </si>
  <si>
    <t>갈망10%</t>
    <phoneticPr fontId="1" type="noConversion"/>
  </si>
  <si>
    <t>40*0.45=18</t>
    <phoneticPr fontId="1" type="noConversion"/>
  </si>
  <si>
    <t>딜증 18%</t>
    <phoneticPr fontId="1" type="noConversion"/>
  </si>
  <si>
    <t>예둔</t>
    <phoneticPr fontId="1" type="noConversion"/>
  </si>
  <si>
    <t>아드</t>
    <phoneticPr fontId="1" type="noConversion"/>
  </si>
  <si>
    <t>공격력6%+치적15%</t>
    <phoneticPr fontId="1" type="noConversion"/>
  </si>
  <si>
    <t>공격력6%+딜증12%</t>
    <phoneticPr fontId="1" type="noConversion"/>
  </si>
  <si>
    <t>상급 소환사</t>
    <phoneticPr fontId="1" type="noConversion"/>
  </si>
  <si>
    <t>속성피해15%+구슬소모1감소</t>
    <phoneticPr fontId="1" type="noConversion"/>
  </si>
  <si>
    <t>모든 품질 70일 경우</t>
    <phoneticPr fontId="1" type="noConversion"/>
  </si>
  <si>
    <t>목걸이</t>
    <phoneticPr fontId="1" type="noConversion"/>
  </si>
  <si>
    <t>귀걸이</t>
    <phoneticPr fontId="1" type="noConversion"/>
  </si>
  <si>
    <t>반지</t>
    <phoneticPr fontId="1" type="noConversion"/>
  </si>
  <si>
    <t>물약</t>
    <phoneticPr fontId="1" type="noConversion"/>
  </si>
  <si>
    <t>카드수집</t>
    <phoneticPr fontId="1" type="noConversion"/>
  </si>
  <si>
    <t>펫</t>
    <phoneticPr fontId="1" type="noConversion"/>
  </si>
  <si>
    <t>팔찌</t>
    <phoneticPr fontId="1" type="noConversion"/>
  </si>
  <si>
    <t>모든 품질 90일 경우</t>
    <phoneticPr fontId="1" type="noConversion"/>
  </si>
  <si>
    <t>치적</t>
    <phoneticPr fontId="1" type="noConversion"/>
  </si>
  <si>
    <t>공이속</t>
    <phoneticPr fontId="1" type="noConversion"/>
  </si>
  <si>
    <t>쿨감</t>
    <phoneticPr fontId="1" type="noConversion"/>
  </si>
  <si>
    <t xml:space="preserve">환각 </t>
    <phoneticPr fontId="1" type="noConversion"/>
  </si>
  <si>
    <t>빛성</t>
    <phoneticPr fontId="1" type="noConversion"/>
  </si>
  <si>
    <t>신속 1747에서 이속 30%</t>
    <phoneticPr fontId="1" type="noConversion"/>
  </si>
  <si>
    <t>아드없는 치적은</t>
    <phoneticPr fontId="1" type="noConversion"/>
  </si>
  <si>
    <t>아드 치적</t>
    <phoneticPr fontId="1" type="noConversion"/>
  </si>
  <si>
    <t>딜증</t>
    <phoneticPr fontId="1" type="noConversion"/>
  </si>
  <si>
    <t>기본 공격력</t>
    <phoneticPr fontId="1" type="noConversion"/>
  </si>
  <si>
    <t>아드공격력</t>
    <phoneticPr fontId="1" type="noConversion"/>
  </si>
  <si>
    <t>저받+아드</t>
    <phoneticPr fontId="1" type="noConversion"/>
  </si>
  <si>
    <t>단독으로는 18%</t>
    <phoneticPr fontId="1" type="noConversion"/>
  </si>
  <si>
    <t>갈망이 없다면?</t>
    <phoneticPr fontId="1" type="noConversion"/>
  </si>
  <si>
    <t>30*0.45=13.5</t>
    <phoneticPr fontId="1" type="noConversion"/>
  </si>
  <si>
    <t>딜증가</t>
    <phoneticPr fontId="1" type="noConversion"/>
  </si>
  <si>
    <t>아드+질량증가</t>
    <phoneticPr fontId="1" type="noConversion"/>
  </si>
  <si>
    <t>바드 공격력 31537</t>
    <phoneticPr fontId="1" type="noConversion"/>
  </si>
  <si>
    <t>바드의 공격력 15%</t>
    <phoneticPr fontId="1" type="noConversion"/>
  </si>
  <si>
    <t>본인 공격력 6%</t>
    <phoneticPr fontId="1" type="noConversion"/>
  </si>
  <si>
    <t>공증 시너지</t>
    <phoneticPr fontId="1" type="noConversion"/>
  </si>
  <si>
    <t>바드 천상</t>
    <phoneticPr fontId="1" type="noConversion"/>
  </si>
  <si>
    <t>[(공격력+바드공격력*0.15)*1.06*각인공격력</t>
    <phoneticPr fontId="1" type="noConversion"/>
  </si>
  <si>
    <t>측정값</t>
    <phoneticPr fontId="1" type="noConversion"/>
  </si>
  <si>
    <t>공증 자버프</t>
    <phoneticPr fontId="1" type="noConversion"/>
  </si>
  <si>
    <t>공증자버프+아드1스택</t>
    <phoneticPr fontId="1" type="noConversion"/>
  </si>
  <si>
    <t>바드 공격력 32752</t>
    <phoneticPr fontId="1" type="noConversion"/>
  </si>
  <si>
    <t>공증버프+아드6스택</t>
    <phoneticPr fontId="1" type="noConversion"/>
  </si>
  <si>
    <t>공격력 - 합연산</t>
    <phoneticPr fontId="1" type="noConversion"/>
  </si>
  <si>
    <t>예) 아드6%, 저받16%의 경우 1+1*0.06+1*0.16</t>
    <phoneticPr fontId="1" type="noConversion"/>
  </si>
  <si>
    <t>주는피해 - 곱연산</t>
    <phoneticPr fontId="1" type="noConversion"/>
  </si>
  <si>
    <t>예) 원한 20%, 돌대 18%의 경우 1*1.2*1.18</t>
    <phoneticPr fontId="1" type="noConversion"/>
  </si>
  <si>
    <t>추가피해 - 합연산</t>
    <phoneticPr fontId="1" type="noConversion"/>
  </si>
  <si>
    <t>공격력과 동일</t>
    <phoneticPr fontId="1" type="noConversion"/>
  </si>
  <si>
    <t>치명타 피해 - 합연산</t>
    <phoneticPr fontId="1" type="noConversion"/>
  </si>
  <si>
    <t>다른것과 동일하나 200%에서 시작하기 때문에 효율 급감</t>
    <phoneticPr fontId="1" type="noConversion"/>
  </si>
  <si>
    <t>다른 것들 끼리는 무조건 곱연산</t>
    <phoneticPr fontId="1" type="noConversion"/>
  </si>
  <si>
    <t>쿨감은 대부분 곱연산</t>
    <phoneticPr fontId="1" type="noConversion"/>
  </si>
  <si>
    <t>단심은 신속과 합연산</t>
    <phoneticPr fontId="1" type="noConversion"/>
  </si>
  <si>
    <t>쿨감의 이론적 딜 증가율 : 100% / (100%-쿨감%)</t>
    <phoneticPr fontId="1" type="noConversion"/>
  </si>
  <si>
    <t>치명 특성</t>
    <phoneticPr fontId="1" type="noConversion"/>
  </si>
  <si>
    <t>환각세트레벨</t>
    <phoneticPr fontId="1" type="noConversion"/>
  </si>
  <si>
    <t>아드 레벨</t>
    <phoneticPr fontId="1" type="noConversion"/>
  </si>
  <si>
    <t>빛의성장 레벨</t>
    <phoneticPr fontId="1" type="noConversion"/>
  </si>
  <si>
    <t>원한</t>
    <phoneticPr fontId="1" type="noConversion"/>
  </si>
  <si>
    <t>이동속도</t>
    <phoneticPr fontId="1" type="noConversion"/>
  </si>
  <si>
    <t>질량증가</t>
    <phoneticPr fontId="1" type="noConversion"/>
  </si>
  <si>
    <t>타격의 대가</t>
    <phoneticPr fontId="1" type="noConversion"/>
  </si>
  <si>
    <t>저주받은 인형</t>
    <phoneticPr fontId="1" type="noConversion"/>
  </si>
  <si>
    <t>돌격대장</t>
    <phoneticPr fontId="1" type="noConversion"/>
  </si>
  <si>
    <t>아드레날린</t>
    <phoneticPr fontId="1" type="noConversion"/>
  </si>
  <si>
    <t>예리한 둔기</t>
    <phoneticPr fontId="1" type="noConversion"/>
  </si>
  <si>
    <t>최종 딜상승</t>
    <phoneticPr fontId="1" type="noConversion"/>
  </si>
  <si>
    <t>환각2레벨</t>
    <phoneticPr fontId="1" type="noConversion"/>
  </si>
  <si>
    <t>예</t>
    <phoneticPr fontId="1" type="noConversion"/>
  </si>
  <si>
    <t>아</t>
    <phoneticPr fontId="1" type="noConversion"/>
  </si>
  <si>
    <t>환각3레벨</t>
    <phoneticPr fontId="1" type="noConversion"/>
  </si>
  <si>
    <t>주는피해</t>
    <phoneticPr fontId="1" type="noConversion"/>
  </si>
  <si>
    <t>추가피해</t>
    <phoneticPr fontId="1" type="noConversion"/>
  </si>
  <si>
    <t>치적효율</t>
    <phoneticPr fontId="1" type="noConversion"/>
  </si>
  <si>
    <t>치피효율</t>
    <phoneticPr fontId="1" type="noConversion"/>
  </si>
  <si>
    <t>공격력</t>
    <phoneticPr fontId="1" type="noConversion"/>
  </si>
  <si>
    <t>치피</t>
    <phoneticPr fontId="1" type="noConversion"/>
  </si>
  <si>
    <t>기본</t>
    <phoneticPr fontId="1" type="noConversion"/>
  </si>
  <si>
    <t>속성피해</t>
    <phoneticPr fontId="1" type="noConversion"/>
  </si>
  <si>
    <t>치적, 치피 딜 증가율 계산기</t>
    <phoneticPr fontId="1" type="noConversion"/>
  </si>
  <si>
    <t>현재 딜 1 가정</t>
    <phoneticPr fontId="1" type="noConversion"/>
  </si>
  <si>
    <t>현재치적</t>
    <phoneticPr fontId="1" type="noConversion"/>
  </si>
  <si>
    <t>현재치피</t>
    <phoneticPr fontId="1" type="noConversion"/>
  </si>
  <si>
    <t>상승치적</t>
    <phoneticPr fontId="1" type="noConversion"/>
  </si>
  <si>
    <t>상승치피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</si>
</sst>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NumberFormat="1" applyProtection="1">
      <alignment vertical="center"/>
      <protection hidden="1"/>
    </xf>
    <xf numFmtId="10" fontId="0" fillId="0" borderId="0" xfId="0" applyNumberFormat="1" applyProtection="1">
      <alignment vertical="center"/>
      <protection hidden="1"/>
    </xf>
    <xf numFmtId="9" fontId="0" fillId="0" borderId="0" xfId="0" applyNumberFormat="1" applyProtection="1">
      <alignment vertical="center"/>
      <protection hidden="1"/>
    </xf>
    <xf numFmtId="9" fontId="0" fillId="0" borderId="0" xfId="1" applyNumberFormat="1" applyFont="1" applyProtection="1">
      <alignment vertical="center"/>
      <protection hidden="1"/>
    </xf>
    <xf numFmtId="10" fontId="0" fillId="0" borderId="0" xfId="1" applyNumberFormat="1" applyFont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E705-2883-4529-AB35-39232B12B0D6}">
  <dimension ref="A1:W45"/>
  <sheetViews>
    <sheetView workbookViewId="0">
      <selection activeCell="M28" sqref="M28"/>
    </sheetView>
  </sheetViews>
  <sheetFormatPr defaultRowHeight="17.399999999999999" x14ac:dyDescent="0.4"/>
  <sheetData>
    <row r="1" spans="1:23" x14ac:dyDescent="0.4">
      <c r="A1" t="s">
        <v>0</v>
      </c>
      <c r="E1" t="s">
        <v>20</v>
      </c>
      <c r="F1" t="s">
        <v>23</v>
      </c>
      <c r="G1">
        <v>25</v>
      </c>
      <c r="H1" t="s">
        <v>24</v>
      </c>
      <c r="I1">
        <v>11.8</v>
      </c>
      <c r="J1" t="s">
        <v>6</v>
      </c>
      <c r="K1">
        <v>15</v>
      </c>
    </row>
    <row r="3" spans="1:23" x14ac:dyDescent="0.4">
      <c r="A3" t="s">
        <v>11</v>
      </c>
      <c r="F3" t="s">
        <v>19</v>
      </c>
    </row>
    <row r="4" spans="1:23" x14ac:dyDescent="0.4">
      <c r="A4" t="s">
        <v>12</v>
      </c>
      <c r="B4">
        <v>470</v>
      </c>
      <c r="C4">
        <v>470</v>
      </c>
      <c r="F4" t="s">
        <v>12</v>
      </c>
      <c r="G4">
        <v>490</v>
      </c>
      <c r="H4">
        <v>490</v>
      </c>
    </row>
    <row r="5" spans="1:23" x14ac:dyDescent="0.4">
      <c r="A5" t="s">
        <v>13</v>
      </c>
      <c r="C5">
        <v>282</v>
      </c>
      <c r="F5" t="s">
        <v>13</v>
      </c>
      <c r="H5">
        <v>294</v>
      </c>
    </row>
    <row r="6" spans="1:23" x14ac:dyDescent="0.4">
      <c r="A6" t="s">
        <v>13</v>
      </c>
      <c r="C6">
        <v>282</v>
      </c>
      <c r="F6" t="s">
        <v>13</v>
      </c>
      <c r="H6">
        <v>294</v>
      </c>
      <c r="L6">
        <f>1.99+3.41</f>
        <v>5.4</v>
      </c>
      <c r="N6">
        <f>2.51+5.76</f>
        <v>8.27</v>
      </c>
    </row>
    <row r="7" spans="1:23" x14ac:dyDescent="0.4">
      <c r="A7" t="s">
        <v>14</v>
      </c>
      <c r="C7">
        <v>188</v>
      </c>
      <c r="F7" t="s">
        <v>14</v>
      </c>
      <c r="H7">
        <v>196</v>
      </c>
      <c r="N7">
        <f>N6-L6+0.21</f>
        <v>3.0799999999999992</v>
      </c>
    </row>
    <row r="8" spans="1:23" x14ac:dyDescent="0.4">
      <c r="A8" t="s">
        <v>14</v>
      </c>
      <c r="C8">
        <v>188</v>
      </c>
      <c r="F8" t="s">
        <v>14</v>
      </c>
      <c r="H8">
        <v>196</v>
      </c>
    </row>
    <row r="9" spans="1:23" x14ac:dyDescent="0.4">
      <c r="B9">
        <v>470</v>
      </c>
      <c r="C9">
        <f>SUM(C4:C8)</f>
        <v>1410</v>
      </c>
      <c r="G9">
        <v>490</v>
      </c>
      <c r="H9">
        <f>SUM(H4:H8)</f>
        <v>1470</v>
      </c>
    </row>
    <row r="10" spans="1:23" x14ac:dyDescent="0.4">
      <c r="A10" t="s">
        <v>15</v>
      </c>
      <c r="B10">
        <v>20</v>
      </c>
      <c r="C10">
        <v>24</v>
      </c>
      <c r="F10" t="s">
        <v>15</v>
      </c>
      <c r="G10">
        <v>20</v>
      </c>
      <c r="H10">
        <v>24</v>
      </c>
    </row>
    <row r="11" spans="1:23" x14ac:dyDescent="0.4">
      <c r="A11" t="s">
        <v>16</v>
      </c>
      <c r="B11">
        <v>31</v>
      </c>
      <c r="C11">
        <v>30</v>
      </c>
      <c r="F11" t="s">
        <v>16</v>
      </c>
      <c r="G11">
        <v>31</v>
      </c>
      <c r="H11">
        <v>30</v>
      </c>
    </row>
    <row r="12" spans="1:23" x14ac:dyDescent="0.4">
      <c r="A12" t="s">
        <v>18</v>
      </c>
      <c r="B12">
        <v>70</v>
      </c>
      <c r="C12">
        <v>100</v>
      </c>
      <c r="F12" t="s">
        <v>18</v>
      </c>
      <c r="G12">
        <v>70</v>
      </c>
      <c r="H12">
        <v>100</v>
      </c>
      <c r="R12">
        <v>6</v>
      </c>
    </row>
    <row r="13" spans="1:23" x14ac:dyDescent="0.4">
      <c r="A13" t="s">
        <v>17</v>
      </c>
      <c r="C13" s="1">
        <v>0.1</v>
      </c>
      <c r="F13" t="s">
        <v>17</v>
      </c>
      <c r="H13" s="1">
        <v>0.1</v>
      </c>
      <c r="O13" t="s">
        <v>29</v>
      </c>
      <c r="R13" t="s">
        <v>30</v>
      </c>
      <c r="U13" t="s">
        <v>31</v>
      </c>
      <c r="W13" t="s">
        <v>36</v>
      </c>
    </row>
    <row r="14" spans="1:23" x14ac:dyDescent="0.4">
      <c r="B14">
        <f>SUM(B9:B12)</f>
        <v>591</v>
      </c>
      <c r="C14">
        <f>SUM(C9:C12)*1.1</f>
        <v>1720.4</v>
      </c>
      <c r="G14">
        <f>SUM(G9:G12)</f>
        <v>611</v>
      </c>
      <c r="H14">
        <f>SUM(H9:H12)*1.1</f>
        <v>1786.4</v>
      </c>
      <c r="O14">
        <v>34634</v>
      </c>
      <c r="R14">
        <v>36712</v>
      </c>
      <c r="U14">
        <v>42254</v>
      </c>
      <c r="W14">
        <f>R14+O14*0.18</f>
        <v>42946.12</v>
      </c>
    </row>
    <row r="15" spans="1:23" x14ac:dyDescent="0.4">
      <c r="B15">
        <v>21.15</v>
      </c>
      <c r="G15">
        <f>21.86</f>
        <v>21.86</v>
      </c>
      <c r="R15">
        <f>O14*1.06</f>
        <v>36712.04</v>
      </c>
      <c r="U15">
        <f>O14*1.06*1.16</f>
        <v>42585.966399999998</v>
      </c>
      <c r="W15">
        <f>W14/R14</f>
        <v>1.1698115057746787</v>
      </c>
    </row>
    <row r="16" spans="1:23" x14ac:dyDescent="0.4">
      <c r="U16">
        <f>U14/R14</f>
        <v>1.1509588145565484</v>
      </c>
    </row>
    <row r="17" spans="1:22" x14ac:dyDescent="0.4">
      <c r="A17" t="s">
        <v>20</v>
      </c>
      <c r="B17">
        <f>B15+G1+I1+K1</f>
        <v>72.95</v>
      </c>
      <c r="G17">
        <f>G15+G1+I1+K1</f>
        <v>73.66</v>
      </c>
      <c r="L17" t="s">
        <v>47</v>
      </c>
      <c r="O17" t="s">
        <v>44</v>
      </c>
      <c r="Q17" t="s">
        <v>45</v>
      </c>
    </row>
    <row r="18" spans="1:22" x14ac:dyDescent="0.4">
      <c r="A18" t="s">
        <v>21</v>
      </c>
      <c r="B18">
        <v>29.54</v>
      </c>
      <c r="G18">
        <v>30.68</v>
      </c>
      <c r="L18">
        <v>53013</v>
      </c>
      <c r="O18">
        <v>50012</v>
      </c>
      <c r="Q18">
        <f>34634*1.444*1.01</f>
        <v>50511.610959999998</v>
      </c>
    </row>
    <row r="19" spans="1:22" x14ac:dyDescent="0.4">
      <c r="A19" t="s">
        <v>22</v>
      </c>
      <c r="B19">
        <v>36.93</v>
      </c>
      <c r="G19">
        <v>38.35</v>
      </c>
    </row>
    <row r="20" spans="1:22" x14ac:dyDescent="0.4">
      <c r="T20" t="s">
        <v>37</v>
      </c>
    </row>
    <row r="21" spans="1:22" x14ac:dyDescent="0.4">
      <c r="A21" t="s">
        <v>1</v>
      </c>
      <c r="E21" t="s">
        <v>5</v>
      </c>
      <c r="I21" t="s">
        <v>6</v>
      </c>
      <c r="N21" t="s">
        <v>9</v>
      </c>
      <c r="T21" t="s">
        <v>38</v>
      </c>
      <c r="V21" t="s">
        <v>39</v>
      </c>
    </row>
    <row r="22" spans="1:22" x14ac:dyDescent="0.4">
      <c r="A22" t="s">
        <v>25</v>
      </c>
      <c r="E22" t="s">
        <v>20</v>
      </c>
      <c r="F22">
        <v>0.72950000000000004</v>
      </c>
      <c r="I22" t="s">
        <v>7</v>
      </c>
      <c r="N22" t="s">
        <v>10</v>
      </c>
      <c r="T22">
        <f>31537*0.15</f>
        <v>4730.55</v>
      </c>
    </row>
    <row r="23" spans="1:22" x14ac:dyDescent="0.4">
      <c r="A23" t="s">
        <v>2</v>
      </c>
      <c r="E23" t="s">
        <v>35</v>
      </c>
      <c r="F23">
        <v>18.66</v>
      </c>
      <c r="I23" t="s">
        <v>26</v>
      </c>
      <c r="K23" s="2">
        <v>0.57950000000000002</v>
      </c>
      <c r="L23">
        <v>0.58660000000000001</v>
      </c>
    </row>
    <row r="24" spans="1:22" x14ac:dyDescent="0.4">
      <c r="A24" t="s">
        <v>3</v>
      </c>
      <c r="I24" t="s">
        <v>27</v>
      </c>
      <c r="K24">
        <v>0.72950000000000004</v>
      </c>
      <c r="L24">
        <v>0.73660000000000003</v>
      </c>
    </row>
    <row r="25" spans="1:22" x14ac:dyDescent="0.4">
      <c r="I25" t="s">
        <v>28</v>
      </c>
      <c r="K25" s="3">
        <v>0.114</v>
      </c>
      <c r="L25">
        <v>11.34</v>
      </c>
      <c r="P25" t="s">
        <v>46</v>
      </c>
      <c r="T25" t="s">
        <v>43</v>
      </c>
      <c r="U25">
        <v>44230</v>
      </c>
    </row>
    <row r="26" spans="1:22" x14ac:dyDescent="0.4">
      <c r="A26" t="s">
        <v>4</v>
      </c>
      <c r="I26" t="s">
        <v>8</v>
      </c>
    </row>
    <row r="27" spans="1:22" x14ac:dyDescent="0.4">
      <c r="D27">
        <f>29.54*0.45</f>
        <v>13.292999999999999</v>
      </c>
      <c r="I27" t="s">
        <v>32</v>
      </c>
      <c r="T27">
        <f>(O14+T22)*1.06*1.06</f>
        <v>44230.008380000007</v>
      </c>
    </row>
    <row r="28" spans="1:22" x14ac:dyDescent="0.4">
      <c r="A28" t="s">
        <v>33</v>
      </c>
      <c r="D28">
        <f>39.54*0.45</f>
        <v>17.792999999999999</v>
      </c>
      <c r="Q28">
        <v>61293</v>
      </c>
      <c r="T28" t="s">
        <v>40</v>
      </c>
    </row>
    <row r="29" spans="1:22" x14ac:dyDescent="0.4">
      <c r="A29" t="s">
        <v>34</v>
      </c>
      <c r="K29">
        <f>1.7295/1.5795</f>
        <v>1.0949667616334284</v>
      </c>
      <c r="T29" t="s">
        <v>41</v>
      </c>
    </row>
    <row r="30" spans="1:22" x14ac:dyDescent="0.4">
      <c r="E30">
        <f>((1*$F$22*250/100+1*(1-$F$22))*0.98)/(1+$F$22)</f>
        <v>1.186681121711477</v>
      </c>
      <c r="G30">
        <f>((1*K23*250/100+1*(1-K23))*0.98)/(1+K23)</f>
        <v>1.159775245330801</v>
      </c>
      <c r="K30">
        <f>9.4967+2.6906</f>
        <v>12.1873</v>
      </c>
      <c r="P30" t="s">
        <v>43</v>
      </c>
      <c r="Q30">
        <v>64327</v>
      </c>
      <c r="T30" t="s">
        <v>42</v>
      </c>
    </row>
    <row r="31" spans="1:22" x14ac:dyDescent="0.4">
      <c r="E31">
        <f>E30-G30</f>
        <v>2.6905876380675986E-2</v>
      </c>
      <c r="K31">
        <f>1.06*1.1219</f>
        <v>1.189214</v>
      </c>
    </row>
    <row r="32" spans="1:22" x14ac:dyDescent="0.4">
      <c r="P32">
        <f>((Q18+32752*0.15))*1.06</f>
        <v>58749.875617600002</v>
      </c>
      <c r="Q32">
        <f>(O14+32752*0.15)*1.444*1.06*1.01</f>
        <v>61137.23309152</v>
      </c>
    </row>
    <row r="33" spans="2:16" x14ac:dyDescent="0.4">
      <c r="P33">
        <f>((O14+32752*0.15)*1.444*1.06*1.06)</f>
        <v>64163.828789120009</v>
      </c>
    </row>
    <row r="35" spans="2:16" x14ac:dyDescent="0.4">
      <c r="B35" t="s">
        <v>48</v>
      </c>
      <c r="D35" t="s">
        <v>49</v>
      </c>
    </row>
    <row r="36" spans="2:16" x14ac:dyDescent="0.4">
      <c r="B36" t="s">
        <v>50</v>
      </c>
      <c r="D36" t="s">
        <v>51</v>
      </c>
    </row>
    <row r="37" spans="2:16" x14ac:dyDescent="0.4">
      <c r="B37" t="s">
        <v>52</v>
      </c>
      <c r="D37" t="s">
        <v>53</v>
      </c>
    </row>
    <row r="38" spans="2:16" x14ac:dyDescent="0.4">
      <c r="B38" t="s">
        <v>54</v>
      </c>
      <c r="D38" t="s">
        <v>55</v>
      </c>
    </row>
    <row r="40" spans="2:16" x14ac:dyDescent="0.4">
      <c r="B40" t="s">
        <v>56</v>
      </c>
    </row>
    <row r="42" spans="2:16" x14ac:dyDescent="0.4">
      <c r="B42" t="s">
        <v>57</v>
      </c>
    </row>
    <row r="43" spans="2:16" x14ac:dyDescent="0.4">
      <c r="B43" t="s">
        <v>58</v>
      </c>
    </row>
    <row r="45" spans="2:16" x14ac:dyDescent="0.4">
      <c r="B45" t="s">
        <v>59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3FCC-1928-4426-9990-6273F0A9B15D}">
  <dimension ref="B1:Q24"/>
  <sheetViews>
    <sheetView workbookViewId="0">
      <selection activeCell="I23" sqref="I23"/>
    </sheetView>
  </sheetViews>
  <sheetFormatPr defaultRowHeight="17.399999999999999" x14ac:dyDescent="0.4"/>
  <cols>
    <col min="11" max="11" width="13" bestFit="1" customWidth="1"/>
  </cols>
  <sheetData>
    <row r="1" spans="2:17" x14ac:dyDescent="0.4">
      <c r="B1" t="s">
        <v>60</v>
      </c>
      <c r="E1">
        <v>600</v>
      </c>
      <c r="G1">
        <f>E1/27.94</f>
        <v>21.474588403722262</v>
      </c>
    </row>
    <row r="3" spans="2:17" x14ac:dyDescent="0.4">
      <c r="B3" t="s">
        <v>62</v>
      </c>
      <c r="E3">
        <v>2</v>
      </c>
      <c r="G3">
        <f>E3*5</f>
        <v>10</v>
      </c>
      <c r="K3" t="s">
        <v>64</v>
      </c>
      <c r="L3">
        <v>3</v>
      </c>
      <c r="M3" s="1">
        <f>IF(COUNTBLANK(L3)=1,0,IF(L3=1,4,IF(L3=2,10,IF(L3=3,20,0))))/100</f>
        <v>0.2</v>
      </c>
    </row>
    <row r="4" spans="2:17" x14ac:dyDescent="0.4">
      <c r="B4" t="s">
        <v>61</v>
      </c>
      <c r="E4">
        <v>3</v>
      </c>
      <c r="G4">
        <f>IF(E4=1,20,IF(E4=2,25,IF(E4=3,28,0)))</f>
        <v>28</v>
      </c>
      <c r="K4" t="s">
        <v>71</v>
      </c>
      <c r="L4">
        <v>3</v>
      </c>
      <c r="M4" s="3">
        <f>IF(COUNTBLANK(L4)=1,0,IF(L4=0,0,(((1*G10/100*IF(L4=3,250,IF(L4=2,225,IF(L4=1,210,1)))/100+1*(1-G10/100))*0.98)/(1+G10/100)-1)))</f>
        <v>0.18390969053448281</v>
      </c>
    </row>
    <row r="5" spans="2:17" x14ac:dyDescent="0.4">
      <c r="B5" t="s">
        <v>63</v>
      </c>
      <c r="E5">
        <v>5</v>
      </c>
      <c r="G5">
        <f>IF(E5=5,11.8,IF(E5=4,10.3,IF(E5=3,8.9,IF(E5=2,7.4,IF(E5=1,6,0)))))</f>
        <v>11.8</v>
      </c>
      <c r="K5" t="s">
        <v>70</v>
      </c>
      <c r="L5">
        <f>E3</f>
        <v>2</v>
      </c>
      <c r="M5" s="3">
        <f>((IF(COUNTBLANK(L5)=1,0,(IF(L5=0,0,((G10/100+1)/(SUM(G1,G2,G4,G5,G6,G7,G8,G9)/100+1)-1)*IF(COUNTBLANK(L4)=1,1,IF(L4=1,1.04,IF(L4=2,1.1,IF(L4=3,1.2,1)))))))+1)*((1+IF(COUNTBLANK(L7)=1,0,IF(L7=0,0,IF(L7=1,0.03,IF(L7=2,0.08,IF(L7=3,0.16,0)))))+IF(COUNTBLANK(L8)=1,0,IF(L8=0,0,IF(L8=1,0.04,IF(L8=2,0.1,IF(L8=3,0.18,0)))))+(IF(COUNTBLANK(L5)=1,0,IF(L5=0,0,IF(L5=1,0.018,IF(L5=2,0.036,IF(L5=3,0.06,FALSE)))))))/(1+IF(COUNTBLANK(L7)=1,0,IF(L7=0,0,IF(L7=1,0.03,IF(L7=2,0.08,IF(L7=3,0.16,0)))))+IF(COUNTBLANK(L8)=1,0,IF(L8=0,0,IF(L8=1,0.04,IF(L8=2,0.1,IF(L8=3,0.18,0)))))))-1)</f>
        <v>0.10718578510183807</v>
      </c>
    </row>
    <row r="6" spans="2:17" x14ac:dyDescent="0.4">
      <c r="K6" t="s">
        <v>69</v>
      </c>
      <c r="L6">
        <v>3</v>
      </c>
      <c r="M6" s="3">
        <f>IF(COUNTBLANK(L6)=1,0,IF(L6=0,0,IF(L6=1,D12*0.1,IF(L6=2,D12*0.22,IF(L6=3,D12*0.45,FALSE)))))/100</f>
        <v>0.18</v>
      </c>
    </row>
    <row r="7" spans="2:17" x14ac:dyDescent="0.4">
      <c r="K7" t="s">
        <v>68</v>
      </c>
      <c r="M7" s="3">
        <f>((1+IF(COUNTBLANK(L7)=1,0,IF(L7=0,0,IF(L7=1,0.03,IF(L7=2,0.08,IF(L7=3,0.16,0)))))+IF(COUNTBLANK(L8)=1,0,IF(L8=0,0,IF(L8=1,0.04,IF(L8=2,0.1,IF(L8=3,0.18,0)))))+(IF(COUNTBLANK(L5)=1,0,IF(L5=0,0,IF(L5=1,0.018,IF(L5=2,0.036,IF(L5=3,0.06,FALSE)))))))/(1+IF(COUNTBLANK(L8)=1,0,IF(L8=0,0,IF(L8=1,0.04,IF(L8=2,0.1,IF(L8=3,0.18,0)))))+(IF(COUNTBLANK(L5)=1,0,IF(L5=0,0,IF(L5=1,0.018,IF(L5=2,0.036,IF(L5=3,0.06,FALSE)))))))-1)</f>
        <v>0</v>
      </c>
      <c r="Q7" s="2"/>
    </row>
    <row r="8" spans="2:17" x14ac:dyDescent="0.4">
      <c r="K8" t="s">
        <v>66</v>
      </c>
      <c r="L8">
        <v>3</v>
      </c>
      <c r="M8" s="3">
        <f>(((IF(COUNTBLANK(L8)=1,0,IF(L8=0,0,IF(L8=1,4,IF(L8=2,10,IF(L8=3,18,0)))))/100)+M7+(IF(COUNTBLANK(L5)=1,0,IF(L5=0,0,IF(L5=1,0.018,IF(L5=2,0.036,IF(L5=3,0.06,FALSE))))))+1)/(M7+(IF(COUNTBLANK(L5)=1,0,IF(L5=0,0,IF(L5=1,0.018,IF(L5=2,0.036,IF(L5=3,0.06,FALSE))))))+1))-1</f>
        <v>0.17374517374517362</v>
      </c>
    </row>
    <row r="9" spans="2:17" x14ac:dyDescent="0.4">
      <c r="K9" t="s">
        <v>9</v>
      </c>
      <c r="L9">
        <v>1</v>
      </c>
      <c r="M9" s="1">
        <f>IF(COUNTBLANK(L9)=1,0,L9*5)/100</f>
        <v>0.05</v>
      </c>
    </row>
    <row r="10" spans="2:17" x14ac:dyDescent="0.4">
      <c r="G10">
        <f>SUM(G1:G9)</f>
        <v>71.274588403722262</v>
      </c>
      <c r="K10" t="s">
        <v>67</v>
      </c>
      <c r="M10" s="1">
        <f>IF(COUNTBLANK(L10)=1,0,IF(L10=0,0,IF(L10=1,0.03,IF(L10=2,0.08,IF(L10=3,0.16,0)))))</f>
        <v>0</v>
      </c>
    </row>
    <row r="12" spans="2:17" x14ac:dyDescent="0.4">
      <c r="B12" t="s">
        <v>65</v>
      </c>
      <c r="D12">
        <v>40</v>
      </c>
      <c r="K12" t="s">
        <v>72</v>
      </c>
      <c r="M12" s="3">
        <f>IF(M3=0,1,M3+1)*IF(M4=0,1,M4+1)*IF(M5=0,1,M5+1)*IF(M6=0,1,M6+1)*IF(M7=0,1,M7+1)*IF(M8=0,1,M8+1)*IF(M9=0,1,M9+1)*IF(M10=0,1,M10+1)-1</f>
        <v>1.2875228907726042</v>
      </c>
    </row>
    <row r="17" spans="2:9" x14ac:dyDescent="0.4">
      <c r="E17">
        <v>333331</v>
      </c>
    </row>
    <row r="19" spans="2:9" x14ac:dyDescent="0.4">
      <c r="B19" t="s">
        <v>73</v>
      </c>
      <c r="E19" t="s">
        <v>74</v>
      </c>
      <c r="F19">
        <v>18.72</v>
      </c>
      <c r="G19">
        <v>17.88</v>
      </c>
      <c r="I19">
        <f>1*1.2*1.18*1.1872*1.15*1.1272594*1.06</f>
        <v>2.3100145341730869</v>
      </c>
    </row>
    <row r="20" spans="2:9" x14ac:dyDescent="0.4">
      <c r="E20" t="s">
        <v>75</v>
      </c>
      <c r="F20">
        <f>12.0056*1.06</f>
        <v>12.725936000000001</v>
      </c>
      <c r="G20">
        <v>8.0038</v>
      </c>
      <c r="I20">
        <f>1*1.2*1.18*1.1788*1.05*1.080038*(1.036+0.18)</f>
        <v>2.3017878350569267</v>
      </c>
    </row>
    <row r="23" spans="2:9" x14ac:dyDescent="0.4">
      <c r="B23" t="s">
        <v>76</v>
      </c>
      <c r="E23" t="s">
        <v>74</v>
      </c>
      <c r="F23">
        <v>19.2</v>
      </c>
      <c r="I23">
        <f>1*1.2*1.18*1.192*1.15*1.1172414*1.06</f>
        <v>2.2987420206106748</v>
      </c>
    </row>
    <row r="24" spans="2:9" x14ac:dyDescent="0.4">
      <c r="E24" t="s">
        <v>75</v>
      </c>
      <c r="F24">
        <v>11.7241</v>
      </c>
      <c r="G24">
        <v>0.1078161</v>
      </c>
      <c r="I24">
        <f>1*1.2*1.18*1.1839*1.05*1.1078161*(1.036+0.18)</f>
        <v>2.3712034622421032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E926-F998-4D6E-8A2F-D081C035D90B}">
  <dimension ref="A1:R107"/>
  <sheetViews>
    <sheetView tabSelected="1" workbookViewId="0">
      <selection activeCell="H18" sqref="H18"/>
    </sheetView>
  </sheetViews>
  <sheetFormatPr defaultRowHeight="17.399999999999999" x14ac:dyDescent="0.4"/>
  <cols>
    <col min="1" max="10" width="8.796875" style="8"/>
    <col min="11" max="11" width="13" style="8" bestFit="1" customWidth="1"/>
    <col min="12" max="14" width="8.796875" style="8"/>
    <col min="15" max="15" width="11.3984375" style="8" bestFit="1" customWidth="1"/>
    <col min="16" max="16384" width="8.796875" style="8"/>
  </cols>
  <sheetData>
    <row r="1" spans="2:18" x14ac:dyDescent="0.4">
      <c r="B1" s="8" t="s">
        <v>60</v>
      </c>
      <c r="E1" s="7">
        <v>600</v>
      </c>
      <c r="G1" s="8">
        <f>E1/27.94</f>
        <v>21.474588403722262</v>
      </c>
    </row>
    <row r="2" spans="2:18" x14ac:dyDescent="0.4">
      <c r="M2" s="8" t="s">
        <v>77</v>
      </c>
      <c r="N2" s="8" t="s">
        <v>78</v>
      </c>
      <c r="O2" s="8" t="s">
        <v>79</v>
      </c>
      <c r="P2" s="8" t="s">
        <v>80</v>
      </c>
      <c r="Q2" s="8" t="s">
        <v>81</v>
      </c>
      <c r="R2" s="8" t="s">
        <v>84</v>
      </c>
    </row>
    <row r="3" spans="2:18" x14ac:dyDescent="0.4">
      <c r="B3" s="8" t="s">
        <v>62</v>
      </c>
      <c r="E3" s="14">
        <f>L5</f>
        <v>3</v>
      </c>
      <c r="G3" s="8">
        <f>E3*5</f>
        <v>15</v>
      </c>
      <c r="K3" s="8" t="s">
        <v>64</v>
      </c>
      <c r="L3" s="4">
        <v>3</v>
      </c>
      <c r="M3" s="11">
        <f>IF(COUNTBLANK(L3)=1,0,IF(L3=1,4,IF(L3=2,10,IF(L3=3,20,0))))/100</f>
        <v>0.2</v>
      </c>
    </row>
    <row r="4" spans="2:18" x14ac:dyDescent="0.4">
      <c r="B4" s="8" t="s">
        <v>61</v>
      </c>
      <c r="E4" s="4">
        <v>3</v>
      </c>
      <c r="G4" s="8">
        <f>IF(E4=1,20,IF(E4=2,25,IF(E4=3,28,0)))</f>
        <v>28</v>
      </c>
      <c r="K4" s="8" t="s">
        <v>71</v>
      </c>
      <c r="L4" s="5">
        <v>3</v>
      </c>
      <c r="M4" s="10"/>
      <c r="P4" s="13">
        <f>IF(COUNTBLANK(L4)=1,0,IF(L4=0,0,(((1*G10/100*IF(L4=3,250,IF(L4=2,225,IF(L4=1,210,1)))/100+1*(1-G10/100))*0.98)/(1+G10/100)-1)))</f>
        <v>0.19202459558280105</v>
      </c>
    </row>
    <row r="5" spans="2:18" x14ac:dyDescent="0.4">
      <c r="B5" s="8" t="s">
        <v>63</v>
      </c>
      <c r="E5" s="6">
        <v>5</v>
      </c>
      <c r="G5" s="8">
        <f>IF(E5=5,11.8,IF(E5=4,10.3,IF(E5=3,8.9,IF(E5=2,7.4,IF(E5=1,6,0)))))</f>
        <v>11.8</v>
      </c>
      <c r="K5" s="8" t="s">
        <v>70</v>
      </c>
      <c r="L5" s="5">
        <v>3</v>
      </c>
      <c r="M5" s="10"/>
      <c r="O5" s="13">
        <f>IF(COUNTBLANK(L5)=1,0,IF(L5=0,0,((G10/100)*(G20/100)+(1-(G10/100)))/(((G10-G3)/100)*(G20/100)+(1-(G10-G3)/100))-1))</f>
        <v>0.11724130728393689</v>
      </c>
      <c r="Q5" s="13">
        <f>IF(COUNTBLANK(L5)=1,0,IF(L5=1,1.8,IF(L5=2,3.6,IF(L5=3,6,0))))/100</f>
        <v>0.06</v>
      </c>
    </row>
    <row r="6" spans="2:18" x14ac:dyDescent="0.4">
      <c r="K6" s="8" t="s">
        <v>69</v>
      </c>
      <c r="L6" s="5">
        <v>3</v>
      </c>
      <c r="M6" s="10">
        <f>IF(COUNTBLANK(L6)=1,0,IF(L6=0,0,IF(L6=1,D12*0.1,IF(L6=2,D12*0.22,IF(L6=3,D12*0.45,FALSE)))))/100</f>
        <v>0.18</v>
      </c>
    </row>
    <row r="7" spans="2:18" x14ac:dyDescent="0.4">
      <c r="K7" s="8" t="s">
        <v>68</v>
      </c>
      <c r="L7" s="5"/>
      <c r="M7" s="10"/>
      <c r="Q7" s="13">
        <f>IF(COUNTBLANK(L7)=1,0,IF(L7=1,3,IF(L7=2,8,IF(L7=3,16,0))))/100</f>
        <v>0</v>
      </c>
    </row>
    <row r="8" spans="2:18" x14ac:dyDescent="0.4">
      <c r="K8" s="8" t="s">
        <v>66</v>
      </c>
      <c r="L8" s="5"/>
      <c r="M8" s="10"/>
      <c r="Q8" s="13">
        <f>IF(COUNTBLANK(L8)=1,0,IF(L8=1,4,IF(L8=2,10,IF(L8=3,18,0))))/100</f>
        <v>0</v>
      </c>
    </row>
    <row r="9" spans="2:18" x14ac:dyDescent="0.4">
      <c r="K9" s="8" t="s">
        <v>9</v>
      </c>
      <c r="L9" s="5">
        <v>3</v>
      </c>
      <c r="M9" s="11"/>
      <c r="R9" s="12">
        <f>IF(COUNTBLANK(L9)=1,0,L9*5)/100</f>
        <v>0.15</v>
      </c>
    </row>
    <row r="10" spans="2:18" x14ac:dyDescent="0.4">
      <c r="G10" s="8">
        <f>SUM(G1:G9)</f>
        <v>76.274588403722262</v>
      </c>
      <c r="K10" s="8" t="s">
        <v>67</v>
      </c>
      <c r="L10" s="6"/>
      <c r="M10" s="11">
        <f>IF(COUNTBLANK(L10)=1,0,IF(L10=0,0,IF(L10=1,0.03,IF(L10=2,0.08,IF(L10=3,0.16,0)))))</f>
        <v>0</v>
      </c>
    </row>
    <row r="12" spans="2:18" x14ac:dyDescent="0.4">
      <c r="B12" s="8" t="s">
        <v>65</v>
      </c>
      <c r="D12" s="7">
        <v>40</v>
      </c>
      <c r="K12" s="8" t="s">
        <v>72</v>
      </c>
      <c r="M12" s="10">
        <f>(1*(1+M3)*(1+M6)*(1+Q5+Q7+Q8)*(1+R9)*(1+M10)*I100*IF(L4=1,0.98,IF(L4=2,0.98,IF(L4=3,0.98,1))))-1</f>
        <v>1.2489300244922918</v>
      </c>
    </row>
    <row r="13" spans="2:18" x14ac:dyDescent="0.4">
      <c r="Q13" s="9"/>
    </row>
    <row r="15" spans="2:18" x14ac:dyDescent="0.4">
      <c r="B15" s="8" t="s">
        <v>82</v>
      </c>
      <c r="F15" s="8" t="s">
        <v>83</v>
      </c>
      <c r="G15" s="8">
        <v>200</v>
      </c>
    </row>
    <row r="16" spans="2:18" x14ac:dyDescent="0.4">
      <c r="F16" s="8" t="s">
        <v>5</v>
      </c>
      <c r="G16" s="8">
        <f>IF(COUNTBLANK(L4)=1,0,IF(L4=1,10,IF(L4=2,25,IF(L4=3,50,0))))</f>
        <v>50</v>
      </c>
    </row>
    <row r="17" spans="7:7" x14ac:dyDescent="0.4">
      <c r="G17" s="4"/>
    </row>
    <row r="18" spans="7:7" x14ac:dyDescent="0.4">
      <c r="G18" s="5"/>
    </row>
    <row r="19" spans="7:7" x14ac:dyDescent="0.4">
      <c r="G19" s="6"/>
    </row>
    <row r="20" spans="7:7" x14ac:dyDescent="0.4">
      <c r="G20" s="8">
        <f>SUM(G15:G19)</f>
        <v>250</v>
      </c>
    </row>
    <row r="100" spans="1:9" x14ac:dyDescent="0.4">
      <c r="B100" s="8" t="s">
        <v>85</v>
      </c>
      <c r="F100" s="8" t="s">
        <v>86</v>
      </c>
      <c r="I100" s="8">
        <f>(1*((B101+B105)/100*(B103+B107)/100)+1*((1-(B101+B105)/100)*1))/(1*((B101)/100*(B103)/100)+1*((1-(B101)/100)*1))</f>
        <v>1.3294833657788752</v>
      </c>
    </row>
    <row r="101" spans="1:9" x14ac:dyDescent="0.4">
      <c r="A101" s="8" t="s">
        <v>87</v>
      </c>
      <c r="B101" s="8">
        <f>SUM(G1:G2,G4:G9)</f>
        <v>61.274588403722262</v>
      </c>
    </row>
    <row r="103" spans="1:9" x14ac:dyDescent="0.4">
      <c r="A103" s="8" t="s">
        <v>88</v>
      </c>
      <c r="B103" s="8">
        <f>G15</f>
        <v>200</v>
      </c>
    </row>
    <row r="105" spans="1:9" x14ac:dyDescent="0.4">
      <c r="A105" s="8" t="s">
        <v>89</v>
      </c>
      <c r="B105" s="8">
        <f>G3</f>
        <v>15</v>
      </c>
    </row>
    <row r="107" spans="1:9" x14ac:dyDescent="0.4">
      <c r="A107" s="8" t="s">
        <v>90</v>
      </c>
      <c r="B107" s="8">
        <f>G16</f>
        <v>50</v>
      </c>
    </row>
  </sheetData>
  <sheetProtection algorithmName="SHA-512" hashValue="pv5zMBABV269Eq/kX4tZ18TlMR5V0lvkRqBN6VZFzEJn5hj/aczoK9JV6lUdIA3x3FYRgci0tKeih2J2VX2LkQ==" saltValue="wf9Zgi7QbF+uFktfPbBj2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계산기</vt:lpstr>
      <vt:lpstr>계산기 (리뉴얼)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</dc:creator>
  <cp:lastModifiedBy>Choi</cp:lastModifiedBy>
  <dcterms:created xsi:type="dcterms:W3CDTF">2021-10-13T07:06:31Z</dcterms:created>
  <dcterms:modified xsi:type="dcterms:W3CDTF">2022-06-09T21:16:43Z</dcterms:modified>
</cp:coreProperties>
</file>