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s5n\Desktop\"/>
    </mc:Choice>
  </mc:AlternateContent>
  <xr:revisionPtr revIDLastSave="0" documentId="13_ncr:1_{4DBA2744-4961-42F0-AE96-478AEE7F5227}" xr6:coauthVersionLast="47" xr6:coauthVersionMax="47" xr10:uidLastSave="{00000000-0000-0000-0000-000000000000}"/>
  <bookViews>
    <workbookView xWindow="-120" yWindow="-120" windowWidth="29040" windowHeight="15840" xr2:uid="{811B05A0-91CD-4AD4-857E-9DA941AE2AA8}"/>
  </bookViews>
  <sheets>
    <sheet name="Sheet1" sheetId="1" r:id="rId1"/>
    <sheet name="계산 및 상세 정보" sheetId="2" r:id="rId2"/>
  </sheets>
  <definedNames>
    <definedName name="_xlnm._FilterDatabase" localSheetId="0" hidden="1">Sheet1!$W$5:$W$7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K14" i="2"/>
  <c r="J14" i="2"/>
  <c r="B14" i="2"/>
  <c r="F14" i="2" s="1"/>
  <c r="I14" i="2" s="1"/>
  <c r="I15" i="2" s="1"/>
  <c r="P3" i="2"/>
  <c r="P4" i="2" s="1"/>
  <c r="O3" i="2"/>
  <c r="O5" i="2" s="1"/>
  <c r="O4" i="2"/>
  <c r="O6" i="2" s="1"/>
  <c r="E3" i="2"/>
  <c r="J15" i="2" l="1"/>
  <c r="K15" i="2" s="1"/>
  <c r="I16" i="2"/>
  <c r="I17" i="2" s="1"/>
  <c r="I18" i="2" s="1"/>
  <c r="I19" i="2" s="1"/>
  <c r="I20" i="2" s="1"/>
  <c r="I21" i="2" s="1"/>
  <c r="I22" i="2" s="1"/>
  <c r="I23" i="2" s="1"/>
  <c r="I24" i="2" s="1"/>
  <c r="I25" i="2" s="1"/>
  <c r="C14" i="2"/>
  <c r="D3" i="2" s="1"/>
  <c r="D14" i="2"/>
  <c r="E14" i="2"/>
  <c r="G14" i="2"/>
  <c r="Q4" i="2"/>
  <c r="Q6" i="2" s="1"/>
  <c r="Q3" i="2"/>
  <c r="Q5" i="2" s="1"/>
  <c r="P6" i="2"/>
  <c r="U6" i="2" l="1"/>
  <c r="I26" i="2"/>
  <c r="I27" i="2" s="1"/>
  <c r="I28" i="2" s="1"/>
  <c r="I29" i="2" s="1"/>
  <c r="I30" i="2" s="1"/>
  <c r="H14" i="2"/>
  <c r="H15" i="2" s="1"/>
  <c r="H16" i="2" s="1"/>
  <c r="H17" i="2" s="1"/>
  <c r="H18" i="2" s="1"/>
  <c r="H19" i="2" s="1"/>
  <c r="H20" i="2" s="1"/>
  <c r="H21" i="2" s="1"/>
  <c r="H22" i="2" s="1"/>
  <c r="H23" i="2" s="1"/>
  <c r="U3" i="2" s="1"/>
  <c r="P5" i="2"/>
  <c r="C3" i="2"/>
  <c r="C4" i="2"/>
  <c r="U7" i="2" l="1"/>
  <c r="U5" i="2"/>
  <c r="H24" i="2"/>
  <c r="H25" i="2" s="1"/>
  <c r="H26" i="2" s="1"/>
  <c r="H27" i="2" s="1"/>
  <c r="H28" i="2" s="1"/>
  <c r="H29" i="2" s="1"/>
  <c r="H30" i="2" s="1"/>
  <c r="U4" i="2" s="1"/>
  <c r="K9" i="2"/>
  <c r="G9" i="2"/>
  <c r="G3" i="2"/>
  <c r="I3" i="2"/>
  <c r="I9" i="2"/>
  <c r="F4" i="2" l="1"/>
  <c r="H3" i="2"/>
  <c r="F3" i="2" l="1"/>
  <c r="E4" i="2"/>
  <c r="M3" i="2"/>
  <c r="J10" i="2" l="1"/>
  <c r="I4" i="2"/>
  <c r="D4" i="2"/>
  <c r="W7" i="2" l="1"/>
  <c r="X7" i="2" s="1"/>
  <c r="Z9" i="1" s="1"/>
  <c r="Z10" i="1" s="1"/>
  <c r="W3" i="2"/>
  <c r="X3" i="2" s="1"/>
  <c r="J9" i="1" s="1"/>
  <c r="W6" i="2"/>
  <c r="X6" i="2" s="1"/>
  <c r="V9" i="1" s="1"/>
  <c r="V10" i="1" s="1"/>
  <c r="W4" i="2"/>
  <c r="X4" i="2" s="1"/>
  <c r="N9" i="1" s="1"/>
  <c r="N10" i="1" s="1"/>
  <c r="W5" i="2"/>
  <c r="X5" i="2" s="1"/>
  <c r="R9" i="1" s="1"/>
  <c r="R10" i="1" s="1"/>
  <c r="I5" i="2"/>
  <c r="J3" i="2" s="1"/>
  <c r="L9" i="2" s="1"/>
  <c r="J11" i="2"/>
  <c r="K3" i="2" l="1"/>
  <c r="L3" i="2" s="1"/>
  <c r="F21" i="1" s="1"/>
  <c r="J10" i="1" l="1"/>
  <c r="F22" i="1" l="1"/>
  <c r="F15" i="1"/>
</calcChain>
</file>

<file path=xl/sharedStrings.xml><?xml version="1.0" encoding="utf-8"?>
<sst xmlns="http://schemas.openxmlformats.org/spreadsheetml/2006/main" count="206" uniqueCount="154">
  <si>
    <t>뒷스공</t>
    <phoneticPr fontId="2" type="noConversion"/>
  </si>
  <si>
    <t>데미지</t>
    <phoneticPr fontId="2" type="noConversion"/>
  </si>
  <si>
    <t>최종뎀</t>
    <phoneticPr fontId="2" type="noConversion"/>
  </si>
  <si>
    <t>크뎀</t>
    <phoneticPr fontId="2" type="noConversion"/>
  </si>
  <si>
    <t>크뎀보정</t>
    <phoneticPr fontId="2" type="noConversion"/>
  </si>
  <si>
    <t>총공</t>
    <phoneticPr fontId="2" type="noConversion"/>
  </si>
  <si>
    <t>총뎀</t>
    <phoneticPr fontId="2" type="noConversion"/>
  </si>
  <si>
    <t>일몹뎀 총합</t>
    <phoneticPr fontId="2" type="noConversion"/>
  </si>
  <si>
    <t>예상 사냥딜</t>
    <phoneticPr fontId="2" type="noConversion"/>
  </si>
  <si>
    <t>공/마%</t>
    <phoneticPr fontId="2" type="noConversion"/>
  </si>
  <si>
    <t>메용 레벨</t>
    <phoneticPr fontId="2" type="noConversion"/>
  </si>
  <si>
    <t>메용</t>
    <phoneticPr fontId="2" type="noConversion"/>
  </si>
  <si>
    <t>레벨</t>
    <phoneticPr fontId="2" type="noConversion"/>
  </si>
  <si>
    <t>아케인포스</t>
    <phoneticPr fontId="2" type="noConversion"/>
  </si>
  <si>
    <t>아케인 스탯</t>
    <phoneticPr fontId="2" type="noConversion"/>
  </si>
  <si>
    <t>어센틱 스탯</t>
    <phoneticPr fontId="2" type="noConversion"/>
  </si>
  <si>
    <t>메용O 주스탯</t>
    <phoneticPr fontId="2" type="noConversion"/>
  </si>
  <si>
    <t>메용X 주스탯</t>
    <phoneticPr fontId="2" type="noConversion"/>
  </si>
  <si>
    <t>부스탯</t>
    <phoneticPr fontId="2" type="noConversion"/>
  </si>
  <si>
    <t>주스탯%</t>
    <phoneticPr fontId="2" type="noConversion"/>
  </si>
  <si>
    <t>주스탯</t>
    <phoneticPr fontId="2" type="noConversion"/>
  </si>
  <si>
    <t>공/마</t>
    <phoneticPr fontId="2" type="noConversion"/>
  </si>
  <si>
    <t>어센틱포스</t>
    <phoneticPr fontId="2" type="noConversion"/>
  </si>
  <si>
    <t>고정 주스탯</t>
    <phoneticPr fontId="2" type="noConversion"/>
  </si>
  <si>
    <t>스펙 추가</t>
    <phoneticPr fontId="2" type="noConversion"/>
  </si>
  <si>
    <t>고정탯</t>
    <phoneticPr fontId="2" type="noConversion"/>
  </si>
  <si>
    <t>순수탯</t>
    <phoneticPr fontId="2" type="noConversion"/>
  </si>
  <si>
    <t>레벨탯</t>
    <phoneticPr fontId="2" type="noConversion"/>
  </si>
  <si>
    <t>레벨 상승치</t>
    <phoneticPr fontId="2" type="noConversion"/>
  </si>
  <si>
    <t>찐순수탯</t>
    <phoneticPr fontId="2" type="noConversion"/>
  </si>
  <si>
    <t>계산탯</t>
    <phoneticPr fontId="2" type="noConversion"/>
  </si>
  <si>
    <t>추가수치</t>
    <phoneticPr fontId="2" type="noConversion"/>
  </si>
  <si>
    <t>탯%+1</t>
    <phoneticPr fontId="2" type="noConversion"/>
  </si>
  <si>
    <t>사냥기 퍼뎀합</t>
    <phoneticPr fontId="2" type="noConversion"/>
  </si>
  <si>
    <t>코강 배율</t>
    <phoneticPr fontId="2" type="noConversion"/>
  </si>
  <si>
    <t>상승률</t>
    <phoneticPr fontId="2" type="noConversion"/>
  </si>
  <si>
    <t>기입 스펙 딜</t>
    <phoneticPr fontId="2" type="noConversion"/>
  </si>
  <si>
    <t>요구 아케인</t>
    <phoneticPr fontId="2" type="noConversion"/>
  </si>
  <si>
    <t>요구 어센틱</t>
    <phoneticPr fontId="2" type="noConversion"/>
  </si>
  <si>
    <t>몹 렙</t>
    <phoneticPr fontId="2" type="noConversion"/>
  </si>
  <si>
    <t>몹 체력</t>
    <phoneticPr fontId="2" type="noConversion"/>
  </si>
  <si>
    <t>현재 스펙</t>
    <phoneticPr fontId="2" type="noConversion"/>
  </si>
  <si>
    <t>아케인</t>
    <phoneticPr fontId="2" type="noConversion"/>
  </si>
  <si>
    <t>어센틱</t>
    <phoneticPr fontId="2" type="noConversion"/>
  </si>
  <si>
    <t>포뻥값</t>
    <phoneticPr fontId="2" type="noConversion"/>
  </si>
  <si>
    <t>남는 체력%</t>
    <phoneticPr fontId="2" type="noConversion"/>
  </si>
  <si>
    <t>은월</t>
    <phoneticPr fontId="2" type="noConversion"/>
  </si>
  <si>
    <t>닼나</t>
    <phoneticPr fontId="2" type="noConversion"/>
  </si>
  <si>
    <t>썬콜</t>
    <phoneticPr fontId="2" type="noConversion"/>
  </si>
  <si>
    <t>불독</t>
    <phoneticPr fontId="2" type="noConversion"/>
  </si>
  <si>
    <t>아크</t>
    <phoneticPr fontId="2" type="noConversion"/>
  </si>
  <si>
    <t>소마</t>
    <phoneticPr fontId="2" type="noConversion"/>
  </si>
  <si>
    <t>플위</t>
    <phoneticPr fontId="2" type="noConversion"/>
  </si>
  <si>
    <t>히어로</t>
    <phoneticPr fontId="2" type="noConversion"/>
  </si>
  <si>
    <t>팔라딘</t>
    <phoneticPr fontId="2" type="noConversion"/>
  </si>
  <si>
    <t>비숍</t>
    <phoneticPr fontId="2" type="noConversion"/>
  </si>
  <si>
    <t>보마</t>
    <phoneticPr fontId="2" type="noConversion"/>
  </si>
  <si>
    <t>신궁</t>
    <phoneticPr fontId="2" type="noConversion"/>
  </si>
  <si>
    <t>패파</t>
    <phoneticPr fontId="2" type="noConversion"/>
  </si>
  <si>
    <t>나로</t>
    <phoneticPr fontId="2" type="noConversion"/>
  </si>
  <si>
    <t>섀도어</t>
    <phoneticPr fontId="2" type="noConversion"/>
  </si>
  <si>
    <t>듀블</t>
    <phoneticPr fontId="2" type="noConversion"/>
  </si>
  <si>
    <t>바이퍼</t>
    <phoneticPr fontId="2" type="noConversion"/>
  </si>
  <si>
    <t>캡틴</t>
    <phoneticPr fontId="2" type="noConversion"/>
  </si>
  <si>
    <t>캐슈</t>
    <phoneticPr fontId="2" type="noConversion"/>
  </si>
  <si>
    <t>윈브</t>
    <phoneticPr fontId="2" type="noConversion"/>
  </si>
  <si>
    <t>나워</t>
    <phoneticPr fontId="2" type="noConversion"/>
  </si>
  <si>
    <t>스커</t>
    <phoneticPr fontId="2" type="noConversion"/>
  </si>
  <si>
    <t>미하일</t>
    <phoneticPr fontId="2" type="noConversion"/>
  </si>
  <si>
    <t>블래</t>
    <phoneticPr fontId="2" type="noConversion"/>
  </si>
  <si>
    <t>배메</t>
    <phoneticPr fontId="2" type="noConversion"/>
  </si>
  <si>
    <t>와헌</t>
    <phoneticPr fontId="2" type="noConversion"/>
  </si>
  <si>
    <t>메카닉</t>
    <phoneticPr fontId="2" type="noConversion"/>
  </si>
  <si>
    <t>제논</t>
    <phoneticPr fontId="2" type="noConversion"/>
  </si>
  <si>
    <t>데슬</t>
    <phoneticPr fontId="2" type="noConversion"/>
  </si>
  <si>
    <t>데벤</t>
    <phoneticPr fontId="2" type="noConversion"/>
  </si>
  <si>
    <t>메르</t>
    <phoneticPr fontId="2" type="noConversion"/>
  </si>
  <si>
    <t>아란</t>
    <phoneticPr fontId="2" type="noConversion"/>
  </si>
  <si>
    <t>팬텀</t>
    <phoneticPr fontId="2" type="noConversion"/>
  </si>
  <si>
    <t>팬텀(스틸스킬)</t>
    <phoneticPr fontId="2" type="noConversion"/>
  </si>
  <si>
    <t>루미</t>
    <phoneticPr fontId="2" type="noConversion"/>
  </si>
  <si>
    <t>에반</t>
    <phoneticPr fontId="2" type="noConversion"/>
  </si>
  <si>
    <t>아델</t>
    <phoneticPr fontId="2" type="noConversion"/>
  </si>
  <si>
    <t>일리움</t>
    <phoneticPr fontId="2" type="noConversion"/>
  </si>
  <si>
    <t>카이저</t>
    <phoneticPr fontId="2" type="noConversion"/>
  </si>
  <si>
    <t>카인</t>
    <phoneticPr fontId="2" type="noConversion"/>
  </si>
  <si>
    <t>엔버</t>
    <phoneticPr fontId="2" type="noConversion"/>
  </si>
  <si>
    <t>카데나</t>
    <phoneticPr fontId="2" type="noConversion"/>
  </si>
  <si>
    <t>호영</t>
    <phoneticPr fontId="2" type="noConversion"/>
  </si>
  <si>
    <t>라라</t>
    <phoneticPr fontId="2" type="noConversion"/>
  </si>
  <si>
    <t>키네</t>
    <phoneticPr fontId="2" type="noConversion"/>
  </si>
  <si>
    <t>알파</t>
    <phoneticPr fontId="2" type="noConversion"/>
  </si>
  <si>
    <t>베타</t>
    <phoneticPr fontId="2" type="noConversion"/>
  </si>
  <si>
    <t>직업</t>
    <phoneticPr fontId="2" type="noConversion"/>
  </si>
  <si>
    <t>앱솔2추</t>
    <phoneticPr fontId="2" type="noConversion"/>
  </si>
  <si>
    <t>1차 제작자: 엘크라우치</t>
    <phoneticPr fontId="2" type="noConversion"/>
  </si>
  <si>
    <t>제작일: 2022/06/12</t>
    <phoneticPr fontId="2" type="noConversion"/>
  </si>
  <si>
    <t>기입 스펙</t>
    <phoneticPr fontId="2" type="noConversion"/>
  </si>
  <si>
    <t>추가 스펙</t>
    <phoneticPr fontId="2" type="noConversion"/>
  </si>
  <si>
    <t>I3+메용</t>
    <phoneticPr fontId="2" type="noConversion"/>
  </si>
  <si>
    <t>차</t>
    <phoneticPr fontId="2" type="noConversion"/>
  </si>
  <si>
    <t>선택 직업</t>
    <phoneticPr fontId="2" type="noConversion"/>
  </si>
  <si>
    <t>상수</t>
    <phoneticPr fontId="2" type="noConversion"/>
  </si>
  <si>
    <t>※ 아케인포스나 어센틱포스를</t>
    <phoneticPr fontId="2" type="noConversion"/>
  </si>
  <si>
    <t>무시할 때는 요구란을 비워주세요</t>
    <phoneticPr fontId="2" type="noConversion"/>
  </si>
  <si>
    <t>추옵 탯</t>
    <phoneticPr fontId="2" type="noConversion"/>
  </si>
  <si>
    <t>추옵 공마</t>
    <phoneticPr fontId="2" type="noConversion"/>
  </si>
  <si>
    <t>추옵 탯%</t>
    <phoneticPr fontId="2" type="noConversion"/>
  </si>
  <si>
    <t>윗잠 탯%</t>
    <phoneticPr fontId="2" type="noConversion"/>
  </si>
  <si>
    <t>밑잠 공마</t>
    <phoneticPr fontId="2" type="noConversion"/>
  </si>
  <si>
    <t>밑잠 탯%</t>
    <phoneticPr fontId="2" type="noConversion"/>
  </si>
  <si>
    <t>3카 5앱 10성</t>
    <phoneticPr fontId="2" type="noConversion"/>
  </si>
  <si>
    <t>3카 5앱 17성</t>
    <phoneticPr fontId="2" type="noConversion"/>
  </si>
  <si>
    <t>1앜 2카 5앱 17성</t>
    <phoneticPr fontId="2" type="noConversion"/>
  </si>
  <si>
    <t>3카 5앜 10성</t>
    <phoneticPr fontId="2" type="noConversion"/>
  </si>
  <si>
    <t>3카5앱 10성</t>
    <phoneticPr fontId="2" type="noConversion"/>
  </si>
  <si>
    <t>3카5앱 17성</t>
    <phoneticPr fontId="2" type="noConversion"/>
  </si>
  <si>
    <t>1앜2카5앱 17성</t>
    <phoneticPr fontId="2" type="noConversion"/>
  </si>
  <si>
    <t>3카5앜 10성</t>
    <phoneticPr fontId="2" type="noConversion"/>
  </si>
  <si>
    <t>3카5앜 17성</t>
    <phoneticPr fontId="2" type="noConversion"/>
  </si>
  <si>
    <t>3카 5앜 17성</t>
    <phoneticPr fontId="2" type="noConversion"/>
  </si>
  <si>
    <t>공</t>
    <phoneticPr fontId="2" type="noConversion"/>
  </si>
  <si>
    <t>※ 무기를 제외한 모든 템의 추옵을 같은 것으로 취급합니다 (레벨 및 장비 가격별 추옵 보정은 사용자의 몫)</t>
    <phoneticPr fontId="2" type="noConversion"/>
  </si>
  <si>
    <t>8보장: 실블링, 성배, 도미, 골클, 응축, 아쿠아틱, 데아, 웬투스</t>
    <phoneticPr fontId="2" type="noConversion"/>
  </si>
  <si>
    <t>※ 17성의 경우 아쿠아틱이 블빈마로 변경됨</t>
    <phoneticPr fontId="2" type="noConversion"/>
  </si>
  <si>
    <t>※ 다섯 종류 세팅 모두 3이벤트링(딥다크링) 8보장 정펜을 가정합니다</t>
    <phoneticPr fontId="2" type="noConversion"/>
  </si>
  <si>
    <t>※ 모든 세팅 최소 확률의 주흔 풀작을 가정합니다(무기 15%, 이외 30%)</t>
    <phoneticPr fontId="2" type="noConversion"/>
  </si>
  <si>
    <t>※ 훈장과 칭호, 기계심장은 없음</t>
    <phoneticPr fontId="2" type="noConversion"/>
  </si>
  <si>
    <t>※ 계산 편의상 부스탯을 제외함</t>
    <phoneticPr fontId="2" type="noConversion"/>
  </si>
  <si>
    <t>앱솔 기본</t>
    <phoneticPr fontId="2" type="noConversion"/>
  </si>
  <si>
    <t>앜 기본</t>
    <phoneticPr fontId="2" type="noConversion"/>
  </si>
  <si>
    <t>앜 2추</t>
    <phoneticPr fontId="2" type="noConversion"/>
  </si>
  <si>
    <t>앱솔 2추</t>
    <phoneticPr fontId="2" type="noConversion"/>
  </si>
  <si>
    <t>앱 별</t>
    <phoneticPr fontId="2" type="noConversion"/>
  </si>
  <si>
    <t>앜 별</t>
    <phoneticPr fontId="2" type="noConversion"/>
  </si>
  <si>
    <t>앱 스탯</t>
    <phoneticPr fontId="2" type="noConversion"/>
  </si>
  <si>
    <t>앜 스탯</t>
    <phoneticPr fontId="2" type="noConversion"/>
  </si>
  <si>
    <t>공합</t>
    <phoneticPr fontId="2" type="noConversion"/>
  </si>
  <si>
    <t>탯합</t>
    <phoneticPr fontId="2" type="noConversion"/>
  </si>
  <si>
    <t>탯</t>
    <phoneticPr fontId="2" type="noConversion"/>
  </si>
  <si>
    <t>※ 기타 기준은 계산 및 상세 정보 시트를 참조</t>
    <phoneticPr fontId="2" type="noConversion"/>
  </si>
  <si>
    <t>10성</t>
    <phoneticPr fontId="2" type="noConversion"/>
  </si>
  <si>
    <t>12성</t>
    <phoneticPr fontId="2" type="noConversion"/>
  </si>
  <si>
    <t>17성</t>
    <phoneticPr fontId="2" type="noConversion"/>
  </si>
  <si>
    <t>※ 3카5앜 10성은 무기만 12성으로 함</t>
    <phoneticPr fontId="2" type="noConversion"/>
  </si>
  <si>
    <t>※ 위의 기준 스펙도 왼쪽 스펙 추가로 수정할 수 있습니다</t>
    <phoneticPr fontId="2" type="noConversion"/>
  </si>
  <si>
    <t>※ 현재 스펙에 기입한 스탯, 스탯%, 공마와 별개입니다 (레벨, 공마%, 크뎀, 포스 등등은 그대로 가져감)</t>
    <phoneticPr fontId="2" type="noConversion"/>
  </si>
  <si>
    <t>※ 원킬컷 질문이 많아서 제작하게 되었습니다</t>
    <phoneticPr fontId="2" type="noConversion"/>
  </si>
  <si>
    <t>추가하고 싶은 기능이 더 있으나 사정상 못 하고 마칩니다</t>
    <phoneticPr fontId="2" type="noConversion"/>
  </si>
  <si>
    <t>모든 데이터가 완전 공개된 시트이니 개선 및 응용은 자유입니다</t>
    <phoneticPr fontId="2" type="noConversion"/>
  </si>
  <si>
    <t>※ 연한 부분만 건드리면 됩니다</t>
    <phoneticPr fontId="2" type="noConversion"/>
  </si>
  <si>
    <t>은월</t>
    <phoneticPr fontId="2" type="noConversion"/>
  </si>
  <si>
    <t>원본 파일 받는곳:</t>
    <phoneticPr fontId="2" type="noConversion"/>
  </si>
  <si>
    <t>https://www.inven.co.kr/board/maple/2304/31198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</si>
</sst>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  <numFmt numFmtId="177" formatCode="_-* #,##0_-;\-* #,##0_-;_-* &quot;-&quot;??_-;_-@_-"/>
    <numFmt numFmtId="178" formatCode="_-* #,##0.0_-;\-* #,##0.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3" borderId="1" xfId="0" applyFill="1" applyBorder="1">
      <alignment vertical="center"/>
    </xf>
    <xf numFmtId="41" fontId="0" fillId="2" borderId="1" xfId="1" applyFont="1" applyFill="1" applyBorder="1">
      <alignment vertical="center"/>
    </xf>
    <xf numFmtId="0" fontId="0" fillId="3" borderId="2" xfId="0" applyFill="1" applyBorder="1">
      <alignment vertical="center"/>
    </xf>
    <xf numFmtId="43" fontId="0" fillId="3" borderId="1" xfId="0" applyNumberFormat="1" applyFill="1" applyBorder="1">
      <alignment vertical="center"/>
    </xf>
    <xf numFmtId="41" fontId="0" fillId="3" borderId="1" xfId="0" applyNumberFormat="1" applyFill="1" applyBorder="1">
      <alignment vertical="center"/>
    </xf>
    <xf numFmtId="43" fontId="0" fillId="3" borderId="3" xfId="0" applyNumberFormat="1" applyFill="1" applyBorder="1">
      <alignment vertical="center"/>
    </xf>
    <xf numFmtId="41" fontId="0" fillId="3" borderId="4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9" fontId="0" fillId="3" borderId="1" xfId="2" applyFont="1" applyFill="1" applyBorder="1">
      <alignment vertical="center"/>
    </xf>
    <xf numFmtId="43" fontId="0" fillId="0" borderId="0" xfId="0" applyNumberFormat="1">
      <alignment vertical="center"/>
    </xf>
    <xf numFmtId="0" fontId="0" fillId="3" borderId="5" xfId="0" applyFill="1" applyBorder="1">
      <alignment vertical="center"/>
    </xf>
    <xf numFmtId="9" fontId="0" fillId="2" borderId="1" xfId="2" applyFont="1" applyFill="1" applyBorder="1">
      <alignment vertical="center"/>
    </xf>
    <xf numFmtId="0" fontId="0" fillId="2" borderId="1" xfId="0" applyFill="1" applyBorder="1">
      <alignment vertical="center"/>
    </xf>
    <xf numFmtId="9" fontId="0" fillId="0" borderId="0" xfId="2" applyFont="1">
      <alignment vertical="center"/>
    </xf>
    <xf numFmtId="10" fontId="0" fillId="3" borderId="1" xfId="2" applyNumberFormat="1" applyFont="1" applyFill="1" applyBorder="1">
      <alignment vertical="center"/>
    </xf>
    <xf numFmtId="176" fontId="0" fillId="3" borderId="0" xfId="1" applyNumberFormat="1" applyFont="1" applyFill="1">
      <alignment vertical="center"/>
    </xf>
    <xf numFmtId="0" fontId="0" fillId="2" borderId="5" xfId="0" applyFill="1" applyBorder="1">
      <alignment vertical="center"/>
    </xf>
    <xf numFmtId="0" fontId="0" fillId="0" borderId="0" xfId="0" applyFill="1">
      <alignment vertical="center"/>
    </xf>
    <xf numFmtId="0" fontId="0" fillId="3" borderId="3" xfId="0" applyFill="1" applyBorder="1">
      <alignment vertical="center"/>
    </xf>
    <xf numFmtId="3" fontId="0" fillId="0" borderId="0" xfId="0" applyNumberFormat="1">
      <alignment vertical="center"/>
    </xf>
    <xf numFmtId="41" fontId="0" fillId="2" borderId="1" xfId="1" quotePrefix="1" applyFont="1" applyFill="1" applyBorder="1">
      <alignment vertical="center"/>
    </xf>
    <xf numFmtId="178" fontId="0" fillId="2" borderId="1" xfId="1" applyNumberFormat="1" applyFont="1" applyFill="1" applyBorder="1">
      <alignment vertical="center"/>
    </xf>
    <xf numFmtId="0" fontId="0" fillId="0" borderId="1" xfId="0" applyBorder="1">
      <alignment vertical="center"/>
    </xf>
    <xf numFmtId="41" fontId="0" fillId="3" borderId="0" xfId="0" applyNumberFormat="1" applyFill="1">
      <alignment vertical="center"/>
    </xf>
    <xf numFmtId="0" fontId="0" fillId="3" borderId="6" xfId="0" applyFill="1" applyBorder="1">
      <alignment vertical="center"/>
    </xf>
    <xf numFmtId="41" fontId="0" fillId="3" borderId="7" xfId="0" applyNumberFormat="1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4" xfId="0" applyFill="1" applyBorder="1">
      <alignment vertical="center"/>
    </xf>
    <xf numFmtId="9" fontId="0" fillId="3" borderId="4" xfId="2" applyFont="1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176" fontId="0" fillId="2" borderId="1" xfId="1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2" borderId="13" xfId="0" applyFill="1" applyBorder="1">
      <alignment vertical="center"/>
    </xf>
    <xf numFmtId="177" fontId="0" fillId="3" borderId="3" xfId="0" applyNumberFormat="1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41" fontId="0" fillId="2" borderId="3" xfId="1" applyFont="1" applyFill="1" applyBorder="1">
      <alignment vertical="center"/>
    </xf>
    <xf numFmtId="41" fontId="0" fillId="2" borderId="4" xfId="1" applyFont="1" applyFill="1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41" fontId="0" fillId="3" borderId="1" xfId="1" applyFont="1" applyFill="1" applyBorder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3" fillId="0" borderId="0" xfId="3">
      <alignment vertical="center"/>
    </xf>
  </cellXfs>
  <cellStyles count="4">
    <cellStyle name="백분율" xfId="2" builtinId="5"/>
    <cellStyle name="쉼표 [0]" xfId="1" builtinId="6"/>
    <cellStyle name="표준" xfId="0" builtinId="0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ven.co.kr/board/maple/2304/3119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B59BE-F168-49C1-BBE3-60B475FD0B4C}">
  <dimension ref="B2:AA27"/>
  <sheetViews>
    <sheetView showGridLines="0" tabSelected="1" workbookViewId="0">
      <selection activeCell="I25" sqref="I25"/>
    </sheetView>
  </sheetViews>
  <sheetFormatPr defaultRowHeight="16.5" x14ac:dyDescent="0.3"/>
  <cols>
    <col min="1" max="1" width="3.125" customWidth="1"/>
    <col min="2" max="3" width="13" customWidth="1"/>
    <col min="4" max="4" width="3.125" customWidth="1"/>
    <col min="5" max="5" width="11" customWidth="1"/>
    <col min="7" max="7" width="9" customWidth="1"/>
    <col min="8" max="8" width="3.125" customWidth="1"/>
    <col min="9" max="9" width="11" customWidth="1"/>
    <col min="12" max="12" width="3.125" customWidth="1"/>
    <col min="13" max="13" width="11" customWidth="1"/>
    <col min="16" max="16" width="3.125" customWidth="1"/>
    <col min="17" max="17" width="11" customWidth="1"/>
    <col min="20" max="20" width="3.125" customWidth="1"/>
    <col min="21" max="21" width="11" customWidth="1"/>
    <col min="24" max="24" width="3.125" customWidth="1"/>
    <col min="25" max="25" width="11" customWidth="1"/>
  </cols>
  <sheetData>
    <row r="2" spans="2:27" x14ac:dyDescent="0.3">
      <c r="B2" s="3"/>
      <c r="C2" s="1" t="s">
        <v>41</v>
      </c>
      <c r="E2" s="3"/>
      <c r="F2" s="1" t="s">
        <v>24</v>
      </c>
      <c r="I2" s="3"/>
      <c r="J2" s="44" t="s">
        <v>111</v>
      </c>
      <c r="K2" s="45"/>
      <c r="M2" s="3"/>
      <c r="N2" s="44" t="s">
        <v>112</v>
      </c>
      <c r="O2" s="45"/>
      <c r="Q2" s="3"/>
      <c r="R2" s="44" t="s">
        <v>113</v>
      </c>
      <c r="S2" s="45"/>
      <c r="U2" s="3"/>
      <c r="V2" s="44" t="s">
        <v>114</v>
      </c>
      <c r="W2" s="45"/>
      <c r="Y2" s="3"/>
      <c r="Z2" s="44" t="s">
        <v>120</v>
      </c>
      <c r="AA2" s="45"/>
    </row>
    <row r="3" spans="2:27" x14ac:dyDescent="0.3">
      <c r="B3" s="1" t="s">
        <v>93</v>
      </c>
      <c r="C3" s="13" t="s">
        <v>151</v>
      </c>
      <c r="E3" s="1" t="s">
        <v>28</v>
      </c>
      <c r="F3" s="2"/>
      <c r="I3" s="1" t="s">
        <v>105</v>
      </c>
      <c r="J3" s="36">
        <v>30</v>
      </c>
      <c r="M3" s="1" t="s">
        <v>105</v>
      </c>
      <c r="N3" s="36">
        <v>40</v>
      </c>
      <c r="Q3" s="1" t="s">
        <v>105</v>
      </c>
      <c r="R3" s="36">
        <v>40</v>
      </c>
      <c r="U3" s="1" t="s">
        <v>105</v>
      </c>
      <c r="V3" s="36">
        <v>60</v>
      </c>
      <c r="Y3" s="1" t="s">
        <v>105</v>
      </c>
      <c r="Z3" s="36">
        <v>80</v>
      </c>
    </row>
    <row r="4" spans="2:27" x14ac:dyDescent="0.3">
      <c r="B4" s="1" t="s">
        <v>12</v>
      </c>
      <c r="C4" s="2">
        <v>275</v>
      </c>
      <c r="E4" s="1" t="s">
        <v>13</v>
      </c>
      <c r="F4" s="2"/>
      <c r="I4" s="1" t="s">
        <v>106</v>
      </c>
      <c r="J4" s="13">
        <v>5</v>
      </c>
      <c r="M4" s="1" t="s">
        <v>106</v>
      </c>
      <c r="N4" s="13">
        <v>5</v>
      </c>
      <c r="Q4" s="1" t="s">
        <v>106</v>
      </c>
      <c r="R4" s="13">
        <v>5</v>
      </c>
      <c r="U4" s="1" t="s">
        <v>106</v>
      </c>
      <c r="V4" s="13">
        <v>5</v>
      </c>
      <c r="Y4" s="1" t="s">
        <v>106</v>
      </c>
      <c r="Z4" s="13">
        <v>5</v>
      </c>
    </row>
    <row r="5" spans="2:27" x14ac:dyDescent="0.3">
      <c r="B5" s="1" t="s">
        <v>13</v>
      </c>
      <c r="C5" s="2">
        <v>1320</v>
      </c>
      <c r="E5" s="1" t="s">
        <v>22</v>
      </c>
      <c r="F5" s="2"/>
      <c r="I5" s="1" t="s">
        <v>107</v>
      </c>
      <c r="J5" s="13">
        <v>5</v>
      </c>
      <c r="M5" s="1" t="s">
        <v>107</v>
      </c>
      <c r="N5" s="13">
        <v>5</v>
      </c>
      <c r="Q5" s="1" t="s">
        <v>107</v>
      </c>
      <c r="R5" s="13">
        <v>5</v>
      </c>
      <c r="U5" s="1" t="s">
        <v>107</v>
      </c>
      <c r="V5" s="13">
        <v>4</v>
      </c>
      <c r="Y5" s="1" t="s">
        <v>107</v>
      </c>
      <c r="Z5" s="13">
        <v>4</v>
      </c>
    </row>
    <row r="6" spans="2:27" x14ac:dyDescent="0.3">
      <c r="B6" s="1" t="s">
        <v>22</v>
      </c>
      <c r="C6" s="2">
        <v>180</v>
      </c>
      <c r="E6" s="1" t="s">
        <v>23</v>
      </c>
      <c r="F6" s="2"/>
      <c r="I6" s="1" t="s">
        <v>108</v>
      </c>
      <c r="J6" s="13">
        <v>9</v>
      </c>
      <c r="M6" s="1" t="s">
        <v>108</v>
      </c>
      <c r="N6" s="13">
        <v>12</v>
      </c>
      <c r="Q6" s="1" t="s">
        <v>108</v>
      </c>
      <c r="R6" s="13">
        <v>12</v>
      </c>
      <c r="U6" s="1" t="s">
        <v>108</v>
      </c>
      <c r="V6" s="13">
        <v>9</v>
      </c>
      <c r="Y6" s="1" t="s">
        <v>108</v>
      </c>
      <c r="Z6" s="13">
        <v>15</v>
      </c>
    </row>
    <row r="7" spans="2:27" x14ac:dyDescent="0.3">
      <c r="B7" s="1" t="s">
        <v>14</v>
      </c>
      <c r="C7" s="2">
        <v>13200</v>
      </c>
      <c r="E7" s="1" t="s">
        <v>20</v>
      </c>
      <c r="F7" s="2"/>
      <c r="I7" s="1" t="s">
        <v>109</v>
      </c>
      <c r="J7" s="13">
        <v>10</v>
      </c>
      <c r="M7" s="1" t="s">
        <v>109</v>
      </c>
      <c r="N7" s="13">
        <v>10</v>
      </c>
      <c r="Q7" s="1" t="s">
        <v>109</v>
      </c>
      <c r="R7" s="13">
        <v>10</v>
      </c>
      <c r="U7" s="1" t="s">
        <v>109</v>
      </c>
      <c r="V7" s="13">
        <v>10</v>
      </c>
      <c r="Y7" s="1" t="s">
        <v>109</v>
      </c>
      <c r="Z7" s="13">
        <v>10</v>
      </c>
    </row>
    <row r="8" spans="2:27" x14ac:dyDescent="0.3">
      <c r="B8" s="1" t="s">
        <v>15</v>
      </c>
      <c r="C8" s="2">
        <v>4200</v>
      </c>
      <c r="E8" s="1" t="s">
        <v>19</v>
      </c>
      <c r="F8" s="2"/>
      <c r="I8" s="1" t="s">
        <v>110</v>
      </c>
      <c r="J8" s="13"/>
      <c r="M8" s="1" t="s">
        <v>110</v>
      </c>
      <c r="N8" s="13"/>
      <c r="Q8" s="1" t="s">
        <v>110</v>
      </c>
      <c r="R8" s="13"/>
      <c r="U8" s="1" t="s">
        <v>110</v>
      </c>
      <c r="V8" s="13"/>
      <c r="Y8" s="1" t="s">
        <v>110</v>
      </c>
      <c r="Z8" s="13">
        <v>4</v>
      </c>
    </row>
    <row r="9" spans="2:27" x14ac:dyDescent="0.3">
      <c r="B9" s="1" t="s">
        <v>0</v>
      </c>
      <c r="C9" s="2">
        <v>30323495</v>
      </c>
      <c r="E9" s="1" t="s">
        <v>18</v>
      </c>
      <c r="F9" s="2"/>
      <c r="I9" s="1" t="s">
        <v>8</v>
      </c>
      <c r="J9" s="37">
        <f>('계산 및 상세 정보'!X3*4*'계산 및 상세 정보'!U3*'계산 및 상세 정보'!C14*1/100)*(C20*C21)*'계산 및 상세 정보'!C4*((100+C14+F11)/100)*((100+('계산 및 상세 정보'!E4))/100)*((C17+100)/100)*0.95*(1+F14/100)*'계산 및 상세 정보'!O6*'계산 및 상세 정보'!P6*'계산 및 상세 정보'!Q6</f>
        <v>1075346333.7802513</v>
      </c>
      <c r="K9" s="38"/>
      <c r="M9" s="1" t="s">
        <v>8</v>
      </c>
      <c r="N9" s="37">
        <f>('계산 및 상세 정보'!X4*4*'계산 및 상세 정보'!U4*'계산 및 상세 정보'!C14*1/100)*(C20*C21)*'계산 및 상세 정보'!C4*((100+C14+F11)/100)*((100+('계산 및 상세 정보'!E4))/100)*((C17+100)/100)*0.95*(1+F14/100)*'계산 및 상세 정보'!O6*'계산 및 상세 정보'!P6*'계산 및 상세 정보'!Q6</f>
        <v>1405842760.067462</v>
      </c>
      <c r="O9" s="38"/>
      <c r="Q9" s="1" t="s">
        <v>8</v>
      </c>
      <c r="R9" s="37">
        <f>('계산 및 상세 정보'!X5*4*'계산 및 상세 정보'!U5*'계산 및 상세 정보'!C14*1/100)*(C20*C21)*'계산 및 상세 정보'!C4*((100+C14+F11)/100)*((100+('계산 및 상세 정보'!E4))/100)*((C17+100)/100)*0.95*(1+F14/100)*'계산 및 상세 정보'!O6*'계산 및 상세 정보'!P6*'계산 및 상세 정보'!Q6</f>
        <v>1583017442.8488896</v>
      </c>
      <c r="S9" s="38"/>
      <c r="U9" s="1" t="s">
        <v>8</v>
      </c>
      <c r="V9" s="37">
        <f>('계산 및 상세 정보'!X6*4*'계산 및 상세 정보'!U6*'계산 및 상세 정보'!C14*1/100)*(C20*C21)*'계산 및 상세 정보'!C4*((100+C14+F11)/100)*((100+('계산 및 상세 정보'!E4))/100)*((C17+100)/100)*0.95*(1+F14/100)*'계산 및 상세 정보'!O6*'계산 및 상세 정보'!P6*'계산 및 상세 정보'!Q6</f>
        <v>1291363662.1161821</v>
      </c>
      <c r="W9" s="38"/>
      <c r="Y9" s="1" t="s">
        <v>8</v>
      </c>
      <c r="Z9" s="37">
        <f>('계산 및 상세 정보'!X7*4*'계산 및 상세 정보'!U7*'계산 및 상세 정보'!C14*1/100)*(C20*C21)*'계산 및 상세 정보'!C4*((100+C14+F11)/100)*((100+('계산 및 상세 정보'!E4))/100)*((C17+100)/100)*0.95*(1+F14/100)*'계산 및 상세 정보'!O6*'계산 및 상세 정보'!P6*'계산 및 상세 정보'!Q6</f>
        <v>1901817758.817791</v>
      </c>
      <c r="AA9" s="38"/>
    </row>
    <row r="10" spans="2:27" x14ac:dyDescent="0.3">
      <c r="B10" s="1" t="s">
        <v>16</v>
      </c>
      <c r="C10" s="2">
        <v>40888</v>
      </c>
      <c r="E10" s="1" t="s">
        <v>21</v>
      </c>
      <c r="F10" s="21">
        <v>20</v>
      </c>
      <c r="I10" s="1" t="s">
        <v>45</v>
      </c>
      <c r="J10" s="9">
        <f>IF(1-J9/F20&lt;=0,"원킬!",1-J9/F20)</f>
        <v>0.84379564314309474</v>
      </c>
      <c r="M10" s="1" t="s">
        <v>45</v>
      </c>
      <c r="N10" s="9">
        <f>IF(1-N9/F20&lt;=0,"원킬!",1-N9/F20)</f>
        <v>0.7957878710514581</v>
      </c>
      <c r="Q10" s="1" t="s">
        <v>45</v>
      </c>
      <c r="R10" s="9">
        <f>IF(1-R9/F20&lt;=0,"원킬!",1-R9/F20)</f>
        <v>0.77005155103452982</v>
      </c>
      <c r="U10" s="1" t="s">
        <v>45</v>
      </c>
      <c r="V10" s="9">
        <f>IF(1-V9/F20&lt;=0,"원킬!",1-V9/F20)</f>
        <v>0.81241705674475551</v>
      </c>
      <c r="Y10" s="1" t="s">
        <v>45</v>
      </c>
      <c r="Z10" s="9">
        <f>IF(1-Z9/F20&lt;=0,"원킬!",1-Z9/F20)</f>
        <v>0.72374275101598928</v>
      </c>
    </row>
    <row r="11" spans="2:27" x14ac:dyDescent="0.3">
      <c r="B11" s="1" t="s">
        <v>17</v>
      </c>
      <c r="C11" s="2">
        <v>39807</v>
      </c>
      <c r="E11" s="1" t="s">
        <v>9</v>
      </c>
      <c r="F11" s="2">
        <v>4</v>
      </c>
    </row>
    <row r="12" spans="2:27" x14ac:dyDescent="0.3">
      <c r="B12" s="1" t="s">
        <v>10</v>
      </c>
      <c r="C12" s="2">
        <v>31</v>
      </c>
      <c r="E12" s="1" t="s">
        <v>1</v>
      </c>
      <c r="F12" s="2">
        <v>35</v>
      </c>
      <c r="I12" s="35" t="s">
        <v>146</v>
      </c>
    </row>
    <row r="13" spans="2:27" x14ac:dyDescent="0.3">
      <c r="B13" s="1" t="s">
        <v>18</v>
      </c>
      <c r="C13" s="2">
        <v>4501</v>
      </c>
      <c r="E13" s="1" t="s">
        <v>3</v>
      </c>
      <c r="F13" s="2"/>
      <c r="I13" t="s">
        <v>145</v>
      </c>
    </row>
    <row r="14" spans="2:27" x14ac:dyDescent="0.3">
      <c r="B14" s="1" t="s">
        <v>9</v>
      </c>
      <c r="C14" s="2">
        <v>120</v>
      </c>
      <c r="E14" s="1" t="s">
        <v>2</v>
      </c>
      <c r="F14" s="2"/>
      <c r="I14" t="s">
        <v>122</v>
      </c>
    </row>
    <row r="15" spans="2:27" x14ac:dyDescent="0.3">
      <c r="B15" s="1" t="s">
        <v>1</v>
      </c>
      <c r="C15" s="2">
        <v>68</v>
      </c>
      <c r="E15" s="1" t="s">
        <v>35</v>
      </c>
      <c r="F15" s="15">
        <f>F21/'계산 및 상세 정보'!M3-1</f>
        <v>0.15858755141030456</v>
      </c>
      <c r="I15" t="s">
        <v>126</v>
      </c>
    </row>
    <row r="16" spans="2:27" x14ac:dyDescent="0.3">
      <c r="B16" s="1" t="s">
        <v>7</v>
      </c>
      <c r="C16" s="2">
        <v>108</v>
      </c>
      <c r="I16" t="s">
        <v>128</v>
      </c>
    </row>
    <row r="17" spans="2:9" x14ac:dyDescent="0.3">
      <c r="B17" s="1" t="s">
        <v>2</v>
      </c>
      <c r="C17" s="34">
        <v>41.28</v>
      </c>
      <c r="E17" s="1" t="s">
        <v>37</v>
      </c>
      <c r="F17" s="13"/>
      <c r="G17" s="18"/>
      <c r="I17" t="s">
        <v>140</v>
      </c>
    </row>
    <row r="18" spans="2:9" x14ac:dyDescent="0.3">
      <c r="B18" s="1" t="s">
        <v>3</v>
      </c>
      <c r="C18" s="2">
        <v>91</v>
      </c>
      <c r="E18" s="1" t="s">
        <v>38</v>
      </c>
      <c r="F18" s="13">
        <v>160</v>
      </c>
      <c r="G18" s="18"/>
    </row>
    <row r="19" spans="2:9" x14ac:dyDescent="0.3">
      <c r="E19" s="1" t="s">
        <v>39</v>
      </c>
      <c r="F19" s="17">
        <v>272</v>
      </c>
      <c r="G19" s="18"/>
    </row>
    <row r="20" spans="2:9" x14ac:dyDescent="0.3">
      <c r="B20" s="1" t="s">
        <v>33</v>
      </c>
      <c r="C20" s="12">
        <v>9.1199999999999992</v>
      </c>
      <c r="E20" s="1" t="s">
        <v>40</v>
      </c>
      <c r="F20" s="39">
        <v>6884227530</v>
      </c>
      <c r="G20" s="40"/>
      <c r="I20" t="s">
        <v>147</v>
      </c>
    </row>
    <row r="21" spans="2:9" x14ac:dyDescent="0.3">
      <c r="B21" s="1" t="s">
        <v>34</v>
      </c>
      <c r="C21" s="22">
        <v>2.2000000000000002</v>
      </c>
      <c r="E21" s="1" t="s">
        <v>8</v>
      </c>
      <c r="F21" s="37">
        <f>(('계산 및 상세 정보'!L3*4+C13+F9)*'계산 및 상세 정보'!D4*'계산 및 상세 정보'!C14*1/100)*(C20*C21)*'계산 및 상세 정보'!C4*((100+C14+F11)/100)*((100+('계산 및 상세 정보'!E4))/100)*((C17+100)/100)*0.95*(1+F14/100)*'계산 및 상세 정보'!O6*'계산 및 상세 정보'!P6*'계산 및 상세 정보'!Q6</f>
        <v>3172547634.4521251</v>
      </c>
      <c r="G21" s="38"/>
      <c r="I21" t="s">
        <v>148</v>
      </c>
    </row>
    <row r="22" spans="2:9" x14ac:dyDescent="0.3">
      <c r="E22" s="1" t="s">
        <v>45</v>
      </c>
      <c r="F22" s="9">
        <f>IF(1-F21/F20&lt;=0,"원킬!",1-F21/F20)</f>
        <v>0.53915706292000998</v>
      </c>
      <c r="H22" s="20"/>
      <c r="I22" t="s">
        <v>149</v>
      </c>
    </row>
    <row r="23" spans="2:9" x14ac:dyDescent="0.3">
      <c r="B23" t="s">
        <v>95</v>
      </c>
      <c r="I23" t="s">
        <v>152</v>
      </c>
    </row>
    <row r="24" spans="2:9" x14ac:dyDescent="0.3">
      <c r="B24" t="s">
        <v>96</v>
      </c>
      <c r="I24" s="46" t="s">
        <v>153</v>
      </c>
    </row>
    <row r="25" spans="2:9" x14ac:dyDescent="0.3">
      <c r="B25" t="s">
        <v>150</v>
      </c>
      <c r="F25" s="14"/>
    </row>
    <row r="26" spans="2:9" x14ac:dyDescent="0.3">
      <c r="B26" s="35" t="s">
        <v>103</v>
      </c>
    </row>
    <row r="27" spans="2:9" x14ac:dyDescent="0.3">
      <c r="B27" t="s">
        <v>104</v>
      </c>
    </row>
  </sheetData>
  <dataConsolidate>
    <dataRefs count="2">
      <dataRef ref="W5" sheet="Sheet1"/>
      <dataRef ref="C14:C15" sheet="계산 및 상세 정보"/>
    </dataRefs>
  </dataConsolidate>
  <mergeCells count="12">
    <mergeCell ref="F21:G21"/>
    <mergeCell ref="F20:G20"/>
    <mergeCell ref="J2:K2"/>
    <mergeCell ref="N2:O2"/>
    <mergeCell ref="Z2:AA2"/>
    <mergeCell ref="Z9:AA9"/>
    <mergeCell ref="R2:S2"/>
    <mergeCell ref="V2:W2"/>
    <mergeCell ref="J9:K9"/>
    <mergeCell ref="N9:O9"/>
    <mergeCell ref="R9:S9"/>
    <mergeCell ref="V9:W9"/>
  </mergeCells>
  <phoneticPr fontId="2" type="noConversion"/>
  <hyperlinks>
    <hyperlink ref="I24" r:id="rId1" xr:uid="{1BD2AF31-08A9-4BEF-B524-26446AF69F5D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360516-CEF2-4C16-8988-B25EC8C35BD1}">
          <x14:formula1>
            <xm:f>'계산 및 상세 정보'!$B$16:$B$62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A8C-EDB3-4235-95E5-8C4E3CA9E9E8}">
  <dimension ref="B1:X62"/>
  <sheetViews>
    <sheetView showGridLines="0" zoomScaleNormal="100" workbookViewId="0">
      <selection activeCell="O23" sqref="O23"/>
    </sheetView>
  </sheetViews>
  <sheetFormatPr defaultRowHeight="16.5" x14ac:dyDescent="0.3"/>
  <cols>
    <col min="1" max="1" width="3.125" customWidth="1"/>
    <col min="2" max="2" width="9" customWidth="1"/>
    <col min="5" max="6" width="9" customWidth="1"/>
    <col min="13" max="13" width="14" customWidth="1"/>
    <col min="14" max="16" width="9" customWidth="1"/>
    <col min="19" max="19" width="14" customWidth="1"/>
    <col min="20" max="23" width="7" customWidth="1"/>
    <col min="24" max="24" width="9" customWidth="1"/>
  </cols>
  <sheetData>
    <row r="1" spans="2:24" ht="17.25" thickBot="1" x14ac:dyDescent="0.35"/>
    <row r="2" spans="2:24" x14ac:dyDescent="0.3">
      <c r="B2" s="3"/>
      <c r="C2" s="1" t="s">
        <v>4</v>
      </c>
      <c r="D2" s="1" t="s">
        <v>5</v>
      </c>
      <c r="E2" s="1" t="s">
        <v>6</v>
      </c>
      <c r="F2" s="1" t="s">
        <v>11</v>
      </c>
      <c r="G2" s="1" t="s">
        <v>25</v>
      </c>
      <c r="H2" s="19" t="s">
        <v>26</v>
      </c>
      <c r="I2" s="31" t="s">
        <v>27</v>
      </c>
      <c r="J2" s="29" t="s">
        <v>32</v>
      </c>
      <c r="K2" s="1" t="s">
        <v>29</v>
      </c>
      <c r="L2" s="1" t="s">
        <v>30</v>
      </c>
      <c r="M2" s="1" t="s">
        <v>36</v>
      </c>
      <c r="O2" s="1" t="s">
        <v>42</v>
      </c>
      <c r="P2" s="1" t="s">
        <v>43</v>
      </c>
      <c r="Q2" s="1" t="s">
        <v>12</v>
      </c>
      <c r="S2" s="3"/>
      <c r="T2" s="1" t="s">
        <v>121</v>
      </c>
      <c r="U2" s="1" t="s">
        <v>137</v>
      </c>
      <c r="V2" s="1" t="s">
        <v>139</v>
      </c>
      <c r="W2" s="1" t="s">
        <v>138</v>
      </c>
      <c r="X2" s="1" t="s">
        <v>30</v>
      </c>
    </row>
    <row r="3" spans="2:24" ht="17.25" thickBot="1" x14ac:dyDescent="0.35">
      <c r="B3" s="1" t="s">
        <v>97</v>
      </c>
      <c r="C3" s="16">
        <f>1.35+((Sheet1!C18)/100)</f>
        <v>2.2600000000000002</v>
      </c>
      <c r="D3" s="5">
        <f>Sheet1!C9/(((Sheet1!C10*4+Sheet1!C13)/100)*((100+Sheet1!C15)/100)*((100+Sheet1!C17)/100)*((100+Sheet1!C14)/100)*C14)</f>
        <v>2032.6912399643772</v>
      </c>
      <c r="E3" s="24">
        <f>Sheet1!C15+Sheet1!C16</f>
        <v>176</v>
      </c>
      <c r="F3" s="9">
        <f>ROUND(Sheet1!C12/2,0)/100</f>
        <v>0.16</v>
      </c>
      <c r="G3" s="5">
        <f>Sheet1!C7+Sheet1!C8</f>
        <v>17400</v>
      </c>
      <c r="H3" s="26">
        <f>Sheet1!C10-G3</f>
        <v>23488</v>
      </c>
      <c r="I3" s="32">
        <f>4-5+5*Sheet1!C4+19</f>
        <v>1393</v>
      </c>
      <c r="J3" s="30">
        <f>(F4/I5)</f>
        <v>4.8501435750179445</v>
      </c>
      <c r="K3" s="8">
        <f>H3/J3-I4</f>
        <v>3226.863237742833</v>
      </c>
      <c r="L3" s="8">
        <f>(I4+K3)*(J9+J3-1)+G3+L9</f>
        <v>40888</v>
      </c>
      <c r="M3" s="8">
        <f>((Sheet1!C10*4+Sheet1!C13)*D3*C14*1/100)*(Sheet1!C20*Sheet1!C21)*'계산 및 상세 정보'!C3*((100+Sheet1!C14)/100)*((100+E3)/100)*((Sheet1!C17+100)/100)*0.95*O5*P5*Q5</f>
        <v>2738289074.995069</v>
      </c>
      <c r="O3" s="1">
        <f>IF(Sheet1!F17=0,0,Sheet1!C5/Sheet1!F17)</f>
        <v>0</v>
      </c>
      <c r="P3" s="1">
        <f>IF(Sheet1!F18=0,0,Sheet1!C6-Sheet1!F18)</f>
        <v>20</v>
      </c>
      <c r="Q3" s="1">
        <f>Sheet1!C4-Sheet1!F19</f>
        <v>3</v>
      </c>
      <c r="S3" s="1" t="s">
        <v>115</v>
      </c>
      <c r="T3" s="43">
        <v>542</v>
      </c>
      <c r="U3" s="43">
        <f>T3+H23+E14+Sheet1!J4*12+Sheet1!J7*13+Sheet1!F10</f>
        <v>1106</v>
      </c>
      <c r="V3" s="43">
        <v>1223</v>
      </c>
      <c r="W3" s="43">
        <f>V3+J14+I4+Sheet1!J3*12+J10+K9</f>
        <v>3259.88</v>
      </c>
      <c r="X3" s="8">
        <f>W3*(J9+(Sheet1!J5*12+(Sheet1!J6+Sheet1!J8)*13)/100)+G9+G3</f>
        <v>26429.867599999998</v>
      </c>
    </row>
    <row r="4" spans="2:24" x14ac:dyDescent="0.3">
      <c r="B4" s="1" t="s">
        <v>98</v>
      </c>
      <c r="C4" s="6">
        <f>1.35+((Sheet1!C18+Sheet1!F13)/100)</f>
        <v>2.2600000000000002</v>
      </c>
      <c r="D4" s="5">
        <f>D3+Sheet1!F10</f>
        <v>2052.691239964377</v>
      </c>
      <c r="E4" s="7">
        <f>Sheet1!C15+Sheet1!C16+Sheet1!F12</f>
        <v>211</v>
      </c>
      <c r="F4" s="5">
        <f>Sheet1!C10-Sheet1!C11</f>
        <v>1081</v>
      </c>
      <c r="H4" s="27" t="s">
        <v>99</v>
      </c>
      <c r="I4" s="33">
        <f>I3+I3*F3</f>
        <v>1615.88</v>
      </c>
      <c r="O4" s="1">
        <f>IF(Sheet1!F17=0,0,Sheet1!C5/Sheet1!F17)</f>
        <v>0</v>
      </c>
      <c r="P4" s="1">
        <f>IF(Sheet1!F18=0,0,P3+Sheet1!F5)</f>
        <v>20</v>
      </c>
      <c r="Q4" s="1">
        <f>Sheet1!C4+Sheet1!F3-Sheet1!F19</f>
        <v>3</v>
      </c>
      <c r="S4" s="1" t="s">
        <v>116</v>
      </c>
      <c r="T4" s="43">
        <v>751</v>
      </c>
      <c r="U4" s="43">
        <f>T4+H30+E14+Sheet1!N4*12+Sheet1!N7*13+Sheet1!F10</f>
        <v>1366</v>
      </c>
      <c r="V4" s="43">
        <v>1629</v>
      </c>
      <c r="W4" s="43">
        <f>V4+J15+I4+J10+K9</f>
        <v>3346.88</v>
      </c>
      <c r="X4" s="43">
        <f>W4*(J9+(Sheet1!N5*12+(Sheet1!N6+Sheet1!N8)*13)/100)+G9+G3</f>
        <v>27976.140800000001</v>
      </c>
    </row>
    <row r="5" spans="2:24" ht="17.25" thickBot="1" x14ac:dyDescent="0.35">
      <c r="F5" s="10"/>
      <c r="H5" s="28" t="s">
        <v>100</v>
      </c>
      <c r="I5" s="25">
        <f>I4-I3</f>
        <v>222.88000000000011</v>
      </c>
      <c r="N5" s="19" t="s">
        <v>44</v>
      </c>
      <c r="O5" s="1">
        <f>IF(O3&gt;=1.5,1.5,IF(O3&gt;=1.3,1.3,IF(O3&gt;=1.1,1.1,IF(O3&gt;=1,1,IF(O3&gt;=0.7,0.8,IF(O3&gt;=0.5,0.7,IF(O3&gt;=0.3,0.6,IF(O3&gt;=0.1,0.3,IF(O3&lt;0.1,IF(O3=0,1,FALSE))))))))))</f>
        <v>1</v>
      </c>
      <c r="P5" s="1">
        <f>IF(P3&gt;=50,1.25,IF(P3=40,1.2,IF(P3=30,1.15,IF(P3=20,1.1,IF(P3=10,1.05,IF(P3=0,1,IF(P3=-10,0.9,IF(P3=-20,0.8,IF(P3=-30,0.7,IF(P3=-40,0.6,IF(P3=-50,0.5,IF(P3=-60,0.4,IF(P3=-70,0.3,IF(P3=-80,0.2,IF(P3=-90,0.1,IF(P3&lt;=-100,0.05,FALSE))))))))))))))))</f>
        <v>1.1000000000000001</v>
      </c>
      <c r="Q5" s="1">
        <f>IF(Q3&gt;=5,1.2,IF(Q3=4,1.18,IF(Q3=3,1.16,IF(Q3=2,1.14,IF(Q3=1,1.12,IF(Q3=0,1.1,IF(Q3=-1,1.0584,IF(Q3=-2,1.007,IF(Q3=-3,0.9672,IF(Q3=-4,0.918,IF(Q3=-5,0.88,IF(Q3=-6,0.85,IF(Q3=-7,0.83,IF(Q3=-8,0.8,IF(Q3=-9,0.78,IF(Q3=-10,0.75,IF(Q3=-11,0.73,IF(Q3=-12,0.7,IF(Q3=-13,0.68,IF(Q3=-14,0.65,IF(Q3=-15,0.63,IF(Q3=-16,0.6,IF(Q3=-17,0.58,IF(Q3=-18,0.55,IF(Q3=-19,0.53,IF(Q3=-20,0.5,IF(Q3=-21,0.48,IF(Q3=-22,0.45,IF(Q3=-23,0.43,IF(Q3=-24,0.4,IF(Q3=-25,0.38,IF(Q3=-26,0.35,IF(Q3=-27,0.33,IF(Q3=-28,0.3,IF(Q3=-29,0.28,IF(Q3=-30,0.25,IF(Q3=-31,0.23,IF(Q3=-32,0.2,IF(Q3=-33,0.18,IF(Q3=-34,0.15,IF(Q3=-35,0.13,IF(Q3=-36,0.1,IF(Q3=-37,0.08,IF(Q3=-38,0.05,IF(Q3=-39,0.03,IF(Q3&lt;=-40,0,FALSE))))))))))))))))))))))))))))))))))))))))))))))</f>
        <v>1.1599999999999999</v>
      </c>
      <c r="S5" s="1" t="s">
        <v>117</v>
      </c>
      <c r="T5" s="43">
        <v>771</v>
      </c>
      <c r="U5" s="43">
        <f>T5+I30+G14+Sheet1!R4*12+Sheet1!R7*13+Sheet1!F10</f>
        <v>1529</v>
      </c>
      <c r="V5" s="43">
        <v>1678</v>
      </c>
      <c r="W5" s="43">
        <f>V5+K15+I4+J10+K9</f>
        <v>3399.88</v>
      </c>
      <c r="X5" s="43">
        <f>W5*(J9+(Sheet1!R5*12+(Sheet1!R6+Sheet1!R8)*13)/100)+G9+G3</f>
        <v>28143.620800000001</v>
      </c>
    </row>
    <row r="6" spans="2:24" x14ac:dyDescent="0.3">
      <c r="O6" s="1">
        <f>IF(O4&gt;=1.5,1.5,IF(O4&gt;=1.3,1.3,IF(O4&gt;=1.1,1.1,IF(O4&gt;=1,1,IF(O4&gt;=0.7,0.8,IF(O4&gt;=0.5,0.7,IF(O4&gt;=0.3,0.6,IF(O4&gt;=0.1,0.3,IF(O4&lt;0.1,IF(O4=0,1,FALSE))))))))))</f>
        <v>1</v>
      </c>
      <c r="P6" s="1">
        <f>IF(P4&gt;=50,1.25,IF(P4=40,1.2,IF(P4=30,1.15,IF(P4=20,1.1,IF(P4=10,1.05,IF(P4=0,1,IF(P4=-10,0.9,IF(P4=-20,0.8,IF(P4=-30,0.7,IF(P4=-40,0.6,IF(P4=-50,0.5,IF(P4=-60,0.4,IF(P4=-70,0.3,IF(P4=-80,0.2,IF(P4=-90,0.1,IF(P4&lt;=-100,0.05,FALSE))))))))))))))))</f>
        <v>1.1000000000000001</v>
      </c>
      <c r="Q6" s="1">
        <f>IF(Q4&gt;=5,1.2,IF(Q4=4,1.18,IF(Q4=3,1.16,IF(Q4=2,1.14,IF(Q4=1,1.12,IF(Q4=0,1.1,IF(Q4=-1,1.0584,IF(Q4=-2,1.007,IF(Q4=-3,0.9672,IF(Q4=-4,0.918,IF(Q4=-5,0.88,IF(Q4=-6,0.85,IF(Q4=-7,0.83,IF(Q4=-8,0.8,IF(Q4=-9,0.78,IF(Q4=-10,0.75,IF(Q4=-11,0.73,IF(Q4=-12,0.7,IF(Q4=-13,0.68,IF(Q4=-14,0.65,IF(Q4=-15,0.63,IF(Q4=-16,0.6,IF(Q4=-17,0.58,IF(Q4=-18,0.55,IF(Q4=-19,0.53,IF(Q4=-20,0.5,IF(Q4=-21,0.48,IF(Q4=-22,0.45,IF(Q4=-23,0.43,IF(Q4=-24,0.4,IF(Q4=-25,0.38,IF(Q4=-26,0.35,IF(Q4=-27,0.33,IF(Q4=-28,0.3,IF(Q4=-29,0.28,IF(Q4=-30,0.25,IF(Q4=-31,0.23,IF(Q4=-32,0.2,IF(Q4=-33,0.18,IF(Q4=-34,0.15,IF(Q4=-35,0.13,IF(Q4=-36,0.1,IF(Q4=-37,0.08,IF(Q4=-38,0.05,IF(Q4=-39,0.03,IF(Q4&lt;=-40,0,FALSE))))))))))))))))))))))))))))))))))))))))))))))</f>
        <v>1.1599999999999999</v>
      </c>
      <c r="S6" s="1" t="s">
        <v>118</v>
      </c>
      <c r="T6" s="43">
        <v>671</v>
      </c>
      <c r="U6" s="43">
        <f>T6+I25+G14+Sheet1!V4*12+Sheet1!V7*13+Sheet1!F10</f>
        <v>1378</v>
      </c>
      <c r="V6" s="43">
        <v>1364</v>
      </c>
      <c r="W6" s="43">
        <f>V6+K14+I4+J10+K9</f>
        <v>3046.88</v>
      </c>
      <c r="X6" s="43">
        <f>W6*(J9+(Sheet1!V5*12+(Sheet1!V6+Sheet1!V8)*13)/100)+G9+G3</f>
        <v>25474.232</v>
      </c>
    </row>
    <row r="7" spans="2:24" x14ac:dyDescent="0.3">
      <c r="I7" t="s">
        <v>31</v>
      </c>
      <c r="S7" s="1" t="s">
        <v>119</v>
      </c>
      <c r="T7" s="43">
        <v>896</v>
      </c>
      <c r="U7" s="43">
        <f>T7+I30+G14+Sheet1!Z4*12+Sheet1!Z7*13+Sheet1!F10</f>
        <v>1654</v>
      </c>
      <c r="V7" s="43">
        <v>1786</v>
      </c>
      <c r="W7" s="43">
        <f>V7+K15+I4+J10+K9</f>
        <v>3507.88</v>
      </c>
      <c r="X7" s="43">
        <f>W7*(J9+(Sheet1!Z5*12+(Sheet1!Z6+Sheet1!Z8)*13)/100)+G9+G3</f>
        <v>31256.126</v>
      </c>
    </row>
    <row r="8" spans="2:24" x14ac:dyDescent="0.3">
      <c r="G8" s="1" t="s">
        <v>25</v>
      </c>
      <c r="I8" s="11" t="s">
        <v>27</v>
      </c>
      <c r="J8" s="11" t="s">
        <v>32</v>
      </c>
      <c r="K8" s="11" t="s">
        <v>29</v>
      </c>
      <c r="S8" t="s">
        <v>125</v>
      </c>
    </row>
    <row r="9" spans="2:24" x14ac:dyDescent="0.3">
      <c r="G9" s="5">
        <f>Sheet1!F6</f>
        <v>0</v>
      </c>
      <c r="I9" s="1">
        <f>5*(Sheet1!F3)</f>
        <v>0</v>
      </c>
      <c r="J9" s="9">
        <f>Sheet1!F8/100+1</f>
        <v>1</v>
      </c>
      <c r="K9" s="4">
        <f>Sheet1!F7</f>
        <v>0</v>
      </c>
      <c r="L9" s="8">
        <f>(J10+K9)*J9+G9</f>
        <v>0</v>
      </c>
      <c r="S9" s="35" t="s">
        <v>123</v>
      </c>
    </row>
    <row r="10" spans="2:24" x14ac:dyDescent="0.3">
      <c r="J10" s="1">
        <f>I9+I9*F3</f>
        <v>0</v>
      </c>
      <c r="S10" t="s">
        <v>124</v>
      </c>
    </row>
    <row r="11" spans="2:24" x14ac:dyDescent="0.3">
      <c r="J11" s="1">
        <f>J10-I9</f>
        <v>0</v>
      </c>
      <c r="S11" t="s">
        <v>127</v>
      </c>
    </row>
    <row r="13" spans="2:24" x14ac:dyDescent="0.3">
      <c r="B13" s="1" t="s">
        <v>101</v>
      </c>
      <c r="C13" s="1" t="s">
        <v>102</v>
      </c>
      <c r="D13" s="1" t="s">
        <v>129</v>
      </c>
      <c r="E13" s="1" t="s">
        <v>132</v>
      </c>
      <c r="F13" s="1" t="s">
        <v>130</v>
      </c>
      <c r="G13" s="1" t="s">
        <v>131</v>
      </c>
      <c r="H13" s="1" t="s">
        <v>133</v>
      </c>
      <c r="I13" s="1" t="s">
        <v>134</v>
      </c>
      <c r="J13" s="1" t="s">
        <v>135</v>
      </c>
      <c r="K13" s="1" t="s">
        <v>136</v>
      </c>
    </row>
    <row r="14" spans="2:24" x14ac:dyDescent="0.3">
      <c r="B14" s="1" t="str">
        <f>Sheet1!C3</f>
        <v>은월</v>
      </c>
      <c r="C14" s="1">
        <f>IF(B14=B16,C16,(IF(B14=B17,C17,(IF(B14=B18,C18,(IF(B14=B19,C19,(IF(B14=B20,C20,(IF(B14=B21,C21,(IF(B14=B22,C22,(IF(B14=B23,C23,(IF(B14=B24,C24,(IF(B14=B25,C25,(IF(B14=B26,C26,(IF(B14=B27,C27,(IF(B14=B28,C28,(IF(B14=B29,C29,(IF(B14=B30,C30,(IF(B14=B31,C31,(IF(B14=B32,C32,(IF(B14=B33,C33,(IF(B14=B34,C34,(IF(B14=B35,C35,(IF(B14=B36,C36,(IF(B14=B37,C37,(IF(B14=B38,C38,(IF(B14=B39,C39,(IF(B14=B40,C40,(IF(B14=B41,C41,(IF(B14=B42,C42,(IF(B14=B43,C43,(IF(B14=B44,C44,(IF(B14=B45,C45,(IF(B14=B46,C46,(IF(B14=B47,C47,(IF(B14=B48,C48,(IF(B14=B49,C49,(IF(B14=B50,C50,(IF(B14=B51,C51,(IF(B14=B52,C52,(IF(B14=B53,C53,(IF(B14=B54,C54,(IF(B14=B55,C55,(IF(B14=B56,C56,(IF(B14=B57,C57,(IF(B14=B58,C58,(IF(B14=B59,C59,(IF(B14=B60,C60,(IF(B14=B61,C61,(IF(B14=B62,C62,FALSE)))))))))))))))))))))))))))))))))))))))))))))))))))))))))))))))))))))))))))))))))))))))))))))</f>
        <v>1.7</v>
      </c>
      <c r="D14" s="1">
        <f>IF(B14=B16,D16,(IF(B14=B17,D17,(IF(B14=B18,D18,(IF(B14=B19,D19,(IF(B14=B20,D20,(IF(B14=B21,D21,(IF(B14=B22,D22,(IF(B14=B23,D23,(IF(B14=B24,D24,(IF(B14=B25,D25,(IF(B14=B26,D26,(IF(B14=B27,D27,(IF(B14=B28,D28,(IF(B14=B29,D29,(IF(B14=B30,D30,(IF(B14=B31,D31,(IF(B14=B32,D32,(IF(B14=B33,D33,(IF(B14=B34,D34,(IF(B14=B35,D35,(IF(B14=B36,D36,(IF(B14=B37,D37,(IF(B14=B38,D38,(IF(B14=B39,D39,(IF(B14=B40,D40,(IF(B14=B41,D41,(IF(B14=B42,D42,(IF(B14=B43,D43,(IF(B14=B44,D44,(IF(B14=B45,D45,(IF(B14=B46,D46,(IF(B14=B47,D47,(IF(B14=B48,D48,(IF(B14=B49,D49,(IF(B14=B50,D50,(IF(B14=B51,D51,(IF(B14=B52,D52,(IF(B14=B53,D53,(IF(B14=B54,D54,(IF(B14=B55,D55,(IF(B14=B56,D56,(IF(B14=B57,D57,(IF(B14=B58,D58,(IF(B14=B59,D59,(IF(B14=B60,D60,(IF(B14=B61,D61,(IF(B14=B62,D62,FALSE)))))))))))))))))))))))))))))))))))))))))))))))))))))))))))))))))))))))))))))))))))))))))))))</f>
        <v>154</v>
      </c>
      <c r="E14" s="1">
        <f>IF(B14=B16,E16,(IF(B14=B17,E17,(IF(B14=B18,E18,(IF(B14=B19,E19,(IF(B14=B20,E20,(IF(B14=B21,E21,(IF(B14=B22,E22,(IF(B14=B23,E23,(IF(B14=B24,E24,(IF(B14=B25,E25,(IF(B14=B26,E26,(IF(B14=B27,E27,(IF(B14=B28,E28,(IF(B14=B29,E29,(IF(B14=B30,E30,(IF(B14=B31,E31,(IF(B14=B32,E32,(IF(B14=B33,E33,(IF(B14=B34,E34,(IF(B14=B35,E35,(IF(B14=B36,E36,(IF(B14=B37,E37,(IF(B14=B38,E38,(IF(B14=B39,E39,(IF(B14=B40,E40,(IF(B14=B41,E41,(IF(B14=B42,E42,(IF(B14=B43,E43,(IF(B14=B44,E44,(IF(B14=B45,E45,(IF(B14=B46,E46,(IF(B14=B47,E47,(IF(B14=B48,E48,(IF(B14=B49,E49,(IF(B14=B50,E50,(IF(B14=B51,E51,(IF(B14=B52,E52,(IF(B14=B53,E53,(IF(B14=B54,E54,(IF(B14=B55,E55,(IF(B14=B56,E56,(IF(B14=B57,E57,(IF(B14=B58,E58,(IF(B14=B59,E59,(IF(B14=B60,E60,(IF(B14=B61,E61,(IF(B14=B62,E62,FALSE)))))))))))))))))))))))))))))))))))))))))))))))))))))))))))))))))))))))))))))))))))))))))))))</f>
        <v>62</v>
      </c>
      <c r="F14" s="1">
        <f>IF(B14=B16,F16,(IF(B14=B17,F17,(IF(B14=B18,F18,(IF(B14=B19,F19,(IF(B14=B20,F20,(IF(B14=B21,F21,(IF(B14=B22,F22,(IF(B14=B23,F23,(IF(B14=B24,F24,(IF(B14=B25,F25,(IF(B14=B26,F26,(IF(B14=B27,F27,(IF(B14=B28,F28,(IF(B14=B29,F29,(IF(B14=B30,F30,(IF(B14=B31,F31,(IF(B14=B32,F32,(IF(B14=B33,F33,(IF(B14=B34,F34,(IF(B14=B35,F35,(IF(B14=B36,F36,(IF(B14=B37,F37,(IF(B14=B38,F38,(IF(B14=B39,F39,(IF(B14=B40,F40,(IF(B14=B41,F41,(IF(B14=B42,F42,(IF(B14=B43,F43,(IF(B14=B44,F44,(IF(B14=B45,F45,(IF(B14=B46,F46,(IF(B14=B47,F47,(IF(B14=B48,F48,(IF(B14=B49,F49,(IF(B14=B50,F50,(IF(B14=B51,F51,(IF(B14=B52,F52,(IF(B14=B53,F53,(IF(B14=B54,F54,(IF(B14=B55,F55,(IF(B14=B56,F56,(IF(B14=B57,F57,(IF(B14=B58,F58,(IF(B14=B59,F59,(IF(B14=B60,F60,(IF(B14=B61,F61,(IF(B14=B62,F62,FALSE)))))))))))))))))))))))))))))))))))))))))))))))))))))))))))))))))))))))))))))))))))))))))))))</f>
        <v>221</v>
      </c>
      <c r="G14" s="1">
        <f>IF(B14=B16,G16,(IF(B14=B17,G17,(IF(B14=B18,G18,(IF(B14=B19,G19,(IF(B14=B20,G20,(IF(B14=B21,G21,(IF(B14=B22,G22,(IF(B14=B23,G23,(IF(B14=B24,G24,(IF(B14=B25,G25,(IF(B14=B26,G26,(IF(B14=B27,G27,(IF(B14=B28,G28,(IF(B14=B29,G29,(IF(B14=B30,G30,(IF(B14=B31,G31,(IF(B14=B32,G32,(IF(B14=B33,G33,(IF(B14=B34,G34,(IF(B14=B35,G35,(IF(B14=B36,G36,(IF(B14=B37,G37,(IF(B14=B38,G38,(IF(B14=B39,G39,(IF(B14=B40,G40,(IF(B14=B41,G41,(IF(B14=B42,G42,(IF(B14=B43,G43,(IF(B14=B44,G44,(IF(B14=B45,G45,(IF(B14=B46,G46,(IF(B14=B47,G47,(IF(B14=B48,G48,(IF(B14=B49,G49,(IF(B14=B50,G50,(IF(B14=B51,G51,(IF(B14=B52,G52,(IF(B14=B53,G53,(IF(B14=B54,G54,(IF(B14=B55,G55,(IF(B14=B56,G56,(IF(B14=B57,G57,(IF(B14=B58,G58,(IF(B14=B59,G59,(IF(B14=B60,G60,(IF(B14=B61,G61,(IF(B14=B62,G62,FALSE)))))))))))))))))))))))))))))))))))))))))))))))))))))))))))))))))))))))))))))))))))))))))))))</f>
        <v>106</v>
      </c>
      <c r="H14" s="42">
        <f>81+D14+INT((D14+81)/50)+1</f>
        <v>240</v>
      </c>
      <c r="I14" s="42">
        <f>81+F14+INT((F14+81)/50)+1</f>
        <v>309</v>
      </c>
      <c r="J14" s="1">
        <f>4*9+25</f>
        <v>61</v>
      </c>
      <c r="K14" s="1">
        <f>J14+6</f>
        <v>67</v>
      </c>
    </row>
    <row r="15" spans="2:24" x14ac:dyDescent="0.3">
      <c r="B15" s="23" t="s">
        <v>93</v>
      </c>
      <c r="C15" s="23" t="s">
        <v>102</v>
      </c>
      <c r="D15" s="23" t="s">
        <v>129</v>
      </c>
      <c r="E15" s="23" t="s">
        <v>94</v>
      </c>
      <c r="F15" s="23" t="s">
        <v>130</v>
      </c>
      <c r="G15" s="41" t="s">
        <v>131</v>
      </c>
      <c r="H15" s="23">
        <f>H14+INT(H14/50)+1</f>
        <v>245</v>
      </c>
      <c r="I15" s="23">
        <f>I14+INT(I14/50)+1</f>
        <v>316</v>
      </c>
      <c r="J15" s="1">
        <f>J14+15+26</f>
        <v>102</v>
      </c>
      <c r="K15" s="1">
        <f>J15+4</f>
        <v>106</v>
      </c>
    </row>
    <row r="16" spans="2:24" x14ac:dyDescent="0.3">
      <c r="B16" s="23" t="s">
        <v>53</v>
      </c>
      <c r="C16" s="23">
        <v>1.44</v>
      </c>
      <c r="D16" s="23">
        <v>205</v>
      </c>
      <c r="E16" s="23">
        <v>82</v>
      </c>
      <c r="F16" s="23">
        <v>295</v>
      </c>
      <c r="G16" s="41">
        <v>142</v>
      </c>
      <c r="H16" s="23">
        <f>H15+INT(H15/50)+1</f>
        <v>250</v>
      </c>
      <c r="I16" s="23">
        <f t="shared" ref="I16:I28" si="0">I15+INT(I15/50)+1</f>
        <v>323</v>
      </c>
    </row>
    <row r="17" spans="2:11" ht="16.5" customHeight="1" x14ac:dyDescent="0.3">
      <c r="B17" s="23" t="s">
        <v>54</v>
      </c>
      <c r="C17" s="23">
        <v>1.34</v>
      </c>
      <c r="D17" s="23">
        <v>205</v>
      </c>
      <c r="E17" s="23">
        <v>82</v>
      </c>
      <c r="F17" s="23">
        <v>295</v>
      </c>
      <c r="G17" s="41">
        <v>142</v>
      </c>
      <c r="H17" s="23">
        <f t="shared" ref="H17:H28" si="1">H16+INT(H16/50)+1</f>
        <v>256</v>
      </c>
      <c r="I17" s="23">
        <f t="shared" si="0"/>
        <v>330</v>
      </c>
    </row>
    <row r="18" spans="2:11" x14ac:dyDescent="0.3">
      <c r="B18" s="23" t="s">
        <v>47</v>
      </c>
      <c r="C18" s="23">
        <v>1.49</v>
      </c>
      <c r="D18" s="23">
        <v>205</v>
      </c>
      <c r="E18" s="23">
        <v>82</v>
      </c>
      <c r="F18" s="23">
        <v>295</v>
      </c>
      <c r="G18" s="41">
        <v>142</v>
      </c>
      <c r="H18" s="23">
        <f t="shared" si="1"/>
        <v>262</v>
      </c>
      <c r="I18" s="23">
        <f t="shared" si="0"/>
        <v>337</v>
      </c>
    </row>
    <row r="19" spans="2:11" x14ac:dyDescent="0.3">
      <c r="B19" s="23" t="s">
        <v>49</v>
      </c>
      <c r="C19" s="23">
        <v>1.2</v>
      </c>
      <c r="D19" s="23">
        <v>245</v>
      </c>
      <c r="E19" s="23">
        <v>98</v>
      </c>
      <c r="F19" s="23">
        <v>353</v>
      </c>
      <c r="G19" s="41">
        <v>170</v>
      </c>
      <c r="H19" s="23">
        <f t="shared" si="1"/>
        <v>268</v>
      </c>
      <c r="I19" s="23">
        <f t="shared" si="0"/>
        <v>344</v>
      </c>
    </row>
    <row r="20" spans="2:11" x14ac:dyDescent="0.3">
      <c r="B20" s="23" t="s">
        <v>48</v>
      </c>
      <c r="C20" s="23">
        <v>1.2</v>
      </c>
      <c r="D20" s="23">
        <v>245</v>
      </c>
      <c r="E20" s="23">
        <v>98</v>
      </c>
      <c r="F20" s="23">
        <v>353</v>
      </c>
      <c r="G20" s="41">
        <v>170</v>
      </c>
      <c r="H20" s="23">
        <f t="shared" si="1"/>
        <v>274</v>
      </c>
      <c r="I20" s="23">
        <f t="shared" si="0"/>
        <v>351</v>
      </c>
    </row>
    <row r="21" spans="2:11" x14ac:dyDescent="0.3">
      <c r="B21" s="23" t="s">
        <v>55</v>
      </c>
      <c r="C21" s="23">
        <v>1.2</v>
      </c>
      <c r="D21" s="23">
        <v>245</v>
      </c>
      <c r="E21" s="23">
        <v>98</v>
      </c>
      <c r="F21" s="23">
        <v>353</v>
      </c>
      <c r="G21" s="41">
        <v>170</v>
      </c>
      <c r="H21" s="23">
        <f t="shared" si="1"/>
        <v>280</v>
      </c>
      <c r="I21" s="23">
        <f t="shared" si="0"/>
        <v>359</v>
      </c>
    </row>
    <row r="22" spans="2:11" x14ac:dyDescent="0.3">
      <c r="B22" s="23" t="s">
        <v>56</v>
      </c>
      <c r="C22" s="23">
        <v>1.3</v>
      </c>
      <c r="D22" s="23">
        <v>192</v>
      </c>
      <c r="E22" s="23">
        <v>77</v>
      </c>
      <c r="F22" s="23">
        <v>276</v>
      </c>
      <c r="G22" s="41">
        <v>133</v>
      </c>
      <c r="H22" s="23">
        <f t="shared" si="1"/>
        <v>286</v>
      </c>
      <c r="I22" s="23">
        <f t="shared" si="0"/>
        <v>367</v>
      </c>
    </row>
    <row r="23" spans="2:11" x14ac:dyDescent="0.3">
      <c r="B23" s="23" t="s">
        <v>57</v>
      </c>
      <c r="C23" s="23">
        <v>1.35</v>
      </c>
      <c r="D23" s="23">
        <v>197</v>
      </c>
      <c r="E23" s="23">
        <v>79</v>
      </c>
      <c r="F23" s="23">
        <v>283</v>
      </c>
      <c r="G23" s="41">
        <v>136</v>
      </c>
      <c r="H23" s="1">
        <f>H22+INT(H22/50)+1</f>
        <v>292</v>
      </c>
      <c r="I23" s="42">
        <f t="shared" si="0"/>
        <v>375</v>
      </c>
      <c r="J23" t="s">
        <v>141</v>
      </c>
    </row>
    <row r="24" spans="2:11" x14ac:dyDescent="0.3">
      <c r="B24" s="23" t="s">
        <v>58</v>
      </c>
      <c r="C24" s="23">
        <v>1.3</v>
      </c>
      <c r="D24" s="23">
        <v>192</v>
      </c>
      <c r="E24" s="23">
        <v>77</v>
      </c>
      <c r="F24" s="23">
        <v>276</v>
      </c>
      <c r="G24" s="41">
        <v>133</v>
      </c>
      <c r="H24" s="23">
        <f t="shared" si="1"/>
        <v>298</v>
      </c>
      <c r="I24" s="23">
        <f t="shared" si="0"/>
        <v>383</v>
      </c>
    </row>
    <row r="25" spans="2:11" x14ac:dyDescent="0.3">
      <c r="B25" s="23" t="s">
        <v>59</v>
      </c>
      <c r="C25" s="23">
        <v>1.75</v>
      </c>
      <c r="D25" s="23">
        <v>103</v>
      </c>
      <c r="E25" s="23">
        <v>42</v>
      </c>
      <c r="F25" s="23">
        <v>149</v>
      </c>
      <c r="G25" s="41">
        <v>72</v>
      </c>
      <c r="H25" s="23">
        <f t="shared" si="1"/>
        <v>304</v>
      </c>
      <c r="I25" s="1">
        <f t="shared" si="0"/>
        <v>391</v>
      </c>
      <c r="J25" t="s">
        <v>142</v>
      </c>
      <c r="K25" t="s">
        <v>144</v>
      </c>
    </row>
    <row r="26" spans="2:11" x14ac:dyDescent="0.3">
      <c r="B26" s="23" t="s">
        <v>60</v>
      </c>
      <c r="C26" s="23">
        <v>1.3</v>
      </c>
      <c r="D26" s="23">
        <v>192</v>
      </c>
      <c r="E26" s="23">
        <v>77</v>
      </c>
      <c r="F26" s="23">
        <v>276</v>
      </c>
      <c r="G26" s="41">
        <v>133</v>
      </c>
      <c r="H26" s="23">
        <f t="shared" si="1"/>
        <v>311</v>
      </c>
      <c r="I26" s="23">
        <f t="shared" si="0"/>
        <v>399</v>
      </c>
    </row>
    <row r="27" spans="2:11" x14ac:dyDescent="0.3">
      <c r="B27" s="23" t="s">
        <v>61</v>
      </c>
      <c r="C27" s="23">
        <v>1.3</v>
      </c>
      <c r="D27" s="23">
        <v>289</v>
      </c>
      <c r="E27" s="23">
        <v>77</v>
      </c>
      <c r="F27" s="23">
        <v>416</v>
      </c>
      <c r="G27" s="41">
        <v>133</v>
      </c>
      <c r="H27" s="23">
        <f t="shared" si="1"/>
        <v>318</v>
      </c>
      <c r="I27" s="23">
        <f t="shared" si="0"/>
        <v>407</v>
      </c>
    </row>
    <row r="28" spans="2:11" x14ac:dyDescent="0.3">
      <c r="B28" s="23" t="s">
        <v>62</v>
      </c>
      <c r="C28" s="23">
        <v>1.7</v>
      </c>
      <c r="D28" s="23">
        <v>154</v>
      </c>
      <c r="E28" s="23">
        <v>62</v>
      </c>
      <c r="F28" s="23">
        <v>221</v>
      </c>
      <c r="G28" s="41">
        <v>106</v>
      </c>
      <c r="H28" s="23">
        <f t="shared" si="1"/>
        <v>325</v>
      </c>
      <c r="I28" s="23">
        <f t="shared" si="0"/>
        <v>416</v>
      </c>
    </row>
    <row r="29" spans="2:11" x14ac:dyDescent="0.3">
      <c r="B29" s="23" t="s">
        <v>63</v>
      </c>
      <c r="C29" s="23">
        <v>1.5</v>
      </c>
      <c r="D29" s="23">
        <v>150</v>
      </c>
      <c r="E29" s="23">
        <v>60</v>
      </c>
      <c r="F29" s="23">
        <v>216</v>
      </c>
      <c r="G29" s="41">
        <v>104</v>
      </c>
      <c r="H29" s="42">
        <f>H28+9</f>
        <v>334</v>
      </c>
      <c r="I29" s="42">
        <f>I28+13</f>
        <v>429</v>
      </c>
    </row>
    <row r="30" spans="2:11" x14ac:dyDescent="0.3">
      <c r="B30" s="23" t="s">
        <v>64</v>
      </c>
      <c r="C30" s="23">
        <v>1.5</v>
      </c>
      <c r="D30" s="23">
        <v>210</v>
      </c>
      <c r="E30" s="23">
        <v>84</v>
      </c>
      <c r="F30" s="23">
        <v>302</v>
      </c>
      <c r="G30" s="41">
        <v>145</v>
      </c>
      <c r="H30" s="1">
        <f>H29+9</f>
        <v>343</v>
      </c>
      <c r="I30" s="1">
        <f>I29+13</f>
        <v>442</v>
      </c>
      <c r="J30" t="s">
        <v>143</v>
      </c>
    </row>
    <row r="31" spans="2:11" x14ac:dyDescent="0.3">
      <c r="B31" s="23" t="s">
        <v>51</v>
      </c>
      <c r="C31" s="23">
        <v>1.34</v>
      </c>
      <c r="D31" s="23">
        <v>205</v>
      </c>
      <c r="E31" s="23">
        <v>82</v>
      </c>
      <c r="F31" s="23">
        <v>295</v>
      </c>
      <c r="G31" s="23">
        <v>142</v>
      </c>
    </row>
    <row r="32" spans="2:11" x14ac:dyDescent="0.3">
      <c r="B32" s="23" t="s">
        <v>52</v>
      </c>
      <c r="C32" s="23">
        <v>1.2</v>
      </c>
      <c r="D32" s="23">
        <v>245</v>
      </c>
      <c r="E32" s="23">
        <v>98</v>
      </c>
      <c r="F32" s="23">
        <v>353</v>
      </c>
      <c r="G32" s="23">
        <v>170</v>
      </c>
    </row>
    <row r="33" spans="2:7" x14ac:dyDescent="0.3">
      <c r="B33" s="23" t="s">
        <v>65</v>
      </c>
      <c r="C33" s="23">
        <v>1.3</v>
      </c>
      <c r="D33" s="23">
        <v>192</v>
      </c>
      <c r="E33" s="23">
        <v>77</v>
      </c>
      <c r="F33" s="23">
        <v>276</v>
      </c>
      <c r="G33" s="23">
        <v>133</v>
      </c>
    </row>
    <row r="34" spans="2:7" x14ac:dyDescent="0.3">
      <c r="B34" s="23" t="s">
        <v>66</v>
      </c>
      <c r="C34" s="23">
        <v>1.75</v>
      </c>
      <c r="D34" s="23">
        <v>103</v>
      </c>
      <c r="E34" s="23">
        <v>42</v>
      </c>
      <c r="F34" s="23">
        <v>149</v>
      </c>
      <c r="G34" s="23">
        <v>72</v>
      </c>
    </row>
    <row r="35" spans="2:7" x14ac:dyDescent="0.3">
      <c r="B35" s="23" t="s">
        <v>67</v>
      </c>
      <c r="C35" s="23">
        <v>1.7</v>
      </c>
      <c r="D35" s="23">
        <v>154</v>
      </c>
      <c r="E35" s="23">
        <v>62</v>
      </c>
      <c r="F35" s="23">
        <v>221</v>
      </c>
      <c r="G35" s="23">
        <v>106</v>
      </c>
    </row>
    <row r="36" spans="2:7" x14ac:dyDescent="0.3">
      <c r="B36" s="23" t="s">
        <v>68</v>
      </c>
      <c r="C36" s="23">
        <v>1.2</v>
      </c>
      <c r="D36" s="23">
        <v>197</v>
      </c>
      <c r="E36" s="23">
        <v>79</v>
      </c>
      <c r="F36" s="23">
        <v>283</v>
      </c>
      <c r="G36" s="23">
        <v>136</v>
      </c>
    </row>
    <row r="37" spans="2:7" x14ac:dyDescent="0.3">
      <c r="B37" s="23" t="s">
        <v>69</v>
      </c>
      <c r="C37" s="23">
        <v>1.7</v>
      </c>
      <c r="D37" s="23">
        <v>154</v>
      </c>
      <c r="E37" s="23">
        <v>62</v>
      </c>
      <c r="F37" s="23">
        <v>221</v>
      </c>
      <c r="G37" s="23">
        <v>106</v>
      </c>
    </row>
    <row r="38" spans="2:7" x14ac:dyDescent="0.3">
      <c r="B38" s="23" t="s">
        <v>70</v>
      </c>
      <c r="C38" s="23">
        <v>1.2</v>
      </c>
      <c r="D38" s="23">
        <v>245</v>
      </c>
      <c r="E38" s="23">
        <v>98</v>
      </c>
      <c r="F38" s="23">
        <v>353</v>
      </c>
      <c r="G38" s="23">
        <v>170</v>
      </c>
    </row>
    <row r="39" spans="2:7" x14ac:dyDescent="0.3">
      <c r="B39" s="23" t="s">
        <v>71</v>
      </c>
      <c r="C39" s="23">
        <v>1.35</v>
      </c>
      <c r="D39" s="23">
        <v>197</v>
      </c>
      <c r="E39" s="23">
        <v>79</v>
      </c>
      <c r="F39" s="23">
        <v>283</v>
      </c>
      <c r="G39" s="23">
        <v>136</v>
      </c>
    </row>
    <row r="40" spans="2:7" x14ac:dyDescent="0.3">
      <c r="B40" s="23" t="s">
        <v>72</v>
      </c>
      <c r="C40" s="23">
        <v>1.5</v>
      </c>
      <c r="D40" s="23">
        <v>150</v>
      </c>
      <c r="E40" s="23">
        <v>60</v>
      </c>
      <c r="F40" s="23">
        <v>216</v>
      </c>
      <c r="G40" s="23">
        <v>104</v>
      </c>
    </row>
    <row r="41" spans="2:7" x14ac:dyDescent="0.3">
      <c r="B41" s="23" t="s">
        <v>73</v>
      </c>
      <c r="C41" s="23">
        <v>1.3125</v>
      </c>
      <c r="D41" s="23">
        <v>154</v>
      </c>
      <c r="E41" s="23">
        <v>62</v>
      </c>
      <c r="F41" s="23">
        <v>221</v>
      </c>
      <c r="G41" s="23">
        <v>106</v>
      </c>
    </row>
    <row r="42" spans="2:7" x14ac:dyDescent="0.3">
      <c r="B42" s="23" t="s">
        <v>74</v>
      </c>
      <c r="C42" s="23">
        <v>1.2</v>
      </c>
      <c r="D42" s="23">
        <v>197</v>
      </c>
      <c r="E42" s="23">
        <v>79</v>
      </c>
      <c r="F42" s="23">
        <v>283</v>
      </c>
      <c r="G42" s="23">
        <v>136</v>
      </c>
    </row>
    <row r="43" spans="2:7" x14ac:dyDescent="0.3">
      <c r="B43" s="23" t="s">
        <v>75</v>
      </c>
      <c r="C43" s="23">
        <v>1.3</v>
      </c>
      <c r="D43" s="23">
        <v>205</v>
      </c>
      <c r="E43" s="23">
        <v>82</v>
      </c>
      <c r="F43" s="23">
        <v>295</v>
      </c>
      <c r="G43" s="23">
        <v>142</v>
      </c>
    </row>
    <row r="44" spans="2:7" x14ac:dyDescent="0.3">
      <c r="B44" s="23" t="s">
        <v>76</v>
      </c>
      <c r="C44" s="23">
        <v>1.3</v>
      </c>
      <c r="D44" s="23">
        <v>192</v>
      </c>
      <c r="E44" s="23">
        <v>77</v>
      </c>
      <c r="F44" s="23">
        <v>276</v>
      </c>
      <c r="G44" s="23">
        <v>133</v>
      </c>
    </row>
    <row r="45" spans="2:7" x14ac:dyDescent="0.3">
      <c r="B45" s="23" t="s">
        <v>77</v>
      </c>
      <c r="C45" s="23">
        <v>1.49</v>
      </c>
      <c r="D45" s="23">
        <v>184</v>
      </c>
      <c r="E45" s="23">
        <v>74</v>
      </c>
      <c r="F45" s="23">
        <v>264</v>
      </c>
      <c r="G45" s="23">
        <v>127</v>
      </c>
    </row>
    <row r="46" spans="2:7" x14ac:dyDescent="0.3">
      <c r="B46" s="23" t="s">
        <v>78</v>
      </c>
      <c r="C46" s="23">
        <v>1.3</v>
      </c>
      <c r="D46" s="23">
        <v>197</v>
      </c>
      <c r="E46" s="23">
        <v>79</v>
      </c>
      <c r="F46" s="23">
        <v>283</v>
      </c>
      <c r="G46" s="23">
        <v>136</v>
      </c>
    </row>
    <row r="47" spans="2:7" x14ac:dyDescent="0.3">
      <c r="B47" s="23" t="s">
        <v>79</v>
      </c>
      <c r="C47" s="23">
        <v>1.2</v>
      </c>
      <c r="D47" s="23">
        <v>197</v>
      </c>
      <c r="E47" s="23">
        <v>79</v>
      </c>
      <c r="F47" s="23">
        <v>283</v>
      </c>
      <c r="G47" s="23">
        <v>136</v>
      </c>
    </row>
    <row r="48" spans="2:7" x14ac:dyDescent="0.3">
      <c r="B48" s="23" t="s">
        <v>80</v>
      </c>
      <c r="C48" s="23">
        <v>1.2</v>
      </c>
      <c r="D48" s="23">
        <v>241</v>
      </c>
      <c r="E48" s="23">
        <v>97</v>
      </c>
      <c r="F48" s="23">
        <v>347</v>
      </c>
      <c r="G48" s="23">
        <v>167</v>
      </c>
    </row>
    <row r="49" spans="2:7" x14ac:dyDescent="0.3">
      <c r="B49" s="23" t="s">
        <v>81</v>
      </c>
      <c r="C49" s="23">
        <v>1.2</v>
      </c>
      <c r="D49" s="23">
        <v>245</v>
      </c>
      <c r="E49" s="23">
        <v>98</v>
      </c>
      <c r="F49" s="23">
        <v>353</v>
      </c>
      <c r="G49" s="23">
        <v>170</v>
      </c>
    </row>
    <row r="50" spans="2:7" x14ac:dyDescent="0.3">
      <c r="B50" s="23" t="s">
        <v>46</v>
      </c>
      <c r="C50" s="23">
        <v>1.7</v>
      </c>
      <c r="D50" s="23">
        <v>154</v>
      </c>
      <c r="E50" s="23">
        <v>62</v>
      </c>
      <c r="F50" s="23">
        <v>221</v>
      </c>
      <c r="G50" s="23">
        <v>106</v>
      </c>
    </row>
    <row r="51" spans="2:7" x14ac:dyDescent="0.3">
      <c r="B51" s="23" t="s">
        <v>84</v>
      </c>
      <c r="C51" s="23">
        <v>1.34</v>
      </c>
      <c r="D51" s="23">
        <v>205</v>
      </c>
      <c r="E51" s="23">
        <v>82</v>
      </c>
      <c r="F51" s="23">
        <v>295</v>
      </c>
      <c r="G51" s="23">
        <v>142</v>
      </c>
    </row>
    <row r="52" spans="2:7" x14ac:dyDescent="0.3">
      <c r="B52" s="23" t="s">
        <v>85</v>
      </c>
      <c r="C52" s="23">
        <v>1.3</v>
      </c>
      <c r="D52" s="23">
        <v>192</v>
      </c>
      <c r="E52" s="23">
        <v>77</v>
      </c>
      <c r="F52" s="23">
        <v>276</v>
      </c>
      <c r="G52" s="23">
        <v>133</v>
      </c>
    </row>
    <row r="53" spans="2:7" x14ac:dyDescent="0.3">
      <c r="B53" s="23" t="s">
        <v>86</v>
      </c>
      <c r="C53" s="23">
        <v>1.7</v>
      </c>
      <c r="D53" s="23">
        <v>154</v>
      </c>
      <c r="E53" s="23">
        <v>62</v>
      </c>
      <c r="F53" s="23">
        <v>221</v>
      </c>
      <c r="G53" s="23">
        <v>106</v>
      </c>
    </row>
    <row r="54" spans="2:7" x14ac:dyDescent="0.3">
      <c r="B54" s="23" t="s">
        <v>87</v>
      </c>
      <c r="C54" s="23">
        <v>1.3</v>
      </c>
      <c r="D54" s="23">
        <v>192</v>
      </c>
      <c r="E54" s="23">
        <v>77</v>
      </c>
      <c r="F54" s="23">
        <v>276</v>
      </c>
      <c r="G54" s="23">
        <v>133</v>
      </c>
    </row>
    <row r="55" spans="2:7" x14ac:dyDescent="0.3">
      <c r="B55" s="23" t="s">
        <v>50</v>
      </c>
      <c r="C55" s="23">
        <v>1.7</v>
      </c>
      <c r="D55" s="23">
        <v>154</v>
      </c>
      <c r="E55" s="23">
        <v>62</v>
      </c>
      <c r="F55" s="23">
        <v>221</v>
      </c>
      <c r="G55" s="23">
        <v>106</v>
      </c>
    </row>
    <row r="56" spans="2:7" x14ac:dyDescent="0.3">
      <c r="B56" s="23" t="s">
        <v>82</v>
      </c>
      <c r="C56" s="23">
        <v>1.3</v>
      </c>
      <c r="D56" s="23">
        <v>205</v>
      </c>
      <c r="E56" s="23">
        <v>82</v>
      </c>
      <c r="F56" s="23">
        <v>295</v>
      </c>
      <c r="G56" s="23">
        <v>142</v>
      </c>
    </row>
    <row r="57" spans="2:7" x14ac:dyDescent="0.3">
      <c r="B57" s="23" t="s">
        <v>83</v>
      </c>
      <c r="C57" s="23">
        <v>1.2</v>
      </c>
      <c r="D57" s="23">
        <v>241</v>
      </c>
      <c r="E57" s="23">
        <v>97</v>
      </c>
      <c r="F57" s="23">
        <v>347</v>
      </c>
      <c r="G57" s="23">
        <v>167</v>
      </c>
    </row>
    <row r="58" spans="2:7" x14ac:dyDescent="0.3">
      <c r="B58" s="23" t="s">
        <v>89</v>
      </c>
      <c r="C58" s="23">
        <v>1.2</v>
      </c>
      <c r="D58" s="23">
        <v>241</v>
      </c>
      <c r="E58" s="23">
        <v>97</v>
      </c>
      <c r="F58" s="23">
        <v>347</v>
      </c>
      <c r="G58" s="23">
        <v>167</v>
      </c>
    </row>
    <row r="59" spans="2:7" x14ac:dyDescent="0.3">
      <c r="B59" s="23" t="s">
        <v>88</v>
      </c>
      <c r="C59" s="23">
        <v>1.3</v>
      </c>
      <c r="D59" s="23">
        <v>192</v>
      </c>
      <c r="E59" s="23">
        <v>77</v>
      </c>
      <c r="F59" s="23">
        <v>276</v>
      </c>
      <c r="G59" s="23">
        <v>133</v>
      </c>
    </row>
    <row r="60" spans="2:7" x14ac:dyDescent="0.3">
      <c r="B60" s="23" t="s">
        <v>91</v>
      </c>
      <c r="C60" s="23">
        <v>1.34</v>
      </c>
      <c r="D60" s="23">
        <v>203</v>
      </c>
      <c r="E60" s="23">
        <v>56</v>
      </c>
      <c r="F60" s="23">
        <v>337</v>
      </c>
      <c r="G60" s="23">
        <v>151</v>
      </c>
    </row>
    <row r="61" spans="2:7" x14ac:dyDescent="0.3">
      <c r="B61" s="23" t="s">
        <v>92</v>
      </c>
      <c r="C61" s="23">
        <v>1.49</v>
      </c>
      <c r="D61" s="23">
        <v>207</v>
      </c>
      <c r="E61" s="23">
        <v>56</v>
      </c>
      <c r="F61" s="23">
        <v>342</v>
      </c>
      <c r="G61" s="23">
        <v>151</v>
      </c>
    </row>
    <row r="62" spans="2:7" x14ac:dyDescent="0.3">
      <c r="B62" s="23" t="s">
        <v>90</v>
      </c>
      <c r="C62" s="23">
        <v>1.2</v>
      </c>
      <c r="D62" s="23">
        <v>241</v>
      </c>
      <c r="E62" s="23">
        <v>97</v>
      </c>
      <c r="F62" s="23">
        <v>347</v>
      </c>
      <c r="G62" s="23">
        <v>167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계산 및 상세 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송민제</dc:creator>
  <cp:lastModifiedBy>송민제</cp:lastModifiedBy>
  <dcterms:created xsi:type="dcterms:W3CDTF">2021-10-06T08:46:11Z</dcterms:created>
  <dcterms:modified xsi:type="dcterms:W3CDTF">2022-06-19T04:58:20Z</dcterms:modified>
</cp:coreProperties>
</file>