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alr\Desktop\"/>
    </mc:Choice>
  </mc:AlternateContent>
  <xr:revisionPtr revIDLastSave="0" documentId="8_{B55251F5-2268-4261-97F2-F6079B17E8AC}" xr6:coauthVersionLast="47" xr6:coauthVersionMax="47" xr10:uidLastSave="{00000000-0000-0000-0000-000000000000}"/>
  <bookViews>
    <workbookView xWindow="-120" yWindow="330" windowWidth="38640" windowHeight="21390" xr2:uid="{876C8697-6248-4A31-8E43-2EAA66B6BCCD}"/>
  </bookViews>
  <sheets>
    <sheet name="Gunslin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6" i="1" l="1"/>
  <c r="AQ24" i="1"/>
  <c r="AQ25" i="1" s="1"/>
  <c r="AQ27" i="1" s="1"/>
  <c r="AG24" i="1"/>
  <c r="AE24" i="1"/>
  <c r="AG23" i="1"/>
  <c r="AE23" i="1"/>
  <c r="AA23" i="1"/>
  <c r="AB23" i="1" s="1"/>
  <c r="AG22" i="1"/>
  <c r="AE22" i="1"/>
  <c r="AB22" i="1"/>
  <c r="AG21" i="1"/>
  <c r="AE21" i="1"/>
  <c r="AA21" i="1"/>
  <c r="AB21" i="1" s="1"/>
  <c r="L21" i="1"/>
  <c r="I21" i="1"/>
  <c r="AG20" i="1"/>
  <c r="AE20" i="1"/>
  <c r="AB20" i="1"/>
  <c r="AA20" i="1"/>
  <c r="L20" i="1"/>
  <c r="L25" i="1" s="1"/>
  <c r="I20" i="1"/>
  <c r="AG19" i="1"/>
  <c r="AE19" i="1"/>
  <c r="AB19" i="1"/>
  <c r="L19" i="1"/>
  <c r="AP18" i="1"/>
  <c r="AB18" i="1"/>
  <c r="AP17" i="1"/>
  <c r="AB17" i="1"/>
  <c r="AA17" i="1"/>
  <c r="L17" i="1"/>
  <c r="I17" i="1"/>
  <c r="AP16" i="1"/>
  <c r="AG16" i="1"/>
  <c r="AE16" i="1"/>
  <c r="AB16" i="1"/>
  <c r="O16" i="1"/>
  <c r="L16" i="1"/>
  <c r="I16" i="1"/>
  <c r="AP15" i="1"/>
  <c r="AM15" i="1"/>
  <c r="AG15" i="1"/>
  <c r="AE15" i="1"/>
  <c r="AB15" i="1"/>
  <c r="O15" i="1"/>
  <c r="L15" i="1"/>
  <c r="L24" i="1" s="1"/>
  <c r="I15" i="1"/>
  <c r="F25" i="1" s="1"/>
  <c r="AM14" i="1"/>
  <c r="AB14" i="1"/>
  <c r="O14" i="1"/>
  <c r="AM13" i="1"/>
  <c r="AG13" i="1"/>
  <c r="AE13" i="1"/>
  <c r="AB13" i="1"/>
  <c r="O13" i="1"/>
  <c r="L13" i="1"/>
  <c r="AQ12" i="1"/>
  <c r="AR16" i="1" s="1"/>
  <c r="AM12" i="1"/>
  <c r="AG12" i="1"/>
  <c r="AE12" i="1"/>
  <c r="AB12" i="1"/>
  <c r="L12" i="1"/>
  <c r="I12" i="1"/>
  <c r="F21" i="1" s="1"/>
  <c r="AM11" i="1"/>
  <c r="AB11" i="1"/>
  <c r="O11" i="1"/>
  <c r="L11" i="1"/>
  <c r="L26" i="1" s="1"/>
  <c r="I11" i="1"/>
  <c r="F11" i="1"/>
  <c r="AM10" i="1"/>
  <c r="AG10" i="1"/>
  <c r="AE10" i="1"/>
  <c r="AB10" i="1"/>
  <c r="AA10" i="1"/>
  <c r="O10" i="1"/>
  <c r="L10" i="1"/>
  <c r="F10" i="1"/>
  <c r="AM9" i="1"/>
  <c r="AB9" i="1"/>
  <c r="L9" i="1"/>
  <c r="F9" i="1"/>
  <c r="C9" i="1"/>
  <c r="AM8" i="1"/>
  <c r="AG8" i="1"/>
  <c r="AE8" i="1"/>
  <c r="AB8" i="1"/>
  <c r="AA8" i="1"/>
  <c r="O8" i="1"/>
  <c r="L8" i="1"/>
  <c r="AM7" i="1"/>
  <c r="AB7" i="1"/>
  <c r="AA7" i="1"/>
  <c r="O7" i="1"/>
  <c r="L7" i="1"/>
  <c r="AM6" i="1"/>
  <c r="AG6" i="1"/>
  <c r="AE6" i="1"/>
  <c r="AB6" i="1"/>
  <c r="O6" i="1"/>
  <c r="L6" i="1"/>
  <c r="AM5" i="1"/>
  <c r="AB5" i="1"/>
  <c r="O5" i="1"/>
  <c r="F7" i="1" s="1"/>
  <c r="O20" i="1" s="1"/>
  <c r="L5" i="1"/>
  <c r="AM4" i="1"/>
  <c r="O4" i="1"/>
  <c r="F6" i="1" s="1"/>
  <c r="L4" i="1"/>
  <c r="L23" i="1" s="1"/>
  <c r="O19" i="1" l="1"/>
  <c r="AC22" i="1"/>
  <c r="AC20" i="1"/>
  <c r="I22" i="1"/>
  <c r="F17" i="1" s="1"/>
  <c r="O23" i="1"/>
  <c r="O24" i="1"/>
  <c r="AC19" i="1" s="1"/>
  <c r="O25" i="1"/>
  <c r="AC11" i="1"/>
  <c r="W22" i="1"/>
  <c r="W21" i="1"/>
  <c r="W10" i="1"/>
  <c r="W16" i="1"/>
  <c r="W9" i="1"/>
  <c r="W20" i="1"/>
  <c r="W8" i="1"/>
  <c r="W7" i="1"/>
  <c r="W19" i="1"/>
  <c r="W15" i="1"/>
  <c r="W6" i="1"/>
  <c r="W5" i="1"/>
  <c r="W18" i="1"/>
  <c r="W14" i="1"/>
  <c r="W13" i="1"/>
  <c r="W12" i="1"/>
  <c r="W11" i="1"/>
  <c r="W17" i="1"/>
  <c r="W23" i="1"/>
  <c r="AR28" i="1"/>
  <c r="AP28" i="1"/>
  <c r="F15" i="1"/>
  <c r="AC9" i="1" s="1"/>
  <c r="AC12" i="1"/>
  <c r="AR17" i="1"/>
  <c r="F5" i="1"/>
  <c r="F18" i="1"/>
  <c r="AQ18" i="1"/>
  <c r="AQ17" i="1"/>
  <c r="AR18" i="1"/>
  <c r="F19" i="1"/>
  <c r="AQ15" i="1"/>
  <c r="AR15" i="1"/>
  <c r="AQ16" i="1"/>
  <c r="F23" i="1"/>
  <c r="I23" i="1"/>
  <c r="F24" i="1"/>
  <c r="AD19" i="1" l="1"/>
  <c r="AD9" i="1"/>
  <c r="AC14" i="1"/>
  <c r="AC13" i="1"/>
  <c r="O18" i="1"/>
  <c r="F13" i="1" s="1"/>
  <c r="AD20" i="1"/>
  <c r="W25" i="1"/>
  <c r="W24" i="1"/>
  <c r="AH11" i="1"/>
  <c r="AD11" i="1"/>
  <c r="AD22" i="1"/>
  <c r="Z9" i="1"/>
  <c r="AF9" i="1" s="1"/>
  <c r="Z20" i="1"/>
  <c r="AF20" i="1" s="1"/>
  <c r="Z10" i="1"/>
  <c r="AF10" i="1" s="1"/>
  <c r="Z8" i="1"/>
  <c r="AF8" i="1" s="1"/>
  <c r="Z7" i="1"/>
  <c r="AF7" i="1" s="1"/>
  <c r="Z6" i="1"/>
  <c r="AF6" i="1" s="1"/>
  <c r="Z19" i="1"/>
  <c r="AF19" i="1" s="1"/>
  <c r="Z5" i="1"/>
  <c r="Z18" i="1"/>
  <c r="AF18" i="1" s="1"/>
  <c r="Z12" i="1"/>
  <c r="AF12" i="1" s="1"/>
  <c r="Z11" i="1"/>
  <c r="AF11" i="1" s="1"/>
  <c r="Z21" i="1"/>
  <c r="AF21" i="1" s="1"/>
  <c r="Z25" i="1"/>
  <c r="Z24" i="1"/>
  <c r="Z17" i="1"/>
  <c r="AF17" i="1" s="1"/>
  <c r="Z23" i="1"/>
  <c r="AF23" i="1" s="1"/>
  <c r="Z22" i="1"/>
  <c r="AF22" i="1" s="1"/>
  <c r="AH12" i="1"/>
  <c r="AD12" i="1"/>
  <c r="AC5" i="1"/>
  <c r="AC21" i="1"/>
  <c r="AC17" i="1"/>
  <c r="Z16" i="1"/>
  <c r="AF16" i="1" s="1"/>
  <c r="Z15" i="1"/>
  <c r="AF15" i="1" s="1"/>
  <c r="Z14" i="1"/>
  <c r="AF14" i="1" s="1"/>
  <c r="Z13" i="1"/>
  <c r="AF13" i="1" s="1"/>
  <c r="AC8" i="1"/>
  <c r="AC10" i="1"/>
  <c r="AQ30" i="1"/>
  <c r="AQ29" i="1"/>
  <c r="AR19" i="1"/>
  <c r="AC7" i="1"/>
  <c r="F14" i="1"/>
  <c r="AC23" i="1" s="1"/>
  <c r="AC25" i="1"/>
  <c r="AC24" i="1"/>
  <c r="AQ19" i="1"/>
  <c r="AC6" i="1"/>
  <c r="AC18" i="1"/>
  <c r="AH21" i="1" l="1"/>
  <c r="AD21" i="1"/>
  <c r="AH23" i="1"/>
  <c r="AD23" i="1"/>
  <c r="AH20" i="1"/>
  <c r="Z26" i="1"/>
  <c r="AF5" i="1"/>
  <c r="AQ32" i="1"/>
  <c r="AH10" i="1"/>
  <c r="AD10" i="1"/>
  <c r="AC15" i="1"/>
  <c r="AC16" i="1"/>
  <c r="AH7" i="1"/>
  <c r="AD7" i="1"/>
  <c r="AD13" i="1"/>
  <c r="AH13" i="1"/>
  <c r="AF24" i="1"/>
  <c r="AD14" i="1"/>
  <c r="AH14" i="1"/>
  <c r="AF25" i="1"/>
  <c r="AD18" i="1"/>
  <c r="AH18" i="1"/>
  <c r="AQ21" i="1"/>
  <c r="AQ20" i="1"/>
  <c r="AH9" i="1"/>
  <c r="AD5" i="1"/>
  <c r="AC26" i="1"/>
  <c r="AH5" i="1"/>
  <c r="AH26" i="1" s="1"/>
  <c r="AH8" i="1"/>
  <c r="AD8" i="1"/>
  <c r="AD6" i="1"/>
  <c r="AH6" i="1"/>
  <c r="AH24" i="1"/>
  <c r="AD24" i="1"/>
  <c r="AH22" i="1"/>
  <c r="AH19" i="1"/>
  <c r="AQ33" i="1"/>
  <c r="AH25" i="1"/>
  <c r="AD25" i="1"/>
  <c r="AH17" i="1"/>
  <c r="AD17" i="1"/>
  <c r="AF26" i="1" l="1"/>
  <c r="AG25" i="1" s="1"/>
  <c r="AD26" i="1"/>
  <c r="AH16" i="1"/>
  <c r="AD16" i="1"/>
  <c r="AD15" i="1"/>
  <c r="AH15" i="1"/>
  <c r="AE9" i="1" l="1"/>
  <c r="AE11" i="1"/>
  <c r="AE18" i="1"/>
  <c r="AE7" i="1"/>
  <c r="AE17" i="1"/>
  <c r="AG17" i="1"/>
  <c r="AG18" i="1"/>
  <c r="AG14" i="1"/>
  <c r="AG11" i="1"/>
  <c r="AG7" i="1"/>
  <c r="AG9" i="1"/>
  <c r="AE5" i="1"/>
  <c r="AE25" i="1"/>
  <c r="AE14" i="1"/>
  <c r="AG5" i="1"/>
</calcChain>
</file>

<file path=xl/sharedStrings.xml><?xml version="1.0" encoding="utf-8"?>
<sst xmlns="http://schemas.openxmlformats.org/spreadsheetml/2006/main" count="205" uniqueCount="162">
  <si>
    <t>캐릭터 스펙</t>
    <phoneticPr fontId="2" type="noConversion"/>
  </si>
  <si>
    <t>스펙 요약</t>
    <phoneticPr fontId="2" type="noConversion"/>
  </si>
  <si>
    <t>스텟 계수</t>
    <phoneticPr fontId="2" type="noConversion"/>
  </si>
  <si>
    <t>데미지 팩터</t>
    <phoneticPr fontId="2" type="noConversion"/>
  </si>
  <si>
    <t>치명타 팩터</t>
    <phoneticPr fontId="2" type="noConversion"/>
  </si>
  <si>
    <t>스킬 계수</t>
    <phoneticPr fontId="2" type="noConversion"/>
  </si>
  <si>
    <t>Level Scale</t>
  </si>
  <si>
    <t>-%</t>
  </si>
  <si>
    <t>비교</t>
    <phoneticPr fontId="2" type="noConversion"/>
  </si>
  <si>
    <t>타겟 다운 계산기</t>
    <phoneticPr fontId="2" type="noConversion"/>
  </si>
  <si>
    <t>치명 계수</t>
    <phoneticPr fontId="2" type="noConversion"/>
  </si>
  <si>
    <t>피해 증가</t>
    <phoneticPr fontId="2" type="noConversion"/>
  </si>
  <si>
    <t>치명타 확률</t>
    <phoneticPr fontId="2" type="noConversion"/>
  </si>
  <si>
    <t>세트</t>
    <phoneticPr fontId="2" type="noConversion"/>
  </si>
  <si>
    <t>구원(3)</t>
    <phoneticPr fontId="2" type="noConversion"/>
  </si>
  <si>
    <t>특화 계수</t>
    <phoneticPr fontId="2" type="noConversion"/>
  </si>
  <si>
    <t>원한</t>
    <phoneticPr fontId="2" type="noConversion"/>
  </si>
  <si>
    <t>피메(S)</t>
    <phoneticPr fontId="2" type="noConversion"/>
  </si>
  <si>
    <t>스킬</t>
    <phoneticPr fontId="2" type="noConversion"/>
  </si>
  <si>
    <t>레벨</t>
    <phoneticPr fontId="2" type="noConversion"/>
  </si>
  <si>
    <t>멸화</t>
    <phoneticPr fontId="2" type="noConversion"/>
  </si>
  <si>
    <t>홍염</t>
    <phoneticPr fontId="2" type="noConversion"/>
  </si>
  <si>
    <t>트포</t>
    <phoneticPr fontId="2" type="noConversion"/>
  </si>
  <si>
    <t>쿨타임</t>
    <phoneticPr fontId="2" type="noConversion"/>
  </si>
  <si>
    <t>쿨감 적용</t>
    <phoneticPr fontId="2" type="noConversion"/>
  </si>
  <si>
    <t>기본 프레임</t>
    <phoneticPr fontId="2" type="noConversion"/>
  </si>
  <si>
    <t>질풍 룬</t>
    <phoneticPr fontId="2" type="noConversion"/>
  </si>
  <si>
    <t>Frame</t>
    <phoneticPr fontId="2" type="noConversion"/>
  </si>
  <si>
    <t>기본 계수</t>
    <phoneticPr fontId="2" type="noConversion"/>
  </si>
  <si>
    <t>5레벨 트포</t>
    <phoneticPr fontId="2" type="noConversion"/>
  </si>
  <si>
    <t>최종 데미지</t>
    <phoneticPr fontId="2" type="noConversion"/>
  </si>
  <si>
    <t>DPS</t>
    <phoneticPr fontId="2" type="noConversion"/>
  </si>
  <si>
    <t>DPS 점유</t>
    <phoneticPr fontId="2" type="noConversion"/>
  </si>
  <si>
    <t>FPS</t>
    <phoneticPr fontId="2" type="noConversion"/>
  </si>
  <si>
    <t>FPS 점유</t>
    <phoneticPr fontId="2" type="noConversion"/>
  </si>
  <si>
    <t>DPF</t>
    <phoneticPr fontId="2" type="noConversion"/>
  </si>
  <si>
    <t>CHK</t>
    <phoneticPr fontId="2" type="noConversion"/>
  </si>
  <si>
    <t>피스메이커 각인</t>
    <phoneticPr fontId="2" type="noConversion"/>
  </si>
  <si>
    <t>특성 세팅</t>
    <phoneticPr fontId="2" type="noConversion"/>
  </si>
  <si>
    <t>핸드건</t>
    <phoneticPr fontId="2" type="noConversion"/>
  </si>
  <si>
    <t>핸드건 계수</t>
    <phoneticPr fontId="2" type="noConversion"/>
  </si>
  <si>
    <t>예리한둔기</t>
    <phoneticPr fontId="2" type="noConversion"/>
  </si>
  <si>
    <t>사냥의시간</t>
    <phoneticPr fontId="2" type="noConversion"/>
  </si>
  <si>
    <t>타겟(대탄)</t>
    <phoneticPr fontId="2" type="noConversion"/>
  </si>
  <si>
    <t>피스메이커 일반딜</t>
    <phoneticPr fontId="2" type="noConversion"/>
  </si>
  <si>
    <t>치명 스텟</t>
    <phoneticPr fontId="2" type="noConversion"/>
  </si>
  <si>
    <t>샷건</t>
    <phoneticPr fontId="2" type="noConversion"/>
  </si>
  <si>
    <t>속도 계수</t>
    <phoneticPr fontId="2" type="noConversion"/>
  </si>
  <si>
    <t>돌격대장</t>
    <phoneticPr fontId="2" type="noConversion"/>
  </si>
  <si>
    <t>아드레날린</t>
    <phoneticPr fontId="2" type="noConversion"/>
  </si>
  <si>
    <t>타겟(반자동)</t>
    <phoneticPr fontId="2" type="noConversion"/>
  </si>
  <si>
    <t>피스메이커 약무딜</t>
    <phoneticPr fontId="2" type="noConversion"/>
  </si>
  <si>
    <t>특화 스텟</t>
    <phoneticPr fontId="2" type="noConversion"/>
  </si>
  <si>
    <t>라이플</t>
    <phoneticPr fontId="2" type="noConversion"/>
  </si>
  <si>
    <t>쿨감 계수</t>
    <phoneticPr fontId="2" type="noConversion"/>
  </si>
  <si>
    <t>타격의대가</t>
    <phoneticPr fontId="2" type="noConversion"/>
  </si>
  <si>
    <t>정밀단도</t>
    <phoneticPr fontId="2" type="noConversion"/>
  </si>
  <si>
    <t>포커스(최일)</t>
    <phoneticPr fontId="2" type="noConversion"/>
  </si>
  <si>
    <t>치명타 확률 / 치명타 피해 / 대용량 탄창</t>
    <phoneticPr fontId="2" type="noConversion"/>
  </si>
  <si>
    <t>신속 스텟</t>
    <phoneticPr fontId="2" type="noConversion"/>
  </si>
  <si>
    <t>치명타 피해</t>
    <phoneticPr fontId="2" type="noConversion"/>
  </si>
  <si>
    <t>각성기 계수</t>
    <phoneticPr fontId="2" type="noConversion"/>
  </si>
  <si>
    <t>피메(R)</t>
    <phoneticPr fontId="2" type="noConversion"/>
  </si>
  <si>
    <t>세트 효과</t>
    <phoneticPr fontId="2" type="noConversion"/>
  </si>
  <si>
    <t>포커스(빠마)</t>
    <phoneticPr fontId="2" type="noConversion"/>
  </si>
  <si>
    <t>특성합</t>
    <phoneticPr fontId="2" type="noConversion"/>
  </si>
  <si>
    <t>특화(S)</t>
    <phoneticPr fontId="2" type="noConversion"/>
  </si>
  <si>
    <t>급소노출</t>
    <phoneticPr fontId="2" type="noConversion"/>
  </si>
  <si>
    <t>퍼샷</t>
    <phoneticPr fontId="2" type="noConversion"/>
  </si>
  <si>
    <t>기타 세팅</t>
    <phoneticPr fontId="2" type="noConversion"/>
  </si>
  <si>
    <t>쿨다운 감소</t>
    <phoneticPr fontId="2" type="noConversion"/>
  </si>
  <si>
    <t>특화(R)</t>
    <phoneticPr fontId="2" type="noConversion"/>
  </si>
  <si>
    <t>남바절</t>
    <phoneticPr fontId="2" type="noConversion"/>
  </si>
  <si>
    <t>스파</t>
    <phoneticPr fontId="2" type="noConversion"/>
  </si>
  <si>
    <t>대탄 막타뎀증</t>
    <phoneticPr fontId="2" type="noConversion"/>
  </si>
  <si>
    <t>무기 추피</t>
    <phoneticPr fontId="2" type="noConversion"/>
  </si>
  <si>
    <t>지배 쿨감</t>
    <phoneticPr fontId="2" type="noConversion"/>
  </si>
  <si>
    <t>기타 치확</t>
    <phoneticPr fontId="2" type="noConversion"/>
  </si>
  <si>
    <t>대재앙(융단)</t>
    <phoneticPr fontId="2" type="noConversion"/>
  </si>
  <si>
    <t>천국의 계단</t>
    <phoneticPr fontId="2" type="noConversion"/>
  </si>
  <si>
    <t>카드 세트</t>
    <phoneticPr fontId="2" type="noConversion"/>
  </si>
  <si>
    <t>세구빛30</t>
    <phoneticPr fontId="2" type="noConversion"/>
  </si>
  <si>
    <t>평균 데미지 배율</t>
    <phoneticPr fontId="2" type="noConversion"/>
  </si>
  <si>
    <t>신속 쿨감</t>
    <phoneticPr fontId="2" type="noConversion"/>
  </si>
  <si>
    <t>세구빛</t>
    <phoneticPr fontId="2" type="noConversion"/>
  </si>
  <si>
    <t>대재앙(영재)</t>
    <phoneticPr fontId="2" type="noConversion"/>
  </si>
  <si>
    <t>치명타 확률+35%</t>
    <phoneticPr fontId="2" type="noConversion"/>
  </si>
  <si>
    <t>공이속 증가</t>
    <phoneticPr fontId="2" type="noConversion"/>
  </si>
  <si>
    <t>주피 증가량</t>
    <phoneticPr fontId="2" type="noConversion"/>
  </si>
  <si>
    <t>레오불(기습)</t>
    <phoneticPr fontId="2" type="noConversion"/>
  </si>
  <si>
    <t>천국 치피증</t>
    <phoneticPr fontId="2" type="noConversion"/>
  </si>
  <si>
    <t>치확 증가량</t>
    <phoneticPr fontId="2" type="noConversion"/>
  </si>
  <si>
    <t>속도 팩터</t>
    <phoneticPr fontId="2" type="noConversion"/>
  </si>
  <si>
    <t>공격력 증가</t>
    <phoneticPr fontId="2" type="noConversion"/>
  </si>
  <si>
    <t>레오불(사면)</t>
    <phoneticPr fontId="2" type="noConversion"/>
  </si>
  <si>
    <t>천국 치명타 데미지</t>
    <phoneticPr fontId="2" type="noConversion"/>
  </si>
  <si>
    <t>체력&gt;50%</t>
    <phoneticPr fontId="2" type="noConversion"/>
  </si>
  <si>
    <t>체력&lt;50%</t>
    <phoneticPr fontId="2" type="noConversion"/>
  </si>
  <si>
    <t>치피 증가량</t>
    <phoneticPr fontId="2" type="noConversion"/>
  </si>
  <si>
    <t>정기흡수</t>
    <phoneticPr fontId="2" type="noConversion"/>
  </si>
  <si>
    <t>저주받은인형</t>
    <phoneticPr fontId="2" type="noConversion"/>
  </si>
  <si>
    <t>특화(H)</t>
    <phoneticPr fontId="2" type="noConversion"/>
  </si>
  <si>
    <t>메테오</t>
    <phoneticPr fontId="2" type="noConversion"/>
  </si>
  <si>
    <t>1타</t>
    <phoneticPr fontId="2" type="noConversion"/>
  </si>
  <si>
    <t>추피 증가량</t>
    <phoneticPr fontId="2" type="noConversion"/>
  </si>
  <si>
    <t>각성기 스펙</t>
    <phoneticPr fontId="2" type="noConversion"/>
  </si>
  <si>
    <t>질량증가</t>
    <phoneticPr fontId="2" type="noConversion"/>
  </si>
  <si>
    <t>기타 치피</t>
    <phoneticPr fontId="2" type="noConversion"/>
  </si>
  <si>
    <t>유탄</t>
    <phoneticPr fontId="2" type="noConversion"/>
  </si>
  <si>
    <t>X12</t>
    <phoneticPr fontId="2" type="noConversion"/>
  </si>
  <si>
    <t>2타</t>
    <phoneticPr fontId="2" type="noConversion"/>
  </si>
  <si>
    <t>데미지(샷)</t>
    <phoneticPr fontId="2" type="noConversion"/>
  </si>
  <si>
    <t>신속</t>
    <phoneticPr fontId="2" type="noConversion"/>
  </si>
  <si>
    <t>평균 치명타 데미지</t>
    <phoneticPr fontId="2" type="noConversion"/>
  </si>
  <si>
    <t>절멸</t>
    <phoneticPr fontId="2" type="noConversion"/>
  </si>
  <si>
    <t>Jewel Scale</t>
    <phoneticPr fontId="2" type="noConversion"/>
  </si>
  <si>
    <t>3타</t>
    <phoneticPr fontId="2" type="noConversion"/>
  </si>
  <si>
    <t>각인 세팅</t>
    <phoneticPr fontId="2" type="noConversion"/>
  </si>
  <si>
    <t>쿨타임(일반)</t>
    <phoneticPr fontId="2" type="noConversion"/>
  </si>
  <si>
    <t>추가 피해량</t>
    <phoneticPr fontId="2" type="noConversion"/>
  </si>
  <si>
    <t>마탄(사면)</t>
    <phoneticPr fontId="2" type="noConversion"/>
  </si>
  <si>
    <t>4타</t>
    <phoneticPr fontId="2" type="noConversion"/>
  </si>
  <si>
    <t>쿨타임(단심)</t>
    <phoneticPr fontId="2" type="noConversion"/>
  </si>
  <si>
    <t>각성기 팩터</t>
    <phoneticPr fontId="2" type="noConversion"/>
  </si>
  <si>
    <t>무기</t>
    <phoneticPr fontId="2" type="noConversion"/>
  </si>
  <si>
    <t>마탄(일발)</t>
    <phoneticPr fontId="2" type="noConversion"/>
  </si>
  <si>
    <t>1-4타 합계</t>
    <phoneticPr fontId="2" type="noConversion"/>
  </si>
  <si>
    <t>각성</t>
    <phoneticPr fontId="2" type="noConversion"/>
  </si>
  <si>
    <t>악몽/구원</t>
    <phoneticPr fontId="2" type="noConversion"/>
  </si>
  <si>
    <t>샷연(기습)</t>
    <phoneticPr fontId="2" type="noConversion"/>
  </si>
  <si>
    <t>최종 데미지(조화평균)</t>
    <phoneticPr fontId="2" type="noConversion"/>
  </si>
  <si>
    <t>쿨타임 감소</t>
    <phoneticPr fontId="2" type="noConversion"/>
  </si>
  <si>
    <t>특화</t>
    <phoneticPr fontId="2" type="noConversion"/>
  </si>
  <si>
    <t>기타 증가량</t>
    <phoneticPr fontId="2" type="noConversion"/>
  </si>
  <si>
    <t>샷연(사면)</t>
    <phoneticPr fontId="2" type="noConversion"/>
  </si>
  <si>
    <t>최종 데미지(산술평균)</t>
    <phoneticPr fontId="2" type="noConversion"/>
  </si>
  <si>
    <t>각성기(샷)</t>
    <phoneticPr fontId="2" type="noConversion"/>
  </si>
  <si>
    <t>종합</t>
    <phoneticPr fontId="2" type="noConversion"/>
  </si>
  <si>
    <t>데미지 배율</t>
    <phoneticPr fontId="2" type="noConversion"/>
  </si>
  <si>
    <t>만찬(백어택)</t>
    <phoneticPr fontId="2" type="noConversion"/>
  </si>
  <si>
    <t>정조준</t>
    <phoneticPr fontId="2" type="noConversion"/>
  </si>
  <si>
    <t>공격속도(H)</t>
    <phoneticPr fontId="2" type="noConversion"/>
  </si>
  <si>
    <t>각성기(라)</t>
    <phoneticPr fontId="2" type="noConversion"/>
  </si>
  <si>
    <t>각인 피해량</t>
    <phoneticPr fontId="2" type="noConversion"/>
  </si>
  <si>
    <t>심판</t>
    <phoneticPr fontId="2" type="noConversion"/>
  </si>
  <si>
    <t>정조준 데미지 증가</t>
    <phoneticPr fontId="2" type="noConversion"/>
  </si>
  <si>
    <t>공격속도</t>
    <phoneticPr fontId="2" type="noConversion"/>
  </si>
  <si>
    <t>각인 공격력</t>
    <phoneticPr fontId="2" type="noConversion"/>
  </si>
  <si>
    <t>1각</t>
    <phoneticPr fontId="2" type="noConversion"/>
  </si>
  <si>
    <t>-</t>
    <phoneticPr fontId="2" type="noConversion"/>
  </si>
  <si>
    <t>정조준 총 피해량</t>
    <phoneticPr fontId="2" type="noConversion"/>
  </si>
  <si>
    <t>이동속도</t>
    <phoneticPr fontId="2" type="noConversion"/>
  </si>
  <si>
    <t>2각</t>
    <phoneticPr fontId="2" type="noConversion"/>
  </si>
  <si>
    <t>비치명 데미지</t>
    <phoneticPr fontId="2" type="noConversion"/>
  </si>
  <si>
    <t>장비/시너지</t>
    <phoneticPr fontId="2" type="noConversion"/>
  </si>
  <si>
    <t>쿨밀림</t>
    <phoneticPr fontId="2" type="noConversion"/>
  </si>
  <si>
    <t>치명타 데미지</t>
    <phoneticPr fontId="2" type="noConversion"/>
  </si>
  <si>
    <t>치명타 보정 데미지</t>
    <phoneticPr fontId="2" type="noConversion"/>
  </si>
  <si>
    <t>피스메이커</t>
    <phoneticPr fontId="2" type="noConversion"/>
  </si>
  <si>
    <t>결과</t>
    <phoneticPr fontId="2" type="noConversion"/>
  </si>
  <si>
    <t>vs천계(조화평균)</t>
    <phoneticPr fontId="2" type="noConversion"/>
  </si>
  <si>
    <t>vs천계(산술평균)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</si>
</sst>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;;;"/>
    <numFmt numFmtId="177" formatCode="0_);[Red]\(0\)"/>
    <numFmt numFmtId="178" formatCode="0.00_);[Red]\(0.00\)"/>
    <numFmt numFmtId="179" formatCode="0.0%"/>
    <numFmt numFmtId="180" formatCode="0.00_ "/>
  </numFmts>
  <fonts count="14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5"/>
      <name val="맑은 고딕"/>
      <family val="3"/>
      <charset val="129"/>
      <scheme val="minor"/>
    </font>
    <font>
      <sz val="9"/>
      <color theme="5"/>
      <name val="맑은 고딕"/>
      <family val="3"/>
      <charset val="129"/>
      <scheme val="minor"/>
    </font>
    <font>
      <b/>
      <sz val="9"/>
      <color rgb="FF7030A0"/>
      <name val="맑은 고딕"/>
      <family val="3"/>
      <charset val="129"/>
      <scheme val="minor"/>
    </font>
    <font>
      <b/>
      <sz val="9"/>
      <color theme="4"/>
      <name val="맑은 고딕"/>
      <family val="3"/>
      <charset val="129"/>
      <scheme val="minor"/>
    </font>
    <font>
      <sz val="9"/>
      <color theme="4"/>
      <name val="맑은 고딕"/>
      <family val="3"/>
      <charset val="129"/>
      <scheme val="minor"/>
    </font>
    <font>
      <sz val="9"/>
      <color rgb="FF7030A0"/>
      <name val="맑은 고딕"/>
      <family val="3"/>
      <charset val="129"/>
      <scheme val="minor"/>
    </font>
    <font>
      <b/>
      <sz val="9"/>
      <color theme="5" tint="-0.249977111117893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9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0" fontId="1" fillId="2" borderId="12" xfId="0" applyNumberFormat="1" applyFont="1" applyFill="1" applyBorder="1" applyAlignment="1">
      <alignment horizontal="center" vertical="center"/>
    </xf>
    <xf numFmtId="10" fontId="1" fillId="2" borderId="8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177" fontId="1" fillId="11" borderId="25" xfId="0" applyNumberFormat="1" applyFont="1" applyFill="1" applyBorder="1" applyAlignment="1">
      <alignment horizontal="center" vertical="center"/>
    </xf>
    <xf numFmtId="178" fontId="1" fillId="11" borderId="26" xfId="0" applyNumberFormat="1" applyFont="1" applyFill="1" applyBorder="1" applyAlignment="1">
      <alignment horizontal="center" vertical="center"/>
    </xf>
    <xf numFmtId="177" fontId="1" fillId="11" borderId="27" xfId="0" applyNumberFormat="1" applyFont="1" applyFill="1" applyBorder="1" applyAlignment="1">
      <alignment horizontal="center" vertical="center"/>
    </xf>
    <xf numFmtId="9" fontId="1" fillId="11" borderId="28" xfId="0" applyNumberFormat="1" applyFont="1" applyFill="1" applyBorder="1" applyAlignment="1">
      <alignment horizontal="center" vertical="center"/>
    </xf>
    <xf numFmtId="177" fontId="5" fillId="11" borderId="28" xfId="0" applyNumberFormat="1" applyFont="1" applyFill="1" applyBorder="1" applyAlignment="1">
      <alignment horizontal="center" vertical="center"/>
    </xf>
    <xf numFmtId="178" fontId="1" fillId="9" borderId="24" xfId="0" applyNumberFormat="1" applyFont="1" applyFill="1" applyBorder="1" applyAlignment="1">
      <alignment horizontal="center" vertical="center"/>
    </xf>
    <xf numFmtId="178" fontId="1" fillId="9" borderId="25" xfId="0" applyNumberFormat="1" applyFont="1" applyFill="1" applyBorder="1" applyAlignment="1">
      <alignment horizontal="center" vertical="center"/>
    </xf>
    <xf numFmtId="178" fontId="5" fillId="9" borderId="29" xfId="0" applyNumberFormat="1" applyFont="1" applyFill="1" applyBorder="1" applyAlignment="1">
      <alignment horizontal="center" vertical="center"/>
    </xf>
    <xf numFmtId="178" fontId="5" fillId="8" borderId="30" xfId="0" applyNumberFormat="1" applyFont="1" applyFill="1" applyBorder="1" applyAlignment="1">
      <alignment horizontal="center" vertical="center"/>
    </xf>
    <xf numFmtId="10" fontId="5" fillId="8" borderId="31" xfId="0" applyNumberFormat="1" applyFont="1" applyFill="1" applyBorder="1" applyAlignment="1">
      <alignment horizontal="center" vertical="center"/>
    </xf>
    <xf numFmtId="178" fontId="5" fillId="11" borderId="32" xfId="0" applyNumberFormat="1" applyFont="1" applyFill="1" applyBorder="1" applyAlignment="1">
      <alignment horizontal="center" vertical="center"/>
    </xf>
    <xf numFmtId="10" fontId="5" fillId="12" borderId="31" xfId="0" applyNumberFormat="1" applyFont="1" applyFill="1" applyBorder="1" applyAlignment="1">
      <alignment horizontal="center" vertical="center"/>
    </xf>
    <xf numFmtId="178" fontId="5" fillId="12" borderId="33" xfId="0" applyNumberFormat="1" applyFont="1" applyFill="1" applyBorder="1" applyAlignment="1">
      <alignment horizontal="center" vertical="center"/>
    </xf>
    <xf numFmtId="176" fontId="1" fillId="2" borderId="33" xfId="0" applyNumberFormat="1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10" fontId="1" fillId="2" borderId="36" xfId="0" applyNumberFormat="1" applyFont="1" applyFill="1" applyBorder="1" applyAlignment="1">
      <alignment horizontal="center" vertical="center"/>
    </xf>
    <xf numFmtId="10" fontId="1" fillId="2" borderId="3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0" fontId="10" fillId="0" borderId="8" xfId="0" applyNumberFormat="1" applyFont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0" fontId="8" fillId="10" borderId="39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177" fontId="1" fillId="11" borderId="28" xfId="0" applyNumberFormat="1" applyFont="1" applyFill="1" applyBorder="1" applyAlignment="1">
      <alignment horizontal="center" vertical="center"/>
    </xf>
    <xf numFmtId="178" fontId="1" fillId="11" borderId="40" xfId="0" applyNumberFormat="1" applyFont="1" applyFill="1" applyBorder="1" applyAlignment="1">
      <alignment horizontal="center" vertical="center"/>
    </xf>
    <xf numFmtId="178" fontId="1" fillId="9" borderId="39" xfId="0" applyNumberFormat="1" applyFont="1" applyFill="1" applyBorder="1" applyAlignment="1">
      <alignment horizontal="center" vertical="center"/>
    </xf>
    <xf numFmtId="178" fontId="1" fillId="9" borderId="28" xfId="0" applyNumberFormat="1" applyFont="1" applyFill="1" applyBorder="1" applyAlignment="1">
      <alignment horizontal="center" vertical="center"/>
    </xf>
    <xf numFmtId="178" fontId="5" fillId="9" borderId="41" xfId="0" applyNumberFormat="1" applyFont="1" applyFill="1" applyBorder="1" applyAlignment="1">
      <alignment horizontal="center" vertical="center"/>
    </xf>
    <xf numFmtId="178" fontId="5" fillId="8" borderId="32" xfId="0" applyNumberFormat="1" applyFont="1" applyFill="1" applyBorder="1" applyAlignment="1">
      <alignment horizontal="center" vertical="center"/>
    </xf>
    <xf numFmtId="10" fontId="5" fillId="8" borderId="42" xfId="0" applyNumberFormat="1" applyFont="1" applyFill="1" applyBorder="1" applyAlignment="1">
      <alignment horizontal="center" vertical="center"/>
    </xf>
    <xf numFmtId="10" fontId="5" fillId="12" borderId="42" xfId="0" applyNumberFormat="1" applyFont="1" applyFill="1" applyBorder="1" applyAlignment="1">
      <alignment horizontal="center" vertical="center"/>
    </xf>
    <xf numFmtId="178" fontId="5" fillId="12" borderId="43" xfId="0" applyNumberFormat="1" applyFont="1" applyFill="1" applyBorder="1" applyAlignment="1">
      <alignment horizontal="center" vertical="center"/>
    </xf>
    <xf numFmtId="176" fontId="1" fillId="2" borderId="44" xfId="0" applyNumberFormat="1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3" borderId="46" xfId="0" applyFont="1" applyFill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0" fontId="11" fillId="0" borderId="8" xfId="0" applyNumberFormat="1" applyFont="1" applyBorder="1" applyAlignment="1">
      <alignment horizontal="center" vertical="center"/>
    </xf>
    <xf numFmtId="0" fontId="8" fillId="10" borderId="49" xfId="0" applyFont="1" applyFill="1" applyBorder="1" applyAlignment="1">
      <alignment horizontal="center" vertical="center"/>
    </xf>
    <xf numFmtId="0" fontId="8" fillId="10" borderId="50" xfId="0" applyFont="1" applyFill="1" applyBorder="1" applyAlignment="1">
      <alignment horizontal="center" vertical="center"/>
    </xf>
    <xf numFmtId="0" fontId="5" fillId="11" borderId="51" xfId="0" applyFont="1" applyFill="1" applyBorder="1" applyAlignment="1">
      <alignment horizontal="center" vertical="center"/>
    </xf>
    <xf numFmtId="177" fontId="1" fillId="11" borderId="51" xfId="0" applyNumberFormat="1" applyFont="1" applyFill="1" applyBorder="1" applyAlignment="1">
      <alignment horizontal="center" vertical="center"/>
    </xf>
    <xf numFmtId="178" fontId="1" fillId="11" borderId="52" xfId="0" applyNumberFormat="1" applyFont="1" applyFill="1" applyBorder="1" applyAlignment="1">
      <alignment horizontal="center" vertical="center"/>
    </xf>
    <xf numFmtId="177" fontId="1" fillId="11" borderId="53" xfId="0" applyNumberFormat="1" applyFont="1" applyFill="1" applyBorder="1" applyAlignment="1">
      <alignment horizontal="center" vertical="center"/>
    </xf>
    <xf numFmtId="9" fontId="1" fillId="11" borderId="51" xfId="0" applyNumberFormat="1" applyFont="1" applyFill="1" applyBorder="1" applyAlignment="1">
      <alignment horizontal="center" vertical="center"/>
    </xf>
    <xf numFmtId="177" fontId="5" fillId="11" borderId="51" xfId="0" applyNumberFormat="1" applyFont="1" applyFill="1" applyBorder="1" applyAlignment="1">
      <alignment horizontal="center" vertical="center"/>
    </xf>
    <xf numFmtId="178" fontId="1" fillId="9" borderId="50" xfId="0" applyNumberFormat="1" applyFont="1" applyFill="1" applyBorder="1" applyAlignment="1">
      <alignment horizontal="center" vertical="center"/>
    </xf>
    <xf numFmtId="178" fontId="1" fillId="9" borderId="51" xfId="0" applyNumberFormat="1" applyFont="1" applyFill="1" applyBorder="1" applyAlignment="1">
      <alignment horizontal="center" vertical="center"/>
    </xf>
    <xf numFmtId="178" fontId="5" fillId="9" borderId="54" xfId="0" applyNumberFormat="1" applyFont="1" applyFill="1" applyBorder="1" applyAlignment="1">
      <alignment horizontal="center" vertical="center"/>
    </xf>
    <xf numFmtId="178" fontId="5" fillId="11" borderId="55" xfId="0" applyNumberFormat="1" applyFont="1" applyFill="1" applyBorder="1" applyAlignment="1">
      <alignment horizontal="center" vertical="center"/>
    </xf>
    <xf numFmtId="10" fontId="5" fillId="12" borderId="56" xfId="0" applyNumberFormat="1" applyFont="1" applyFill="1" applyBorder="1" applyAlignment="1">
      <alignment horizontal="center" vertical="center"/>
    </xf>
    <xf numFmtId="178" fontId="5" fillId="12" borderId="57" xfId="0" applyNumberFormat="1" applyFont="1" applyFill="1" applyBorder="1" applyAlignment="1">
      <alignment horizontal="center" vertical="center"/>
    </xf>
    <xf numFmtId="176" fontId="1" fillId="2" borderId="58" xfId="0" applyNumberFormat="1" applyFont="1" applyFill="1" applyBorder="1" applyAlignment="1">
      <alignment horizontal="center" vertical="center"/>
    </xf>
    <xf numFmtId="0" fontId="5" fillId="5" borderId="59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3" borderId="61" xfId="0" applyFont="1" applyFill="1" applyBorder="1" applyAlignment="1">
      <alignment horizontal="center" vertical="center"/>
    </xf>
    <xf numFmtId="0" fontId="5" fillId="13" borderId="50" xfId="0" applyFont="1" applyFill="1" applyBorder="1" applyAlignment="1">
      <alignment horizontal="center" vertical="center"/>
    </xf>
    <xf numFmtId="10" fontId="1" fillId="2" borderId="54" xfId="0" applyNumberFormat="1" applyFont="1" applyFill="1" applyBorder="1" applyAlignment="1">
      <alignment horizontal="center" vertical="center"/>
    </xf>
    <xf numFmtId="10" fontId="1" fillId="2" borderId="62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13" borderId="63" xfId="0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9" fontId="1" fillId="2" borderId="47" xfId="0" applyNumberFormat="1" applyFont="1" applyFill="1" applyBorder="1" applyAlignment="1">
      <alignment horizontal="center" vertical="center"/>
    </xf>
    <xf numFmtId="9" fontId="1" fillId="2" borderId="48" xfId="0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179" fontId="1" fillId="0" borderId="8" xfId="0" applyNumberFormat="1" applyFont="1" applyBorder="1" applyAlignment="1">
      <alignment horizontal="center" vertical="center"/>
    </xf>
    <xf numFmtId="10" fontId="1" fillId="0" borderId="60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2" fillId="10" borderId="50" xfId="0" applyFont="1" applyFill="1" applyBorder="1" applyAlignment="1">
      <alignment horizontal="center" vertical="center"/>
    </xf>
    <xf numFmtId="9" fontId="1" fillId="2" borderId="65" xfId="0" applyNumberFormat="1" applyFont="1" applyFill="1" applyBorder="1" applyAlignment="1">
      <alignment horizontal="center" vertical="center"/>
    </xf>
    <xf numFmtId="9" fontId="1" fillId="2" borderId="6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0" fontId="1" fillId="0" borderId="67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>
      <alignment horizontal="center" vertical="center"/>
    </xf>
    <xf numFmtId="0" fontId="5" fillId="15" borderId="59" xfId="0" applyFont="1" applyFill="1" applyBorder="1" applyAlignment="1">
      <alignment horizontal="center" vertical="center"/>
    </xf>
    <xf numFmtId="9" fontId="1" fillId="0" borderId="60" xfId="0" applyNumberFormat="1" applyFont="1" applyBorder="1" applyAlignment="1">
      <alignment horizontal="center" vertical="center"/>
    </xf>
    <xf numFmtId="0" fontId="9" fillId="10" borderId="49" xfId="0" applyFont="1" applyFill="1" applyBorder="1" applyAlignment="1">
      <alignment horizontal="center" vertical="center"/>
    </xf>
    <xf numFmtId="0" fontId="9" fillId="10" borderId="50" xfId="0" applyFont="1" applyFill="1" applyBorder="1" applyAlignment="1">
      <alignment horizontal="center" vertical="center"/>
    </xf>
    <xf numFmtId="180" fontId="1" fillId="0" borderId="8" xfId="0" applyNumberFormat="1" applyFont="1" applyBorder="1" applyAlignment="1">
      <alignment horizontal="center" vertical="center"/>
    </xf>
    <xf numFmtId="180" fontId="1" fillId="9" borderId="51" xfId="0" applyNumberFormat="1" applyFont="1" applyFill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10" fontId="1" fillId="2" borderId="70" xfId="0" applyNumberFormat="1" applyFont="1" applyFill="1" applyBorder="1" applyAlignment="1">
      <alignment horizontal="center" vertical="center"/>
    </xf>
    <xf numFmtId="10" fontId="1" fillId="2" borderId="71" xfId="0" applyNumberFormat="1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73" xfId="0" applyFont="1" applyFill="1" applyBorder="1" applyAlignment="1">
      <alignment horizontal="center" vertical="center"/>
    </xf>
    <xf numFmtId="10" fontId="1" fillId="2" borderId="74" xfId="0" applyNumberFormat="1" applyFont="1" applyFill="1" applyBorder="1" applyAlignment="1">
      <alignment horizontal="center" vertical="center"/>
    </xf>
    <xf numFmtId="10" fontId="1" fillId="2" borderId="75" xfId="0" applyNumberFormat="1" applyFont="1" applyFill="1" applyBorder="1" applyAlignment="1">
      <alignment horizontal="center" vertical="center"/>
    </xf>
    <xf numFmtId="0" fontId="9" fillId="10" borderId="51" xfId="0" applyFont="1" applyFill="1" applyBorder="1" applyAlignment="1">
      <alignment horizontal="center" vertical="center"/>
    </xf>
    <xf numFmtId="178" fontId="5" fillId="8" borderId="55" xfId="0" applyNumberFormat="1" applyFont="1" applyFill="1" applyBorder="1" applyAlignment="1">
      <alignment horizontal="center" vertical="center"/>
    </xf>
    <xf numFmtId="10" fontId="5" fillId="8" borderId="56" xfId="0" applyNumberFormat="1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horizontal="center" vertical="center"/>
    </xf>
    <xf numFmtId="9" fontId="1" fillId="2" borderId="17" xfId="0" applyNumberFormat="1" applyFont="1" applyFill="1" applyBorder="1" applyAlignment="1">
      <alignment horizontal="center" vertical="center"/>
    </xf>
    <xf numFmtId="9" fontId="1" fillId="2" borderId="76" xfId="0" applyNumberFormat="1" applyFont="1" applyFill="1" applyBorder="1" applyAlignment="1">
      <alignment horizontal="center" vertical="center"/>
    </xf>
    <xf numFmtId="0" fontId="5" fillId="10" borderId="49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77" fontId="1" fillId="11" borderId="52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77" xfId="0" applyNumberFormat="1" applyFont="1" applyFill="1" applyBorder="1" applyAlignment="1">
      <alignment horizontal="center" vertical="center"/>
    </xf>
    <xf numFmtId="0" fontId="5" fillId="10" borderId="78" xfId="0" applyFont="1" applyFill="1" applyBorder="1" applyAlignment="1">
      <alignment horizontal="center" vertical="center"/>
    </xf>
    <xf numFmtId="0" fontId="3" fillId="10" borderId="79" xfId="0" applyFont="1" applyFill="1" applyBorder="1" applyAlignment="1">
      <alignment horizontal="center" vertical="center"/>
    </xf>
    <xf numFmtId="0" fontId="3" fillId="10" borderId="80" xfId="0" applyFont="1" applyFill="1" applyBorder="1" applyAlignment="1">
      <alignment horizontal="center" vertical="center"/>
    </xf>
    <xf numFmtId="0" fontId="5" fillId="11" borderId="80" xfId="0" applyFont="1" applyFill="1" applyBorder="1" applyAlignment="1">
      <alignment horizontal="center" vertical="center"/>
    </xf>
    <xf numFmtId="177" fontId="1" fillId="11" borderId="80" xfId="0" applyNumberFormat="1" applyFont="1" applyFill="1" applyBorder="1" applyAlignment="1">
      <alignment horizontal="center" vertical="center"/>
    </xf>
    <xf numFmtId="177" fontId="1" fillId="11" borderId="81" xfId="0" applyNumberFormat="1" applyFont="1" applyFill="1" applyBorder="1" applyAlignment="1">
      <alignment horizontal="center" vertical="center"/>
    </xf>
    <xf numFmtId="177" fontId="1" fillId="11" borderId="82" xfId="0" applyNumberFormat="1" applyFont="1" applyFill="1" applyBorder="1" applyAlignment="1">
      <alignment horizontal="center" vertical="center"/>
    </xf>
    <xf numFmtId="9" fontId="1" fillId="11" borderId="80" xfId="0" applyNumberFormat="1" applyFont="1" applyFill="1" applyBorder="1" applyAlignment="1">
      <alignment horizontal="center" vertical="center"/>
    </xf>
    <xf numFmtId="177" fontId="5" fillId="11" borderId="80" xfId="0" applyNumberFormat="1" applyFont="1" applyFill="1" applyBorder="1" applyAlignment="1">
      <alignment horizontal="center" vertical="center"/>
    </xf>
    <xf numFmtId="178" fontId="1" fillId="9" borderId="79" xfId="0" applyNumberFormat="1" applyFont="1" applyFill="1" applyBorder="1" applyAlignment="1">
      <alignment horizontal="center" vertical="center"/>
    </xf>
    <xf numFmtId="178" fontId="1" fillId="9" borderId="80" xfId="0" applyNumberFormat="1" applyFont="1" applyFill="1" applyBorder="1" applyAlignment="1">
      <alignment horizontal="center" vertical="center"/>
    </xf>
    <xf numFmtId="178" fontId="5" fillId="9" borderId="47" xfId="0" applyNumberFormat="1" applyFont="1" applyFill="1" applyBorder="1" applyAlignment="1">
      <alignment horizontal="center" vertical="center"/>
    </xf>
    <xf numFmtId="178" fontId="5" fillId="8" borderId="83" xfId="0" applyNumberFormat="1" applyFont="1" applyFill="1" applyBorder="1" applyAlignment="1">
      <alignment horizontal="center" vertical="center"/>
    </xf>
    <xf numFmtId="10" fontId="5" fillId="8" borderId="84" xfId="0" applyNumberFormat="1" applyFont="1" applyFill="1" applyBorder="1" applyAlignment="1">
      <alignment horizontal="center" vertical="center"/>
    </xf>
    <xf numFmtId="178" fontId="5" fillId="11" borderId="83" xfId="0" applyNumberFormat="1" applyFont="1" applyFill="1" applyBorder="1" applyAlignment="1">
      <alignment horizontal="center" vertical="center"/>
    </xf>
    <xf numFmtId="10" fontId="5" fillId="12" borderId="84" xfId="0" applyNumberFormat="1" applyFont="1" applyFill="1" applyBorder="1" applyAlignment="1">
      <alignment horizontal="center" vertical="center"/>
    </xf>
    <xf numFmtId="178" fontId="5" fillId="12" borderId="85" xfId="0" applyNumberFormat="1" applyFont="1" applyFill="1" applyBorder="1" applyAlignment="1">
      <alignment horizontal="center" vertical="center"/>
    </xf>
    <xf numFmtId="176" fontId="1" fillId="2" borderId="86" xfId="0" applyNumberFormat="1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177" fontId="5" fillId="11" borderId="87" xfId="0" applyNumberFormat="1" applyFont="1" applyFill="1" applyBorder="1" applyAlignment="1">
      <alignment horizontal="center" vertical="center"/>
    </xf>
    <xf numFmtId="177" fontId="1" fillId="11" borderId="88" xfId="0" applyNumberFormat="1" applyFont="1" applyFill="1" applyBorder="1" applyAlignment="1">
      <alignment horizontal="center" vertical="center"/>
    </xf>
    <xf numFmtId="180" fontId="5" fillId="2" borderId="89" xfId="0" applyNumberFormat="1" applyFont="1" applyFill="1" applyBorder="1" applyAlignment="1">
      <alignment horizontal="center" vertical="center"/>
    </xf>
    <xf numFmtId="9" fontId="1" fillId="0" borderId="67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0" fontId="1" fillId="0" borderId="46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0" fontId="1" fillId="0" borderId="90" xfId="0" applyNumberFormat="1" applyFont="1" applyBorder="1" applyAlignment="1">
      <alignment horizontal="center" vertical="center"/>
    </xf>
    <xf numFmtId="0" fontId="5" fillId="4" borderId="91" xfId="0" applyFont="1" applyFill="1" applyBorder="1" applyAlignment="1">
      <alignment horizontal="center" vertical="center"/>
    </xf>
    <xf numFmtId="0" fontId="5" fillId="4" borderId="92" xfId="0" applyFont="1" applyFill="1" applyBorder="1" applyAlignment="1">
      <alignment horizontal="center" vertical="center"/>
    </xf>
    <xf numFmtId="10" fontId="1" fillId="0" borderId="70" xfId="0" applyNumberFormat="1" applyFont="1" applyBorder="1" applyAlignment="1">
      <alignment horizontal="center" vertical="center"/>
    </xf>
    <xf numFmtId="10" fontId="1" fillId="0" borderId="71" xfId="0" applyNumberFormat="1" applyFont="1" applyBorder="1" applyAlignment="1">
      <alignment horizontal="center" vertical="center"/>
    </xf>
    <xf numFmtId="0" fontId="5" fillId="9" borderId="59" xfId="0" applyFont="1" applyFill="1" applyBorder="1" applyAlignment="1">
      <alignment horizontal="center" vertical="center"/>
    </xf>
    <xf numFmtId="177" fontId="5" fillId="0" borderId="60" xfId="0" applyNumberFormat="1" applyFont="1" applyBorder="1" applyAlignment="1">
      <alignment horizontal="center" vertical="center"/>
    </xf>
    <xf numFmtId="0" fontId="5" fillId="4" borderId="93" xfId="0" applyFont="1" applyFill="1" applyBorder="1" applyAlignment="1">
      <alignment horizontal="center" vertical="center"/>
    </xf>
    <xf numFmtId="0" fontId="5" fillId="4" borderId="94" xfId="0" applyFont="1" applyFill="1" applyBorder="1" applyAlignment="1">
      <alignment horizontal="center" vertical="center"/>
    </xf>
    <xf numFmtId="10" fontId="1" fillId="0" borderId="74" xfId="0" applyNumberFormat="1" applyFont="1" applyBorder="1" applyAlignment="1">
      <alignment horizontal="center" vertical="center"/>
    </xf>
    <xf numFmtId="10" fontId="1" fillId="0" borderId="75" xfId="0" applyNumberFormat="1" applyFont="1" applyBorder="1" applyAlignment="1">
      <alignment horizontal="center" vertical="center"/>
    </xf>
    <xf numFmtId="0" fontId="6" fillId="10" borderId="95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10" fontId="5" fillId="10" borderId="17" xfId="0" applyNumberFormat="1" applyFont="1" applyFill="1" applyBorder="1" applyAlignment="1">
      <alignment horizontal="center" vertical="center"/>
    </xf>
    <xf numFmtId="10" fontId="5" fillId="10" borderId="76" xfId="0" applyNumberFormat="1" applyFont="1" applyFill="1" applyBorder="1" applyAlignment="1">
      <alignment horizontal="center" vertical="center"/>
    </xf>
    <xf numFmtId="0" fontId="6" fillId="10" borderId="72" xfId="0" applyFont="1" applyFill="1" applyBorder="1" applyAlignment="1">
      <alignment horizontal="center" vertical="center"/>
    </xf>
    <xf numFmtId="0" fontId="1" fillId="10" borderId="96" xfId="0" applyFont="1" applyFill="1" applyBorder="1" applyAlignment="1">
      <alignment horizontal="center" vertical="center"/>
    </xf>
    <xf numFmtId="10" fontId="5" fillId="10" borderId="97" xfId="0" applyNumberFormat="1" applyFont="1" applyFill="1" applyBorder="1" applyAlignment="1">
      <alignment horizontal="center" vertical="center"/>
    </xf>
    <xf numFmtId="10" fontId="5" fillId="10" borderId="75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</cellXfs>
  <cellStyles count="1">
    <cellStyle name="표준" xfId="0" builtinId="0"/>
  </cellStyles>
  <dxfs count="6">
    <dxf>
      <fill>
        <patternFill>
          <bgColor rgb="FF92D050"/>
        </patternFill>
      </fill>
      <border>
        <vertical/>
        <horizontal/>
      </border>
    </dxf>
    <dxf>
      <numFmt numFmtId="176" formatCode=";;;"/>
    </dxf>
    <dxf>
      <numFmt numFmtId="176" formatCode=";;;"/>
    </dxf>
    <dxf>
      <numFmt numFmtId="176" formatCode=";;;"/>
    </dxf>
    <dxf>
      <numFmt numFmtId="176" formatCode=";;;"/>
    </dxf>
    <dxf>
      <fill>
        <patternFill>
          <bgColor rgb="FF92D05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AI5" lockText="1" noThreeD="1"/>
</file>

<file path=xl/ctrlProps/ctrlProp10.xml><?xml version="1.0" encoding="utf-8"?>
<formControlPr xmlns="http://schemas.microsoft.com/office/spreadsheetml/2009/9/main" objectType="CheckBox" checked="Checked" fmlaLink="AI18" lockText="1" noThreeD="1"/>
</file>

<file path=xl/ctrlProps/ctrlProp11.xml><?xml version="1.0" encoding="utf-8"?>
<formControlPr xmlns="http://schemas.microsoft.com/office/spreadsheetml/2009/9/main" objectType="CheckBox" fmlaLink="AI19" lockText="1" noThreeD="1"/>
</file>

<file path=xl/ctrlProps/ctrlProp12.xml><?xml version="1.0" encoding="utf-8"?>
<formControlPr xmlns="http://schemas.microsoft.com/office/spreadsheetml/2009/9/main" objectType="CheckBox" fmlaLink="AI20" lockText="1" noThreeD="1"/>
</file>

<file path=xl/ctrlProps/ctrlProp13.xml><?xml version="1.0" encoding="utf-8"?>
<formControlPr xmlns="http://schemas.microsoft.com/office/spreadsheetml/2009/9/main" objectType="CheckBox" fmlaLink="AI21" lockText="1" noThreeD="1"/>
</file>

<file path=xl/ctrlProps/ctrlProp14.xml><?xml version="1.0" encoding="utf-8"?>
<formControlPr xmlns="http://schemas.microsoft.com/office/spreadsheetml/2009/9/main" objectType="CheckBox" fmlaLink="AI22" lockText="1" noThreeD="1"/>
</file>

<file path=xl/ctrlProps/ctrlProp15.xml><?xml version="1.0" encoding="utf-8"?>
<formControlPr xmlns="http://schemas.microsoft.com/office/spreadsheetml/2009/9/main" objectType="CheckBox" fmlaLink="AI23" lockText="1" noThreeD="1"/>
</file>

<file path=xl/ctrlProps/ctrlProp16.xml><?xml version="1.0" encoding="utf-8"?>
<formControlPr xmlns="http://schemas.microsoft.com/office/spreadsheetml/2009/9/main" objectType="CheckBox" fmlaLink="AI24" lockText="1" noThreeD="1"/>
</file>

<file path=xl/ctrlProps/ctrlProp17.xml><?xml version="1.0" encoding="utf-8"?>
<formControlPr xmlns="http://schemas.microsoft.com/office/spreadsheetml/2009/9/main" objectType="CheckBox" checked="Checked" fmlaLink="AI25" lockText="1" noThreeD="1"/>
</file>

<file path=xl/ctrlProps/ctrlProp18.xml><?xml version="1.0" encoding="utf-8"?>
<formControlPr xmlns="http://schemas.microsoft.com/office/spreadsheetml/2009/9/main" objectType="CheckBox" fmlaLink="AI13" lockText="1" noThreeD="1"/>
</file>

<file path=xl/ctrlProps/ctrlProp19.xml><?xml version="1.0" encoding="utf-8"?>
<formControlPr xmlns="http://schemas.microsoft.com/office/spreadsheetml/2009/9/main" objectType="CheckBox" checked="Checked" fmlaLink="AI7" lockText="1" noThreeD="1"/>
</file>

<file path=xl/ctrlProps/ctrlProp2.xml><?xml version="1.0" encoding="utf-8"?>
<formControlPr xmlns="http://schemas.microsoft.com/office/spreadsheetml/2009/9/main" objectType="CheckBox" checked="Checked" fmlaLink="AI7" lockText="1" noThreeD="1"/>
</file>

<file path=xl/ctrlProps/ctrlProp20.xml><?xml version="1.0" encoding="utf-8"?>
<formControlPr xmlns="http://schemas.microsoft.com/office/spreadsheetml/2009/9/main" objectType="CheckBox" fmlaLink="AI8" lockText="1" noThreeD="1"/>
</file>

<file path=xl/ctrlProps/ctrlProp21.xml><?xml version="1.0" encoding="utf-8"?>
<formControlPr xmlns="http://schemas.microsoft.com/office/spreadsheetml/2009/9/main" objectType="CheckBox" fmlaLink="AI6" lockText="1" noThreeD="1"/>
</file>

<file path=xl/ctrlProps/ctrlProp22.xml><?xml version="1.0" encoding="utf-8"?>
<formControlPr xmlns="http://schemas.microsoft.com/office/spreadsheetml/2009/9/main" objectType="CheckBox" checked="Checked" fmlaLink="AI11" lockText="1" noThreeD="1"/>
</file>

<file path=xl/ctrlProps/ctrlProp23.xml><?xml version="1.0" encoding="utf-8"?>
<formControlPr xmlns="http://schemas.microsoft.com/office/spreadsheetml/2009/9/main" objectType="CheckBox" fmlaLink="AI12" lockText="1" noThreeD="1"/>
</file>

<file path=xl/ctrlProps/ctrlProp3.xml><?xml version="1.0" encoding="utf-8"?>
<formControlPr xmlns="http://schemas.microsoft.com/office/spreadsheetml/2009/9/main" objectType="CheckBox" checked="Checked" fmlaLink="AI9" lockText="1" noThreeD="1"/>
</file>

<file path=xl/ctrlProps/ctrlProp4.xml><?xml version="1.0" encoding="utf-8"?>
<formControlPr xmlns="http://schemas.microsoft.com/office/spreadsheetml/2009/9/main" objectType="CheckBox" fmlaLink="AI10" lockText="1" noThreeD="1"/>
</file>

<file path=xl/ctrlProps/ctrlProp5.xml><?xml version="1.0" encoding="utf-8"?>
<formControlPr xmlns="http://schemas.microsoft.com/office/spreadsheetml/2009/9/main" objectType="CheckBox" checked="Checked" fmlaLink="AI11" lockText="1" noThreeD="1"/>
</file>

<file path=xl/ctrlProps/ctrlProp6.xml><?xml version="1.0" encoding="utf-8"?>
<formControlPr xmlns="http://schemas.microsoft.com/office/spreadsheetml/2009/9/main" objectType="CheckBox" checked="Checked" fmlaLink="AI14" lockText="1" noThreeD="1"/>
</file>

<file path=xl/ctrlProps/ctrlProp7.xml><?xml version="1.0" encoding="utf-8"?>
<formControlPr xmlns="http://schemas.microsoft.com/office/spreadsheetml/2009/9/main" objectType="CheckBox" fmlaLink="AI15" lockText="1" noThreeD="1"/>
</file>

<file path=xl/ctrlProps/ctrlProp8.xml><?xml version="1.0" encoding="utf-8"?>
<formControlPr xmlns="http://schemas.microsoft.com/office/spreadsheetml/2009/9/main" objectType="CheckBox" fmlaLink="AI16" lockText="1" noThreeD="1"/>
</file>

<file path=xl/ctrlProps/ctrlProp9.xml><?xml version="1.0" encoding="utf-8"?>
<formControlPr xmlns="http://schemas.microsoft.com/office/spreadsheetml/2009/9/main" objectType="CheckBox" checked="Checked" fmlaLink="AI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0</xdr:rowOff>
        </xdr:from>
        <xdr:to>
          <xdr:col>34</xdr:col>
          <xdr:colOff>238125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C72DA0F-23A5-4CA6-B671-98104C706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</xdr:row>
          <xdr:rowOff>0</xdr:rowOff>
        </xdr:from>
        <xdr:to>
          <xdr:col>34</xdr:col>
          <xdr:colOff>238125</xdr:colOff>
          <xdr:row>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ECF6759-BCFF-4170-AD96-843253196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</xdr:row>
          <xdr:rowOff>0</xdr:rowOff>
        </xdr:from>
        <xdr:to>
          <xdr:col>34</xdr:col>
          <xdr:colOff>238125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BB3D8D0-4848-4C17-863E-6563D8582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</xdr:row>
          <xdr:rowOff>0</xdr:rowOff>
        </xdr:from>
        <xdr:to>
          <xdr:col>34</xdr:col>
          <xdr:colOff>238125</xdr:colOff>
          <xdr:row>10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62A2831-7924-45F7-8263-BA97587BC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10</xdr:row>
          <xdr:rowOff>0</xdr:rowOff>
        </xdr:from>
        <xdr:to>
          <xdr:col>34</xdr:col>
          <xdr:colOff>238125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3601B8B-BA4A-471C-88DA-8159A7D2F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13</xdr:row>
          <xdr:rowOff>0</xdr:rowOff>
        </xdr:from>
        <xdr:to>
          <xdr:col>34</xdr:col>
          <xdr:colOff>238125</xdr:colOff>
          <xdr:row>14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636DF19-C187-44B8-AADA-737C808FF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14</xdr:row>
          <xdr:rowOff>0</xdr:rowOff>
        </xdr:from>
        <xdr:to>
          <xdr:col>34</xdr:col>
          <xdr:colOff>238125</xdr:colOff>
          <xdr:row>15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95A1FBC-733F-4E08-A53D-60EEE8CFC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15</xdr:row>
          <xdr:rowOff>0</xdr:rowOff>
        </xdr:from>
        <xdr:to>
          <xdr:col>34</xdr:col>
          <xdr:colOff>238125</xdr:colOff>
          <xdr:row>16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EC1F9E9-8745-4112-82BF-BE24B4F0C0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16</xdr:row>
          <xdr:rowOff>0</xdr:rowOff>
        </xdr:from>
        <xdr:to>
          <xdr:col>34</xdr:col>
          <xdr:colOff>238125</xdr:colOff>
          <xdr:row>17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94317A8-94CB-4217-B1AB-36049CF14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17</xdr:row>
          <xdr:rowOff>0</xdr:rowOff>
        </xdr:from>
        <xdr:to>
          <xdr:col>34</xdr:col>
          <xdr:colOff>238125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877B535-5883-4FB2-A22F-1779ADD4F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18</xdr:row>
          <xdr:rowOff>0</xdr:rowOff>
        </xdr:from>
        <xdr:to>
          <xdr:col>34</xdr:col>
          <xdr:colOff>238125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228F2EC-7F1F-440F-9F22-50B1B929F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19</xdr:row>
          <xdr:rowOff>0</xdr:rowOff>
        </xdr:from>
        <xdr:to>
          <xdr:col>34</xdr:col>
          <xdr:colOff>238125</xdr:colOff>
          <xdr:row>20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FDF8B43-3061-42A0-A8BC-98A205EE2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20</xdr:row>
          <xdr:rowOff>0</xdr:rowOff>
        </xdr:from>
        <xdr:to>
          <xdr:col>34</xdr:col>
          <xdr:colOff>238125</xdr:colOff>
          <xdr:row>21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E54F735-7408-4FC0-9BE1-8C38FC985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21</xdr:row>
          <xdr:rowOff>0</xdr:rowOff>
        </xdr:from>
        <xdr:to>
          <xdr:col>34</xdr:col>
          <xdr:colOff>238125</xdr:colOff>
          <xdr:row>22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090DE69-6A86-4BD6-971D-051D9FD09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22</xdr:row>
          <xdr:rowOff>0</xdr:rowOff>
        </xdr:from>
        <xdr:to>
          <xdr:col>34</xdr:col>
          <xdr:colOff>238125</xdr:colOff>
          <xdr:row>23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C083825-4C4B-405A-AF1C-DA086E04F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23</xdr:row>
          <xdr:rowOff>0</xdr:rowOff>
        </xdr:from>
        <xdr:to>
          <xdr:col>34</xdr:col>
          <xdr:colOff>238125</xdr:colOff>
          <xdr:row>24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3A821D3-15F7-43BA-B222-DB84C961F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23</xdr:row>
          <xdr:rowOff>219075</xdr:rowOff>
        </xdr:from>
        <xdr:to>
          <xdr:col>34</xdr:col>
          <xdr:colOff>238125</xdr:colOff>
          <xdr:row>25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CB11D4C-C2BA-434C-837F-935A81AAF4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12</xdr:row>
          <xdr:rowOff>0</xdr:rowOff>
        </xdr:from>
        <xdr:to>
          <xdr:col>34</xdr:col>
          <xdr:colOff>238125</xdr:colOff>
          <xdr:row>13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AFB5CFB-B31B-4434-9219-B8111ECFD6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</xdr:row>
          <xdr:rowOff>0</xdr:rowOff>
        </xdr:from>
        <xdr:to>
          <xdr:col>34</xdr:col>
          <xdr:colOff>238125</xdr:colOff>
          <xdr:row>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8C170E6-9D96-447B-BC78-A66EC1D5D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</xdr:row>
          <xdr:rowOff>0</xdr:rowOff>
        </xdr:from>
        <xdr:to>
          <xdr:col>34</xdr:col>
          <xdr:colOff>238125</xdr:colOff>
          <xdr:row>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5F8C788-9104-4DC4-941C-39B2429BE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</xdr:row>
          <xdr:rowOff>0</xdr:rowOff>
        </xdr:from>
        <xdr:to>
          <xdr:col>34</xdr:col>
          <xdr:colOff>238125</xdr:colOff>
          <xdr:row>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765ADE1-D72F-4C5B-B30E-B83E54C96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10</xdr:row>
          <xdr:rowOff>0</xdr:rowOff>
        </xdr:from>
        <xdr:to>
          <xdr:col>34</xdr:col>
          <xdr:colOff>238125</xdr:colOff>
          <xdr:row>11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8DEB7234-AC94-4301-B537-F2EC277A5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</xdr:row>
          <xdr:rowOff>0</xdr:rowOff>
        </xdr:from>
        <xdr:to>
          <xdr:col>34</xdr:col>
          <xdr:colOff>238125</xdr:colOff>
          <xdr:row>12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19A378F-A681-4A00-91E8-39828F580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8164-AE8A-45F8-A442-8BB22EC47BAD}">
  <sheetPr codeName="Sheet7"/>
  <dimension ref="B1:AR83"/>
  <sheetViews>
    <sheetView tabSelected="1" zoomScaleNormal="100" workbookViewId="0">
      <selection activeCell="AC35" sqref="AC35"/>
    </sheetView>
  </sheetViews>
  <sheetFormatPr defaultRowHeight="18" customHeight="1" x14ac:dyDescent="0.3"/>
  <cols>
    <col min="1" max="1" width="3.625" style="1" customWidth="1"/>
    <col min="2" max="2" width="9" style="1"/>
    <col min="3" max="3" width="9" style="1" customWidth="1"/>
    <col min="4" max="4" width="3.625" style="2" customWidth="1"/>
    <col min="5" max="5" width="9.125" style="1" customWidth="1"/>
    <col min="6" max="6" width="9" style="1" customWidth="1"/>
    <col min="7" max="7" width="3.625" style="1" customWidth="1"/>
    <col min="8" max="9" width="9" style="1" hidden="1" customWidth="1"/>
    <col min="10" max="10" width="3.625" style="1" hidden="1" customWidth="1"/>
    <col min="11" max="12" width="9" style="1" hidden="1" customWidth="1"/>
    <col min="13" max="13" width="3.625" style="1" hidden="1" customWidth="1"/>
    <col min="14" max="15" width="9" style="1" hidden="1" customWidth="1"/>
    <col min="16" max="16" width="3.625" style="1" hidden="1" customWidth="1"/>
    <col min="17" max="17" width="9" style="1" customWidth="1"/>
    <col min="18" max="20" width="3.625" style="1" customWidth="1"/>
    <col min="21" max="34" width="9" style="1" customWidth="1"/>
    <col min="35" max="35" width="3.625" style="2" customWidth="1"/>
    <col min="36" max="36" width="3.625" style="1" customWidth="1"/>
    <col min="37" max="39" width="9" style="1" hidden="1" customWidth="1"/>
    <col min="40" max="40" width="3.625" style="1" hidden="1" customWidth="1"/>
    <col min="41" max="44" width="9" style="1"/>
    <col min="45" max="45" width="3.625" style="1" customWidth="1"/>
    <col min="46" max="16384" width="9" style="1"/>
  </cols>
  <sheetData>
    <row r="1" spans="2:44" ht="18" customHeight="1" thickBot="1" x14ac:dyDescent="0.35"/>
    <row r="2" spans="2:44" ht="18" customHeight="1" x14ac:dyDescent="0.3">
      <c r="B2" s="3" t="s">
        <v>0</v>
      </c>
      <c r="C2" s="4"/>
      <c r="E2" s="3" t="s">
        <v>1</v>
      </c>
      <c r="F2" s="4"/>
      <c r="H2" s="5" t="s">
        <v>2</v>
      </c>
      <c r="I2" s="6"/>
      <c r="K2" s="5" t="s">
        <v>3</v>
      </c>
      <c r="L2" s="6"/>
      <c r="N2" s="5" t="s">
        <v>4</v>
      </c>
      <c r="O2" s="6"/>
      <c r="Q2" s="7" t="s">
        <v>5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AK2" s="10" t="s">
        <v>6</v>
      </c>
      <c r="AL2" s="11" t="s">
        <v>7</v>
      </c>
      <c r="AM2" s="12" t="s">
        <v>8</v>
      </c>
      <c r="AO2" s="13" t="s">
        <v>9</v>
      </c>
      <c r="AP2" s="14"/>
      <c r="AQ2" s="14"/>
      <c r="AR2" s="15"/>
    </row>
    <row r="3" spans="2:44" ht="18" customHeight="1" thickBot="1" x14ac:dyDescent="0.35">
      <c r="B3" s="16"/>
      <c r="C3" s="17"/>
      <c r="E3" s="16"/>
      <c r="F3" s="17"/>
      <c r="H3" s="18" t="s">
        <v>10</v>
      </c>
      <c r="I3" s="19">
        <v>3.5780000000000002E-4</v>
      </c>
      <c r="K3" s="20" t="s">
        <v>11</v>
      </c>
      <c r="L3" s="21"/>
      <c r="N3" s="20" t="s">
        <v>12</v>
      </c>
      <c r="O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/>
      <c r="AK3" s="25">
        <v>0</v>
      </c>
      <c r="AL3" s="26">
        <v>0.85589999999999999</v>
      </c>
      <c r="AM3" s="27"/>
      <c r="AO3" s="28"/>
      <c r="AP3" s="29"/>
      <c r="AQ3" s="29"/>
      <c r="AR3" s="30"/>
    </row>
    <row r="4" spans="2:44" ht="18" customHeight="1" thickBot="1" x14ac:dyDescent="0.35">
      <c r="B4" s="31" t="s">
        <v>13</v>
      </c>
      <c r="C4" s="32" t="s">
        <v>14</v>
      </c>
      <c r="E4" s="20" t="s">
        <v>12</v>
      </c>
      <c r="F4" s="21"/>
      <c r="H4" s="18" t="s">
        <v>15</v>
      </c>
      <c r="I4" s="19">
        <v>3.5780000000000002E-4</v>
      </c>
      <c r="K4" s="33" t="s">
        <v>16</v>
      </c>
      <c r="L4" s="34">
        <f>IF(C19=1,104%,IF(C19=2,110%,IF(C19=3,120%,1)))</f>
        <v>1.2</v>
      </c>
      <c r="N4" s="33" t="s">
        <v>17</v>
      </c>
      <c r="O4" s="34">
        <f>IF(C30=1,15%,IF(C30=2,20%,IF(C30=3,25%,0)))</f>
        <v>0.15</v>
      </c>
      <c r="Q4" s="35" t="s">
        <v>18</v>
      </c>
      <c r="R4" s="36" t="s">
        <v>19</v>
      </c>
      <c r="S4" s="36" t="s">
        <v>20</v>
      </c>
      <c r="T4" s="36" t="s">
        <v>21</v>
      </c>
      <c r="U4" s="37" t="s">
        <v>22</v>
      </c>
      <c r="V4" s="37" t="s">
        <v>23</v>
      </c>
      <c r="W4" s="38" t="s">
        <v>24</v>
      </c>
      <c r="X4" s="39" t="s">
        <v>25</v>
      </c>
      <c r="Y4" s="37" t="s">
        <v>26</v>
      </c>
      <c r="Z4" s="37" t="s">
        <v>27</v>
      </c>
      <c r="AA4" s="36" t="s">
        <v>28</v>
      </c>
      <c r="AB4" s="37" t="s">
        <v>29</v>
      </c>
      <c r="AC4" s="40" t="s">
        <v>30</v>
      </c>
      <c r="AD4" s="41" t="s">
        <v>31</v>
      </c>
      <c r="AE4" s="42" t="s">
        <v>32</v>
      </c>
      <c r="AF4" s="41" t="s">
        <v>33</v>
      </c>
      <c r="AG4" s="42" t="s">
        <v>34</v>
      </c>
      <c r="AH4" s="42" t="s">
        <v>35</v>
      </c>
      <c r="AI4" s="42" t="s">
        <v>36</v>
      </c>
      <c r="AK4" s="43">
        <v>1</v>
      </c>
      <c r="AL4" s="44">
        <v>0.85589999999999999</v>
      </c>
      <c r="AM4" s="45">
        <f>AL4/AL3-1</f>
        <v>0</v>
      </c>
      <c r="AO4" s="46" t="s">
        <v>37</v>
      </c>
      <c r="AP4" s="47"/>
      <c r="AQ4" s="47"/>
      <c r="AR4" s="48"/>
    </row>
    <row r="5" spans="2:44" ht="18" customHeight="1" x14ac:dyDescent="0.3">
      <c r="B5" s="20" t="s">
        <v>38</v>
      </c>
      <c r="C5" s="21"/>
      <c r="E5" s="49" t="s">
        <v>39</v>
      </c>
      <c r="F5" s="50">
        <f>IF(SUM(C6*I3,O5:O11)&gt;=100%,100%,SUM(C6*I3,O5:O11))</f>
        <v>0.68723160000000005</v>
      </c>
      <c r="H5" s="18" t="s">
        <v>40</v>
      </c>
      <c r="I5" s="19">
        <v>1.0727E-3</v>
      </c>
      <c r="K5" s="33" t="s">
        <v>41</v>
      </c>
      <c r="L5" s="34">
        <f>IF(C20=0,1,98%)</f>
        <v>0.98</v>
      </c>
      <c r="N5" s="33" t="s">
        <v>42</v>
      </c>
      <c r="O5" s="34">
        <f>IF(C29=3, 40%, IF(C29=2, 30%, IF(C29=1,20%,0%)))</f>
        <v>0</v>
      </c>
      <c r="Q5" s="51" t="s">
        <v>43</v>
      </c>
      <c r="R5" s="52">
        <v>12</v>
      </c>
      <c r="S5" s="52">
        <v>9</v>
      </c>
      <c r="T5" s="52">
        <v>7</v>
      </c>
      <c r="U5" s="53">
        <v>111</v>
      </c>
      <c r="V5" s="54">
        <v>36</v>
      </c>
      <c r="W5" s="55">
        <f t="shared" ref="W5:W23" si="0">V5*(1-$F$21)*(1-VLOOKUP(T5,$AK$17:$AM$28,3,0))+$W$26</f>
        <v>30.587935104000003</v>
      </c>
      <c r="X5" s="56">
        <v>173</v>
      </c>
      <c r="Y5" s="57">
        <v>0.12</v>
      </c>
      <c r="Z5" s="58">
        <f t="shared" ref="Z5:Z12" si="1">X5/($F$24+Y5)</f>
        <v>140.69442212490543</v>
      </c>
      <c r="AA5" s="59">
        <v>38.133615882221697</v>
      </c>
      <c r="AB5" s="60">
        <f>AA5*(5.5/3)*2.2</f>
        <v>153.80558405829419</v>
      </c>
      <c r="AC5" s="61">
        <f t="shared" ref="AC5:AC12" si="2">(VLOOKUP(R5,$AK$2:$AM$15,2,0))*(1+VLOOKUP(S5,$AK$17:$AM$28,2,1))*AB5*$F$15*$L$7</f>
        <v>2555.6586997101663</v>
      </c>
      <c r="AD5" s="62">
        <f t="shared" ref="AD5:AD6" si="3">AC5/W5</f>
        <v>83.551200531217333</v>
      </c>
      <c r="AE5" s="63">
        <f t="shared" ref="AE5:AE25" si="4">IF(AI5,AD5/$AD$26,0)</f>
        <v>0.14673363560738176</v>
      </c>
      <c r="AF5" s="64">
        <f>Z5/W5</f>
        <v>4.5996704794403307</v>
      </c>
      <c r="AG5" s="65">
        <f t="shared" ref="AG5:AG25" si="5">IF(AI5,AF5/$AF$26,0)</f>
        <v>0.12567713620476595</v>
      </c>
      <c r="AH5" s="66">
        <f>AC5/Z5</f>
        <v>18.164605683097431</v>
      </c>
      <c r="AI5" s="67" t="b">
        <v>1</v>
      </c>
      <c r="AK5" s="43">
        <v>2</v>
      </c>
      <c r="AL5" s="44">
        <v>0.86209999999999998</v>
      </c>
      <c r="AM5" s="45">
        <f>AL5/AL4-1</f>
        <v>7.2438368968337219E-3</v>
      </c>
      <c r="AO5" s="68" t="s">
        <v>44</v>
      </c>
      <c r="AP5" s="69"/>
      <c r="AQ5" s="70">
        <v>0.1</v>
      </c>
      <c r="AR5" s="71"/>
    </row>
    <row r="6" spans="2:44" ht="18" customHeight="1" thickBot="1" x14ac:dyDescent="0.35">
      <c r="B6" s="18" t="s">
        <v>45</v>
      </c>
      <c r="C6" s="72">
        <v>1222</v>
      </c>
      <c r="E6" s="73" t="s">
        <v>46</v>
      </c>
      <c r="F6" s="74">
        <f>IF(SUM(C6*I3,O4:O11)&gt;=100%,100%,SUM(C6*I3,O4:O11))</f>
        <v>0.83723160000000008</v>
      </c>
      <c r="H6" s="18" t="s">
        <v>47</v>
      </c>
      <c r="I6" s="19">
        <v>1.717E-4</v>
      </c>
      <c r="K6" s="33" t="s">
        <v>48</v>
      </c>
      <c r="L6" s="34">
        <f>1+IF(C23=1,(F25-1)*10%,IF(C23=2,(F25-1)*22%,IF(C23=3,(F25-1)*45%,0)))</f>
        <v>1</v>
      </c>
      <c r="N6" s="33" t="s">
        <v>49</v>
      </c>
      <c r="O6" s="34">
        <f>IF(C25=1,5%,IF(C25=2,10%,IF(C25=3,15%,0)))</f>
        <v>0.15</v>
      </c>
      <c r="Q6" s="75" t="s">
        <v>50</v>
      </c>
      <c r="R6" s="76"/>
      <c r="S6" s="76"/>
      <c r="T6" s="76"/>
      <c r="U6" s="77">
        <v>131</v>
      </c>
      <c r="V6" s="78">
        <v>36</v>
      </c>
      <c r="W6" s="79">
        <f t="shared" si="0"/>
        <v>35.567366400000004</v>
      </c>
      <c r="X6" s="56">
        <v>126</v>
      </c>
      <c r="Y6" s="57"/>
      <c r="Z6" s="58">
        <f t="shared" si="1"/>
        <v>113.55287851139748</v>
      </c>
      <c r="AA6" s="80">
        <v>38.133615882221697</v>
      </c>
      <c r="AB6" s="81">
        <f>AA6*1.5*2.2</f>
        <v>125.84093241133161</v>
      </c>
      <c r="AC6" s="82">
        <f t="shared" si="2"/>
        <v>1376.6779391424745</v>
      </c>
      <c r="AD6" s="83">
        <f t="shared" si="3"/>
        <v>38.706209609673948</v>
      </c>
      <c r="AE6" s="84">
        <f t="shared" si="4"/>
        <v>0</v>
      </c>
      <c r="AF6" s="64">
        <f>Z6/W6</f>
        <v>3.1926141855528969</v>
      </c>
      <c r="AG6" s="85">
        <f t="shared" si="5"/>
        <v>0</v>
      </c>
      <c r="AH6" s="86">
        <f>AC6/Z6</f>
        <v>12.123672752199719</v>
      </c>
      <c r="AI6" s="87" t="b">
        <v>0</v>
      </c>
      <c r="AK6" s="43">
        <v>3</v>
      </c>
      <c r="AL6" s="44">
        <v>0.86599999999999999</v>
      </c>
      <c r="AM6" s="45">
        <f t="shared" ref="AM6:AM15" si="6">AL6/AL5-1</f>
        <v>4.5238371418629963E-3</v>
      </c>
      <c r="AO6" s="88" t="s">
        <v>51</v>
      </c>
      <c r="AP6" s="89"/>
      <c r="AQ6" s="90">
        <v>0.1</v>
      </c>
      <c r="AR6" s="91"/>
    </row>
    <row r="7" spans="2:44" ht="18" customHeight="1" thickBot="1" x14ac:dyDescent="0.35">
      <c r="B7" s="18" t="s">
        <v>52</v>
      </c>
      <c r="C7" s="72">
        <v>1047</v>
      </c>
      <c r="E7" s="92" t="s">
        <v>53</v>
      </c>
      <c r="F7" s="93">
        <f>IF(SUM(C6*I3,O5:O11)&gt;=100%,100%,SUM(C6*I3,O5:O11))</f>
        <v>0.68723160000000005</v>
      </c>
      <c r="H7" s="18" t="s">
        <v>54</v>
      </c>
      <c r="I7" s="19">
        <v>2.1460000000000001E-4</v>
      </c>
      <c r="K7" s="33" t="s">
        <v>55</v>
      </c>
      <c r="L7" s="34">
        <f>IF(C22=1,103%,IF(C22=2,108%,IF(C22=3,116%,1)))</f>
        <v>1.1599999999999999</v>
      </c>
      <c r="N7" s="33" t="s">
        <v>56</v>
      </c>
      <c r="O7" s="34">
        <f>IF(C26=1,4%,IF(C26=2,10%,IF(C26=3,20%,0)))</f>
        <v>0</v>
      </c>
      <c r="Q7" s="94" t="s">
        <v>57</v>
      </c>
      <c r="R7" s="95">
        <v>12</v>
      </c>
      <c r="S7" s="95">
        <v>9</v>
      </c>
      <c r="T7" s="95">
        <v>9</v>
      </c>
      <c r="U7" s="96">
        <v>232</v>
      </c>
      <c r="V7" s="97">
        <v>27</v>
      </c>
      <c r="W7" s="98">
        <f t="shared" si="0"/>
        <v>21.873930336000004</v>
      </c>
      <c r="X7" s="99">
        <v>219</v>
      </c>
      <c r="Y7" s="100">
        <v>0.14000000000000001</v>
      </c>
      <c r="Z7" s="101">
        <f t="shared" si="1"/>
        <v>175.25395017602219</v>
      </c>
      <c r="AA7" s="102">
        <f>8.24113316975239*2+16.4822663395047</f>
        <v>32.96453267900948</v>
      </c>
      <c r="AB7" s="103">
        <f>8.24113316975239*2+16.4822663395047*0.1+16.4822663395047*2.1*3.8</f>
        <v>149.65897836270278</v>
      </c>
      <c r="AC7" s="104">
        <f t="shared" si="2"/>
        <v>2486.7580223707187</v>
      </c>
      <c r="AD7" s="83">
        <f>AC7/W7</f>
        <v>113.68592585659033</v>
      </c>
      <c r="AE7" s="84">
        <f t="shared" si="4"/>
        <v>0.19965660711357461</v>
      </c>
      <c r="AF7" s="105">
        <f t="shared" ref="AF7:AF25" si="7">Z7/W7</f>
        <v>8.0120009291421272</v>
      </c>
      <c r="AG7" s="106">
        <f t="shared" si="5"/>
        <v>0.21891249308951041</v>
      </c>
      <c r="AH7" s="107">
        <f t="shared" ref="AH7:AH25" si="8">AC7/Z7</f>
        <v>14.189454901718676</v>
      </c>
      <c r="AI7" s="108" t="b">
        <v>1</v>
      </c>
      <c r="AK7" s="43">
        <v>4</v>
      </c>
      <c r="AL7" s="44">
        <v>0.86929999999999996</v>
      </c>
      <c r="AM7" s="45">
        <f t="shared" si="6"/>
        <v>3.8106235565820157E-3</v>
      </c>
      <c r="AO7" s="46" t="s">
        <v>58</v>
      </c>
      <c r="AP7" s="47"/>
      <c r="AQ7" s="47"/>
      <c r="AR7" s="48"/>
    </row>
    <row r="8" spans="2:44" ht="18" customHeight="1" thickBot="1" x14ac:dyDescent="0.35">
      <c r="B8" s="18" t="s">
        <v>59</v>
      </c>
      <c r="C8" s="72">
        <v>56</v>
      </c>
      <c r="E8" s="20" t="s">
        <v>60</v>
      </c>
      <c r="F8" s="21"/>
      <c r="H8" s="109" t="s">
        <v>61</v>
      </c>
      <c r="I8" s="110">
        <v>5.4640000000000005E-4</v>
      </c>
      <c r="K8" s="33" t="s">
        <v>62</v>
      </c>
      <c r="L8" s="45">
        <f>IF(C30=1,114.78%,IF(C30=2,119.16%,IF(C30=3,123.2%,1)))</f>
        <v>1.1477999999999999</v>
      </c>
      <c r="N8" s="111" t="s">
        <v>63</v>
      </c>
      <c r="O8" s="34">
        <f>IF(C4="환각(2)",25%,0)+IF(C4="환각(3)",28%,0)</f>
        <v>0</v>
      </c>
      <c r="Q8" s="94" t="s">
        <v>64</v>
      </c>
      <c r="R8" s="95"/>
      <c r="S8" s="95"/>
      <c r="T8" s="95"/>
      <c r="U8" s="96">
        <v>231</v>
      </c>
      <c r="V8" s="97">
        <v>27</v>
      </c>
      <c r="W8" s="98">
        <f t="shared" si="0"/>
        <v>26.675524800000002</v>
      </c>
      <c r="X8" s="99">
        <v>133</v>
      </c>
      <c r="Y8" s="100"/>
      <c r="Z8" s="101">
        <f t="shared" si="1"/>
        <v>119.86137176203067</v>
      </c>
      <c r="AA8" s="102">
        <f>8.24113316975239*2+16.4822663395047</f>
        <v>32.96453267900948</v>
      </c>
      <c r="AB8" s="103">
        <f>16.4822663395047*0.1+16.4822663395047*2.1*3</f>
        <v>105.4865045728301</v>
      </c>
      <c r="AC8" s="104">
        <f t="shared" si="2"/>
        <v>1154.0040346171991</v>
      </c>
      <c r="AD8" s="83">
        <f t="shared" ref="AD8:AD25" si="9">AC8/W8</f>
        <v>43.260780931934995</v>
      </c>
      <c r="AE8" s="84">
        <f t="shared" si="4"/>
        <v>0</v>
      </c>
      <c r="AF8" s="105">
        <f t="shared" si="7"/>
        <v>4.4933088537411141</v>
      </c>
      <c r="AG8" s="106">
        <f t="shared" si="5"/>
        <v>0</v>
      </c>
      <c r="AH8" s="107">
        <f t="shared" si="8"/>
        <v>9.627822689267445</v>
      </c>
      <c r="AI8" s="108" t="b">
        <v>0</v>
      </c>
      <c r="AK8" s="43">
        <v>5</v>
      </c>
      <c r="AL8" s="44">
        <v>0.87180000000000002</v>
      </c>
      <c r="AM8" s="45">
        <f t="shared" si="6"/>
        <v>2.8758771425285712E-3</v>
      </c>
      <c r="AO8" s="112" t="s">
        <v>12</v>
      </c>
      <c r="AP8" s="113"/>
      <c r="AQ8" s="70">
        <v>0.65</v>
      </c>
      <c r="AR8" s="71"/>
    </row>
    <row r="9" spans="2:44" ht="18" customHeight="1" x14ac:dyDescent="0.3">
      <c r="B9" s="18" t="s">
        <v>65</v>
      </c>
      <c r="C9" s="114">
        <f>SUM(C6:C8)</f>
        <v>2325</v>
      </c>
      <c r="E9" s="49" t="s">
        <v>39</v>
      </c>
      <c r="F9" s="50">
        <f>SUM(200%,O13:O16)</f>
        <v>3.7031169000000004</v>
      </c>
      <c r="K9" s="18" t="s">
        <v>66</v>
      </c>
      <c r="L9" s="45">
        <f>1+(C7*I4*2/3)</f>
        <v>1.2497444</v>
      </c>
      <c r="N9" s="115" t="s">
        <v>67</v>
      </c>
      <c r="O9" s="34">
        <v>0.1</v>
      </c>
      <c r="Q9" s="94" t="s">
        <v>68</v>
      </c>
      <c r="R9" s="95">
        <v>12</v>
      </c>
      <c r="S9" s="95">
        <v>7</v>
      </c>
      <c r="T9" s="95"/>
      <c r="U9" s="96">
        <v>232</v>
      </c>
      <c r="V9" s="97">
        <v>30</v>
      </c>
      <c r="W9" s="98">
        <f t="shared" si="0"/>
        <v>29.639472000000001</v>
      </c>
      <c r="X9" s="99">
        <v>110</v>
      </c>
      <c r="Y9" s="100"/>
      <c r="Z9" s="101">
        <f t="shared" si="1"/>
        <v>99.133465367093038</v>
      </c>
      <c r="AA9" s="102">
        <v>29.902297568592399</v>
      </c>
      <c r="AB9" s="103">
        <f>IF(R9&gt;=10,(AA9*1.8+AA9*1.8*1.96)/2,(AA9+AA9*1.96)/2)</f>
        <v>79.659720722730157</v>
      </c>
      <c r="AC9" s="104">
        <f t="shared" si="2"/>
        <v>1232.0023860936435</v>
      </c>
      <c r="AD9" s="83">
        <f t="shared" si="9"/>
        <v>41.56627304608002</v>
      </c>
      <c r="AE9" s="84">
        <f t="shared" si="4"/>
        <v>7.2999194792199296E-2</v>
      </c>
      <c r="AF9" s="105">
        <f t="shared" si="7"/>
        <v>3.3446434324839873</v>
      </c>
      <c r="AG9" s="106">
        <f t="shared" si="5"/>
        <v>9.1385939514478418E-2</v>
      </c>
      <c r="AH9" s="107">
        <f t="shared" si="8"/>
        <v>12.427714309507047</v>
      </c>
      <c r="AI9" s="108" t="b">
        <v>1</v>
      </c>
      <c r="AK9" s="43">
        <v>6</v>
      </c>
      <c r="AL9" s="44">
        <v>0.87380000000000002</v>
      </c>
      <c r="AM9" s="45">
        <f t="shared" si="6"/>
        <v>2.2941041523285577E-3</v>
      </c>
      <c r="AO9" s="116" t="s">
        <v>60</v>
      </c>
      <c r="AP9" s="117"/>
      <c r="AQ9" s="118">
        <v>2.5</v>
      </c>
      <c r="AR9" s="119"/>
    </row>
    <row r="10" spans="2:44" ht="18" customHeight="1" thickBot="1" x14ac:dyDescent="0.35">
      <c r="B10" s="20" t="s">
        <v>69</v>
      </c>
      <c r="C10" s="21"/>
      <c r="E10" s="73" t="s">
        <v>46</v>
      </c>
      <c r="F10" s="74">
        <f>SUM(200%,O13:O14,O16)</f>
        <v>2.58</v>
      </c>
      <c r="H10" s="120" t="s">
        <v>70</v>
      </c>
      <c r="I10" s="121"/>
      <c r="K10" s="18" t="s">
        <v>71</v>
      </c>
      <c r="L10" s="45">
        <f>1+C7*I4</f>
        <v>1.3746166</v>
      </c>
      <c r="N10" s="115" t="s">
        <v>72</v>
      </c>
      <c r="O10" s="34">
        <f>IF(C12="남바절",7%,0%)</f>
        <v>0</v>
      </c>
      <c r="Q10" s="94" t="s">
        <v>73</v>
      </c>
      <c r="R10" s="95"/>
      <c r="S10" s="95"/>
      <c r="T10" s="95"/>
      <c r="U10" s="96">
        <v>212</v>
      </c>
      <c r="V10" s="97">
        <v>27</v>
      </c>
      <c r="W10" s="98">
        <f t="shared" si="0"/>
        <v>26.675524800000002</v>
      </c>
      <c r="X10" s="99">
        <v>96</v>
      </c>
      <c r="Y10" s="100"/>
      <c r="Z10" s="101">
        <f t="shared" si="1"/>
        <v>86.516478865826642</v>
      </c>
      <c r="AA10" s="102">
        <f>18.5739460182913+1.54762435868837*3</f>
        <v>23.21681909435641</v>
      </c>
      <c r="AB10" s="103">
        <f>18.5739460182913*1.8*1.64+4.64287307606513</f>
        <v>59.473161722061043</v>
      </c>
      <c r="AC10" s="104">
        <f t="shared" si="2"/>
        <v>650.62605739594358</v>
      </c>
      <c r="AD10" s="83">
        <f t="shared" si="9"/>
        <v>24.390375157528055</v>
      </c>
      <c r="AE10" s="84">
        <f t="shared" si="4"/>
        <v>0</v>
      </c>
      <c r="AF10" s="105">
        <f t="shared" si="7"/>
        <v>3.2432906011965934</v>
      </c>
      <c r="AG10" s="106">
        <f t="shared" si="5"/>
        <v>0</v>
      </c>
      <c r="AH10" s="107">
        <f t="shared" si="8"/>
        <v>7.5202558625272022</v>
      </c>
      <c r="AI10" s="108" t="b">
        <v>0</v>
      </c>
      <c r="AK10" s="43">
        <v>7</v>
      </c>
      <c r="AL10" s="44">
        <v>0.87549999999999994</v>
      </c>
      <c r="AM10" s="45">
        <f t="shared" si="6"/>
        <v>1.9455252918287869E-3</v>
      </c>
      <c r="AO10" s="122" t="s">
        <v>74</v>
      </c>
      <c r="AP10" s="123"/>
      <c r="AQ10" s="124">
        <v>1.5</v>
      </c>
      <c r="AR10" s="125"/>
    </row>
    <row r="11" spans="2:44" ht="18" customHeight="1" thickBot="1" x14ac:dyDescent="0.35">
      <c r="B11" s="126" t="s">
        <v>75</v>
      </c>
      <c r="C11" s="127">
        <v>0.28439999999999999</v>
      </c>
      <c r="E11" s="92" t="s">
        <v>53</v>
      </c>
      <c r="F11" s="93">
        <f>SUM(200%,O13:O14,O16)</f>
        <v>2.58</v>
      </c>
      <c r="H11" s="111" t="s">
        <v>76</v>
      </c>
      <c r="I11" s="34">
        <f>IF(C4="지배(2)",18%,0%)+IF(C4="지배(3)",18%,0%)</f>
        <v>0</v>
      </c>
      <c r="K11" s="111" t="s">
        <v>63</v>
      </c>
      <c r="L11" s="34">
        <f>1+IF(C4="지배(2)",(128%*118%-1),0)+IF(C4="지배(3)",(131%*120%-1),0)+IF(C4="환각(2)",(129%-1),0)+IF(C4="환각(3)",(132%-1),0)+IF(C4="악몽(2)",(115%*118%-1),0)+IF(C4="악몽(3)",(117%*120%-1),0)+IF(C4="구원(2)",(105%-1),0)+IF(C4="구원(3)",(106%-1),0)</f>
        <v>1.06</v>
      </c>
      <c r="N11" s="115" t="s">
        <v>77</v>
      </c>
      <c r="O11" s="34">
        <f>C14</f>
        <v>0</v>
      </c>
      <c r="Q11" s="94" t="s">
        <v>78</v>
      </c>
      <c r="R11" s="95">
        <v>11</v>
      </c>
      <c r="S11" s="95">
        <v>7</v>
      </c>
      <c r="T11" s="95"/>
      <c r="U11" s="96">
        <v>111</v>
      </c>
      <c r="V11" s="97">
        <v>24</v>
      </c>
      <c r="W11" s="98">
        <f t="shared" si="0"/>
        <v>23.711577600000002</v>
      </c>
      <c r="X11" s="99">
        <v>80</v>
      </c>
      <c r="Y11" s="100"/>
      <c r="Z11" s="101">
        <f t="shared" si="1"/>
        <v>72.097065721522199</v>
      </c>
      <c r="AA11" s="102">
        <v>23.5346865937987</v>
      </c>
      <c r="AB11" s="103">
        <f>AA11*1.4*1.1*IF(R11&gt;=10,2,1)</f>
        <v>72.486834708900005</v>
      </c>
      <c r="AC11" s="104">
        <f t="shared" si="2"/>
        <v>1069.7229601922224</v>
      </c>
      <c r="AD11" s="83">
        <f t="shared" si="9"/>
        <v>45.113951430723127</v>
      </c>
      <c r="AE11" s="84">
        <f t="shared" si="4"/>
        <v>7.9229670764234039E-2</v>
      </c>
      <c r="AF11" s="105">
        <f t="shared" si="7"/>
        <v>3.040584938621806</v>
      </c>
      <c r="AG11" s="106">
        <f t="shared" si="5"/>
        <v>8.3078126831343996E-2</v>
      </c>
      <c r="AH11" s="107">
        <f t="shared" si="8"/>
        <v>14.837260705228562</v>
      </c>
      <c r="AI11" s="108" t="b">
        <v>1</v>
      </c>
      <c r="AK11" s="43">
        <v>8</v>
      </c>
      <c r="AL11" s="44">
        <v>0.87719999999999998</v>
      </c>
      <c r="AM11" s="45">
        <f t="shared" si="6"/>
        <v>1.9417475728156219E-3</v>
      </c>
      <c r="AO11" s="46" t="s">
        <v>79</v>
      </c>
      <c r="AP11" s="47"/>
      <c r="AQ11" s="47"/>
      <c r="AR11" s="48"/>
    </row>
    <row r="12" spans="2:44" ht="18" customHeight="1" thickBot="1" x14ac:dyDescent="0.35">
      <c r="B12" s="126" t="s">
        <v>80</v>
      </c>
      <c r="C12" s="19" t="s">
        <v>81</v>
      </c>
      <c r="E12" s="20" t="s">
        <v>82</v>
      </c>
      <c r="F12" s="21"/>
      <c r="H12" s="109" t="s">
        <v>83</v>
      </c>
      <c r="I12" s="128">
        <f>C8*I7</f>
        <v>1.20176E-2</v>
      </c>
      <c r="K12" s="115" t="s">
        <v>84</v>
      </c>
      <c r="L12" s="34">
        <f>IF(C12="세구빛18", 107%, IF(C12="세구빛30",115%,1))</f>
        <v>1.1499999999999999</v>
      </c>
      <c r="N12" s="20" t="s">
        <v>60</v>
      </c>
      <c r="O12" s="21"/>
      <c r="Q12" s="94" t="s">
        <v>85</v>
      </c>
      <c r="R12" s="95"/>
      <c r="S12" s="95"/>
      <c r="T12" s="95"/>
      <c r="U12" s="96">
        <v>112</v>
      </c>
      <c r="V12" s="97">
        <v>24</v>
      </c>
      <c r="W12" s="98">
        <f t="shared" si="0"/>
        <v>23.711577600000002</v>
      </c>
      <c r="X12" s="99">
        <v>80</v>
      </c>
      <c r="Y12" s="100"/>
      <c r="Z12" s="101">
        <f t="shared" si="1"/>
        <v>72.097065721522199</v>
      </c>
      <c r="AA12" s="102">
        <v>23.5346865937987</v>
      </c>
      <c r="AB12" s="103">
        <f>AA12*1.4*1.1*IF(R12&gt;=10,2.704,1)</f>
        <v>36.243417354450003</v>
      </c>
      <c r="AC12" s="104">
        <f t="shared" si="2"/>
        <v>396.49668955021087</v>
      </c>
      <c r="AD12" s="83">
        <f t="shared" si="9"/>
        <v>16.721649492870977</v>
      </c>
      <c r="AE12" s="84">
        <f t="shared" si="4"/>
        <v>0</v>
      </c>
      <c r="AF12" s="105">
        <f t="shared" si="7"/>
        <v>3.040584938621806</v>
      </c>
      <c r="AG12" s="106">
        <f t="shared" si="5"/>
        <v>0</v>
      </c>
      <c r="AH12" s="107">
        <f t="shared" si="8"/>
        <v>5.4994844184324396</v>
      </c>
      <c r="AI12" s="108" t="b">
        <v>0</v>
      </c>
      <c r="AK12" s="43">
        <v>9</v>
      </c>
      <c r="AL12" s="44">
        <v>0.87839999999999996</v>
      </c>
      <c r="AM12" s="45">
        <f t="shared" si="6"/>
        <v>1.3679890560875929E-3</v>
      </c>
      <c r="AO12" s="129" t="s">
        <v>86</v>
      </c>
      <c r="AP12" s="130"/>
      <c r="AQ12" s="70">
        <f>IF((AQ8+35%)&gt;100%, 100%, AQ8+35%)</f>
        <v>1</v>
      </c>
      <c r="AR12" s="71"/>
    </row>
    <row r="13" spans="2:44" ht="18" customHeight="1" thickBot="1" x14ac:dyDescent="0.35">
      <c r="B13" s="126" t="s">
        <v>87</v>
      </c>
      <c r="C13" s="127">
        <v>0</v>
      </c>
      <c r="E13" s="49" t="s">
        <v>39</v>
      </c>
      <c r="F13" s="50">
        <f>O18*O23</f>
        <v>9.5678689196477826</v>
      </c>
      <c r="K13" s="126" t="s">
        <v>88</v>
      </c>
      <c r="L13" s="127">
        <f>C17+1</f>
        <v>1</v>
      </c>
      <c r="N13" s="33" t="s">
        <v>56</v>
      </c>
      <c r="O13" s="34">
        <f>IF(C26=0, 0%, -12%)</f>
        <v>0</v>
      </c>
      <c r="Q13" s="131" t="s">
        <v>89</v>
      </c>
      <c r="R13" s="132"/>
      <c r="S13" s="132"/>
      <c r="T13" s="132"/>
      <c r="U13" s="96">
        <v>131</v>
      </c>
      <c r="V13" s="97">
        <v>22</v>
      </c>
      <c r="W13" s="98">
        <f t="shared" si="0"/>
        <v>21.735612800000002</v>
      </c>
      <c r="X13" s="99">
        <v>198</v>
      </c>
      <c r="Y13" s="100"/>
      <c r="Z13" s="101">
        <f>X13/($F$23+Y13)</f>
        <v>166.44037500529583</v>
      </c>
      <c r="AA13" s="102">
        <v>20.8414008476466</v>
      </c>
      <c r="AB13" s="103">
        <f>AA13*1.45*1.95*1.95</f>
        <v>114.91166874860548</v>
      </c>
      <c r="AC13" s="104">
        <f>IF(($F$5+10%)&gt;=100%, ((VLOOKUP(R13,$AK$2:$AM$15,2,0))*(1+VLOOKUP(S13,$AK$17:$AM$28,2,1))*AB13*$O$23*$F$9)*1.05,((VLOOKUP(R13,$AK$2:$AM$15,2,0))*(1+VLOOKUP(S13,$AK$17:$AM$28,2,1))*AB13*$O$23*(($F$5+10%)*$F$9+(90%-$F$5)))*1.05)</f>
        <v>1081.5431105195046</v>
      </c>
      <c r="AD13" s="83">
        <f t="shared" si="9"/>
        <v>49.759034653005251</v>
      </c>
      <c r="AE13" s="84">
        <f t="shared" si="4"/>
        <v>0</v>
      </c>
      <c r="AF13" s="105">
        <f t="shared" si="7"/>
        <v>7.6574963189119662</v>
      </c>
      <c r="AG13" s="106">
        <f t="shared" si="5"/>
        <v>0</v>
      </c>
      <c r="AH13" s="107">
        <f t="shared" si="8"/>
        <v>6.498081432976174</v>
      </c>
      <c r="AI13" s="108" t="b">
        <v>0</v>
      </c>
      <c r="AK13" s="43">
        <v>10</v>
      </c>
      <c r="AL13" s="44">
        <v>0.87949999999999995</v>
      </c>
      <c r="AM13" s="45">
        <f t="shared" si="6"/>
        <v>1.2522768670308881E-3</v>
      </c>
      <c r="AO13" s="116" t="s">
        <v>90</v>
      </c>
      <c r="AP13" s="117"/>
      <c r="AQ13" s="133">
        <v>1.97</v>
      </c>
      <c r="AR13" s="134"/>
    </row>
    <row r="14" spans="2:44" ht="18" customHeight="1" x14ac:dyDescent="0.3">
      <c r="B14" s="126" t="s">
        <v>91</v>
      </c>
      <c r="C14" s="127">
        <v>0</v>
      </c>
      <c r="E14" s="73" t="s">
        <v>46</v>
      </c>
      <c r="F14" s="74">
        <f>O19*O24</f>
        <v>9.7194436927837593</v>
      </c>
      <c r="H14" s="5" t="s">
        <v>92</v>
      </c>
      <c r="I14" s="6"/>
      <c r="K14" s="20" t="s">
        <v>93</v>
      </c>
      <c r="L14" s="21"/>
      <c r="N14" s="33" t="s">
        <v>41</v>
      </c>
      <c r="O14" s="34">
        <f>IF(C20=1,10%,IF(C20=2,25%,IF(C20=3,50%,0)))</f>
        <v>0.5</v>
      </c>
      <c r="Q14" s="131" t="s">
        <v>94</v>
      </c>
      <c r="R14" s="132">
        <v>11</v>
      </c>
      <c r="S14" s="132">
        <v>9</v>
      </c>
      <c r="T14" s="132"/>
      <c r="U14" s="96">
        <v>331</v>
      </c>
      <c r="V14" s="97">
        <v>22</v>
      </c>
      <c r="W14" s="98">
        <f t="shared" si="0"/>
        <v>21.735612800000002</v>
      </c>
      <c r="X14" s="99">
        <v>198</v>
      </c>
      <c r="Y14" s="100">
        <v>0.12</v>
      </c>
      <c r="Z14" s="101">
        <f>X14/($F$23+Y14)</f>
        <v>151.18944862582535</v>
      </c>
      <c r="AA14" s="102">
        <v>20.8414008476466</v>
      </c>
      <c r="AB14" s="103">
        <f>AA14*1.28*1.95*1.95</f>
        <v>101.43926620566553</v>
      </c>
      <c r="AC14" s="104">
        <f>IF(($F$5+10%)&gt;=100%, ((VLOOKUP(R14,$AK$2:$AM$15,2,0))*(1+VLOOKUP(S14,$AK$17:$AM$28,2,1))*AB14*$O$23*$L$7*$F$9),((VLOOKUP(R14,$AK$2:$AM$15,2,0))*(1+VLOOKUP(S14,$AK$17:$AM$28,2,1))*AB14*$O$23*$L$7*(($F$5+10%)*$F$9+(90%-$F$5))))</f>
        <v>1528.6717185252232</v>
      </c>
      <c r="AD14" s="83">
        <f t="shared" si="9"/>
        <v>70.330279279046735</v>
      </c>
      <c r="AE14" s="84">
        <f t="shared" si="4"/>
        <v>0.1235148927398264</v>
      </c>
      <c r="AF14" s="105">
        <f t="shared" si="7"/>
        <v>6.9558401696328218</v>
      </c>
      <c r="AG14" s="106">
        <f t="shared" si="5"/>
        <v>0.190054934657818</v>
      </c>
      <c r="AH14" s="107">
        <f t="shared" si="8"/>
        <v>10.110968274700777</v>
      </c>
      <c r="AI14" s="108" t="b">
        <v>1</v>
      </c>
      <c r="AK14" s="43">
        <v>11</v>
      </c>
      <c r="AL14" s="44">
        <v>0.95420000000000005</v>
      </c>
      <c r="AM14" s="45">
        <f t="shared" si="6"/>
        <v>8.4934621944286581E-2</v>
      </c>
      <c r="AO14" s="135" t="s">
        <v>95</v>
      </c>
      <c r="AP14" s="136"/>
      <c r="AQ14" s="137" t="s">
        <v>96</v>
      </c>
      <c r="AR14" s="138" t="s">
        <v>97</v>
      </c>
    </row>
    <row r="15" spans="2:44" ht="18" customHeight="1" thickBot="1" x14ac:dyDescent="0.35">
      <c r="B15" s="126" t="s">
        <v>98</v>
      </c>
      <c r="C15" s="127">
        <v>0.08</v>
      </c>
      <c r="E15" s="92" t="s">
        <v>53</v>
      </c>
      <c r="F15" s="93">
        <f>O20*O25</f>
        <v>11.018675922111662</v>
      </c>
      <c r="H15" s="33" t="s">
        <v>99</v>
      </c>
      <c r="I15" s="34">
        <f>IF(C28=1,3%,IF(C28=2,8%,IF(C28=3,15%,0)))</f>
        <v>0</v>
      </c>
      <c r="K15" s="139" t="s">
        <v>100</v>
      </c>
      <c r="L15" s="34">
        <f>IF(C21=1,3%,IF(C21=2,8%,IF(C21=3,16%,0)))</f>
        <v>0.16</v>
      </c>
      <c r="N15" s="18" t="s">
        <v>101</v>
      </c>
      <c r="O15" s="45">
        <f>C7*I5</f>
        <v>1.1231169000000001</v>
      </c>
      <c r="Q15" s="131" t="s">
        <v>102</v>
      </c>
      <c r="R15" s="132"/>
      <c r="S15" s="132"/>
      <c r="T15" s="132"/>
      <c r="U15" s="96">
        <v>332</v>
      </c>
      <c r="V15" s="97">
        <v>20</v>
      </c>
      <c r="W15" s="98">
        <f t="shared" si="0"/>
        <v>19.759648000000002</v>
      </c>
      <c r="X15" s="99">
        <v>88</v>
      </c>
      <c r="Y15" s="100"/>
      <c r="Z15" s="101">
        <f>X15/($F$23+Y15)</f>
        <v>73.973500002353703</v>
      </c>
      <c r="AA15" s="102">
        <v>12.147222841846901</v>
      </c>
      <c r="AB15" s="103">
        <f>AA15*1.45*(1+70%*66%)*IF(R15&gt;=10,1.952,1)</f>
        <v>25.750897702431242</v>
      </c>
      <c r="AC15" s="104">
        <f>(VLOOKUP(R15,$AK$2:$AM$15,2,0))*(1+VLOOKUP(S15,$AK$17:$AM$28,2,1))*AB15*$F$13*$L$7</f>
        <v>244.6181098143108</v>
      </c>
      <c r="AD15" s="83">
        <f t="shared" si="9"/>
        <v>12.37967952740407</v>
      </c>
      <c r="AE15" s="84">
        <f t="shared" si="4"/>
        <v>0</v>
      </c>
      <c r="AF15" s="105">
        <f t="shared" si="7"/>
        <v>3.7436648670236279</v>
      </c>
      <c r="AG15" s="106">
        <f t="shared" si="5"/>
        <v>0</v>
      </c>
      <c r="AH15" s="107">
        <f t="shared" si="8"/>
        <v>3.3068343367087873</v>
      </c>
      <c r="AI15" s="108" t="b">
        <v>0</v>
      </c>
      <c r="AK15" s="140">
        <v>12</v>
      </c>
      <c r="AL15" s="141">
        <v>1</v>
      </c>
      <c r="AM15" s="128">
        <f t="shared" si="6"/>
        <v>4.7998323202682824E-2</v>
      </c>
      <c r="AO15" s="142" t="s">
        <v>103</v>
      </c>
      <c r="AP15" s="143">
        <f>AQ9</f>
        <v>2.5</v>
      </c>
      <c r="AQ15" s="26">
        <f>(AQ12*AQ9)+(1-AQ12)</f>
        <v>2.5</v>
      </c>
      <c r="AR15" s="27">
        <f>(AQ12*AP15)+(1-AQ12)</f>
        <v>2.5</v>
      </c>
    </row>
    <row r="16" spans="2:44" ht="18" customHeight="1" thickBot="1" x14ac:dyDescent="0.35">
      <c r="B16" s="126" t="s">
        <v>104</v>
      </c>
      <c r="C16" s="127">
        <v>0</v>
      </c>
      <c r="E16" s="20" t="s">
        <v>105</v>
      </c>
      <c r="F16" s="21"/>
      <c r="H16" s="33" t="s">
        <v>106</v>
      </c>
      <c r="I16" s="34">
        <f>IF(C24=0,0,-10%)</f>
        <v>0</v>
      </c>
      <c r="K16" s="33" t="s">
        <v>106</v>
      </c>
      <c r="L16" s="34">
        <f>IF(C24=1,4%,IF(C24=2,10%,IF(C24=3,18%,0)))</f>
        <v>0</v>
      </c>
      <c r="N16" s="144" t="s">
        <v>107</v>
      </c>
      <c r="O16" s="145">
        <f>C15</f>
        <v>0.08</v>
      </c>
      <c r="Q16" s="131" t="s">
        <v>108</v>
      </c>
      <c r="R16" s="132"/>
      <c r="S16" s="132"/>
      <c r="T16" s="132"/>
      <c r="U16" s="96" t="s">
        <v>109</v>
      </c>
      <c r="V16" s="97">
        <v>6</v>
      </c>
      <c r="W16" s="98">
        <f t="shared" si="0"/>
        <v>5.9278944000000005</v>
      </c>
      <c r="X16" s="99">
        <v>33</v>
      </c>
      <c r="Y16" s="100">
        <v>0.08</v>
      </c>
      <c r="Z16" s="101">
        <f>X16/($F$23+Y16)</f>
        <v>25.992127378437182</v>
      </c>
      <c r="AA16" s="102">
        <v>3.69819317421369</v>
      </c>
      <c r="AB16" s="103">
        <f>AA16*1.8*2.45</f>
        <v>16.309031898282374</v>
      </c>
      <c r="AC16" s="104">
        <f>(VLOOKUP(R16,$AK$2:$AM$15,2,0))*(1+VLOOKUP(S16,$AK$17:$AM$28,2,1))*AB16*$F$13*$L$7</f>
        <v>154.92603799526853</v>
      </c>
      <c r="AD16" s="83">
        <f t="shared" si="9"/>
        <v>26.135087358382854</v>
      </c>
      <c r="AE16" s="84">
        <f t="shared" si="4"/>
        <v>0</v>
      </c>
      <c r="AF16" s="105">
        <f t="shared" si="7"/>
        <v>4.3847149804890551</v>
      </c>
      <c r="AG16" s="106">
        <f t="shared" si="5"/>
        <v>0</v>
      </c>
      <c r="AH16" s="107">
        <f t="shared" si="8"/>
        <v>5.9604985671081963</v>
      </c>
      <c r="AI16" s="108" t="b">
        <v>0</v>
      </c>
      <c r="AO16" s="142" t="s">
        <v>110</v>
      </c>
      <c r="AP16" s="143">
        <f>AQ9+AQ13</f>
        <v>4.47</v>
      </c>
      <c r="AQ16" s="26">
        <f>(AQ12*AQ9)+(1-AQ12)</f>
        <v>2.5</v>
      </c>
      <c r="AR16" s="27">
        <f>(AQ12*AP16)+(1-AQ12)</f>
        <v>4.47</v>
      </c>
    </row>
    <row r="17" spans="2:44" ht="18" customHeight="1" thickBot="1" x14ac:dyDescent="0.35">
      <c r="B17" s="126" t="s">
        <v>88</v>
      </c>
      <c r="C17" s="127">
        <v>0</v>
      </c>
      <c r="E17" s="73" t="s">
        <v>111</v>
      </c>
      <c r="F17" s="74">
        <f>IF(C4="지배(2)",I22*0.7/1.28,I22)</f>
        <v>8.5901067662520738</v>
      </c>
      <c r="H17" s="109" t="s">
        <v>112</v>
      </c>
      <c r="I17" s="128">
        <f>C8*I6</f>
        <v>9.6152000000000008E-3</v>
      </c>
      <c r="K17" s="33" t="s">
        <v>49</v>
      </c>
      <c r="L17" s="127">
        <f>IF(C25=1,1.8%,IF(C25=2,3.6%,IF(C25=3,6%,0)))</f>
        <v>0.06</v>
      </c>
      <c r="N17" s="5" t="s">
        <v>113</v>
      </c>
      <c r="O17" s="6"/>
      <c r="Q17" s="146" t="s">
        <v>114</v>
      </c>
      <c r="R17" s="147">
        <v>12</v>
      </c>
      <c r="S17" s="147">
        <v>9</v>
      </c>
      <c r="T17" s="147">
        <v>9</v>
      </c>
      <c r="U17" s="96">
        <v>121</v>
      </c>
      <c r="V17" s="97">
        <v>30</v>
      </c>
      <c r="W17" s="98">
        <f t="shared" si="0"/>
        <v>24.304367040000002</v>
      </c>
      <c r="X17" s="99">
        <v>143</v>
      </c>
      <c r="Y17" s="100">
        <v>0.08</v>
      </c>
      <c r="Z17" s="101">
        <f t="shared" ref="Z17:Z25" si="10">X17/($F$24+Y17)</f>
        <v>120.20693750382476</v>
      </c>
      <c r="AA17" s="102">
        <f>7.45839839393263*2+14.9145661387463</f>
        <v>29.831362926611561</v>
      </c>
      <c r="AB17" s="103">
        <f>AA17*1.6*3.45</f>
        <v>164.66912335489585</v>
      </c>
      <c r="AC17" s="104">
        <f>IF(($F$6+10%)&gt;=100%, (VLOOKUP(R17,$AK$2:$AM$15,2,0))*(1+VLOOKUP(S17,$AK$17:$AM$28,2,1))*AB17*$O$24*$L$7*$F$10,(VLOOKUP(R17,$AK$2:$AM$15,2,0))*(1+VLOOKUP(S17,$AK$17:$AM$28,2,1))*AB17*$O$24*$L$7*(($F$6+10%)*$F$10+(90%-$F$6)))</f>
        <v>2577.7129314749127</v>
      </c>
      <c r="AD17" s="83">
        <f t="shared" si="9"/>
        <v>106.05966109845716</v>
      </c>
      <c r="AE17" s="84">
        <f t="shared" si="4"/>
        <v>0.18626326809569627</v>
      </c>
      <c r="AF17" s="105">
        <f t="shared" si="7"/>
        <v>4.9458987064336544</v>
      </c>
      <c r="AG17" s="106">
        <f t="shared" si="5"/>
        <v>0.13513715562056311</v>
      </c>
      <c r="AH17" s="107">
        <f t="shared" si="8"/>
        <v>21.443961430203601</v>
      </c>
      <c r="AI17" s="108" t="b">
        <v>1</v>
      </c>
      <c r="AK17" s="10" t="s">
        <v>115</v>
      </c>
      <c r="AL17" s="11" t="s">
        <v>20</v>
      </c>
      <c r="AM17" s="12" t="s">
        <v>21</v>
      </c>
      <c r="AO17" s="142" t="s">
        <v>116</v>
      </c>
      <c r="AP17" s="143">
        <f>AQ9+AQ13+AQ13</f>
        <v>6.4399999999999995</v>
      </c>
      <c r="AQ17" s="26">
        <f>(AQ12*AQ9)+(1-AQ12)</f>
        <v>2.5</v>
      </c>
      <c r="AR17" s="27">
        <f>(AQ12*AP17)+(1-AQ12)</f>
        <v>6.4399999999999995</v>
      </c>
    </row>
    <row r="18" spans="2:44" ht="18" customHeight="1" thickBot="1" x14ac:dyDescent="0.35">
      <c r="B18" s="20" t="s">
        <v>117</v>
      </c>
      <c r="C18" s="21"/>
      <c r="E18" s="43" t="s">
        <v>118</v>
      </c>
      <c r="F18" s="148">
        <f>300*(1-I20)*(1-I12)*IF(C4="지배(2)",80%,1)*IF(C4="지배(3)",80%,1)</f>
        <v>296.39472000000001</v>
      </c>
      <c r="K18" s="20" t="s">
        <v>119</v>
      </c>
      <c r="L18" s="21"/>
      <c r="N18" s="49" t="s">
        <v>39</v>
      </c>
      <c r="O18" s="45">
        <f>(F5*F9)+(1-F5)</f>
        <v>2.8576673521740403</v>
      </c>
      <c r="Q18" s="146" t="s">
        <v>120</v>
      </c>
      <c r="R18" s="147">
        <v>12</v>
      </c>
      <c r="S18" s="147">
        <v>9</v>
      </c>
      <c r="T18" s="147">
        <v>9</v>
      </c>
      <c r="U18" s="96">
        <v>311</v>
      </c>
      <c r="V18" s="97">
        <v>30</v>
      </c>
      <c r="W18" s="98">
        <f t="shared" si="0"/>
        <v>24.304367040000002</v>
      </c>
      <c r="X18" s="99">
        <v>159</v>
      </c>
      <c r="Y18" s="100">
        <v>0.12</v>
      </c>
      <c r="Z18" s="101">
        <f t="shared" si="10"/>
        <v>129.30874634601133</v>
      </c>
      <c r="AA18" s="102">
        <v>39.0102609859469</v>
      </c>
      <c r="AB18" s="149">
        <f>AA18*1.6*1.35*2.02</f>
        <v>170.20957073388354</v>
      </c>
      <c r="AC18" s="104">
        <f>IF(($F$6+20%)&gt;=100%,(VLOOKUP(R18,$AK$2:$AM$15,2,0))*(1+VLOOKUP(S18,$AK$17:$AM$28,2,1))*AB18*$O$24*$L$7*$F$10*(($L$9-1)/2+1)/$L$9,(VLOOKUP(R18,$AK$2:$AM$15,2,0))*(1+VLOOKUP(S18,$AK$17:$AM$28,2,1))*AB18*$O$24*$L$7*(($F$6+20%)*$F$10+(80%-$F$6))*(($L$9-1)/2+1)/$L$9)</f>
        <v>2494.0878767721524</v>
      </c>
      <c r="AD18" s="83">
        <f t="shared" si="9"/>
        <v>102.61891917067395</v>
      </c>
      <c r="AE18" s="84">
        <f t="shared" si="4"/>
        <v>0.18022059523114842</v>
      </c>
      <c r="AF18" s="105">
        <f t="shared" si="7"/>
        <v>5.3203914396616732</v>
      </c>
      <c r="AG18" s="106">
        <f t="shared" si="5"/>
        <v>0.14536944822760212</v>
      </c>
      <c r="AH18" s="107">
        <f t="shared" si="8"/>
        <v>19.287851342231232</v>
      </c>
      <c r="AI18" s="108" t="b">
        <v>1</v>
      </c>
      <c r="AK18" s="43">
        <v>0</v>
      </c>
      <c r="AL18" s="150">
        <v>0</v>
      </c>
      <c r="AM18" s="34">
        <v>0</v>
      </c>
      <c r="AO18" s="142" t="s">
        <v>121</v>
      </c>
      <c r="AP18" s="143">
        <f>AQ9+AQ13+AQ13+AQ13</f>
        <v>8.41</v>
      </c>
      <c r="AQ18" s="26">
        <f>AQ12*AQ9*(AQ10+1)+(1-AQ12)*(AQ10+1)</f>
        <v>6.25</v>
      </c>
      <c r="AR18" s="27">
        <f>AQ12*AP18*(AQ10+1)+(1-AQ12)*(AQ10+1)</f>
        <v>21.024999999999999</v>
      </c>
    </row>
    <row r="19" spans="2:44" ht="18" customHeight="1" x14ac:dyDescent="0.3">
      <c r="B19" s="33" t="s">
        <v>16</v>
      </c>
      <c r="C19" s="151">
        <v>3</v>
      </c>
      <c r="E19" s="43" t="s">
        <v>122</v>
      </c>
      <c r="F19" s="148">
        <f>300*(1-I20)*(1-I12)*0.85*IF(C4="지배(2)",80%,1)*IF(C4="지배(3)",80%,1)</f>
        <v>251.93551199999999</v>
      </c>
      <c r="H19" s="5" t="s">
        <v>123</v>
      </c>
      <c r="I19" s="6"/>
      <c r="K19" s="115" t="s">
        <v>124</v>
      </c>
      <c r="L19" s="45">
        <f>C11</f>
        <v>0.28439999999999999</v>
      </c>
      <c r="N19" s="73" t="s">
        <v>46</v>
      </c>
      <c r="O19" s="45">
        <f>(F6*F10)+(1-F6)</f>
        <v>2.3228259280000003</v>
      </c>
      <c r="Q19" s="146" t="s">
        <v>125</v>
      </c>
      <c r="R19" s="147"/>
      <c r="S19" s="147"/>
      <c r="T19" s="147"/>
      <c r="U19" s="96">
        <v>331</v>
      </c>
      <c r="V19" s="97">
        <v>30</v>
      </c>
      <c r="W19" s="98">
        <f t="shared" si="0"/>
        <v>29.639472000000001</v>
      </c>
      <c r="X19" s="99">
        <v>183</v>
      </c>
      <c r="Y19" s="100"/>
      <c r="Z19" s="101">
        <f t="shared" si="10"/>
        <v>164.92203783798203</v>
      </c>
      <c r="AA19" s="102">
        <v>39.0102609859469</v>
      </c>
      <c r="AB19" s="149">
        <f>AA19*4.43245714285714</f>
        <v>172.91130995188155</v>
      </c>
      <c r="AC19" s="104">
        <f>IF(($F$6+10%)&gt;=100%,(VLOOKUP(R19,$AK$2:$AM$15,2,0))*(1+VLOOKUP(S19,$AK$17:$AM$28,2,1))*AB19*$O$24*$F$10*1.05,(VLOOKUP(R19,$AK$2:$AM$15,2,0))*(1+VLOOKUP(S19,$AK$17:$AM$28,2,1))*AB19*$O$24*(($F$6+10%)*$F$10+(90%-$F$6))*1.05)</f>
        <v>1613.0831760215463</v>
      </c>
      <c r="AD19" s="83">
        <f t="shared" si="9"/>
        <v>54.423478799539552</v>
      </c>
      <c r="AE19" s="84">
        <f t="shared" si="4"/>
        <v>0</v>
      </c>
      <c r="AF19" s="105">
        <f t="shared" si="7"/>
        <v>5.5642704376779051</v>
      </c>
      <c r="AG19" s="106">
        <f t="shared" si="5"/>
        <v>0</v>
      </c>
      <c r="AH19" s="107">
        <f t="shared" si="8"/>
        <v>9.780883120097176</v>
      </c>
      <c r="AI19" s="108" t="b">
        <v>0</v>
      </c>
      <c r="AK19" s="43">
        <v>1</v>
      </c>
      <c r="AL19" s="150">
        <v>0.03</v>
      </c>
      <c r="AM19" s="34">
        <v>0.02</v>
      </c>
      <c r="AO19" s="135" t="s">
        <v>126</v>
      </c>
      <c r="AP19" s="136"/>
      <c r="AQ19" s="26">
        <f>SUM(AQ15:AQ18) * (1+AQ5)</f>
        <v>15.125000000000002</v>
      </c>
      <c r="AR19" s="27">
        <f>SUM(AR15:AR18) * (1+AQ5+AQ6)</f>
        <v>41.32200000000001</v>
      </c>
    </row>
    <row r="20" spans="2:44" ht="18" customHeight="1" thickBot="1" x14ac:dyDescent="0.35">
      <c r="B20" s="33" t="s">
        <v>41</v>
      </c>
      <c r="C20" s="151">
        <v>3</v>
      </c>
      <c r="E20" s="20" t="s">
        <v>70</v>
      </c>
      <c r="F20" s="21"/>
      <c r="H20" s="33" t="s">
        <v>127</v>
      </c>
      <c r="I20" s="34">
        <f>IF(C27=1,10%,IF(C27=2,25%,IF(C27=3,50%,0)))</f>
        <v>0</v>
      </c>
      <c r="K20" s="111" t="s">
        <v>128</v>
      </c>
      <c r="L20" s="45">
        <f>IF(C4="악몽(2)",18%,0%)+IF(C4="악몽(3)",20%,0%)+IF(C4="구원(2)", 54%, 0%)+IF(C4="구원(3)",63%,0%)</f>
        <v>0.63</v>
      </c>
      <c r="N20" s="152" t="s">
        <v>53</v>
      </c>
      <c r="O20" s="128">
        <f>(F7*F11)+(1-F7)</f>
        <v>2.0858259280000002</v>
      </c>
      <c r="Q20" s="146" t="s">
        <v>129</v>
      </c>
      <c r="R20" s="147"/>
      <c r="S20" s="147"/>
      <c r="T20" s="147"/>
      <c r="U20" s="96">
        <v>112</v>
      </c>
      <c r="V20" s="97">
        <v>36</v>
      </c>
      <c r="W20" s="98">
        <f t="shared" si="0"/>
        <v>35.567366400000004</v>
      </c>
      <c r="X20" s="99">
        <v>169</v>
      </c>
      <c r="Y20" s="100"/>
      <c r="Z20" s="101">
        <f t="shared" si="10"/>
        <v>152.30505133671565</v>
      </c>
      <c r="AA20" s="102">
        <f>7.00758420700423*2+9.94378764220388</f>
        <v>23.95895605621234</v>
      </c>
      <c r="AB20" s="103">
        <f>AA20*1.45*1.5*2.2</f>
        <v>114.64360472897606</v>
      </c>
      <c r="AC20" s="104">
        <f>IF(($F$6+10%)&gt;=100%,(VLOOKUP(R20,$AK$2:$AM$15,2,0))*(1+VLOOKUP(S20,$AK$17:$AM$28,2,1))*AB20*$O$24*$F$10*1.05,(VLOOKUP(R20,$AK$2:$AM$15,2,0))*(1+VLOOKUP(S20,$AK$17:$AM$28,2,1))*AB20*$O$24*(($F$6+10%)*$F$10+(90%-$F$6))*1.05)</f>
        <v>1069.5059223033959</v>
      </c>
      <c r="AD20" s="83">
        <f t="shared" si="9"/>
        <v>30.06986545687554</v>
      </c>
      <c r="AE20" s="84">
        <f t="shared" si="4"/>
        <v>0</v>
      </c>
      <c r="AF20" s="105">
        <f t="shared" si="7"/>
        <v>4.2821571218923768</v>
      </c>
      <c r="AG20" s="106">
        <f t="shared" si="5"/>
        <v>0</v>
      </c>
      <c r="AH20" s="107">
        <f t="shared" si="8"/>
        <v>7.0221303424725861</v>
      </c>
      <c r="AI20" s="108" t="b">
        <v>0</v>
      </c>
      <c r="AK20" s="43">
        <v>2</v>
      </c>
      <c r="AL20" s="150">
        <v>0.06</v>
      </c>
      <c r="AM20" s="34">
        <v>0.04</v>
      </c>
      <c r="AO20" s="153" t="s">
        <v>130</v>
      </c>
      <c r="AP20" s="154"/>
      <c r="AQ20" s="155">
        <f>2/((1/AQ19)+(1/AR19))</f>
        <v>22.144498379010404</v>
      </c>
      <c r="AR20" s="156"/>
    </row>
    <row r="21" spans="2:44" ht="18" customHeight="1" thickBot="1" x14ac:dyDescent="0.35">
      <c r="B21" s="139" t="s">
        <v>100</v>
      </c>
      <c r="C21" s="151">
        <v>3</v>
      </c>
      <c r="E21" s="43" t="s">
        <v>131</v>
      </c>
      <c r="F21" s="45">
        <f>1-(1-I12)*(1-I11)</f>
        <v>1.2017599999999962E-2</v>
      </c>
      <c r="H21" s="18" t="s">
        <v>132</v>
      </c>
      <c r="I21" s="45">
        <f>1+(C7*I8)</f>
        <v>1.5720808000000002</v>
      </c>
      <c r="K21" s="115" t="s">
        <v>133</v>
      </c>
      <c r="L21" s="45">
        <f>C16</f>
        <v>0</v>
      </c>
      <c r="Q21" s="146" t="s">
        <v>134</v>
      </c>
      <c r="R21" s="147"/>
      <c r="S21" s="147"/>
      <c r="T21" s="147"/>
      <c r="U21" s="96">
        <v>212</v>
      </c>
      <c r="V21" s="97">
        <v>36</v>
      </c>
      <c r="W21" s="98">
        <f t="shared" si="0"/>
        <v>35.567366400000004</v>
      </c>
      <c r="X21" s="99">
        <v>169</v>
      </c>
      <c r="Y21" s="100"/>
      <c r="Z21" s="101">
        <f t="shared" si="10"/>
        <v>152.30505133671565</v>
      </c>
      <c r="AA21" s="102">
        <f>7.00758420700423*2+9.94378764220388</f>
        <v>23.95895605621234</v>
      </c>
      <c r="AB21" s="103">
        <f>AA21*1.28*1.5*2.2</f>
        <v>101.20263038144093</v>
      </c>
      <c r="AC21" s="104">
        <f>IF(($F$6+10%)&gt;=100%,(VLOOKUP(R21,$AK$2:$AM$15,2,0))*(1+VLOOKUP(S21,$AK$17:$AM$28,2,1))*AB21*$O$24*$L$7*$F$10,(VLOOKUP(R21,$AK$2:$AM$15,2,0))*(1+VLOOKUP(S21,$AK$17:$AM$28,2,1))*AB21*$O$24*$L$7*(($F$6+10%)*$F$10+(90%-$F$6)))</f>
        <v>1043.0229185130258</v>
      </c>
      <c r="AD21" s="83">
        <f t="shared" si="9"/>
        <v>29.325278312229091</v>
      </c>
      <c r="AE21" s="84">
        <f t="shared" si="4"/>
        <v>0</v>
      </c>
      <c r="AF21" s="105">
        <f t="shared" si="7"/>
        <v>4.2821571218923768</v>
      </c>
      <c r="AG21" s="106">
        <f t="shared" si="5"/>
        <v>0</v>
      </c>
      <c r="AH21" s="107">
        <f t="shared" si="8"/>
        <v>6.8482490197065964</v>
      </c>
      <c r="AI21" s="108" t="b">
        <v>0</v>
      </c>
      <c r="AK21" s="43">
        <v>3</v>
      </c>
      <c r="AL21" s="150">
        <v>0.09</v>
      </c>
      <c r="AM21" s="34">
        <v>0.06</v>
      </c>
      <c r="AO21" s="157" t="s">
        <v>135</v>
      </c>
      <c r="AP21" s="158"/>
      <c r="AQ21" s="159">
        <f>(AQ19+AR19)/2</f>
        <v>28.223500000000005</v>
      </c>
      <c r="AR21" s="160"/>
    </row>
    <row r="22" spans="2:44" ht="18" customHeight="1" thickBot="1" x14ac:dyDescent="0.35">
      <c r="B22" s="33" t="s">
        <v>55</v>
      </c>
      <c r="C22" s="151">
        <v>3</v>
      </c>
      <c r="E22" s="20" t="s">
        <v>92</v>
      </c>
      <c r="F22" s="21"/>
      <c r="H22" s="73" t="s">
        <v>136</v>
      </c>
      <c r="I22" s="45">
        <f>(SUM(O4,O6:O10)*F10+(1-SUM(O4,O6:O10)))*L23*L24*L25*L26*I21*IF(C4="지배(2)",70%,1)*IF(C4="지배(3)",90%,1)/(IF(C4="악몽(2)",115%,1)*IF(C4="악몽(3)",117%,1)*IF(C4="지배(2)",118%*128%,1)*IF(C4="지배(3)",120%*131%,1))</f>
        <v>8.5901067662520738</v>
      </c>
      <c r="K22" s="20" t="s">
        <v>137</v>
      </c>
      <c r="L22" s="21"/>
      <c r="N22" s="5" t="s">
        <v>138</v>
      </c>
      <c r="O22" s="6"/>
      <c r="Q22" s="146" t="s">
        <v>139</v>
      </c>
      <c r="R22" s="147"/>
      <c r="S22" s="147"/>
      <c r="T22" s="147"/>
      <c r="U22" s="96">
        <v>122</v>
      </c>
      <c r="V22" s="97">
        <v>23</v>
      </c>
      <c r="W22" s="98">
        <f t="shared" si="0"/>
        <v>22.723595200000002</v>
      </c>
      <c r="X22" s="99">
        <v>101</v>
      </c>
      <c r="Y22" s="100"/>
      <c r="Z22" s="101">
        <f t="shared" si="10"/>
        <v>91.022545473421786</v>
      </c>
      <c r="AA22" s="102">
        <v>21.233102832924299</v>
      </c>
      <c r="AB22" s="103">
        <f>AA22*1.45*2.196</f>
        <v>67.610446040597552</v>
      </c>
      <c r="AC22" s="104">
        <f>IF(($F$6+10%)&gt;=100%,(VLOOKUP(R22,$AK$2:$AM$15,2,0))*(1+VLOOKUP(S22,$AK$17:$AM$28,2,1))*AB22*$O$24*$F$10*1.05,(VLOOKUP(R22,$AK$2:$AM$15,2,0))*(1+VLOOKUP(S22,$AK$17:$AM$28,2,1))*AB22*$O$24*(($F$6+10%)*$F$10+(90%-$F$6))*1.05)</f>
        <v>630.73533513655332</v>
      </c>
      <c r="AD22" s="83">
        <f t="shared" si="9"/>
        <v>27.756846114586359</v>
      </c>
      <c r="AE22" s="84">
        <f t="shared" si="4"/>
        <v>0</v>
      </c>
      <c r="AF22" s="105">
        <f t="shared" si="7"/>
        <v>4.0056401582713361</v>
      </c>
      <c r="AG22" s="106">
        <f t="shared" si="5"/>
        <v>0</v>
      </c>
      <c r="AH22" s="107">
        <f t="shared" si="8"/>
        <v>6.9294407430159763</v>
      </c>
      <c r="AI22" s="108" t="b">
        <v>0</v>
      </c>
      <c r="AK22" s="43">
        <v>4</v>
      </c>
      <c r="AL22" s="150">
        <v>0.12</v>
      </c>
      <c r="AM22" s="34">
        <v>0.08</v>
      </c>
      <c r="AO22" s="46" t="s">
        <v>140</v>
      </c>
      <c r="AP22" s="47"/>
      <c r="AQ22" s="47"/>
      <c r="AR22" s="48"/>
    </row>
    <row r="23" spans="2:44" ht="18" customHeight="1" thickBot="1" x14ac:dyDescent="0.35">
      <c r="B23" s="33" t="s">
        <v>48</v>
      </c>
      <c r="C23" s="151"/>
      <c r="E23" s="43" t="s">
        <v>141</v>
      </c>
      <c r="F23" s="45">
        <f>IF(IF(C30=1,8%,IF(C30=2,12%,IF(C30=3,16%,0)))+SUM(I15:I17)+C13+IF(OR(C4="구원(2)",C4="구원(3)"),10%,0)+1&gt;=140%,140%,IF(C30=1,8%,IF(C30=2,12%,IF(C30=3,16%,0)))+SUM(I15:I17)+C13+IF(OR(C4="구원(2)",C4="구원(3)"),10%,0)+1)</f>
        <v>1.1896152</v>
      </c>
      <c r="H23" s="152" t="s">
        <v>142</v>
      </c>
      <c r="I23" s="128">
        <f>(SUM(O6:O10)*F10+(1-SUM(O6:O10)))*L23*L24*L25*L26*L8*I21*IF(C4="지배(2)",70%,1)*IF(C4="지배(3)",90%,1)/(IF(C4="악몽(2)",115%,1)*IF(C4="악몽(3)",117%,1)*IF(C4="지배(2)",118%*128%,1)*IF(C4="지배(3)",120%*131%,1))</f>
        <v>8.4278895478518763</v>
      </c>
      <c r="K23" s="33" t="s">
        <v>143</v>
      </c>
      <c r="L23" s="45">
        <f>L4*L5*L6</f>
        <v>1.1759999999999999</v>
      </c>
      <c r="N23" s="49" t="s">
        <v>39</v>
      </c>
      <c r="O23" s="45">
        <f>L23*L24*L25*L26</f>
        <v>3.3481394929919999</v>
      </c>
      <c r="Q23" s="146" t="s">
        <v>144</v>
      </c>
      <c r="R23" s="147"/>
      <c r="S23" s="161"/>
      <c r="T23" s="161"/>
      <c r="U23" s="96">
        <v>131</v>
      </c>
      <c r="V23" s="97">
        <v>19</v>
      </c>
      <c r="W23" s="98">
        <f t="shared" si="0"/>
        <v>18.771665600000002</v>
      </c>
      <c r="X23" s="99">
        <v>66</v>
      </c>
      <c r="Y23" s="100"/>
      <c r="Z23" s="101">
        <f t="shared" si="10"/>
        <v>59.480079220255817</v>
      </c>
      <c r="AA23" s="102">
        <f>4.65090341289315*3+1.16172206111978*3</f>
        <v>17.437876422038791</v>
      </c>
      <c r="AB23" s="103">
        <f>AA23*(5/3)*1.8</f>
        <v>52.313629266116372</v>
      </c>
      <c r="AC23" s="104">
        <f>(VLOOKUP(R23,$AK$2:$AM$15,2,0))*(1+VLOOKUP(S23,$AK$17:$AM$28,2,1))*AB23*$F$14*$L$7</f>
        <v>504.8208387367157</v>
      </c>
      <c r="AD23" s="162">
        <f t="shared" si="9"/>
        <v>26.892703582825153</v>
      </c>
      <c r="AE23" s="163">
        <f t="shared" si="4"/>
        <v>0</v>
      </c>
      <c r="AF23" s="105">
        <f t="shared" si="7"/>
        <v>3.1686095676164086</v>
      </c>
      <c r="AG23" s="106">
        <f t="shared" si="5"/>
        <v>0</v>
      </c>
      <c r="AH23" s="107">
        <f t="shared" si="8"/>
        <v>8.4872253930152812</v>
      </c>
      <c r="AI23" s="108" t="b">
        <v>0</v>
      </c>
      <c r="AK23" s="43">
        <v>5</v>
      </c>
      <c r="AL23" s="150">
        <v>0.15</v>
      </c>
      <c r="AM23" s="34">
        <v>0.1</v>
      </c>
      <c r="AO23" s="164" t="s">
        <v>145</v>
      </c>
      <c r="AP23" s="165"/>
      <c r="AQ23" s="166">
        <v>1.2</v>
      </c>
      <c r="AR23" s="167"/>
    </row>
    <row r="24" spans="2:44" ht="18" customHeight="1" x14ac:dyDescent="0.3">
      <c r="B24" s="33" t="s">
        <v>106</v>
      </c>
      <c r="C24" s="151"/>
      <c r="E24" s="43" t="s">
        <v>146</v>
      </c>
      <c r="F24" s="45">
        <f>IF(SUM(I15:I17)+C13+IF(OR(C4="구원(2)",C4="구원(3)"),10%,0)+1&gt;=140%,140%,SUM(I15:I17)+C13+IF(OR(C4="구원(2)",C4="구원(3)"),10%,0)+1)</f>
        <v>1.1096151999999999</v>
      </c>
      <c r="K24" s="33" t="s">
        <v>147</v>
      </c>
      <c r="L24" s="45">
        <f>SUM(1,L15:L17)</f>
        <v>1.22</v>
      </c>
      <c r="N24" s="73" t="s">
        <v>46</v>
      </c>
      <c r="O24" s="45">
        <f>L23*L24*L25*L26*L9</f>
        <v>4.1843185817855906</v>
      </c>
      <c r="Q24" s="168" t="s">
        <v>148</v>
      </c>
      <c r="R24" s="169"/>
      <c r="S24" s="170"/>
      <c r="T24" s="170"/>
      <c r="U24" s="96" t="s">
        <v>149</v>
      </c>
      <c r="V24" s="97">
        <v>300</v>
      </c>
      <c r="W24" s="171">
        <f>$F$18</f>
        <v>296.39472000000001</v>
      </c>
      <c r="X24" s="99">
        <v>155</v>
      </c>
      <c r="Y24" s="100"/>
      <c r="Z24" s="101">
        <f t="shared" si="10"/>
        <v>139.68806483544927</v>
      </c>
      <c r="AA24" s="102">
        <v>268.023198750836</v>
      </c>
      <c r="AB24" s="103"/>
      <c r="AC24" s="104">
        <f>AA24*$F$17</f>
        <v>2302.3478931020809</v>
      </c>
      <c r="AD24" s="162">
        <f t="shared" si="9"/>
        <v>7.767843816860438</v>
      </c>
      <c r="AE24" s="163">
        <f t="shared" si="4"/>
        <v>0</v>
      </c>
      <c r="AF24" s="105">
        <f t="shared" si="7"/>
        <v>0.47129066548637999</v>
      </c>
      <c r="AG24" s="106">
        <f t="shared" si="5"/>
        <v>0</v>
      </c>
      <c r="AH24" s="107">
        <f t="shared" si="8"/>
        <v>16.482065921768026</v>
      </c>
      <c r="AI24" s="108" t="b">
        <v>0</v>
      </c>
      <c r="AK24" s="43">
        <v>6</v>
      </c>
      <c r="AL24" s="150">
        <v>0.18</v>
      </c>
      <c r="AM24" s="34">
        <v>0.12</v>
      </c>
      <c r="AO24" s="172" t="s">
        <v>150</v>
      </c>
      <c r="AP24" s="173"/>
      <c r="AQ24" s="174">
        <f>(1+AQ23)*3 + (1+AQ23)*(1+AQ10)</f>
        <v>12.100000000000001</v>
      </c>
      <c r="AR24" s="175"/>
    </row>
    <row r="25" spans="2:44" ht="18" customHeight="1" thickBot="1" x14ac:dyDescent="0.35">
      <c r="B25" s="33" t="s">
        <v>49</v>
      </c>
      <c r="C25" s="151">
        <v>3</v>
      </c>
      <c r="E25" s="140" t="s">
        <v>151</v>
      </c>
      <c r="F25" s="128">
        <f>IF(SUM(I15,I17)+C13+1&gt;=140%,140%,SUM(I15,I17)+C13+1)</f>
        <v>1.0096152</v>
      </c>
      <c r="K25" s="115" t="s">
        <v>119</v>
      </c>
      <c r="L25" s="45">
        <f>SUM(1,L19:L21)</f>
        <v>1.9144000000000001</v>
      </c>
      <c r="N25" s="152" t="s">
        <v>53</v>
      </c>
      <c r="O25" s="128">
        <f>L23*L24*L25*L26*L8*L10</f>
        <v>5.282644047232143</v>
      </c>
      <c r="Q25" s="176" t="s">
        <v>152</v>
      </c>
      <c r="R25" s="177"/>
      <c r="S25" s="178"/>
      <c r="T25" s="178"/>
      <c r="U25" s="179" t="s">
        <v>149</v>
      </c>
      <c r="V25" s="180">
        <v>300</v>
      </c>
      <c r="W25" s="181">
        <f>$F$18</f>
        <v>296.39472000000001</v>
      </c>
      <c r="X25" s="182">
        <v>125</v>
      </c>
      <c r="Y25" s="183"/>
      <c r="Z25" s="184">
        <f t="shared" si="10"/>
        <v>112.65166518987844</v>
      </c>
      <c r="AA25" s="185">
        <v>223.624135623466</v>
      </c>
      <c r="AB25" s="186"/>
      <c r="AC25" s="187">
        <f>AA25*$F$17</f>
        <v>1920.9552005164066</v>
      </c>
      <c r="AD25" s="188">
        <f t="shared" si="9"/>
        <v>6.4810709196047975</v>
      </c>
      <c r="AE25" s="189">
        <f t="shared" si="4"/>
        <v>1.1382135655939127E-2</v>
      </c>
      <c r="AF25" s="190">
        <f t="shared" si="7"/>
        <v>0.38007311732772581</v>
      </c>
      <c r="AG25" s="191">
        <f t="shared" si="5"/>
        <v>1.0384765853918001E-2</v>
      </c>
      <c r="AH25" s="192">
        <f t="shared" si="8"/>
        <v>17.052168712096421</v>
      </c>
      <c r="AI25" s="193" t="b">
        <v>1</v>
      </c>
      <c r="AK25" s="43">
        <v>7</v>
      </c>
      <c r="AL25" s="150">
        <v>0.21</v>
      </c>
      <c r="AM25" s="34">
        <v>0.14000000000000001</v>
      </c>
      <c r="AO25" s="129" t="s">
        <v>153</v>
      </c>
      <c r="AP25" s="130"/>
      <c r="AQ25" s="118">
        <f>(1-AQ8)*AQ24</f>
        <v>4.2350000000000003</v>
      </c>
      <c r="AR25" s="119"/>
    </row>
    <row r="26" spans="2:44" ht="18" customHeight="1" thickBot="1" x14ac:dyDescent="0.35">
      <c r="B26" s="33" t="s">
        <v>56</v>
      </c>
      <c r="C26" s="151"/>
      <c r="D26" s="1"/>
      <c r="K26" s="194" t="s">
        <v>154</v>
      </c>
      <c r="L26" s="128">
        <f>L11*L12*L13</f>
        <v>1.2189999999999999</v>
      </c>
      <c r="V26" s="195" t="s">
        <v>155</v>
      </c>
      <c r="W26" s="196"/>
      <c r="Z26" s="197">
        <f>SUMIF($AI$5:$AI$25,TRUE,$Z$5:$Z$25)</f>
        <v>1000.5357010550829</v>
      </c>
      <c r="AC26" s="197">
        <f>SUMIF($AI$5:$AI$25,TRUE,$AC$5:$AC$25)</f>
        <v>15865.569795655445</v>
      </c>
      <c r="AD26" s="197">
        <f>SUMIF($AI$5:$AI$25,TRUE,$AD$5:$AD$25)</f>
        <v>569.4072813323935</v>
      </c>
      <c r="AF26" s="197">
        <f>SUMIF($AI$5:$AI$25,TRUE,$AF$5:$AF$25)</f>
        <v>36.599103212744126</v>
      </c>
      <c r="AH26" s="197">
        <f>SUMIF($AI$5:$AI$25,TRUE,$AH$5:$AH$25)</f>
        <v>127.51398535878376</v>
      </c>
      <c r="AK26" s="43">
        <v>8</v>
      </c>
      <c r="AL26" s="150">
        <v>0.24</v>
      </c>
      <c r="AM26" s="34">
        <v>0.16</v>
      </c>
      <c r="AO26" s="129" t="s">
        <v>156</v>
      </c>
      <c r="AP26" s="130"/>
      <c r="AQ26" s="118">
        <f>AQ8*AQ9*AQ24</f>
        <v>19.662500000000001</v>
      </c>
      <c r="AR26" s="119"/>
    </row>
    <row r="27" spans="2:44" ht="18" customHeight="1" x14ac:dyDescent="0.3">
      <c r="B27" s="33" t="s">
        <v>127</v>
      </c>
      <c r="C27" s="151"/>
      <c r="AD27" s="2"/>
      <c r="AK27" s="43">
        <v>9</v>
      </c>
      <c r="AL27" s="150">
        <v>0.3</v>
      </c>
      <c r="AM27" s="34">
        <v>0.18</v>
      </c>
      <c r="AO27" s="129" t="s">
        <v>157</v>
      </c>
      <c r="AP27" s="130"/>
      <c r="AQ27" s="118">
        <f>AQ25+AQ26</f>
        <v>23.897500000000001</v>
      </c>
      <c r="AR27" s="119"/>
    </row>
    <row r="28" spans="2:44" ht="18" customHeight="1" thickBot="1" x14ac:dyDescent="0.35">
      <c r="B28" s="33" t="s">
        <v>99</v>
      </c>
      <c r="C28" s="151"/>
      <c r="AK28" s="140">
        <v>10</v>
      </c>
      <c r="AL28" s="198">
        <v>0.4</v>
      </c>
      <c r="AM28" s="145">
        <v>0.2</v>
      </c>
      <c r="AO28" s="199" t="s">
        <v>96</v>
      </c>
      <c r="AP28" s="200">
        <f>AQ27*(1+AQ5)</f>
        <v>26.287250000000004</v>
      </c>
      <c r="AQ28" s="201" t="s">
        <v>97</v>
      </c>
      <c r="AR28" s="202">
        <f>AQ27*(1+AQ5+AQ6)</f>
        <v>28.677000000000007</v>
      </c>
    </row>
    <row r="29" spans="2:44" ht="18" customHeight="1" x14ac:dyDescent="0.3">
      <c r="B29" s="33" t="s">
        <v>42</v>
      </c>
      <c r="C29" s="151"/>
      <c r="AO29" s="203" t="s">
        <v>130</v>
      </c>
      <c r="AP29" s="204"/>
      <c r="AQ29" s="205">
        <f>2/((1/AP28)+(1/AR28))</f>
        <v>27.430173913043483</v>
      </c>
      <c r="AR29" s="206"/>
    </row>
    <row r="30" spans="2:44" ht="18" customHeight="1" thickBot="1" x14ac:dyDescent="0.35">
      <c r="B30" s="207" t="s">
        <v>158</v>
      </c>
      <c r="C30" s="208">
        <v>1</v>
      </c>
      <c r="D30" s="1"/>
      <c r="AD30" s="2"/>
      <c r="AO30" s="209" t="s">
        <v>135</v>
      </c>
      <c r="AP30" s="210"/>
      <c r="AQ30" s="211">
        <f>(AP28+AR28)/2</f>
        <v>27.482125000000003</v>
      </c>
      <c r="AR30" s="212"/>
    </row>
    <row r="31" spans="2:44" ht="18" customHeight="1" thickBot="1" x14ac:dyDescent="0.35">
      <c r="D31" s="1"/>
      <c r="R31" s="2"/>
      <c r="AO31" s="46" t="s">
        <v>159</v>
      </c>
      <c r="AP31" s="47"/>
      <c r="AQ31" s="47"/>
      <c r="AR31" s="48"/>
    </row>
    <row r="32" spans="2:44" ht="18" customHeight="1" x14ac:dyDescent="0.3">
      <c r="D32" s="1"/>
      <c r="R32" s="2"/>
      <c r="AD32" s="2"/>
      <c r="AO32" s="213" t="s">
        <v>160</v>
      </c>
      <c r="AP32" s="214"/>
      <c r="AQ32" s="215">
        <f>AQ29/AQ20</f>
        <v>1.2386902355414422</v>
      </c>
      <c r="AR32" s="216"/>
    </row>
    <row r="33" spans="4:44" ht="18" customHeight="1" thickBot="1" x14ac:dyDescent="0.35">
      <c r="D33" s="1"/>
      <c r="R33" s="2"/>
      <c r="AI33" s="1"/>
      <c r="AO33" s="217" t="s">
        <v>161</v>
      </c>
      <c r="AP33" s="218"/>
      <c r="AQ33" s="219">
        <f>AQ30/AQ21</f>
        <v>0.97373199638599039</v>
      </c>
      <c r="AR33" s="220"/>
    </row>
    <row r="34" spans="4:44" ht="18" customHeight="1" x14ac:dyDescent="0.3">
      <c r="D34" s="1"/>
      <c r="R34" s="2"/>
      <c r="AI34" s="1"/>
    </row>
    <row r="35" spans="4:44" ht="18" customHeight="1" x14ac:dyDescent="0.3">
      <c r="D35" s="1"/>
      <c r="R35" s="2"/>
      <c r="AD35" s="2"/>
      <c r="AI35" s="1"/>
    </row>
    <row r="36" spans="4:44" ht="18" customHeight="1" x14ac:dyDescent="0.3">
      <c r="D36" s="1"/>
      <c r="R36" s="2"/>
      <c r="AI36" s="1"/>
    </row>
    <row r="37" spans="4:44" ht="18" customHeight="1" x14ac:dyDescent="0.3">
      <c r="D37" s="1"/>
      <c r="R37" s="2"/>
      <c r="AD37" s="2"/>
      <c r="AI37" s="1"/>
    </row>
    <row r="38" spans="4:44" ht="18" customHeight="1" x14ac:dyDescent="0.3">
      <c r="D38" s="1"/>
      <c r="R38" s="2"/>
      <c r="AI38" s="1"/>
    </row>
    <row r="39" spans="4:44" ht="18" customHeight="1" x14ac:dyDescent="0.3">
      <c r="R39" s="2"/>
      <c r="AI39" s="1"/>
    </row>
    <row r="40" spans="4:44" ht="18" customHeight="1" x14ac:dyDescent="0.3">
      <c r="D40" s="1"/>
      <c r="R40" s="2"/>
      <c r="AD40" s="2"/>
      <c r="AI40" s="1"/>
    </row>
    <row r="41" spans="4:44" ht="18" customHeight="1" x14ac:dyDescent="0.3">
      <c r="D41" s="1"/>
      <c r="AG41" s="221"/>
      <c r="AI41" s="1"/>
    </row>
    <row r="42" spans="4:44" ht="18" customHeight="1" x14ac:dyDescent="0.3">
      <c r="D42" s="1"/>
      <c r="AI42" s="1"/>
    </row>
    <row r="43" spans="4:44" ht="18" customHeight="1" x14ac:dyDescent="0.3">
      <c r="D43" s="1"/>
      <c r="AD43" s="2"/>
      <c r="AI43" s="1"/>
    </row>
    <row r="44" spans="4:44" ht="18" customHeight="1" x14ac:dyDescent="0.3">
      <c r="D44" s="1"/>
      <c r="AI44" s="1"/>
    </row>
    <row r="45" spans="4:44" ht="18" customHeight="1" x14ac:dyDescent="0.3">
      <c r="AI45" s="1"/>
    </row>
    <row r="46" spans="4:44" ht="18" customHeight="1" x14ac:dyDescent="0.3">
      <c r="AD46" s="2"/>
      <c r="AI46" s="1"/>
    </row>
    <row r="47" spans="4:44" ht="18" customHeight="1" x14ac:dyDescent="0.3">
      <c r="AI47" s="1"/>
    </row>
    <row r="48" spans="4:44" ht="18" customHeight="1" x14ac:dyDescent="0.3">
      <c r="AD48" s="2"/>
      <c r="AI48" s="1"/>
    </row>
    <row r="49" spans="30:35" ht="18" customHeight="1" x14ac:dyDescent="0.3">
      <c r="AI49" s="1"/>
    </row>
    <row r="50" spans="30:35" ht="18" customHeight="1" x14ac:dyDescent="0.3">
      <c r="AI50" s="1"/>
    </row>
    <row r="51" spans="30:35" ht="18" customHeight="1" x14ac:dyDescent="0.3">
      <c r="AD51" s="2"/>
      <c r="AI51" s="1"/>
    </row>
    <row r="52" spans="30:35" ht="18" customHeight="1" x14ac:dyDescent="0.3">
      <c r="AI52" s="1"/>
    </row>
    <row r="53" spans="30:35" ht="18" customHeight="1" x14ac:dyDescent="0.3">
      <c r="AD53" s="2"/>
      <c r="AI53" s="1"/>
    </row>
    <row r="54" spans="30:35" ht="18" customHeight="1" x14ac:dyDescent="0.3">
      <c r="AI54" s="1"/>
    </row>
    <row r="55" spans="30:35" ht="18" customHeight="1" x14ac:dyDescent="0.3">
      <c r="AI55" s="1"/>
    </row>
    <row r="56" spans="30:35" ht="18" customHeight="1" x14ac:dyDescent="0.3">
      <c r="AI56" s="1"/>
    </row>
    <row r="57" spans="30:35" ht="18" customHeight="1" x14ac:dyDescent="0.3">
      <c r="AD57" s="2"/>
      <c r="AI57" s="1"/>
    </row>
    <row r="58" spans="30:35" ht="18" customHeight="1" x14ac:dyDescent="0.3">
      <c r="AI58" s="1"/>
    </row>
    <row r="59" spans="30:35" ht="18" customHeight="1" x14ac:dyDescent="0.3">
      <c r="AI59" s="1"/>
    </row>
    <row r="60" spans="30:35" ht="18" customHeight="1" x14ac:dyDescent="0.3">
      <c r="AD60" s="2"/>
      <c r="AI60" s="1"/>
    </row>
    <row r="61" spans="30:35" ht="18" customHeight="1" x14ac:dyDescent="0.3">
      <c r="AI61" s="1"/>
    </row>
    <row r="62" spans="30:35" ht="18" customHeight="1" x14ac:dyDescent="0.3">
      <c r="AD62" s="2"/>
      <c r="AI62" s="1"/>
    </row>
    <row r="63" spans="30:35" ht="18" customHeight="1" x14ac:dyDescent="0.3">
      <c r="AI63" s="1"/>
    </row>
    <row r="64" spans="30:35" ht="18" customHeight="1" x14ac:dyDescent="0.3">
      <c r="AI64" s="1"/>
    </row>
    <row r="65" spans="30:35" ht="18" customHeight="1" x14ac:dyDescent="0.3">
      <c r="AD65" s="2"/>
      <c r="AI65" s="1"/>
    </row>
    <row r="67" spans="30:35" ht="18" customHeight="1" x14ac:dyDescent="0.3">
      <c r="AD67" s="2"/>
    </row>
    <row r="70" spans="30:35" ht="18" customHeight="1" x14ac:dyDescent="0.3">
      <c r="AD70" s="2"/>
    </row>
    <row r="73" spans="30:35" ht="18" customHeight="1" x14ac:dyDescent="0.3">
      <c r="AD73" s="2"/>
    </row>
    <row r="75" spans="30:35" ht="18" customHeight="1" x14ac:dyDescent="0.3">
      <c r="AD75" s="2"/>
    </row>
    <row r="78" spans="30:35" ht="18" customHeight="1" x14ac:dyDescent="0.3">
      <c r="AD78" s="2"/>
    </row>
    <row r="80" spans="30:35" ht="18" customHeight="1" x14ac:dyDescent="0.3">
      <c r="AD80" s="2"/>
    </row>
    <row r="83" spans="30:30" ht="18" customHeight="1" x14ac:dyDescent="0.3">
      <c r="AD83" s="2"/>
    </row>
  </sheetData>
  <mergeCells count="70">
    <mergeCell ref="AO31:AR31"/>
    <mergeCell ref="AO32:AP32"/>
    <mergeCell ref="AQ32:AR32"/>
    <mergeCell ref="AO33:AP33"/>
    <mergeCell ref="AQ33:AR33"/>
    <mergeCell ref="AO27:AP27"/>
    <mergeCell ref="AQ27:AR27"/>
    <mergeCell ref="AO29:AP29"/>
    <mergeCell ref="AQ29:AR29"/>
    <mergeCell ref="AO30:AP30"/>
    <mergeCell ref="AQ30:AR30"/>
    <mergeCell ref="AO24:AP24"/>
    <mergeCell ref="AQ24:AR24"/>
    <mergeCell ref="AO25:AP25"/>
    <mergeCell ref="AQ25:AR25"/>
    <mergeCell ref="AO26:AP26"/>
    <mergeCell ref="AQ26:AR26"/>
    <mergeCell ref="E22:F22"/>
    <mergeCell ref="K22:L22"/>
    <mergeCell ref="N22:O22"/>
    <mergeCell ref="AO22:AR22"/>
    <mergeCell ref="AO23:AP23"/>
    <mergeCell ref="AQ23:AR23"/>
    <mergeCell ref="H19:I19"/>
    <mergeCell ref="AO19:AP19"/>
    <mergeCell ref="E20:F20"/>
    <mergeCell ref="AO20:AP20"/>
    <mergeCell ref="AQ20:AR20"/>
    <mergeCell ref="AO21:AP21"/>
    <mergeCell ref="AQ21:AR21"/>
    <mergeCell ref="H14:I14"/>
    <mergeCell ref="K14:L14"/>
    <mergeCell ref="AO14:AP14"/>
    <mergeCell ref="E16:F16"/>
    <mergeCell ref="N17:O17"/>
    <mergeCell ref="B18:C18"/>
    <mergeCell ref="K18:L18"/>
    <mergeCell ref="AO11:AR11"/>
    <mergeCell ref="E12:F12"/>
    <mergeCell ref="N12:O12"/>
    <mergeCell ref="AO12:AP12"/>
    <mergeCell ref="AQ12:AR12"/>
    <mergeCell ref="AO13:AP13"/>
    <mergeCell ref="AQ13:AR13"/>
    <mergeCell ref="AO9:AP9"/>
    <mergeCell ref="AQ9:AR9"/>
    <mergeCell ref="B10:C10"/>
    <mergeCell ref="H10:I10"/>
    <mergeCell ref="AO10:AP10"/>
    <mergeCell ref="AQ10:AR10"/>
    <mergeCell ref="AO6:AP6"/>
    <mergeCell ref="AQ6:AR6"/>
    <mergeCell ref="AO7:AR7"/>
    <mergeCell ref="E8:F8"/>
    <mergeCell ref="AO8:AP8"/>
    <mergeCell ref="AQ8:AR8"/>
    <mergeCell ref="AO2:AR3"/>
    <mergeCell ref="K3:L3"/>
    <mergeCell ref="N3:O3"/>
    <mergeCell ref="E4:F4"/>
    <mergeCell ref="AO4:AR4"/>
    <mergeCell ref="B5:C5"/>
    <mergeCell ref="AO5:AP5"/>
    <mergeCell ref="AQ5:AR5"/>
    <mergeCell ref="B2:C3"/>
    <mergeCell ref="E2:F3"/>
    <mergeCell ref="H2:I2"/>
    <mergeCell ref="K2:L2"/>
    <mergeCell ref="N2:O2"/>
    <mergeCell ref="Q2:AI3"/>
  </mergeCells>
  <phoneticPr fontId="2" type="noConversion"/>
  <conditionalFormatting sqref="AI5:AI25 C13:C17">
    <cfRule type="cellIs" dxfId="5" priority="6" operator="equal">
      <formula>TRUE</formula>
    </cfRule>
  </conditionalFormatting>
  <conditionalFormatting sqref="AE5:AH5 AE7:AH7 AE9:AH11 AE13:AH25">
    <cfRule type="cellIs" dxfId="4" priority="5" operator="equal">
      <formula>0</formula>
    </cfRule>
  </conditionalFormatting>
  <conditionalFormatting sqref="AE8:AH8">
    <cfRule type="cellIs" dxfId="3" priority="4" operator="equal">
      <formula>0</formula>
    </cfRule>
  </conditionalFormatting>
  <conditionalFormatting sqref="AE6:AH6">
    <cfRule type="cellIs" dxfId="2" priority="3" operator="equal">
      <formula>0</formula>
    </cfRule>
  </conditionalFormatting>
  <conditionalFormatting sqref="AE12:AH12">
    <cfRule type="cellIs" dxfId="1" priority="2" operator="equal">
      <formula>0</formula>
    </cfRule>
  </conditionalFormatting>
  <conditionalFormatting sqref="L13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0</xdr:rowOff>
                  </from>
                  <to>
                    <xdr:col>34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28575</xdr:colOff>
                    <xdr:row>6</xdr:row>
                    <xdr:rowOff>0</xdr:rowOff>
                  </from>
                  <to>
                    <xdr:col>34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34</xdr:col>
                    <xdr:colOff>28575</xdr:colOff>
                    <xdr:row>8</xdr:row>
                    <xdr:rowOff>0</xdr:rowOff>
                  </from>
                  <to>
                    <xdr:col>34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34</xdr:col>
                    <xdr:colOff>28575</xdr:colOff>
                    <xdr:row>9</xdr:row>
                    <xdr:rowOff>0</xdr:rowOff>
                  </from>
                  <to>
                    <xdr:col>34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34</xdr:col>
                    <xdr:colOff>28575</xdr:colOff>
                    <xdr:row>10</xdr:row>
                    <xdr:rowOff>0</xdr:rowOff>
                  </from>
                  <to>
                    <xdr:col>34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34</xdr:col>
                    <xdr:colOff>28575</xdr:colOff>
                    <xdr:row>13</xdr:row>
                    <xdr:rowOff>0</xdr:rowOff>
                  </from>
                  <to>
                    <xdr:col>34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34</xdr:col>
                    <xdr:colOff>28575</xdr:colOff>
                    <xdr:row>14</xdr:row>
                    <xdr:rowOff>0</xdr:rowOff>
                  </from>
                  <to>
                    <xdr:col>34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34</xdr:col>
                    <xdr:colOff>28575</xdr:colOff>
                    <xdr:row>15</xdr:row>
                    <xdr:rowOff>0</xdr:rowOff>
                  </from>
                  <to>
                    <xdr:col>34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34</xdr:col>
                    <xdr:colOff>28575</xdr:colOff>
                    <xdr:row>16</xdr:row>
                    <xdr:rowOff>0</xdr:rowOff>
                  </from>
                  <to>
                    <xdr:col>34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34</xdr:col>
                    <xdr:colOff>28575</xdr:colOff>
                    <xdr:row>17</xdr:row>
                    <xdr:rowOff>0</xdr:rowOff>
                  </from>
                  <to>
                    <xdr:col>34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34</xdr:col>
                    <xdr:colOff>28575</xdr:colOff>
                    <xdr:row>18</xdr:row>
                    <xdr:rowOff>0</xdr:rowOff>
                  </from>
                  <to>
                    <xdr:col>34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34</xdr:col>
                    <xdr:colOff>28575</xdr:colOff>
                    <xdr:row>19</xdr:row>
                    <xdr:rowOff>0</xdr:rowOff>
                  </from>
                  <to>
                    <xdr:col>34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34</xdr:col>
                    <xdr:colOff>28575</xdr:colOff>
                    <xdr:row>20</xdr:row>
                    <xdr:rowOff>0</xdr:rowOff>
                  </from>
                  <to>
                    <xdr:col>34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34</xdr:col>
                    <xdr:colOff>28575</xdr:colOff>
                    <xdr:row>21</xdr:row>
                    <xdr:rowOff>0</xdr:rowOff>
                  </from>
                  <to>
                    <xdr:col>34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34</xdr:col>
                    <xdr:colOff>28575</xdr:colOff>
                    <xdr:row>22</xdr:row>
                    <xdr:rowOff>0</xdr:rowOff>
                  </from>
                  <to>
                    <xdr:col>34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34</xdr:col>
                    <xdr:colOff>28575</xdr:colOff>
                    <xdr:row>23</xdr:row>
                    <xdr:rowOff>0</xdr:rowOff>
                  </from>
                  <to>
                    <xdr:col>34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34</xdr:col>
                    <xdr:colOff>28575</xdr:colOff>
                    <xdr:row>23</xdr:row>
                    <xdr:rowOff>219075</xdr:rowOff>
                  </from>
                  <to>
                    <xdr:col>34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34</xdr:col>
                    <xdr:colOff>28575</xdr:colOff>
                    <xdr:row>12</xdr:row>
                    <xdr:rowOff>0</xdr:rowOff>
                  </from>
                  <to>
                    <xdr:col>34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34</xdr:col>
                    <xdr:colOff>28575</xdr:colOff>
                    <xdr:row>6</xdr:row>
                    <xdr:rowOff>0</xdr:rowOff>
                  </from>
                  <to>
                    <xdr:col>34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34</xdr:col>
                    <xdr:colOff>28575</xdr:colOff>
                    <xdr:row>7</xdr:row>
                    <xdr:rowOff>0</xdr:rowOff>
                  </from>
                  <to>
                    <xdr:col>34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34</xdr:col>
                    <xdr:colOff>28575</xdr:colOff>
                    <xdr:row>5</xdr:row>
                    <xdr:rowOff>0</xdr:rowOff>
                  </from>
                  <to>
                    <xdr:col>34</xdr:col>
                    <xdr:colOff>238125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34</xdr:col>
                    <xdr:colOff>28575</xdr:colOff>
                    <xdr:row>10</xdr:row>
                    <xdr:rowOff>0</xdr:rowOff>
                  </from>
                  <to>
                    <xdr:col>34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34</xdr:col>
                    <xdr:colOff>28575</xdr:colOff>
                    <xdr:row>11</xdr:row>
                    <xdr:rowOff>0</xdr:rowOff>
                  </from>
                  <to>
                    <xdr:col>34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Gunslinger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 Hwan Kim</dc:creator>
  <cp:lastModifiedBy>Ji Hwan Kim</cp:lastModifiedBy>
  <dcterms:created xsi:type="dcterms:W3CDTF">2022-06-20T08:20:39Z</dcterms:created>
  <dcterms:modified xsi:type="dcterms:W3CDTF">2022-06-20T08:20:58Z</dcterms:modified>
</cp:coreProperties>
</file>