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b3a022374e081c/GE지수/"/>
    </mc:Choice>
  </mc:AlternateContent>
  <xr:revisionPtr revIDLastSave="3" documentId="13_ncr:1_{2F22E517-71EF-45C9-B844-9B99B80E3F28}" xr6:coauthVersionLast="47" xr6:coauthVersionMax="47" xr10:uidLastSave="{5F63C610-5B8E-46C6-ABD2-34C3D230338C}"/>
  <bookViews>
    <workbookView xWindow="38280" yWindow="-120" windowWidth="29040" windowHeight="15840" xr2:uid="{83C1AD65-6BEA-43B2-B22E-DD1931C5CFA8}"/>
  </bookViews>
  <sheets>
    <sheet name="입력" sheetId="3" r:id="rId1"/>
    <sheet name="DB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5" i="3" l="1"/>
  <c r="AH5" i="3" s="1"/>
  <c r="AD4" i="3"/>
  <c r="AH4" i="3" s="1"/>
  <c r="AN10" i="3"/>
  <c r="AN11" i="3"/>
  <c r="AI10" i="3"/>
  <c r="AI11" i="3"/>
  <c r="AD6" i="3"/>
  <c r="AH6" i="3" s="1"/>
  <c r="AD7" i="3"/>
  <c r="AM7" i="3" s="1"/>
  <c r="AD8" i="3"/>
  <c r="AH8" i="3" s="1"/>
  <c r="AD9" i="3"/>
  <c r="AH9" i="3" s="1"/>
  <c r="AD10" i="3"/>
  <c r="AH10" i="3" s="1"/>
  <c r="AD11" i="3"/>
  <c r="AE11" i="3" s="1"/>
  <c r="AB12" i="3"/>
  <c r="AB16" i="3"/>
  <c r="Q10" i="3"/>
  <c r="S10" i="3" s="1"/>
  <c r="H10" i="3"/>
  <c r="J10" i="3" s="1"/>
  <c r="H6" i="3"/>
  <c r="H7" i="3"/>
  <c r="H8" i="3"/>
  <c r="H9" i="3"/>
  <c r="H5" i="3"/>
  <c r="Q6" i="3"/>
  <c r="Q7" i="3"/>
  <c r="Q8" i="3"/>
  <c r="Q9" i="3"/>
  <c r="Q5" i="3"/>
  <c r="F6" i="3"/>
  <c r="F7" i="3"/>
  <c r="F8" i="3"/>
  <c r="F9" i="3"/>
  <c r="F10" i="3"/>
  <c r="F5" i="3"/>
  <c r="AX3" i="1"/>
  <c r="AX4" i="1"/>
  <c r="AX5" i="1"/>
  <c r="AX6" i="1"/>
  <c r="AX7" i="1"/>
  <c r="AX8" i="1"/>
  <c r="AX9" i="1"/>
  <c r="AX2" i="1"/>
  <c r="AH11" i="3" l="1"/>
  <c r="AM11" i="3"/>
  <c r="AE5" i="3"/>
  <c r="AE10" i="3"/>
  <c r="AE8" i="3"/>
  <c r="AE7" i="3"/>
  <c r="AE6" i="3"/>
  <c r="AE4" i="3"/>
  <c r="AE9" i="3"/>
  <c r="AM10" i="3"/>
  <c r="AH7" i="3"/>
  <c r="AN9" i="3"/>
  <c r="AN8" i="3"/>
  <c r="AI9" i="3"/>
  <c r="AM9" i="3"/>
  <c r="AM8" i="3"/>
  <c r="AI5" i="3"/>
  <c r="AM4" i="3"/>
  <c r="AN6" i="3"/>
  <c r="AI4" i="3"/>
  <c r="AN5" i="3"/>
  <c r="AI6" i="3"/>
  <c r="AN4" i="3"/>
  <c r="AM6" i="3"/>
  <c r="AM5" i="3"/>
  <c r="I7" i="3"/>
  <c r="J7" i="3" s="1"/>
  <c r="Q15" i="3"/>
  <c r="R15" i="3" s="1"/>
  <c r="S15" i="3" s="1"/>
  <c r="H15" i="3"/>
  <c r="I15" i="3" s="1"/>
  <c r="R8" i="3"/>
  <c r="S8" i="3" s="1"/>
  <c r="I9" i="3"/>
  <c r="J9" i="3" s="1"/>
  <c r="R9" i="3"/>
  <c r="S9" i="3" s="1"/>
  <c r="R6" i="3"/>
  <c r="S6" i="3" s="1"/>
  <c r="R7" i="3"/>
  <c r="S7" i="3" s="1"/>
  <c r="R5" i="3"/>
  <c r="S5" i="3" s="1"/>
  <c r="I8" i="3"/>
  <c r="J8" i="3" s="1"/>
  <c r="I6" i="3"/>
  <c r="J6" i="3" s="1"/>
  <c r="I5" i="3"/>
  <c r="J5" i="3" s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U22" i="1"/>
  <c r="AL22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5" i="1"/>
  <c r="W29" i="1"/>
  <c r="W30" i="1" s="1"/>
  <c r="R29" i="1"/>
  <c r="T29" i="1" s="1"/>
  <c r="M29" i="1"/>
  <c r="O29" i="1" s="1"/>
  <c r="H29" i="1"/>
  <c r="J29" i="1" s="1"/>
  <c r="C29" i="1"/>
  <c r="E29" i="1" s="1"/>
  <c r="W5" i="1"/>
  <c r="W6" i="1" s="1"/>
  <c r="R5" i="1"/>
  <c r="R6" i="1" s="1"/>
  <c r="M5" i="1"/>
  <c r="M6" i="1" s="1"/>
  <c r="H5" i="1"/>
  <c r="H6" i="1" s="1"/>
  <c r="C5" i="1"/>
  <c r="C6" i="1" s="1"/>
  <c r="AB5" i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9" i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E12" i="3" l="1"/>
  <c r="AL11" i="3" s="1"/>
  <c r="AO11" i="3" s="1"/>
  <c r="AI7" i="3"/>
  <c r="AI8" i="3"/>
  <c r="AN7" i="3"/>
  <c r="R21" i="3"/>
  <c r="S21" i="3" s="1"/>
  <c r="I21" i="3"/>
  <c r="J21" i="3" s="1"/>
  <c r="J15" i="3"/>
  <c r="L6" i="3"/>
  <c r="L9" i="3"/>
  <c r="L8" i="3"/>
  <c r="L7" i="3"/>
  <c r="L5" i="3"/>
  <c r="L10" i="3"/>
  <c r="U10" i="3" s="1"/>
  <c r="N7" i="3"/>
  <c r="N8" i="3"/>
  <c r="N9" i="3"/>
  <c r="N6" i="3"/>
  <c r="AB50" i="1"/>
  <c r="N10" i="3"/>
  <c r="N5" i="3"/>
  <c r="AB22" i="1"/>
  <c r="AB23" i="1" s="1"/>
  <c r="AB24" i="1" s="1"/>
  <c r="AD24" i="1" s="1"/>
  <c r="C30" i="1"/>
  <c r="Y30" i="1"/>
  <c r="W31" i="1"/>
  <c r="H30" i="1"/>
  <c r="R30" i="1"/>
  <c r="Y29" i="1"/>
  <c r="M30" i="1"/>
  <c r="Y6" i="1"/>
  <c r="W7" i="1"/>
  <c r="Y5" i="1"/>
  <c r="T6" i="1"/>
  <c r="R7" i="1"/>
  <c r="T5" i="1"/>
  <c r="O6" i="1"/>
  <c r="M7" i="1"/>
  <c r="O5" i="1"/>
  <c r="J6" i="1"/>
  <c r="H7" i="1"/>
  <c r="J5" i="1"/>
  <c r="E6" i="1"/>
  <c r="C7" i="1"/>
  <c r="E5" i="1"/>
  <c r="AD30" i="1"/>
  <c r="AD45" i="1"/>
  <c r="AD31" i="1"/>
  <c r="AD48" i="1"/>
  <c r="AD43" i="1"/>
  <c r="AD34" i="1"/>
  <c r="AD35" i="1"/>
  <c r="AD36" i="1"/>
  <c r="AD37" i="1"/>
  <c r="AD38" i="1"/>
  <c r="AD39" i="1"/>
  <c r="AD42" i="1"/>
  <c r="AD32" i="1"/>
  <c r="AD33" i="1"/>
  <c r="AD47" i="1"/>
  <c r="AD40" i="1"/>
  <c r="AD50" i="1"/>
  <c r="AD44" i="1"/>
  <c r="AD46" i="1"/>
  <c r="AD29" i="1"/>
  <c r="AD41" i="1"/>
  <c r="AD49" i="1"/>
  <c r="AD17" i="1"/>
  <c r="AD12" i="1"/>
  <c r="AD11" i="1"/>
  <c r="AD22" i="1"/>
  <c r="AD10" i="1"/>
  <c r="AD15" i="1"/>
  <c r="AD23" i="1"/>
  <c r="AD21" i="1"/>
  <c r="AD9" i="1"/>
  <c r="AD16" i="1"/>
  <c r="AD14" i="1"/>
  <c r="AD20" i="1"/>
  <c r="AD8" i="1"/>
  <c r="AD5" i="1"/>
  <c r="AD19" i="1"/>
  <c r="AD7" i="1"/>
  <c r="AD13" i="1"/>
  <c r="AD18" i="1"/>
  <c r="AD6" i="1"/>
  <c r="AG11" i="3" l="1"/>
  <c r="AJ11" i="3" s="1"/>
  <c r="AG9" i="3"/>
  <c r="AJ9" i="3" s="1"/>
  <c r="AG10" i="3"/>
  <c r="AJ10" i="3" s="1"/>
  <c r="AL10" i="3"/>
  <c r="AO10" i="3" s="1"/>
  <c r="AL9" i="3"/>
  <c r="AO9" i="3" s="1"/>
  <c r="AL7" i="3"/>
  <c r="AO7" i="3" s="1"/>
  <c r="AG8" i="3"/>
  <c r="AJ8" i="3" s="1"/>
  <c r="AL8" i="3"/>
  <c r="AO8" i="3" s="1"/>
  <c r="AL5" i="3"/>
  <c r="AO5" i="3" s="1"/>
  <c r="AL6" i="3"/>
  <c r="AO6" i="3" s="1"/>
  <c r="AL4" i="3"/>
  <c r="AG4" i="3"/>
  <c r="AG6" i="3"/>
  <c r="AJ6" i="3" s="1"/>
  <c r="AG5" i="3"/>
  <c r="AJ5" i="3" s="1"/>
  <c r="AG7" i="3"/>
  <c r="AJ7" i="3" s="1"/>
  <c r="AN15" i="3"/>
  <c r="AI15" i="3"/>
  <c r="N21" i="3"/>
  <c r="N15" i="3"/>
  <c r="W5" i="3"/>
  <c r="W10" i="3"/>
  <c r="L21" i="3"/>
  <c r="U5" i="3"/>
  <c r="L15" i="3"/>
  <c r="W6" i="3"/>
  <c r="U7" i="3"/>
  <c r="W9" i="3"/>
  <c r="U8" i="3"/>
  <c r="W8" i="3"/>
  <c r="U9" i="3"/>
  <c r="W7" i="3"/>
  <c r="U6" i="3"/>
  <c r="AB51" i="1"/>
  <c r="E12" i="3"/>
  <c r="E30" i="1"/>
  <c r="C31" i="1"/>
  <c r="H31" i="1"/>
  <c r="J30" i="1"/>
  <c r="T30" i="1"/>
  <c r="R31" i="1"/>
  <c r="W32" i="1"/>
  <c r="Y31" i="1"/>
  <c r="O30" i="1"/>
  <c r="M31" i="1"/>
  <c r="W8" i="1"/>
  <c r="Y7" i="1"/>
  <c r="R8" i="1"/>
  <c r="T7" i="1"/>
  <c r="M8" i="1"/>
  <c r="O7" i="1"/>
  <c r="H8" i="1"/>
  <c r="J7" i="1"/>
  <c r="E7" i="1"/>
  <c r="C8" i="1"/>
  <c r="AO4" i="3" l="1"/>
  <c r="AL15" i="3"/>
  <c r="AO15" i="3" s="1"/>
  <c r="AJ4" i="3"/>
  <c r="AG15" i="3"/>
  <c r="AJ15" i="3" s="1"/>
  <c r="U21" i="3"/>
  <c r="U15" i="3"/>
  <c r="K15" i="3"/>
  <c r="M15" i="3" s="1"/>
  <c r="K21" i="3"/>
  <c r="O21" i="3" s="1"/>
  <c r="T21" i="3"/>
  <c r="T15" i="3"/>
  <c r="W21" i="3"/>
  <c r="W15" i="3"/>
  <c r="K10" i="3"/>
  <c r="T10" i="3"/>
  <c r="V10" i="3" s="1"/>
  <c r="K7" i="3"/>
  <c r="T9" i="3"/>
  <c r="X9" i="3" s="1"/>
  <c r="K5" i="3"/>
  <c r="T6" i="3"/>
  <c r="V6" i="3" s="1"/>
  <c r="T7" i="3"/>
  <c r="V7" i="3" s="1"/>
  <c r="T8" i="3"/>
  <c r="X8" i="3" s="1"/>
  <c r="K9" i="3"/>
  <c r="K6" i="3"/>
  <c r="K8" i="3"/>
  <c r="T5" i="3"/>
  <c r="V5" i="3" s="1"/>
  <c r="AB52" i="1"/>
  <c r="AD51" i="1"/>
  <c r="C32" i="1"/>
  <c r="E31" i="1"/>
  <c r="Y32" i="1"/>
  <c r="W33" i="1"/>
  <c r="M32" i="1"/>
  <c r="O31" i="1"/>
  <c r="T31" i="1"/>
  <c r="R32" i="1"/>
  <c r="J31" i="1"/>
  <c r="H32" i="1"/>
  <c r="W9" i="1"/>
  <c r="Y8" i="1"/>
  <c r="R9" i="1"/>
  <c r="T8" i="1"/>
  <c r="M9" i="1"/>
  <c r="O8" i="1"/>
  <c r="H9" i="1"/>
  <c r="J8" i="1"/>
  <c r="E8" i="1"/>
  <c r="C9" i="1"/>
  <c r="V9" i="3" l="1"/>
  <c r="M21" i="3"/>
  <c r="V8" i="3"/>
  <c r="X10" i="3"/>
  <c r="X6" i="3"/>
  <c r="X7" i="3"/>
  <c r="O8" i="3"/>
  <c r="M8" i="3"/>
  <c r="O15" i="3"/>
  <c r="M9" i="3"/>
  <c r="O9" i="3"/>
  <c r="X15" i="3"/>
  <c r="M10" i="3"/>
  <c r="O10" i="3"/>
  <c r="M6" i="3"/>
  <c r="O6" i="3"/>
  <c r="O5" i="3"/>
  <c r="M5" i="3"/>
  <c r="X5" i="3"/>
  <c r="V15" i="3"/>
  <c r="O7" i="3"/>
  <c r="M7" i="3"/>
  <c r="X21" i="3"/>
  <c r="V21" i="3"/>
  <c r="AB53" i="1"/>
  <c r="AD53" i="1" s="1"/>
  <c r="AD52" i="1"/>
  <c r="E32" i="1"/>
  <c r="C33" i="1"/>
  <c r="R33" i="1"/>
  <c r="T32" i="1"/>
  <c r="O32" i="1"/>
  <c r="M33" i="1"/>
  <c r="H33" i="1"/>
  <c r="J32" i="1"/>
  <c r="Y33" i="1"/>
  <c r="W34" i="1"/>
  <c r="Y9" i="1"/>
  <c r="W10" i="1"/>
  <c r="R10" i="1"/>
  <c r="T9" i="1"/>
  <c r="O9" i="1"/>
  <c r="M10" i="1"/>
  <c r="J9" i="1"/>
  <c r="H10" i="1"/>
  <c r="E9" i="1"/>
  <c r="C10" i="1"/>
  <c r="E33" i="1" l="1"/>
  <c r="C34" i="1"/>
  <c r="Y34" i="1"/>
  <c r="W35" i="1"/>
  <c r="J33" i="1"/>
  <c r="H34" i="1"/>
  <c r="M34" i="1"/>
  <c r="O33" i="1"/>
  <c r="R34" i="1"/>
  <c r="T33" i="1"/>
  <c r="W11" i="1"/>
  <c r="Y10" i="1"/>
  <c r="R11" i="1"/>
  <c r="T10" i="1"/>
  <c r="O10" i="1"/>
  <c r="M11" i="1"/>
  <c r="J10" i="1"/>
  <c r="H11" i="1"/>
  <c r="C11" i="1"/>
  <c r="E10" i="1"/>
  <c r="E34" i="1" l="1"/>
  <c r="C35" i="1"/>
  <c r="R35" i="1"/>
  <c r="T34" i="1"/>
  <c r="O34" i="1"/>
  <c r="M35" i="1"/>
  <c r="W36" i="1"/>
  <c r="Y35" i="1"/>
  <c r="J34" i="1"/>
  <c r="H35" i="1"/>
  <c r="W12" i="1"/>
  <c r="Y11" i="1"/>
  <c r="R12" i="1"/>
  <c r="T11" i="1"/>
  <c r="M12" i="1"/>
  <c r="O11" i="1"/>
  <c r="H12" i="1"/>
  <c r="J11" i="1"/>
  <c r="C12" i="1"/>
  <c r="E11" i="1"/>
  <c r="C36" i="1" l="1"/>
  <c r="E35" i="1"/>
  <c r="J35" i="1"/>
  <c r="H36" i="1"/>
  <c r="Y36" i="1"/>
  <c r="W37" i="1"/>
  <c r="M36" i="1"/>
  <c r="O35" i="1"/>
  <c r="T35" i="1"/>
  <c r="R36" i="1"/>
  <c r="Y12" i="1"/>
  <c r="W13" i="1"/>
  <c r="T12" i="1"/>
  <c r="R13" i="1"/>
  <c r="O12" i="1"/>
  <c r="M13" i="1"/>
  <c r="J12" i="1"/>
  <c r="H13" i="1"/>
  <c r="E12" i="1"/>
  <c r="C13" i="1"/>
  <c r="E36" i="1" l="1"/>
  <c r="C37" i="1"/>
  <c r="T36" i="1"/>
  <c r="R37" i="1"/>
  <c r="O36" i="1"/>
  <c r="M37" i="1"/>
  <c r="Y37" i="1"/>
  <c r="W38" i="1"/>
  <c r="J36" i="1"/>
  <c r="H37" i="1"/>
  <c r="W14" i="1"/>
  <c r="Y13" i="1"/>
  <c r="R14" i="1"/>
  <c r="T13" i="1"/>
  <c r="M14" i="1"/>
  <c r="O13" i="1"/>
  <c r="H14" i="1"/>
  <c r="J13" i="1"/>
  <c r="C14" i="1"/>
  <c r="E13" i="1"/>
  <c r="C38" i="1" l="1"/>
  <c r="E37" i="1"/>
  <c r="H38" i="1"/>
  <c r="J37" i="1"/>
  <c r="Y38" i="1"/>
  <c r="W39" i="1"/>
  <c r="M38" i="1"/>
  <c r="O37" i="1"/>
  <c r="T37" i="1"/>
  <c r="R38" i="1"/>
  <c r="Y14" i="1"/>
  <c r="W15" i="1"/>
  <c r="R15" i="1"/>
  <c r="T14" i="1"/>
  <c r="M15" i="1"/>
  <c r="O14" i="1"/>
  <c r="J14" i="1"/>
  <c r="H15" i="1"/>
  <c r="E14" i="1"/>
  <c r="C15" i="1"/>
  <c r="E38" i="1" l="1"/>
  <c r="C39" i="1"/>
  <c r="M39" i="1"/>
  <c r="O38" i="1"/>
  <c r="R39" i="1"/>
  <c r="T38" i="1"/>
  <c r="W40" i="1"/>
  <c r="Y39" i="1"/>
  <c r="H39" i="1"/>
  <c r="J38" i="1"/>
  <c r="W16" i="1"/>
  <c r="Y15" i="1"/>
  <c r="T15" i="1"/>
  <c r="R16" i="1"/>
  <c r="M16" i="1"/>
  <c r="O15" i="1"/>
  <c r="H16" i="1"/>
  <c r="J15" i="1"/>
  <c r="C16" i="1"/>
  <c r="E15" i="1"/>
  <c r="E39" i="1" l="1"/>
  <c r="C40" i="1"/>
  <c r="Y40" i="1"/>
  <c r="W41" i="1"/>
  <c r="T39" i="1"/>
  <c r="R40" i="1"/>
  <c r="J39" i="1"/>
  <c r="H40" i="1"/>
  <c r="M40" i="1"/>
  <c r="O39" i="1"/>
  <c r="Y16" i="1"/>
  <c r="W17" i="1"/>
  <c r="T16" i="1"/>
  <c r="R17" i="1"/>
  <c r="O16" i="1"/>
  <c r="M17" i="1"/>
  <c r="H17" i="1"/>
  <c r="J16" i="1"/>
  <c r="C17" i="1"/>
  <c r="E16" i="1"/>
  <c r="E40" i="1" l="1"/>
  <c r="C41" i="1"/>
  <c r="O40" i="1"/>
  <c r="M41" i="1"/>
  <c r="J40" i="1"/>
  <c r="H41" i="1"/>
  <c r="W42" i="1"/>
  <c r="Y41" i="1"/>
  <c r="R41" i="1"/>
  <c r="T40" i="1"/>
  <c r="W18" i="1"/>
  <c r="Y17" i="1"/>
  <c r="R18" i="1"/>
  <c r="T17" i="1"/>
  <c r="M18" i="1"/>
  <c r="O17" i="1"/>
  <c r="H18" i="1"/>
  <c r="J17" i="1"/>
  <c r="C18" i="1"/>
  <c r="E17" i="1"/>
  <c r="C42" i="1" l="1"/>
  <c r="E41" i="1"/>
  <c r="T41" i="1"/>
  <c r="R42" i="1"/>
  <c r="Y42" i="1"/>
  <c r="W43" i="1"/>
  <c r="J41" i="1"/>
  <c r="H42" i="1"/>
  <c r="O41" i="1"/>
  <c r="M42" i="1"/>
  <c r="Y18" i="1"/>
  <c r="W19" i="1"/>
  <c r="T18" i="1"/>
  <c r="R19" i="1"/>
  <c r="O18" i="1"/>
  <c r="M19" i="1"/>
  <c r="J18" i="1"/>
  <c r="H19" i="1"/>
  <c r="E18" i="1"/>
  <c r="C19" i="1"/>
  <c r="E42" i="1" l="1"/>
  <c r="C43" i="1"/>
  <c r="O42" i="1"/>
  <c r="M43" i="1"/>
  <c r="T42" i="1"/>
  <c r="R43" i="1"/>
  <c r="H43" i="1"/>
  <c r="J42" i="1"/>
  <c r="Y43" i="1"/>
  <c r="W44" i="1"/>
  <c r="Y19" i="1"/>
  <c r="W20" i="1"/>
  <c r="R20" i="1"/>
  <c r="T19" i="1"/>
  <c r="O19" i="1"/>
  <c r="M20" i="1"/>
  <c r="J19" i="1"/>
  <c r="H20" i="1"/>
  <c r="C20" i="1"/>
  <c r="E19" i="1"/>
  <c r="C44" i="1" l="1"/>
  <c r="E43" i="1"/>
  <c r="Y44" i="1"/>
  <c r="W45" i="1"/>
  <c r="T43" i="1"/>
  <c r="R44" i="1"/>
  <c r="J43" i="1"/>
  <c r="H44" i="1"/>
  <c r="M44" i="1"/>
  <c r="O43" i="1"/>
  <c r="W21" i="1"/>
  <c r="Y20" i="1"/>
  <c r="R21" i="1"/>
  <c r="T20" i="1"/>
  <c r="M21" i="1"/>
  <c r="O20" i="1"/>
  <c r="H21" i="1"/>
  <c r="J20" i="1"/>
  <c r="C21" i="1"/>
  <c r="E20" i="1"/>
  <c r="E44" i="1" l="1"/>
  <c r="C45" i="1"/>
  <c r="H45" i="1"/>
  <c r="J44" i="1"/>
  <c r="Y45" i="1"/>
  <c r="W46" i="1"/>
  <c r="M45" i="1"/>
  <c r="O44" i="1"/>
  <c r="T44" i="1"/>
  <c r="R45" i="1"/>
  <c r="Y21" i="1"/>
  <c r="W22" i="1"/>
  <c r="T21" i="1"/>
  <c r="R22" i="1"/>
  <c r="M22" i="1"/>
  <c r="O21" i="1"/>
  <c r="H22" i="1"/>
  <c r="J21" i="1"/>
  <c r="C22" i="1"/>
  <c r="E21" i="1"/>
  <c r="E45" i="1" l="1"/>
  <c r="C46" i="1"/>
  <c r="R46" i="1"/>
  <c r="T45" i="1"/>
  <c r="M46" i="1"/>
  <c r="O45" i="1"/>
  <c r="Y46" i="1"/>
  <c r="W47" i="1"/>
  <c r="J45" i="1"/>
  <c r="H46" i="1"/>
  <c r="W23" i="1"/>
  <c r="Y22" i="1"/>
  <c r="R23" i="1"/>
  <c r="T22" i="1"/>
  <c r="M23" i="1"/>
  <c r="O22" i="1"/>
  <c r="H23" i="1"/>
  <c r="J22" i="1"/>
  <c r="C23" i="1"/>
  <c r="E22" i="1"/>
  <c r="C47" i="1" l="1"/>
  <c r="E46" i="1"/>
  <c r="J46" i="1"/>
  <c r="H47" i="1"/>
  <c r="W48" i="1"/>
  <c r="Y47" i="1"/>
  <c r="O46" i="1"/>
  <c r="M47" i="1"/>
  <c r="R47" i="1"/>
  <c r="T46" i="1"/>
  <c r="W24" i="1"/>
  <c r="Y24" i="1" s="1"/>
  <c r="Y23" i="1"/>
  <c r="R24" i="1"/>
  <c r="T24" i="1" s="1"/>
  <c r="T23" i="1"/>
  <c r="M24" i="1"/>
  <c r="O24" i="1" s="1"/>
  <c r="O23" i="1"/>
  <c r="H24" i="1"/>
  <c r="J24" i="1" s="1"/>
  <c r="J23" i="1"/>
  <c r="C24" i="1"/>
  <c r="E24" i="1" s="1"/>
  <c r="E23" i="1"/>
  <c r="Y48" i="1" l="1"/>
  <c r="W49" i="1"/>
  <c r="C48" i="1"/>
  <c r="E47" i="1"/>
  <c r="T47" i="1"/>
  <c r="R48" i="1"/>
  <c r="J47" i="1"/>
  <c r="H48" i="1"/>
  <c r="O47" i="1"/>
  <c r="M48" i="1"/>
  <c r="Y49" i="1" l="1"/>
  <c r="W50" i="1"/>
  <c r="T48" i="1"/>
  <c r="R49" i="1"/>
  <c r="O48" i="1"/>
  <c r="M49" i="1"/>
  <c r="J48" i="1"/>
  <c r="H49" i="1"/>
  <c r="E48" i="1"/>
  <c r="C49" i="1"/>
  <c r="W51" i="1" l="1"/>
  <c r="Y50" i="1"/>
  <c r="R50" i="1"/>
  <c r="T49" i="1"/>
  <c r="O49" i="1"/>
  <c r="M50" i="1"/>
  <c r="J49" i="1"/>
  <c r="H50" i="1"/>
  <c r="E49" i="1"/>
  <c r="C50" i="1"/>
  <c r="W52" i="1" l="1"/>
  <c r="Y51" i="1"/>
  <c r="R51" i="1"/>
  <c r="T50" i="1"/>
  <c r="O50" i="1"/>
  <c r="M51" i="1"/>
  <c r="J50" i="1"/>
  <c r="H51" i="1"/>
  <c r="C51" i="1"/>
  <c r="E50" i="1"/>
  <c r="W53" i="1" l="1"/>
  <c r="Y53" i="1" s="1"/>
  <c r="Y52" i="1"/>
  <c r="R52" i="1"/>
  <c r="T51" i="1"/>
  <c r="O51" i="1"/>
  <c r="M52" i="1"/>
  <c r="H52" i="1"/>
  <c r="J51" i="1"/>
  <c r="E51" i="1"/>
  <c r="C52" i="1"/>
  <c r="T52" i="1" l="1"/>
  <c r="R53" i="1"/>
  <c r="T53" i="1" s="1"/>
  <c r="M53" i="1"/>
  <c r="O53" i="1" s="1"/>
  <c r="O52" i="1"/>
  <c r="H53" i="1"/>
  <c r="J53" i="1" s="1"/>
  <c r="J52" i="1"/>
  <c r="E52" i="1"/>
  <c r="C53" i="1"/>
  <c r="E53" i="1" s="1"/>
</calcChain>
</file>

<file path=xl/sharedStrings.xml><?xml version="1.0" encoding="utf-8"?>
<sst xmlns="http://schemas.openxmlformats.org/spreadsheetml/2006/main" count="266" uniqueCount="120">
  <si>
    <t>파강</t>
    <phoneticPr fontId="2" type="noConversion"/>
  </si>
  <si>
    <t>경명돌</t>
    <phoneticPr fontId="2" type="noConversion"/>
  </si>
  <si>
    <t>수강</t>
    <phoneticPr fontId="2" type="noConversion"/>
  </si>
  <si>
    <t>7멸화</t>
    <phoneticPr fontId="2" type="noConversion"/>
  </si>
  <si>
    <t>8멸화</t>
    <phoneticPr fontId="2" type="noConversion"/>
  </si>
  <si>
    <t>9멸화</t>
    <phoneticPr fontId="2" type="noConversion"/>
  </si>
  <si>
    <t>10멸화</t>
  </si>
  <si>
    <t>상레하</t>
    <phoneticPr fontId="2" type="noConversion"/>
  </si>
  <si>
    <t>피증</t>
    <phoneticPr fontId="2" type="noConversion"/>
  </si>
  <si>
    <t>무기</t>
    <phoneticPr fontId="2" type="noConversion"/>
  </si>
  <si>
    <t>강화</t>
    <phoneticPr fontId="2" type="noConversion"/>
  </si>
  <si>
    <t>무공</t>
    <phoneticPr fontId="2" type="noConversion"/>
  </si>
  <si>
    <t>증가값</t>
    <phoneticPr fontId="2" type="noConversion"/>
  </si>
  <si>
    <t>상의</t>
    <phoneticPr fontId="2" type="noConversion"/>
  </si>
  <si>
    <t>고대 무기</t>
    <phoneticPr fontId="2" type="noConversion"/>
  </si>
  <si>
    <t>스탯</t>
    <phoneticPr fontId="2" type="noConversion"/>
  </si>
  <si>
    <t>고대 모자</t>
    <phoneticPr fontId="2" type="noConversion"/>
  </si>
  <si>
    <t>고대 어깨</t>
    <phoneticPr fontId="2" type="noConversion"/>
  </si>
  <si>
    <t>고대 상의</t>
    <phoneticPr fontId="2" type="noConversion"/>
  </si>
  <si>
    <t>고대 하의</t>
    <phoneticPr fontId="2" type="noConversion"/>
  </si>
  <si>
    <t>고대 장갑</t>
    <phoneticPr fontId="2" type="noConversion"/>
  </si>
  <si>
    <t>아브 유물 무기</t>
    <phoneticPr fontId="2" type="noConversion"/>
  </si>
  <si>
    <t>아브 유물 모자</t>
    <phoneticPr fontId="2" type="noConversion"/>
  </si>
  <si>
    <t>아브 유물 어깨</t>
    <phoneticPr fontId="2" type="noConversion"/>
  </si>
  <si>
    <t>아브 유물 상의</t>
    <phoneticPr fontId="2" type="noConversion"/>
  </si>
  <si>
    <t>아브 유물 하의</t>
    <phoneticPr fontId="2" type="noConversion"/>
  </si>
  <si>
    <t>아브 유물 장갑</t>
    <phoneticPr fontId="2" type="noConversion"/>
  </si>
  <si>
    <t>명파</t>
    <phoneticPr fontId="2" type="noConversion"/>
  </si>
  <si>
    <t>골드</t>
    <phoneticPr fontId="2" type="noConversion"/>
  </si>
  <si>
    <t>명파(대)</t>
    <phoneticPr fontId="2" type="noConversion"/>
  </si>
  <si>
    <t>축복</t>
    <phoneticPr fontId="2" type="noConversion"/>
  </si>
  <si>
    <t>은총</t>
    <phoneticPr fontId="2" type="noConversion"/>
  </si>
  <si>
    <t>가호</t>
    <phoneticPr fontId="2" type="noConversion"/>
  </si>
  <si>
    <t>노숨 재련</t>
    <phoneticPr fontId="2" type="noConversion"/>
  </si>
  <si>
    <t>풀숨 재련</t>
    <phoneticPr fontId="2" type="noConversion"/>
  </si>
  <si>
    <t>계(골드)</t>
    <phoneticPr fontId="2" type="noConversion"/>
  </si>
  <si>
    <t>무기 (노숨 or 풀숨) 평균 재료 수량 및 골드 환산 값</t>
    <phoneticPr fontId="2" type="noConversion"/>
  </si>
  <si>
    <t>방어구 (노숨 or 풀숨) 평균 재료 수량 및 골드 환산 값</t>
    <phoneticPr fontId="2" type="noConversion"/>
  </si>
  <si>
    <t>재련
수치</t>
    <phoneticPr fontId="2" type="noConversion"/>
  </si>
  <si>
    <t>모자</t>
    <phoneticPr fontId="2" type="noConversion"/>
  </si>
  <si>
    <t>어깨</t>
    <phoneticPr fontId="2" type="noConversion"/>
  </si>
  <si>
    <t>하의</t>
    <phoneticPr fontId="2" type="noConversion"/>
  </si>
  <si>
    <t>장갑</t>
    <phoneticPr fontId="2" type="noConversion"/>
  </si>
  <si>
    <t>등급</t>
    <phoneticPr fontId="2" type="noConversion"/>
  </si>
  <si>
    <t>고대</t>
    <phoneticPr fontId="2" type="noConversion"/>
  </si>
  <si>
    <t>유물</t>
    <phoneticPr fontId="2" type="noConversion"/>
  </si>
  <si>
    <t>상세정보 스탯</t>
    <phoneticPr fontId="2" type="noConversion"/>
  </si>
  <si>
    <t>부위</t>
    <phoneticPr fontId="2" type="noConversion"/>
  </si>
  <si>
    <t>현재 공격력</t>
    <phoneticPr fontId="2" type="noConversion"/>
  </si>
  <si>
    <t>-</t>
    <phoneticPr fontId="2" type="noConversion"/>
  </si>
  <si>
    <t>재료명</t>
    <phoneticPr fontId="2" type="noConversion"/>
  </si>
  <si>
    <t>시세</t>
    <phoneticPr fontId="2" type="noConversion"/>
  </si>
  <si>
    <t>캐릭터 현황 입력</t>
    <phoneticPr fontId="2" type="noConversion"/>
  </si>
  <si>
    <t>멸화</t>
    <phoneticPr fontId="2" type="noConversion"/>
  </si>
  <si>
    <t>종전</t>
    <phoneticPr fontId="2" type="noConversion"/>
  </si>
  <si>
    <t>만찬</t>
    <phoneticPr fontId="2" type="noConversion"/>
  </si>
  <si>
    <t>샷연</t>
    <phoneticPr fontId="2" type="noConversion"/>
  </si>
  <si>
    <t>샷지</t>
    <phoneticPr fontId="2" type="noConversion"/>
  </si>
  <si>
    <t>퀵샷</t>
    <phoneticPr fontId="2" type="noConversion"/>
  </si>
  <si>
    <t>잔추</t>
    <phoneticPr fontId="2" type="noConversion"/>
  </si>
  <si>
    <t>딜비중
(%)</t>
    <phoneticPr fontId="2" type="noConversion"/>
  </si>
  <si>
    <t>Lv.+1</t>
    <phoneticPr fontId="2" type="noConversion"/>
  </si>
  <si>
    <t>Lv.+2</t>
    <phoneticPr fontId="2" type="noConversion"/>
  </si>
  <si>
    <t>멸화레벨</t>
    <phoneticPr fontId="2" type="noConversion"/>
  </si>
  <si>
    <t>피증값</t>
    <phoneticPr fontId="2" type="noConversion"/>
  </si>
  <si>
    <t>홍염레벨</t>
    <phoneticPr fontId="2" type="noConversion"/>
  </si>
  <si>
    <t>쿨감</t>
    <phoneticPr fontId="2" type="noConversion"/>
  </si>
  <si>
    <t>평균골드</t>
    <phoneticPr fontId="2" type="noConversion"/>
  </si>
  <si>
    <t>GE지수</t>
    <phoneticPr fontId="2" type="noConversion"/>
  </si>
  <si>
    <t>스탯
무공</t>
    <phoneticPr fontId="2" type="noConversion"/>
  </si>
  <si>
    <t>공격력</t>
    <phoneticPr fontId="2" type="noConversion"/>
  </si>
  <si>
    <t>총스탯</t>
    <phoneticPr fontId="2" type="noConversion"/>
  </si>
  <si>
    <t>노숨결</t>
    <phoneticPr fontId="2" type="noConversion"/>
  </si>
  <si>
    <t>풀숨결</t>
    <phoneticPr fontId="2" type="noConversion"/>
  </si>
  <si>
    <t>개별 +1 강화</t>
    <phoneticPr fontId="2" type="noConversion"/>
  </si>
  <si>
    <t>개별 +2 강화</t>
    <phoneticPr fontId="2" type="noConversion"/>
  </si>
  <si>
    <t>피증
(%)</t>
    <phoneticPr fontId="2" type="noConversion"/>
  </si>
  <si>
    <t>스탯
/무공</t>
    <phoneticPr fontId="2" type="noConversion"/>
  </si>
  <si>
    <t>All 방어구 +1 강화</t>
    <phoneticPr fontId="2" type="noConversion"/>
  </si>
  <si>
    <t>무기, All 방어구 +1 강화</t>
    <phoneticPr fontId="2" type="noConversion"/>
  </si>
  <si>
    <t>무기, All 방어구 +2 강화</t>
    <phoneticPr fontId="2" type="noConversion"/>
  </si>
  <si>
    <t>All 방어구 +2 강화</t>
    <phoneticPr fontId="2" type="noConversion"/>
  </si>
  <si>
    <t>5멸화</t>
  </si>
  <si>
    <t>5멸화</t>
    <phoneticPr fontId="2" type="noConversion"/>
  </si>
  <si>
    <t>6멸화</t>
  </si>
  <si>
    <t>6멸화</t>
    <phoneticPr fontId="2" type="noConversion"/>
  </si>
  <si>
    <t>7멸화</t>
  </si>
  <si>
    <t>8멸화</t>
  </si>
  <si>
    <t>9멸화</t>
  </si>
  <si>
    <t>1멸화</t>
    <phoneticPr fontId="2" type="noConversion"/>
  </si>
  <si>
    <t>2멸화</t>
  </si>
  <si>
    <t>3멸화</t>
  </si>
  <si>
    <t>4멸화</t>
  </si>
  <si>
    <t>1홍염</t>
    <phoneticPr fontId="2" type="noConversion"/>
  </si>
  <si>
    <t>2홍염</t>
  </si>
  <si>
    <t>3홍염</t>
  </si>
  <si>
    <t>4홍염</t>
  </si>
  <si>
    <t>5홍염</t>
  </si>
  <si>
    <t>6홍염</t>
  </si>
  <si>
    <t>7홍염</t>
  </si>
  <si>
    <t>8홍염</t>
  </si>
  <si>
    <t>9홍염</t>
  </si>
  <si>
    <t>10홍염</t>
  </si>
  <si>
    <t>보석 사용 스킬
(없으면 미입력)</t>
    <phoneticPr fontId="2" type="noConversion"/>
  </si>
  <si>
    <t>홍염</t>
    <phoneticPr fontId="2" type="noConversion"/>
  </si>
  <si>
    <t>No</t>
    <phoneticPr fontId="2" type="noConversion"/>
  </si>
  <si>
    <t>증가</t>
    <phoneticPr fontId="2" type="noConversion"/>
  </si>
  <si>
    <t>딜비중 합계</t>
    <phoneticPr fontId="2" type="noConversion"/>
  </si>
  <si>
    <t>10멸화</t>
    <phoneticPr fontId="2" type="noConversion"/>
  </si>
  <si>
    <t>업글비용</t>
    <phoneticPr fontId="2" type="noConversion"/>
  </si>
  <si>
    <t>All 보석 +1 업글</t>
    <phoneticPr fontId="2" type="noConversion"/>
  </si>
  <si>
    <t>All 보석 +2 업글</t>
    <phoneticPr fontId="2" type="noConversion"/>
  </si>
  <si>
    <t>딜비중 계산 타입</t>
    <phoneticPr fontId="2" type="noConversion"/>
  </si>
  <si>
    <t>균등이면 Y
직접입력은 N</t>
    <phoneticPr fontId="2" type="noConversion"/>
  </si>
  <si>
    <t>n</t>
    <phoneticPr fontId="2" type="noConversion"/>
  </si>
  <si>
    <t>멸화 레벨</t>
    <phoneticPr fontId="2" type="noConversion"/>
  </si>
  <si>
    <t>Y</t>
    <phoneticPr fontId="2" type="noConversion"/>
  </si>
  <si>
    <t>N</t>
    <phoneticPr fontId="2" type="noConversion"/>
  </si>
  <si>
    <t>딜합</t>
    <phoneticPr fontId="2" type="noConversion"/>
  </si>
  <si>
    <t>멸화
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</si>
</sst>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#"/>
    <numFmt numFmtId="178" formatCode="#,###.00"/>
  </numFmts>
  <fonts count="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D3E6F5"/>
        <bgColor indexed="64"/>
      </patternFill>
    </fill>
    <fill>
      <patternFill patternType="solid">
        <fgColor rgb="FFACCCEA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E5E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76" fontId="0" fillId="2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176" fontId="0" fillId="5" borderId="1" xfId="1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6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177" fontId="4" fillId="7" borderId="1" xfId="0" applyNumberFormat="1" applyFont="1" applyFill="1" applyBorder="1" applyAlignment="1">
      <alignment horizontal="center" vertical="center"/>
    </xf>
    <xf numFmtId="178" fontId="4" fillId="7" borderId="1" xfId="0" applyNumberFormat="1" applyFont="1" applyFill="1" applyBorder="1" applyAlignment="1">
      <alignment horizontal="center" vertical="center"/>
    </xf>
    <xf numFmtId="177" fontId="4" fillId="8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177" fontId="4" fillId="9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vertical="center" wrapText="1"/>
    </xf>
    <xf numFmtId="177" fontId="4" fillId="12" borderId="1" xfId="0" applyNumberFormat="1" applyFont="1" applyFill="1" applyBorder="1" applyAlignment="1">
      <alignment horizontal="center" vertical="center"/>
    </xf>
    <xf numFmtId="177" fontId="4" fillId="13" borderId="1" xfId="0" applyNumberFormat="1" applyFont="1" applyFill="1" applyBorder="1" applyAlignment="1">
      <alignment horizontal="center" vertical="center"/>
    </xf>
    <xf numFmtId="0" fontId="4" fillId="13" borderId="1" xfId="0" applyNumberFormat="1" applyFont="1" applyFill="1" applyBorder="1" applyAlignment="1">
      <alignment horizontal="center" vertical="center"/>
    </xf>
    <xf numFmtId="177" fontId="4" fillId="13" borderId="1" xfId="0" applyNumberFormat="1" applyFont="1" applyFill="1" applyBorder="1" applyAlignment="1">
      <alignment vertical="center"/>
    </xf>
    <xf numFmtId="0" fontId="4" fillId="1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77" fontId="4" fillId="13" borderId="1" xfId="0" applyNumberFormat="1" applyFont="1" applyFill="1" applyBorder="1" applyAlignment="1">
      <alignment horizontal="center" vertical="center"/>
    </xf>
    <xf numFmtId="177" fontId="4" fillId="12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177" fontId="4" fillId="8" borderId="6" xfId="0" applyNumberFormat="1" applyFont="1" applyFill="1" applyBorder="1" applyAlignment="1">
      <alignment horizontal="center" vertical="center"/>
    </xf>
    <xf numFmtId="177" fontId="4" fillId="8" borderId="5" xfId="0" applyNumberFormat="1" applyFont="1" applyFill="1" applyBorder="1" applyAlignment="1">
      <alignment horizontal="center" vertical="center"/>
    </xf>
    <xf numFmtId="177" fontId="4" fillId="7" borderId="6" xfId="0" applyNumberFormat="1" applyFont="1" applyFill="1" applyBorder="1" applyAlignment="1">
      <alignment horizontal="center" vertical="center"/>
    </xf>
    <xf numFmtId="177" fontId="4" fillId="7" borderId="5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2" fontId="4" fillId="7" borderId="6" xfId="0" applyNumberFormat="1" applyFont="1" applyFill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177" fontId="4" fillId="7" borderId="1" xfId="0" applyNumberFormat="1" applyFont="1" applyFill="1" applyBorder="1" applyAlignment="1">
      <alignment horizontal="center" vertical="center"/>
    </xf>
    <xf numFmtId="177" fontId="4" fillId="8" borderId="1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7" fontId="4" fillId="13" borderId="6" xfId="0" applyNumberFormat="1" applyFont="1" applyFill="1" applyBorder="1" applyAlignment="1">
      <alignment horizontal="center" vertical="center"/>
    </xf>
    <xf numFmtId="177" fontId="4" fillId="13" borderId="5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right" vertical="center" indent="1"/>
    </xf>
    <xf numFmtId="0" fontId="4" fillId="11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center" vertical="center"/>
    </xf>
    <xf numFmtId="0" fontId="0" fillId="4" borderId="4" xfId="0" applyNumberFormat="1" applyFill="1" applyBorder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E5E5"/>
      <color rgb="FFFFD5D5"/>
      <color rgb="FFFFBDBD"/>
      <color rgb="FFFFB3B3"/>
      <color rgb="FFFFA3A3"/>
      <color rgb="FFFF8989"/>
      <color rgb="FFFFFF97"/>
      <color rgb="FFACCCEA"/>
      <color rgb="FFD3E6F5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DFB50-A0BE-43B1-AF8B-22A8522092BE}">
  <dimension ref="A1:AP23"/>
  <sheetViews>
    <sheetView tabSelected="1" zoomScaleNormal="100" workbookViewId="0"/>
  </sheetViews>
  <sheetFormatPr defaultColWidth="0" defaultRowHeight="16.5" zeroHeight="1" x14ac:dyDescent="0.3"/>
  <cols>
    <col min="1" max="1" width="1.375" style="17" customWidth="1"/>
    <col min="2" max="2" width="5.25" style="18" hidden="1" customWidth="1"/>
    <col min="3" max="5" width="8.625" style="17" customWidth="1"/>
    <col min="6" max="6" width="9.875" style="17" hidden="1" customWidth="1"/>
    <col min="7" max="7" width="1.375" style="18" customWidth="1"/>
    <col min="8" max="10" width="8" style="18" hidden="1" customWidth="1"/>
    <col min="11" max="11" width="8" style="18" customWidth="1"/>
    <col min="12" max="12" width="9.25" style="18" bestFit="1" customWidth="1"/>
    <col min="13" max="13" width="7.875" style="18" bestFit="1" customWidth="1"/>
    <col min="14" max="15" width="9.25" style="18" bestFit="1" customWidth="1"/>
    <col min="16" max="16" width="1.375" style="18" customWidth="1"/>
    <col min="17" max="19" width="8" style="18" hidden="1" customWidth="1"/>
    <col min="20" max="20" width="8" style="18" customWidth="1"/>
    <col min="21" max="21" width="9.25" style="18" bestFit="1" customWidth="1"/>
    <col min="22" max="22" width="7.875" style="18" customWidth="1"/>
    <col min="23" max="24" width="9.25" style="18" bestFit="1" customWidth="1"/>
    <col min="25" max="25" width="3" style="17" customWidth="1"/>
    <col min="26" max="26" width="3.75" style="17" customWidth="1"/>
    <col min="27" max="27" width="15" style="17" customWidth="1"/>
    <col min="28" max="28" width="7" style="17" customWidth="1"/>
    <col min="29" max="29" width="5.25" style="17" bestFit="1" customWidth="1"/>
    <col min="30" max="31" width="5.25" style="17" hidden="1" customWidth="1"/>
    <col min="32" max="32" width="1.375" style="18" customWidth="1"/>
    <col min="33" max="33" width="5.5" style="17" bestFit="1" customWidth="1"/>
    <col min="34" max="34" width="5.25" style="17" hidden="1" customWidth="1"/>
    <col min="35" max="35" width="9" style="17" bestFit="1" customWidth="1"/>
    <col min="36" max="36" width="7.875" style="17" bestFit="1" customWidth="1"/>
    <col min="37" max="37" width="1.375" style="18" customWidth="1"/>
    <col min="38" max="38" width="5.25" style="17" bestFit="1" customWidth="1"/>
    <col min="39" max="39" width="5.25" style="17" hidden="1" customWidth="1"/>
    <col min="40" max="40" width="9" style="17" customWidth="1"/>
    <col min="41" max="41" width="7.875" style="17" bestFit="1" customWidth="1"/>
    <col min="42" max="42" width="1.375" style="18" customWidth="1"/>
    <col min="43" max="16384" width="9" style="17" hidden="1"/>
  </cols>
  <sheetData>
    <row r="1" spans="2:42" ht="9" customHeight="1" x14ac:dyDescent="0.3"/>
    <row r="2" spans="2:42" ht="16.5" customHeight="1" x14ac:dyDescent="0.3">
      <c r="C2" s="85" t="s">
        <v>52</v>
      </c>
      <c r="D2" s="85"/>
      <c r="E2" s="85"/>
      <c r="F2" s="21"/>
      <c r="H2" s="52"/>
      <c r="I2" s="53"/>
      <c r="J2" s="54"/>
      <c r="K2" s="55" t="s">
        <v>74</v>
      </c>
      <c r="L2" s="56"/>
      <c r="M2" s="56"/>
      <c r="N2" s="56"/>
      <c r="O2" s="57"/>
      <c r="P2" s="20"/>
      <c r="Q2" s="52"/>
      <c r="R2" s="53"/>
      <c r="S2" s="54"/>
      <c r="T2" s="55" t="s">
        <v>75</v>
      </c>
      <c r="U2" s="56"/>
      <c r="V2" s="56"/>
      <c r="W2" s="56"/>
      <c r="X2" s="57"/>
      <c r="Z2" s="43" t="s">
        <v>105</v>
      </c>
      <c r="AA2" s="43" t="s">
        <v>103</v>
      </c>
      <c r="AB2" s="43" t="s">
        <v>60</v>
      </c>
      <c r="AC2" s="43" t="s">
        <v>119</v>
      </c>
      <c r="AD2" s="43" t="s">
        <v>8</v>
      </c>
      <c r="AE2" s="43" t="s">
        <v>118</v>
      </c>
      <c r="AF2" s="20"/>
      <c r="AG2" s="44" t="s">
        <v>61</v>
      </c>
      <c r="AH2" s="45"/>
      <c r="AI2" s="45"/>
      <c r="AJ2" s="46"/>
      <c r="AK2" s="34"/>
      <c r="AL2" s="44" t="s">
        <v>62</v>
      </c>
      <c r="AM2" s="45"/>
      <c r="AN2" s="45"/>
      <c r="AO2" s="46"/>
      <c r="AP2" s="34"/>
    </row>
    <row r="3" spans="2:42" ht="16.5" customHeight="1" x14ac:dyDescent="0.3">
      <c r="C3" s="65" t="s">
        <v>47</v>
      </c>
      <c r="D3" s="65" t="s">
        <v>10</v>
      </c>
      <c r="E3" s="65" t="s">
        <v>43</v>
      </c>
      <c r="F3" s="76" t="s">
        <v>69</v>
      </c>
      <c r="H3" s="62" t="s">
        <v>77</v>
      </c>
      <c r="I3" s="63" t="s">
        <v>71</v>
      </c>
      <c r="J3" s="63" t="s">
        <v>70</v>
      </c>
      <c r="K3" s="64" t="s">
        <v>76</v>
      </c>
      <c r="L3" s="65" t="s">
        <v>72</v>
      </c>
      <c r="M3" s="65"/>
      <c r="N3" s="64" t="s">
        <v>73</v>
      </c>
      <c r="O3" s="64"/>
      <c r="P3" s="20"/>
      <c r="Q3" s="62" t="s">
        <v>77</v>
      </c>
      <c r="R3" s="63" t="s">
        <v>71</v>
      </c>
      <c r="S3" s="63" t="s">
        <v>70</v>
      </c>
      <c r="T3" s="64" t="s">
        <v>76</v>
      </c>
      <c r="U3" s="65" t="s">
        <v>72</v>
      </c>
      <c r="V3" s="65"/>
      <c r="W3" s="64" t="s">
        <v>73</v>
      </c>
      <c r="X3" s="64"/>
      <c r="Z3" s="43"/>
      <c r="AA3" s="43"/>
      <c r="AB3" s="43"/>
      <c r="AC3" s="43"/>
      <c r="AD3" s="43"/>
      <c r="AE3" s="43"/>
      <c r="AF3" s="20"/>
      <c r="AG3" s="30" t="s">
        <v>8</v>
      </c>
      <c r="AH3" s="30" t="s">
        <v>106</v>
      </c>
      <c r="AI3" s="30" t="s">
        <v>109</v>
      </c>
      <c r="AJ3" s="30" t="s">
        <v>68</v>
      </c>
      <c r="AK3" s="20"/>
      <c r="AL3" s="30" t="s">
        <v>8</v>
      </c>
      <c r="AM3" s="30" t="s">
        <v>106</v>
      </c>
      <c r="AN3" s="30" t="s">
        <v>109</v>
      </c>
      <c r="AO3" s="30" t="s">
        <v>68</v>
      </c>
      <c r="AP3" s="20"/>
    </row>
    <row r="4" spans="2:42" x14ac:dyDescent="0.3">
      <c r="C4" s="65"/>
      <c r="D4" s="65"/>
      <c r="E4" s="65"/>
      <c r="F4" s="75"/>
      <c r="H4" s="62"/>
      <c r="I4" s="63"/>
      <c r="J4" s="63"/>
      <c r="K4" s="65"/>
      <c r="L4" s="29" t="s">
        <v>67</v>
      </c>
      <c r="M4" s="29" t="s">
        <v>68</v>
      </c>
      <c r="N4" s="29" t="s">
        <v>67</v>
      </c>
      <c r="O4" s="29" t="s">
        <v>68</v>
      </c>
      <c r="Q4" s="62"/>
      <c r="R4" s="63"/>
      <c r="S4" s="63"/>
      <c r="T4" s="65"/>
      <c r="U4" s="29" t="s">
        <v>67</v>
      </c>
      <c r="V4" s="29" t="s">
        <v>68</v>
      </c>
      <c r="W4" s="29" t="s">
        <v>67</v>
      </c>
      <c r="X4" s="29" t="s">
        <v>68</v>
      </c>
      <c r="Z4" s="30">
        <v>1</v>
      </c>
      <c r="AA4" s="19" t="s">
        <v>56</v>
      </c>
      <c r="AB4" s="19">
        <v>25</v>
      </c>
      <c r="AC4" s="19">
        <v>9</v>
      </c>
      <c r="AD4" s="19">
        <f>IF(OR(AC4&lt;5,AC4&gt;10),"",VLOOKUP(AC4&amp;"멸화",DB!$AZ$3:$BC$12,2,0))</f>
        <v>30</v>
      </c>
      <c r="AE4" s="19">
        <f>IF(AD4="","",(AD4+100)/100)</f>
        <v>1.3</v>
      </c>
      <c r="AG4" s="37">
        <f t="shared" ref="AG4:AG11" si="0">IF(AH4="","",IF($AJ$19="n",$AB4*AH4/100,IF($AJ$19="y",(($AE$12+(AH4/100))/$AE$12-1)*100,"")))</f>
        <v>2.5</v>
      </c>
      <c r="AH4" s="37">
        <f>IF(OR(AC4&lt;5,AC4&gt;9),"",VLOOKUP(AC4+1&amp;"멸화",DB!$AZ$3:$BC$12,2,0)-AD4)</f>
        <v>10</v>
      </c>
      <c r="AI4" s="36">
        <f t="shared" ref="AI4:AI11" si="1">IF(OR(AC4&lt;5,AC4&gt;9),"",VLOOKUP(AC4+1&amp;"멸화",$Z$15:$AC$20,3,0)-VLOOKUP(AC4&amp;"멸화",$Z$15:$AC$20,3,0))</f>
        <v>500000</v>
      </c>
      <c r="AJ4" s="35">
        <f t="shared" ref="AJ4:AJ11" si="2">IF(OR(AC4&lt;5,AC4&gt;9,$AJ$19="",AND(AB4="",$AJ$19="n")),"",AI4/AG4)</f>
        <v>200000</v>
      </c>
      <c r="AL4" s="37" t="str">
        <f>IF(AM4="","",IF($AJ$19="n",$AB4*AM4/100,IF($AJ$19="y",(($AE$12+(AM4/100))/$AE$12-1)*100,"")))</f>
        <v/>
      </c>
      <c r="AM4" s="37" t="str">
        <f>IF(OR(AC4&lt;5,AC4&gt;8),"",VLOOKUP(AC4+2&amp;"멸화",DB!$AZ$3:$BC$12,2,0)-AD4)</f>
        <v/>
      </c>
      <c r="AN4" s="36" t="str">
        <f t="shared" ref="AN4:AN11" si="3">IF(OR(AC4&lt;5,AC4&gt;8),"",VLOOKUP(AC4+2&amp;"멸화",$Z$15:$AC$20,3,0)-VLOOKUP(AC4&amp;"멸화",$Z$15:$AC$20,3,0))</f>
        <v/>
      </c>
      <c r="AO4" s="35" t="str">
        <f t="shared" ref="AO4:AO11" si="4">IF(OR(AC4&lt;5,AC4&gt;8,$AJ$19="",AND(AB4="",$AJ$19="n")),"",AN4/AL4)</f>
        <v/>
      </c>
    </row>
    <row r="5" spans="2:42" x14ac:dyDescent="0.3">
      <c r="B5" s="18" t="s">
        <v>44</v>
      </c>
      <c r="C5" s="29" t="s">
        <v>39</v>
      </c>
      <c r="D5" s="19">
        <v>19</v>
      </c>
      <c r="E5" s="19" t="s">
        <v>44</v>
      </c>
      <c r="F5" s="24">
        <f>IF(E5="고대",VLOOKUP(D5,DB!$B$29:$AD$53,ROW(A1)*5-3,0),IF(E5="유물",VLOOKUP(D5,DB!$B$5:$AD$24,ROW(A1)*5-3,0),""))</f>
        <v>27778</v>
      </c>
      <c r="G5" s="22"/>
      <c r="H5" s="23">
        <f>IF(D5&gt;=25,"",IF(E5="고대",VLOOKUP(D5+1,DB!$B$29:$AD$53,ROW(A1)*5-3,0),IF(E5="유물",VLOOKUP(D5+1,DB!$B$5:$AD$24,ROW(A1)*5-3,0),"")))</f>
        <v>29030</v>
      </c>
      <c r="I5" s="23">
        <f>IF(D5&gt;=25,"",$E$11-F5+H5)</f>
        <v>200389</v>
      </c>
      <c r="J5" s="23">
        <f>IF(D5&gt;=25,"",SQRT(I5*$F$10/6))</f>
        <v>41694.219901164557</v>
      </c>
      <c r="K5" s="25">
        <f t="shared" ref="K5:K10" si="5">IF(D5&gt;=25,"",(J5/$E$12-1)*100)</f>
        <v>0.31386389534941994</v>
      </c>
      <c r="L5" s="26">
        <f>IF(OR(AND(E5="고대",D5&gt;=25),AND(E5="유물",D5&gt;=20)),"",VLOOKUP(D5+1,DB!$AF$22:$AU$34,7,0))</f>
        <v>109322.11933333334</v>
      </c>
      <c r="M5" s="28">
        <f>IF(D5&gt;=25,"",ROUND(L5/K5,-3))</f>
        <v>348000</v>
      </c>
      <c r="N5" s="26">
        <f>IF(OR(AND(E5="고대",D5&gt;=25),AND(E5="유물",D5&gt;=20)),"",ROUND(VLOOKUP(D5+1,DB!$AF$22:$AU$34,16,0),0))</f>
        <v>235144</v>
      </c>
      <c r="O5" s="28">
        <f>IF(D5&gt;=25,"",ROUND(N5/K5,-3))</f>
        <v>749000</v>
      </c>
      <c r="P5" s="22"/>
      <c r="Q5" s="23">
        <f>IF(D5&gt;=24,"",IF(E5="고대",VLOOKUP(D5+2,DB!$B$29:$AD$53,ROW(A1)*5-3,0),IF(E5="유물",VLOOKUP(D5+2,DB!$B$5:$AD$24,ROW(A1)*5-3,0),"")))</f>
        <v>30005</v>
      </c>
      <c r="R5" s="23">
        <f>IF(D5&gt;=24,"",$E$11-F5+Q5)</f>
        <v>201364</v>
      </c>
      <c r="S5" s="23">
        <f>IF(D5&gt;=24,"",SQRT(R5*$F$10/6))</f>
        <v>41795.529194719697</v>
      </c>
      <c r="T5" s="25">
        <f t="shared" ref="T5:T10" si="6">IF(D5&gt;=24,"",(S5/$E$12-1)*100)</f>
        <v>0.5576081531653676</v>
      </c>
      <c r="U5" s="26">
        <f>IF(OR(AND(E5="고대",D5&gt;=24),AND(E5="유물",D5&gt;=19)),"",L5+VLOOKUP(D5+2,DB!$AF$22:$AU$34,7,0))</f>
        <v>233335.391</v>
      </c>
      <c r="V5" s="28">
        <f>IF(D5&gt;=24,"",ROUND(U5/T5,-3))</f>
        <v>418000</v>
      </c>
      <c r="W5" s="26">
        <f>IF(OR(AND(E5="고대",D5&gt;=24),AND(E5="유물",D5&gt;=19)),"",N5+VLOOKUP(D5+2,DB!$AF$22:$AU$34,16,0))</f>
        <v>480084.946</v>
      </c>
      <c r="X5" s="28">
        <f>IF(D5&gt;=24,"",ROUND(W5/T5,-3))</f>
        <v>861000</v>
      </c>
      <c r="Z5" s="30">
        <v>2</v>
      </c>
      <c r="AA5" s="19" t="s">
        <v>57</v>
      </c>
      <c r="AB5" s="19">
        <v>25</v>
      </c>
      <c r="AC5" s="19">
        <v>9</v>
      </c>
      <c r="AD5" s="19">
        <f>IF(OR(AC5&lt;5,AC5&gt;10),"",VLOOKUP(AC5&amp;"멸화",DB!$AZ$3:$BC$12,2,0))</f>
        <v>30</v>
      </c>
      <c r="AE5" s="19">
        <f t="shared" ref="AE5:AE11" si="7">IF(AD5="","",(AD5+100)/100)</f>
        <v>1.3</v>
      </c>
      <c r="AG5" s="37">
        <f t="shared" si="0"/>
        <v>2.5</v>
      </c>
      <c r="AH5" s="37">
        <f>IF(OR(AC5&lt;5,AC5&gt;9),"",VLOOKUP(AC5+1&amp;"멸화",DB!$AZ$3:$BC$12,2,0)-AD5)</f>
        <v>10</v>
      </c>
      <c r="AI5" s="36">
        <f t="shared" si="1"/>
        <v>500000</v>
      </c>
      <c r="AJ5" s="35">
        <f t="shared" si="2"/>
        <v>200000</v>
      </c>
      <c r="AL5" s="37" t="str">
        <f t="shared" ref="AL5:AL11" si="8">IF(AM5="","",IF($AJ$19="n",$AB5*AM5/100,IF($AJ$19="y",(($AE$12+(AM5/100))/$AE$12-1)*100,"")))</f>
        <v/>
      </c>
      <c r="AM5" s="37" t="str">
        <f>IF(OR(AC5&lt;5,AC5&gt;8),"",VLOOKUP(AC5+2&amp;"멸화",DB!$AZ$3:$BC$12,2,0)-AD5)</f>
        <v/>
      </c>
      <c r="AN5" s="36" t="str">
        <f t="shared" si="3"/>
        <v/>
      </c>
      <c r="AO5" s="35" t="str">
        <f t="shared" si="4"/>
        <v/>
      </c>
    </row>
    <row r="6" spans="2:42" x14ac:dyDescent="0.3">
      <c r="B6" s="18" t="s">
        <v>45</v>
      </c>
      <c r="C6" s="29" t="s">
        <v>40</v>
      </c>
      <c r="D6" s="19">
        <v>20</v>
      </c>
      <c r="E6" s="19" t="s">
        <v>44</v>
      </c>
      <c r="F6" s="24">
        <f>IF(E6="고대",VLOOKUP(D6,DB!$B$29:$AD$53,ROW(A2)*5-3,0),IF(E6="유물",VLOOKUP(D6,DB!$B$5:$AD$24,ROW(A2)*5-3,0),""))</f>
        <v>30896</v>
      </c>
      <c r="G6" s="22"/>
      <c r="H6" s="23">
        <f>IF(D6&gt;=25,"",IF(E6="고대",VLOOKUP(D6+1,DB!$B$29:$AD$53,ROW(A2)*5-3,0),IF(E6="유물",VLOOKUP(D6+1,DB!$B$5:$AD$24,ROW(A2)*5-3,0),"")))</f>
        <v>31934</v>
      </c>
      <c r="I6" s="23">
        <f t="shared" ref="I6:I9" si="9">IF(D6&gt;=25,"",$E$11-F6+H6)</f>
        <v>200175</v>
      </c>
      <c r="J6" s="23">
        <f t="shared" ref="J6:J9" si="10">IF(D6&gt;=25,"",SQRT(I6*$F$10/6))</f>
        <v>41671.95084826243</v>
      </c>
      <c r="K6" s="25">
        <f t="shared" si="5"/>
        <v>0.26028585150550398</v>
      </c>
      <c r="L6" s="26">
        <f>IF(OR(AND(E6="고대",D6&gt;=25),AND(E6="유물",D6&gt;=20)),"",VLOOKUP(D6+1,DB!$AF$22:$AU$34,7,0))</f>
        <v>124013.27166666667</v>
      </c>
      <c r="M6" s="28">
        <f t="shared" ref="M6:M10" si="11">IF(D6&gt;=25,"",ROUND(L6/K6,-3))</f>
        <v>476000</v>
      </c>
      <c r="N6" s="26">
        <f>IF(OR(AND(E6="고대",D6&gt;=25),AND(E6="유물",D6&gt;=20)),"",ROUND(VLOOKUP(D6+1,DB!$AF$22:$AU$34,16,0),0))</f>
        <v>244941</v>
      </c>
      <c r="O6" s="28">
        <f t="shared" ref="O6:O10" si="12">IF(D6&gt;=25,"",ROUND(N6/K6,-3))</f>
        <v>941000</v>
      </c>
      <c r="P6" s="22"/>
      <c r="Q6" s="23">
        <f>IF(D6&gt;=24,"",IF(E6="고대",VLOOKUP(D6+2,DB!$B$29:$AD$53,ROW(A2)*5-3,0),IF(E6="유물",VLOOKUP(D6+2,DB!$B$5:$AD$24,ROW(A2)*5-3,0),"")))</f>
        <v>33007</v>
      </c>
      <c r="R6" s="23">
        <f t="shared" ref="R6:R9" si="13">IF(D6&gt;=24,"",$E$11-F6+Q6)</f>
        <v>201248</v>
      </c>
      <c r="S6" s="23">
        <f t="shared" ref="S6:S9" si="14">IF(D6&gt;=24,"",SQRT(R6*$F$10/6))</f>
        <v>41783.488860234414</v>
      </c>
      <c r="T6" s="25">
        <f t="shared" si="6"/>
        <v>0.52863980988722137</v>
      </c>
      <c r="U6" s="26">
        <f>IF(OR(AND(E6="고대",D6&gt;=24),AND(E6="유물",D6&gt;=19)),"",L6+VLOOKUP(D6+2,DB!$AF$22:$AU$34,7,0))</f>
        <v>334542.65433333331</v>
      </c>
      <c r="V6" s="28">
        <f t="shared" ref="V6:V10" si="15">IF(D6&gt;=24,"",ROUND(U6/T6,-3))</f>
        <v>633000</v>
      </c>
      <c r="W6" s="26">
        <f>IF(OR(AND(E6="고대",D6&gt;=24),AND(E6="유물",D6&gt;=19)),"",N6+VLOOKUP(D6+2,DB!$AF$22:$AU$34,16,0))</f>
        <v>570199.09833333339</v>
      </c>
      <c r="X6" s="28">
        <f t="shared" ref="X6:X10" si="16">IF(D6&gt;=24,"",ROUND(W6/T6,-3))</f>
        <v>1079000</v>
      </c>
      <c r="Z6" s="30">
        <v>3</v>
      </c>
      <c r="AA6" s="19" t="s">
        <v>54</v>
      </c>
      <c r="AB6" s="19">
        <v>20</v>
      </c>
      <c r="AC6" s="19">
        <v>9</v>
      </c>
      <c r="AD6" s="19">
        <f>IF(OR(AC6&lt;5,AC6&gt;10),"",VLOOKUP(AC6&amp;"멸화",DB!$AZ$3:$BC$12,2,0))</f>
        <v>30</v>
      </c>
      <c r="AE6" s="19">
        <f t="shared" si="7"/>
        <v>1.3</v>
      </c>
      <c r="AG6" s="37">
        <f t="shared" si="0"/>
        <v>2</v>
      </c>
      <c r="AH6" s="37">
        <f>IF(OR(AC6&lt;5,AC6&gt;9),"",VLOOKUP(AC6+1&amp;"멸화",DB!$AZ$3:$BC$12,2,0)-AD6)</f>
        <v>10</v>
      </c>
      <c r="AI6" s="36">
        <f t="shared" si="1"/>
        <v>500000</v>
      </c>
      <c r="AJ6" s="35">
        <f t="shared" si="2"/>
        <v>250000</v>
      </c>
      <c r="AL6" s="37" t="str">
        <f t="shared" si="8"/>
        <v/>
      </c>
      <c r="AM6" s="37" t="str">
        <f>IF(OR(AC6&lt;5,AC6&gt;8),"",VLOOKUP(AC6+2&amp;"멸화",DB!$AZ$3:$BC$12,2,0)-AD6)</f>
        <v/>
      </c>
      <c r="AN6" s="36" t="str">
        <f t="shared" si="3"/>
        <v/>
      </c>
      <c r="AO6" s="35" t="str">
        <f t="shared" si="4"/>
        <v/>
      </c>
    </row>
    <row r="7" spans="2:42" x14ac:dyDescent="0.3">
      <c r="C7" s="29" t="s">
        <v>13</v>
      </c>
      <c r="D7" s="19">
        <v>19</v>
      </c>
      <c r="E7" s="19" t="s">
        <v>44</v>
      </c>
      <c r="F7" s="24">
        <f>IF(E7="고대",VLOOKUP(D7,DB!$B$29:$AD$53,ROW(A3)*5-3,0),IF(E7="유물",VLOOKUP(D7,DB!$B$5:$AD$24,ROW(A3)*5-3,0),""))</f>
        <v>22222</v>
      </c>
      <c r="G7" s="22"/>
      <c r="H7" s="23">
        <f>IF(D7&gt;=25,"",IF(E7="고대",VLOOKUP(D7+1,DB!$B$29:$AD$53,ROW(A3)*5-3,0),IF(E7="유물",VLOOKUP(D7+1,DB!$B$5:$AD$24,ROW(A3)*5-3,0),"")))</f>
        <v>23224</v>
      </c>
      <c r="I7" s="23">
        <f t="shared" si="9"/>
        <v>200139</v>
      </c>
      <c r="J7" s="23">
        <f t="shared" si="10"/>
        <v>41668.203482991681</v>
      </c>
      <c r="K7" s="25">
        <f t="shared" si="5"/>
        <v>0.25126990899291268</v>
      </c>
      <c r="L7" s="26">
        <f>IF(OR(AND(E7="고대",D7&gt;=25),AND(E7="유물",D7&gt;=20)),"",VLOOKUP(D7+1,DB!$AF$22:$AU$34,7,0))</f>
        <v>109322.11933333334</v>
      </c>
      <c r="M7" s="28">
        <f t="shared" si="11"/>
        <v>435000</v>
      </c>
      <c r="N7" s="26">
        <f>IF(OR(AND(E7="고대",D7&gt;=25),AND(E7="유물",D7&gt;=20)),"",ROUND(VLOOKUP(D7+1,DB!$AF$22:$AU$34,16,0),0))</f>
        <v>235144</v>
      </c>
      <c r="O7" s="28">
        <f t="shared" si="12"/>
        <v>936000</v>
      </c>
      <c r="P7" s="22"/>
      <c r="Q7" s="23">
        <f>IF(D7&gt;=24,"",IF(E7="고대",VLOOKUP(D7+2,DB!$B$29:$AD$53,ROW(A3)*5-3,0),IF(E7="유물",VLOOKUP(D7+2,DB!$B$5:$AD$24,ROW(A3)*5-3,0),"")))</f>
        <v>24004</v>
      </c>
      <c r="R7" s="23">
        <f t="shared" si="13"/>
        <v>200919</v>
      </c>
      <c r="S7" s="23">
        <f t="shared" si="14"/>
        <v>41749.321090288402</v>
      </c>
      <c r="T7" s="25">
        <f t="shared" si="6"/>
        <v>0.44643414607825616</v>
      </c>
      <c r="U7" s="26">
        <f>IF(OR(AND(E7="고대",D7&gt;=24),AND(E7="유물",D7&gt;=19)),"",L7+VLOOKUP(D7+2,DB!$AF$22:$AU$34,7,0))</f>
        <v>233335.391</v>
      </c>
      <c r="V7" s="28">
        <f t="shared" si="15"/>
        <v>523000</v>
      </c>
      <c r="W7" s="26">
        <f>IF(OR(AND(E7="고대",D7&gt;=24),AND(E7="유물",D7&gt;=19)),"",N7+VLOOKUP(D7+2,DB!$AF$22:$AU$34,16,0))</f>
        <v>480084.946</v>
      </c>
      <c r="X7" s="28">
        <f t="shared" si="16"/>
        <v>1075000</v>
      </c>
      <c r="Z7" s="30">
        <v>4</v>
      </c>
      <c r="AA7" s="19" t="s">
        <v>55</v>
      </c>
      <c r="AB7" s="19">
        <v>15</v>
      </c>
      <c r="AC7" s="19">
        <v>9</v>
      </c>
      <c r="AD7" s="19">
        <f>IF(OR(AC7&lt;5,AC7&gt;10),"",VLOOKUP(AC7&amp;"멸화",DB!$AZ$3:$BC$12,2,0))</f>
        <v>30</v>
      </c>
      <c r="AE7" s="19">
        <f t="shared" si="7"/>
        <v>1.3</v>
      </c>
      <c r="AG7" s="37">
        <f t="shared" si="0"/>
        <v>1.5</v>
      </c>
      <c r="AH7" s="37">
        <f>IF(OR(AC7&lt;5,AC7&gt;9),"",VLOOKUP(AC7+1&amp;"멸화",DB!$AZ$3:$BC$12,2,0)-AD7)</f>
        <v>10</v>
      </c>
      <c r="AI7" s="36">
        <f t="shared" si="1"/>
        <v>500000</v>
      </c>
      <c r="AJ7" s="35">
        <f t="shared" si="2"/>
        <v>333333.33333333331</v>
      </c>
      <c r="AL7" s="37" t="str">
        <f t="shared" si="8"/>
        <v/>
      </c>
      <c r="AM7" s="37" t="str">
        <f>IF(OR(AC7&lt;5,AC7&gt;8),"",VLOOKUP(AC7+2&amp;"멸화",DB!$AZ$3:$BC$12,2,0)-AD7)</f>
        <v/>
      </c>
      <c r="AN7" s="36" t="str">
        <f t="shared" si="3"/>
        <v/>
      </c>
      <c r="AO7" s="35" t="str">
        <f t="shared" si="4"/>
        <v/>
      </c>
    </row>
    <row r="8" spans="2:42" x14ac:dyDescent="0.3">
      <c r="B8" s="18" t="s">
        <v>53</v>
      </c>
      <c r="C8" s="29" t="s">
        <v>41</v>
      </c>
      <c r="D8" s="19">
        <v>19</v>
      </c>
      <c r="E8" s="19" t="s">
        <v>44</v>
      </c>
      <c r="F8" s="24">
        <f>IF(E8="고대",VLOOKUP(D8,DB!$B$29:$AD$53,ROW(A4)*5-3,0),IF(E8="유물",VLOOKUP(D8,DB!$B$5:$AD$24,ROW(A4)*5-3,0),""))</f>
        <v>24008</v>
      </c>
      <c r="G8" s="22"/>
      <c r="H8" s="23">
        <f>IF(D8&gt;=25,"",IF(E8="고대",VLOOKUP(D8+1,DB!$B$29:$AD$53,ROW(A4)*5-3,0),IF(E8="유물",VLOOKUP(D8+1,DB!$B$5:$AD$24,ROW(A4)*5-3,0),"")))</f>
        <v>25090</v>
      </c>
      <c r="I8" s="23">
        <f t="shared" si="9"/>
        <v>200219</v>
      </c>
      <c r="J8" s="23">
        <f t="shared" si="10"/>
        <v>41676.530503789938</v>
      </c>
      <c r="K8" s="25">
        <f t="shared" si="5"/>
        <v>0.27130423588499486</v>
      </c>
      <c r="L8" s="26">
        <f>IF(OR(AND(E8="고대",D8&gt;=25),AND(E8="유물",D8&gt;=20)),"",VLOOKUP(D8+1,DB!$AF$22:$AU$34,7,0))</f>
        <v>109322.11933333334</v>
      </c>
      <c r="M8" s="28">
        <f t="shared" si="11"/>
        <v>403000</v>
      </c>
      <c r="N8" s="26">
        <f>IF(OR(AND(E8="고대",D8&gt;=25),AND(E8="유물",D8&gt;=20)),"",ROUND(VLOOKUP(D8+1,DB!$AF$22:$AU$34,16,0),0))</f>
        <v>235144</v>
      </c>
      <c r="O8" s="28">
        <f t="shared" si="12"/>
        <v>867000</v>
      </c>
      <c r="P8" s="22"/>
      <c r="Q8" s="23">
        <f>IF(D8&gt;=24,"",IF(E8="고대",VLOOKUP(D8+2,DB!$B$29:$AD$53,ROW(A4)*5-3,0),IF(E8="유물",VLOOKUP(D8+2,DB!$B$5:$AD$24,ROW(A4)*5-3,0),"")))</f>
        <v>25933</v>
      </c>
      <c r="R8" s="23">
        <f t="shared" si="13"/>
        <v>201062</v>
      </c>
      <c r="S8" s="23">
        <f t="shared" si="14"/>
        <v>41764.17556151843</v>
      </c>
      <c r="T8" s="25">
        <f t="shared" si="6"/>
        <v>0.48217313840714926</v>
      </c>
      <c r="U8" s="26">
        <f>IF(OR(AND(E8="고대",D8&gt;=24),AND(E8="유물",D8&gt;=19)),"",L8+VLOOKUP(D8+2,DB!$AF$22:$AU$34,7,0))</f>
        <v>233335.391</v>
      </c>
      <c r="V8" s="28">
        <f t="shared" si="15"/>
        <v>484000</v>
      </c>
      <c r="W8" s="26">
        <f>IF(OR(AND(E8="고대",D8&gt;=24),AND(E8="유물",D8&gt;=19)),"",N8+VLOOKUP(D8+2,DB!$AF$22:$AU$34,16,0))</f>
        <v>480084.946</v>
      </c>
      <c r="X8" s="28">
        <f t="shared" si="16"/>
        <v>996000</v>
      </c>
      <c r="Z8" s="30">
        <v>5</v>
      </c>
      <c r="AA8" s="19" t="s">
        <v>58</v>
      </c>
      <c r="AB8" s="19">
        <v>5</v>
      </c>
      <c r="AC8" s="19">
        <v>7</v>
      </c>
      <c r="AD8" s="19">
        <f>IF(OR(AC8&lt;5,AC8&gt;10),"",VLOOKUP(AC8&amp;"멸화",DB!$AZ$3:$BC$12,2,0))</f>
        <v>21</v>
      </c>
      <c r="AE8" s="19">
        <f t="shared" si="7"/>
        <v>1.21</v>
      </c>
      <c r="AG8" s="37">
        <f t="shared" si="0"/>
        <v>0.15</v>
      </c>
      <c r="AH8" s="37">
        <f>IF(OR(AC8&lt;5,AC8&gt;9),"",VLOOKUP(AC8+1&amp;"멸화",DB!$AZ$3:$BC$12,2,0)-AD8)</f>
        <v>3</v>
      </c>
      <c r="AI8" s="36">
        <f t="shared" si="1"/>
        <v>36000</v>
      </c>
      <c r="AJ8" s="35">
        <f t="shared" si="2"/>
        <v>240000</v>
      </c>
      <c r="AL8" s="37">
        <f t="shared" si="8"/>
        <v>0.45</v>
      </c>
      <c r="AM8" s="37">
        <f>IF(OR(AC8&lt;5,AC8&gt;8),"",VLOOKUP(AC8+2&amp;"멸화",DB!$AZ$3:$BC$12,2,0)-AD8)</f>
        <v>9</v>
      </c>
      <c r="AN8" s="36">
        <f t="shared" si="3"/>
        <v>152000</v>
      </c>
      <c r="AO8" s="35">
        <f t="shared" si="4"/>
        <v>337777.77777777775</v>
      </c>
    </row>
    <row r="9" spans="2:42" x14ac:dyDescent="0.3">
      <c r="B9" s="18" t="s">
        <v>104</v>
      </c>
      <c r="C9" s="29" t="s">
        <v>42</v>
      </c>
      <c r="D9" s="19">
        <v>20</v>
      </c>
      <c r="E9" s="19" t="s">
        <v>44</v>
      </c>
      <c r="F9" s="24">
        <f>IF(E9="고대",VLOOKUP(D9,DB!$B$29:$AD$53,ROW(A5)*5-3,0),IF(E9="유물",VLOOKUP(D9,DB!$B$5:$AD$24,ROW(A5)*5-3,0),""))</f>
        <v>34836</v>
      </c>
      <c r="G9" s="22"/>
      <c r="H9" s="23">
        <f>IF(D9&gt;=25,"",IF(E9="고대",VLOOKUP(D9+1,DB!$B$29:$AD$53,ROW(A5)*5-3,0),IF(E9="유물",VLOOKUP(D9+1,DB!$B$5:$AD$24,ROW(A5)*5-3,0),"")))</f>
        <v>36006</v>
      </c>
      <c r="I9" s="23">
        <f t="shared" si="9"/>
        <v>200307</v>
      </c>
      <c r="J9" s="23">
        <f t="shared" si="10"/>
        <v>41685.688305460426</v>
      </c>
      <c r="K9" s="25">
        <f t="shared" si="5"/>
        <v>0.29333737315273556</v>
      </c>
      <c r="L9" s="26">
        <f>IF(OR(AND(E9="고대",D9&gt;=25),AND(E9="유물",D9&gt;=20)),"",VLOOKUP(D9+1,DB!$AF$22:$AU$34,7,0))</f>
        <v>124013.27166666667</v>
      </c>
      <c r="M9" s="28">
        <f t="shared" si="11"/>
        <v>423000</v>
      </c>
      <c r="N9" s="26">
        <f>IF(OR(AND(E9="고대",D9&gt;=25),AND(E9="유물",D9&gt;=20)),"",ROUND(VLOOKUP(D9+1,DB!$AF$22:$AU$34,16,0),0))</f>
        <v>244941</v>
      </c>
      <c r="O9" s="28">
        <f t="shared" si="12"/>
        <v>835000</v>
      </c>
      <c r="P9" s="22"/>
      <c r="Q9" s="23">
        <f>IF(D9&gt;=24,"",IF(E9="고대",VLOOKUP(D9+2,DB!$B$29:$AD$53,ROW(A5)*5-3,0),IF(E9="유물",VLOOKUP(D9+2,DB!$B$5:$AD$24,ROW(A5)*5-3,0),"")))</f>
        <v>37216</v>
      </c>
      <c r="R9" s="23">
        <f t="shared" si="13"/>
        <v>201517</v>
      </c>
      <c r="S9" s="23">
        <f t="shared" si="14"/>
        <v>41811.404678229439</v>
      </c>
      <c r="T9" s="25">
        <f t="shared" si="6"/>
        <v>0.59580364155304988</v>
      </c>
      <c r="U9" s="26">
        <f>IF(OR(AND(E9="고대",D9&gt;=24),AND(E9="유물",D9&gt;=19)),"",L9+VLOOKUP(D9+2,DB!$AF$22:$AU$34,7,0))</f>
        <v>334542.65433333331</v>
      </c>
      <c r="V9" s="28">
        <f t="shared" si="15"/>
        <v>561000</v>
      </c>
      <c r="W9" s="26">
        <f>IF(OR(AND(E9="고대",D9&gt;=24),AND(E9="유물",D9&gt;=19)),"",N9+VLOOKUP(D9+2,DB!$AF$22:$AU$34,16,0))</f>
        <v>570199.09833333339</v>
      </c>
      <c r="X9" s="28">
        <f t="shared" si="16"/>
        <v>957000</v>
      </c>
      <c r="Z9" s="30">
        <v>6</v>
      </c>
      <c r="AA9" s="19" t="s">
        <v>59</v>
      </c>
      <c r="AB9" s="19">
        <v>5</v>
      </c>
      <c r="AC9" s="19">
        <v>7</v>
      </c>
      <c r="AD9" s="19">
        <f>IF(OR(AC9&lt;5,AC9&gt;10),"",VLOOKUP(AC9&amp;"멸화",DB!$AZ$3:$BC$12,2,0))</f>
        <v>21</v>
      </c>
      <c r="AE9" s="19">
        <f t="shared" si="7"/>
        <v>1.21</v>
      </c>
      <c r="AG9" s="37">
        <f t="shared" si="0"/>
        <v>0.15</v>
      </c>
      <c r="AH9" s="37">
        <f>IF(OR(AC9&lt;5,AC9&gt;9),"",VLOOKUP(AC9+1&amp;"멸화",DB!$AZ$3:$BC$12,2,0)-AD9)</f>
        <v>3</v>
      </c>
      <c r="AI9" s="36">
        <f t="shared" si="1"/>
        <v>36000</v>
      </c>
      <c r="AJ9" s="35">
        <f t="shared" si="2"/>
        <v>240000</v>
      </c>
      <c r="AL9" s="37">
        <f t="shared" si="8"/>
        <v>0.45</v>
      </c>
      <c r="AM9" s="37">
        <f>IF(OR(AC9&lt;5,AC9&gt;8),"",VLOOKUP(AC9+2&amp;"멸화",DB!$AZ$3:$BC$12,2,0)-AD9)</f>
        <v>9</v>
      </c>
      <c r="AN9" s="36">
        <f t="shared" si="3"/>
        <v>152000</v>
      </c>
      <c r="AO9" s="35">
        <f t="shared" si="4"/>
        <v>337777.77777777775</v>
      </c>
    </row>
    <row r="10" spans="2:42" x14ac:dyDescent="0.3">
      <c r="C10" s="29" t="s">
        <v>9</v>
      </c>
      <c r="D10" s="19">
        <v>21</v>
      </c>
      <c r="E10" s="19" t="s">
        <v>44</v>
      </c>
      <c r="F10" s="24">
        <f>IF(E10="고대",VLOOKUP(D10,DB!$B$29:$AD$53,ROW(A6)*5-3,0),IF(E10="유물",VLOOKUP(D10,DB!$B$5:$AD$24,ROW(A6)*5-3,0),""))</f>
        <v>52051</v>
      </c>
      <c r="G10" s="22"/>
      <c r="H10" s="23">
        <f>IF(D10&gt;=25,"",IF(E10="고대",VLOOKUP(D10+1,DB!$B$29:$AD$53,ROW(A6)*5-3,0),IF(E10="유물",VLOOKUP(D10+1,DB!$B$5:$AD$24,ROW(A6)*5-3,0),"")))</f>
        <v>53796</v>
      </c>
      <c r="I10" s="23" t="s">
        <v>49</v>
      </c>
      <c r="J10" s="23">
        <f>IF(D10&gt;=25,"",SQRT(E11*H10/6))</f>
        <v>42254.731593041746</v>
      </c>
      <c r="K10" s="27">
        <f t="shared" si="5"/>
        <v>1.6624223694977625</v>
      </c>
      <c r="L10" s="26">
        <f>IF(OR(AND(E10="고대",D10&gt;=25),AND(E10="유물",D10&gt;=20)),"",VLOOKUP(D10+1,DB!$AF$5:$AU$17,7,0))</f>
        <v>557321.14</v>
      </c>
      <c r="M10" s="28">
        <f t="shared" si="11"/>
        <v>335000</v>
      </c>
      <c r="N10" s="26">
        <f>IF(OR(AND(E10="고대",D10&gt;=25),AND(E10="유물",D10&gt;=20)),"",ROUND(VLOOKUP(D10+1,DB!$AF$5:$AU$17,16,0),0))</f>
        <v>556642</v>
      </c>
      <c r="O10" s="28">
        <f t="shared" si="12"/>
        <v>335000</v>
      </c>
      <c r="P10" s="22"/>
      <c r="Q10" s="23">
        <f>IF(D10&gt;=24,"",IF(E10="고대",VLOOKUP(D10+2,DB!$B$29:$AD$53,ROW(A6)*5-3,0),IF(E10="유물",VLOOKUP(D10+2,DB!$B$5:$AD$24,ROW(A6)*5-3,0),"")))</f>
        <v>55599</v>
      </c>
      <c r="R10" s="23" t="s">
        <v>49</v>
      </c>
      <c r="S10" s="23">
        <f>IF(D10&gt;=24,"",SQRT(E11*Q10/6))</f>
        <v>42956.990240239131</v>
      </c>
      <c r="T10" s="27">
        <f t="shared" si="6"/>
        <v>3.3520157596914624</v>
      </c>
      <c r="U10" s="26">
        <f>IF(OR(AND(E10="고대",D10&gt;=25),AND(E10="유물",D10&gt;=20)),"",VLOOKUP(D10+1,DB!$AF$5:$AU$17,7,0)+L10)</f>
        <v>1114642.28</v>
      </c>
      <c r="V10" s="28">
        <f t="shared" si="15"/>
        <v>333000</v>
      </c>
      <c r="W10" s="26">
        <f>IF(OR(AND(E10="고대",D10&gt;=24),AND(E10="유물",D10&gt;=19)),"",N10+VLOOKUP(D10+2,DB!$AF$5:$AU$17,16,0))</f>
        <v>1145266.3799999999</v>
      </c>
      <c r="X10" s="28">
        <f t="shared" si="16"/>
        <v>342000</v>
      </c>
      <c r="Z10" s="30">
        <v>7</v>
      </c>
      <c r="AA10" s="19"/>
      <c r="AB10" s="19"/>
      <c r="AC10" s="19"/>
      <c r="AD10" s="19" t="str">
        <f>IF(OR(AC10&lt;5,AC10&gt;10),"",VLOOKUP(AC10&amp;"멸화",DB!$AZ$3:$BC$12,2,0))</f>
        <v/>
      </c>
      <c r="AE10" s="19" t="str">
        <f t="shared" si="7"/>
        <v/>
      </c>
      <c r="AG10" s="37" t="str">
        <f t="shared" si="0"/>
        <v/>
      </c>
      <c r="AH10" s="37" t="str">
        <f>IF(OR(AC10&lt;5,AC10&gt;9),"",VLOOKUP(AC10+1&amp;"멸화",DB!$AZ$3:$BC$12,2,0)-AD10)</f>
        <v/>
      </c>
      <c r="AI10" s="36" t="str">
        <f t="shared" si="1"/>
        <v/>
      </c>
      <c r="AJ10" s="35" t="str">
        <f t="shared" si="2"/>
        <v/>
      </c>
      <c r="AL10" s="37" t="str">
        <f t="shared" si="8"/>
        <v/>
      </c>
      <c r="AM10" s="37" t="str">
        <f>IF(OR(AC10&lt;5,AC10&gt;8),"",VLOOKUP(AC10+2&amp;"멸화",DB!$AZ$3:$BC$12,2,0)-AD10)</f>
        <v/>
      </c>
      <c r="AN10" s="36" t="str">
        <f t="shared" si="3"/>
        <v/>
      </c>
      <c r="AO10" s="35" t="str">
        <f t="shared" si="4"/>
        <v/>
      </c>
    </row>
    <row r="11" spans="2:42" x14ac:dyDescent="0.3">
      <c r="B11" s="18" t="s">
        <v>116</v>
      </c>
      <c r="C11" s="65" t="s">
        <v>46</v>
      </c>
      <c r="D11" s="65"/>
      <c r="E11" s="23">
        <v>199137</v>
      </c>
      <c r="F11" s="73" t="s">
        <v>49</v>
      </c>
      <c r="Z11" s="30">
        <v>8</v>
      </c>
      <c r="AA11" s="19"/>
      <c r="AB11" s="19"/>
      <c r="AC11" s="19"/>
      <c r="AD11" s="19" t="str">
        <f>IF(OR(AC11&lt;5,AC11&gt;10),"",VLOOKUP(AC11&amp;"멸화",DB!$AZ$3:$BC$12,2,0))</f>
        <v/>
      </c>
      <c r="AE11" s="19" t="str">
        <f t="shared" si="7"/>
        <v/>
      </c>
      <c r="AG11" s="37" t="str">
        <f t="shared" si="0"/>
        <v/>
      </c>
      <c r="AH11" s="37" t="str">
        <f>IF(OR(AC11&lt;5,AC11&gt;9),"",VLOOKUP(AC11+1&amp;"멸화",DB!$AZ$3:$BC$12,2,0)-AD11)</f>
        <v/>
      </c>
      <c r="AI11" s="36" t="str">
        <f t="shared" si="1"/>
        <v/>
      </c>
      <c r="AJ11" s="35" t="str">
        <f t="shared" si="2"/>
        <v/>
      </c>
      <c r="AL11" s="37" t="str">
        <f t="shared" si="8"/>
        <v/>
      </c>
      <c r="AM11" s="37" t="str">
        <f>IF(OR(AC11&lt;5,AC11&gt;8),"",VLOOKUP(AC11+2&amp;"멸화",DB!$AZ$3:$BC$12,2,0)-AD11)</f>
        <v/>
      </c>
      <c r="AN11" s="36" t="str">
        <f t="shared" si="3"/>
        <v/>
      </c>
      <c r="AO11" s="35" t="str">
        <f t="shared" si="4"/>
        <v/>
      </c>
    </row>
    <row r="12" spans="2:42" ht="16.5" customHeight="1" x14ac:dyDescent="0.3">
      <c r="B12" s="18" t="s">
        <v>117</v>
      </c>
      <c r="C12" s="65" t="s">
        <v>48</v>
      </c>
      <c r="D12" s="65"/>
      <c r="E12" s="31">
        <f>SQRT(E11*F10/6)</f>
        <v>41563.766245372906</v>
      </c>
      <c r="F12" s="74"/>
      <c r="H12" s="52"/>
      <c r="I12" s="53"/>
      <c r="J12" s="54"/>
      <c r="K12" s="55" t="s">
        <v>78</v>
      </c>
      <c r="L12" s="56"/>
      <c r="M12" s="56"/>
      <c r="N12" s="56"/>
      <c r="O12" s="57"/>
      <c r="Q12" s="52"/>
      <c r="R12" s="53"/>
      <c r="S12" s="54"/>
      <c r="T12" s="55" t="s">
        <v>81</v>
      </c>
      <c r="U12" s="56"/>
      <c r="V12" s="56"/>
      <c r="W12" s="56"/>
      <c r="X12" s="57"/>
      <c r="Z12" s="40" t="s">
        <v>107</v>
      </c>
      <c r="AA12" s="40"/>
      <c r="AB12" s="40">
        <f>SUM(AB4:AB11)</f>
        <v>95</v>
      </c>
      <c r="AC12" s="40"/>
      <c r="AD12" s="39"/>
      <c r="AE12" s="39">
        <f>SUM(AE4:AE11)</f>
        <v>7.62</v>
      </c>
    </row>
    <row r="13" spans="2:42" x14ac:dyDescent="0.3">
      <c r="F13" s="74"/>
      <c r="H13" s="62" t="s">
        <v>15</v>
      </c>
      <c r="I13" s="63" t="s">
        <v>71</v>
      </c>
      <c r="J13" s="63" t="s">
        <v>70</v>
      </c>
      <c r="K13" s="64" t="s">
        <v>76</v>
      </c>
      <c r="L13" s="65" t="s">
        <v>72</v>
      </c>
      <c r="M13" s="65"/>
      <c r="N13" s="64" t="s">
        <v>73</v>
      </c>
      <c r="O13" s="64"/>
      <c r="Q13" s="62" t="s">
        <v>77</v>
      </c>
      <c r="R13" s="63" t="s">
        <v>71</v>
      </c>
      <c r="S13" s="63" t="s">
        <v>70</v>
      </c>
      <c r="T13" s="64" t="s">
        <v>76</v>
      </c>
      <c r="U13" s="65" t="s">
        <v>72</v>
      </c>
      <c r="V13" s="65"/>
      <c r="W13" s="64" t="s">
        <v>73</v>
      </c>
      <c r="X13" s="64"/>
      <c r="AG13" s="40" t="s">
        <v>110</v>
      </c>
      <c r="AH13" s="40"/>
      <c r="AI13" s="40"/>
      <c r="AJ13" s="40"/>
      <c r="AL13" s="40" t="s">
        <v>111</v>
      </c>
      <c r="AM13" s="40"/>
      <c r="AN13" s="40"/>
      <c r="AO13" s="40"/>
    </row>
    <row r="14" spans="2:42" x14ac:dyDescent="0.3">
      <c r="C14" s="86" t="s">
        <v>50</v>
      </c>
      <c r="D14" s="87"/>
      <c r="E14" s="32" t="s">
        <v>51</v>
      </c>
      <c r="F14" s="75"/>
      <c r="H14" s="62"/>
      <c r="I14" s="63"/>
      <c r="J14" s="63"/>
      <c r="K14" s="65"/>
      <c r="L14" s="29" t="s">
        <v>67</v>
      </c>
      <c r="M14" s="29" t="s">
        <v>68</v>
      </c>
      <c r="N14" s="29" t="s">
        <v>67</v>
      </c>
      <c r="O14" s="29" t="s">
        <v>68</v>
      </c>
      <c r="Q14" s="62"/>
      <c r="R14" s="63"/>
      <c r="S14" s="63"/>
      <c r="T14" s="65"/>
      <c r="U14" s="29" t="s">
        <v>67</v>
      </c>
      <c r="V14" s="29" t="s">
        <v>68</v>
      </c>
      <c r="W14" s="29" t="s">
        <v>67</v>
      </c>
      <c r="X14" s="29" t="s">
        <v>68</v>
      </c>
      <c r="Z14" s="51" t="s">
        <v>115</v>
      </c>
      <c r="AA14" s="51"/>
      <c r="AB14" s="51" t="s">
        <v>51</v>
      </c>
      <c r="AC14" s="51"/>
      <c r="AG14" s="30" t="s">
        <v>8</v>
      </c>
      <c r="AH14" s="38"/>
      <c r="AI14" s="30" t="s">
        <v>109</v>
      </c>
      <c r="AJ14" s="30" t="s">
        <v>68</v>
      </c>
      <c r="AL14" s="30" t="s">
        <v>8</v>
      </c>
      <c r="AM14" s="38"/>
      <c r="AN14" s="30" t="s">
        <v>109</v>
      </c>
      <c r="AO14" s="30" t="s">
        <v>68</v>
      </c>
    </row>
    <row r="15" spans="2:42" x14ac:dyDescent="0.3">
      <c r="C15" s="83" t="s">
        <v>0</v>
      </c>
      <c r="D15" s="84"/>
      <c r="E15" s="19">
        <v>30</v>
      </c>
      <c r="F15" s="18"/>
      <c r="H15" s="79">
        <f>SUM(H5:H9)</f>
        <v>145284</v>
      </c>
      <c r="I15" s="79">
        <f>H15-SUM($F$5:$F$9)+$E$11</f>
        <v>204681</v>
      </c>
      <c r="J15" s="79">
        <f>SQRT(I15*$F$10/6)</f>
        <v>42138.364805720688</v>
      </c>
      <c r="K15" s="70">
        <f>(J15/$E$12-1)*100</f>
        <v>1.3824506589600771</v>
      </c>
      <c r="L15" s="71">
        <f>SUM(L5:L9)</f>
        <v>575992.90133333334</v>
      </c>
      <c r="M15" s="72">
        <f>ROUND(L15/K15,-3)</f>
        <v>417000</v>
      </c>
      <c r="N15" s="71">
        <f>SUM(N5:N9)</f>
        <v>1195314</v>
      </c>
      <c r="O15" s="72">
        <f>ROUND(N15/K15,-3)</f>
        <v>865000</v>
      </c>
      <c r="Q15" s="79">
        <f>SUM(Q5:Q9)</f>
        <v>150165</v>
      </c>
      <c r="R15" s="79">
        <f>Q15-SUM($F$5:$F$9)+$E$11</f>
        <v>209562</v>
      </c>
      <c r="S15" s="79">
        <f>SQRT(R15*$F$10/6)</f>
        <v>42637.838559195283</v>
      </c>
      <c r="T15" s="70">
        <f>(S15/$E$12-1)*100</f>
        <v>2.5841554095015429</v>
      </c>
      <c r="U15" s="71">
        <f>SUM(U5:U9)</f>
        <v>1369091.4816666667</v>
      </c>
      <c r="V15" s="72">
        <f>ROUND(U15/T15,-3)</f>
        <v>530000</v>
      </c>
      <c r="W15" s="71">
        <f>SUM(W5:W9)</f>
        <v>2580653.0346666668</v>
      </c>
      <c r="X15" s="72">
        <f>ROUND(W15/T15,-3)</f>
        <v>999000</v>
      </c>
      <c r="Z15" s="50" t="s">
        <v>83</v>
      </c>
      <c r="AA15" s="50"/>
      <c r="AB15" s="82">
        <v>2000</v>
      </c>
      <c r="AC15" s="82"/>
      <c r="AG15" s="47">
        <f>IF($AJ$19="","",SUM(AG4:AG11))</f>
        <v>8.8000000000000007</v>
      </c>
      <c r="AH15" s="80"/>
      <c r="AI15" s="48">
        <f>SUM(AI4:AI11)</f>
        <v>2072000</v>
      </c>
      <c r="AJ15" s="49">
        <f>IF(AG15="","",AI15/AG15)</f>
        <v>235454.54545454544</v>
      </c>
      <c r="AL15" s="47">
        <f>IF($AJ$19="","",SUM(AL4:AL11))</f>
        <v>0.9</v>
      </c>
      <c r="AM15" s="80"/>
      <c r="AN15" s="48">
        <f>SUM(AN4:AN11)</f>
        <v>304000</v>
      </c>
      <c r="AO15" s="49">
        <f>IF(AL15="","",AN15/AL15)</f>
        <v>337777.77777777775</v>
      </c>
    </row>
    <row r="16" spans="2:42" x14ac:dyDescent="0.3">
      <c r="C16" s="83" t="s">
        <v>2</v>
      </c>
      <c r="D16" s="84"/>
      <c r="E16" s="19">
        <v>0.7</v>
      </c>
      <c r="F16" s="18"/>
      <c r="H16" s="79"/>
      <c r="I16" s="79"/>
      <c r="J16" s="79"/>
      <c r="K16" s="70"/>
      <c r="L16" s="71"/>
      <c r="M16" s="72"/>
      <c r="N16" s="71"/>
      <c r="O16" s="72"/>
      <c r="Q16" s="79"/>
      <c r="R16" s="79"/>
      <c r="S16" s="79"/>
      <c r="T16" s="70"/>
      <c r="U16" s="71"/>
      <c r="V16" s="72"/>
      <c r="W16" s="71"/>
      <c r="X16" s="72"/>
      <c r="Z16" s="50" t="s">
        <v>85</v>
      </c>
      <c r="AA16" s="50"/>
      <c r="AB16" s="82">
        <f>AB15*3</f>
        <v>6000</v>
      </c>
      <c r="AC16" s="82"/>
      <c r="AG16" s="47"/>
      <c r="AH16" s="81"/>
      <c r="AI16" s="48"/>
      <c r="AJ16" s="49"/>
      <c r="AL16" s="47"/>
      <c r="AM16" s="81"/>
      <c r="AN16" s="48"/>
      <c r="AO16" s="49"/>
    </row>
    <row r="17" spans="3:36" x14ac:dyDescent="0.3">
      <c r="C17" s="83" t="s">
        <v>1</v>
      </c>
      <c r="D17" s="84"/>
      <c r="E17" s="19">
        <v>40</v>
      </c>
      <c r="F17" s="18"/>
      <c r="Z17" s="50" t="s">
        <v>3</v>
      </c>
      <c r="AA17" s="50"/>
      <c r="AB17" s="82">
        <v>18000</v>
      </c>
      <c r="AC17" s="82"/>
      <c r="AH17" s="33"/>
    </row>
    <row r="18" spans="3:36" ht="16.5" customHeight="1" x14ac:dyDescent="0.3">
      <c r="C18" s="83" t="s">
        <v>7</v>
      </c>
      <c r="D18" s="84"/>
      <c r="E18" s="19">
        <v>28</v>
      </c>
      <c r="F18" s="18"/>
      <c r="H18" s="52"/>
      <c r="I18" s="53"/>
      <c r="J18" s="54"/>
      <c r="K18" s="55" t="s">
        <v>79</v>
      </c>
      <c r="L18" s="56"/>
      <c r="M18" s="56"/>
      <c r="N18" s="56"/>
      <c r="O18" s="57"/>
      <c r="Q18" s="52"/>
      <c r="R18" s="53"/>
      <c r="S18" s="54"/>
      <c r="T18" s="55" t="s">
        <v>80</v>
      </c>
      <c r="U18" s="56"/>
      <c r="V18" s="56"/>
      <c r="W18" s="56"/>
      <c r="X18" s="57"/>
      <c r="Z18" s="50" t="s">
        <v>4</v>
      </c>
      <c r="AA18" s="50"/>
      <c r="AB18" s="82">
        <v>54000</v>
      </c>
      <c r="AC18" s="82"/>
      <c r="AG18" s="40" t="s">
        <v>112</v>
      </c>
      <c r="AH18" s="40"/>
      <c r="AI18" s="40"/>
      <c r="AJ18" s="40"/>
    </row>
    <row r="19" spans="3:36" x14ac:dyDescent="0.3">
      <c r="C19" s="83" t="s">
        <v>29</v>
      </c>
      <c r="D19" s="84"/>
      <c r="E19" s="19">
        <v>550</v>
      </c>
      <c r="F19" s="18"/>
      <c r="H19" s="62" t="s">
        <v>49</v>
      </c>
      <c r="I19" s="63" t="s">
        <v>71</v>
      </c>
      <c r="J19" s="63" t="s">
        <v>70</v>
      </c>
      <c r="K19" s="64" t="s">
        <v>76</v>
      </c>
      <c r="L19" s="65" t="s">
        <v>72</v>
      </c>
      <c r="M19" s="65"/>
      <c r="N19" s="64" t="s">
        <v>73</v>
      </c>
      <c r="O19" s="64"/>
      <c r="Q19" s="62" t="s">
        <v>49</v>
      </c>
      <c r="R19" s="63" t="s">
        <v>71</v>
      </c>
      <c r="S19" s="63" t="s">
        <v>70</v>
      </c>
      <c r="T19" s="64" t="s">
        <v>76</v>
      </c>
      <c r="U19" s="65" t="s">
        <v>72</v>
      </c>
      <c r="V19" s="65"/>
      <c r="W19" s="64" t="s">
        <v>73</v>
      </c>
      <c r="X19" s="64"/>
      <c r="Z19" s="50" t="s">
        <v>5</v>
      </c>
      <c r="AA19" s="50"/>
      <c r="AB19" s="82">
        <v>170000</v>
      </c>
      <c r="AC19" s="82"/>
      <c r="AG19" s="41" t="s">
        <v>113</v>
      </c>
      <c r="AH19" s="42"/>
      <c r="AI19" s="42"/>
      <c r="AJ19" s="77" t="s">
        <v>114</v>
      </c>
    </row>
    <row r="20" spans="3:36" x14ac:dyDescent="0.3">
      <c r="C20" s="83" t="s">
        <v>31</v>
      </c>
      <c r="D20" s="84"/>
      <c r="E20" s="19">
        <v>60</v>
      </c>
      <c r="H20" s="62"/>
      <c r="I20" s="63"/>
      <c r="J20" s="63"/>
      <c r="K20" s="65"/>
      <c r="L20" s="29" t="s">
        <v>67</v>
      </c>
      <c r="M20" s="29" t="s">
        <v>68</v>
      </c>
      <c r="N20" s="29" t="s">
        <v>67</v>
      </c>
      <c r="O20" s="29" t="s">
        <v>68</v>
      </c>
      <c r="Q20" s="62"/>
      <c r="R20" s="63"/>
      <c r="S20" s="63"/>
      <c r="T20" s="65"/>
      <c r="U20" s="29" t="s">
        <v>67</v>
      </c>
      <c r="V20" s="29" t="s">
        <v>68</v>
      </c>
      <c r="W20" s="29" t="s">
        <v>67</v>
      </c>
      <c r="X20" s="29" t="s">
        <v>68</v>
      </c>
      <c r="Z20" s="50" t="s">
        <v>108</v>
      </c>
      <c r="AA20" s="50"/>
      <c r="AB20" s="82">
        <v>670000</v>
      </c>
      <c r="AC20" s="82"/>
      <c r="AG20" s="42"/>
      <c r="AH20" s="42"/>
      <c r="AI20" s="42"/>
      <c r="AJ20" s="78"/>
    </row>
    <row r="21" spans="3:36" x14ac:dyDescent="0.3">
      <c r="C21" s="83" t="s">
        <v>30</v>
      </c>
      <c r="D21" s="84"/>
      <c r="E21" s="19">
        <v>115</v>
      </c>
      <c r="H21" s="66" t="s">
        <v>49</v>
      </c>
      <c r="I21" s="66">
        <f>I15</f>
        <v>204681</v>
      </c>
      <c r="J21" s="66">
        <f>SQRT(I21*$H$10/6)</f>
        <v>42838.882408391561</v>
      </c>
      <c r="K21" s="68">
        <f>(J21/$E$12-1)*100</f>
        <v>3.0678551974596457</v>
      </c>
      <c r="L21" s="60">
        <f>SUM(L5:L10)</f>
        <v>1133314.0413333334</v>
      </c>
      <c r="M21" s="58">
        <f>ROUND(L21/K21,-3)</f>
        <v>369000</v>
      </c>
      <c r="N21" s="60">
        <f>SUM(N5:N10)</f>
        <v>1751956</v>
      </c>
      <c r="O21" s="58">
        <f>ROUND(N21/K21,-3)</f>
        <v>571000</v>
      </c>
      <c r="Q21" s="66" t="s">
        <v>49</v>
      </c>
      <c r="R21" s="66">
        <f>R15</f>
        <v>209562</v>
      </c>
      <c r="S21" s="66">
        <f>SQRT(R21*$Q$10/6)</f>
        <v>44067.065627291318</v>
      </c>
      <c r="T21" s="68">
        <f>(S21/$E$12-1)*100</f>
        <v>6.0227924657744181</v>
      </c>
      <c r="U21" s="60">
        <f>SUM(U5:U10)</f>
        <v>2483733.7616666667</v>
      </c>
      <c r="V21" s="58">
        <f>ROUND(U21/T21,-3)</f>
        <v>412000</v>
      </c>
      <c r="W21" s="60">
        <f>SUM(W5:W10)</f>
        <v>3725919.4146666666</v>
      </c>
      <c r="X21" s="58">
        <f>ROUND(W21/T21,-3)</f>
        <v>619000</v>
      </c>
    </row>
    <row r="22" spans="3:36" x14ac:dyDescent="0.3">
      <c r="C22" s="83" t="s">
        <v>32</v>
      </c>
      <c r="D22" s="84"/>
      <c r="E22" s="19">
        <v>255</v>
      </c>
      <c r="H22" s="67"/>
      <c r="I22" s="67"/>
      <c r="J22" s="67"/>
      <c r="K22" s="69"/>
      <c r="L22" s="61"/>
      <c r="M22" s="59"/>
      <c r="N22" s="61"/>
      <c r="O22" s="59"/>
      <c r="Q22" s="67"/>
      <c r="R22" s="67"/>
      <c r="S22" s="67"/>
      <c r="T22" s="69"/>
      <c r="U22" s="61"/>
      <c r="V22" s="59"/>
      <c r="W22" s="61"/>
      <c r="X22" s="59"/>
    </row>
    <row r="23" spans="3:36" ht="9" customHeight="1" x14ac:dyDescent="0.3"/>
  </sheetData>
  <dataConsolidate/>
  <mergeCells count="134">
    <mergeCell ref="C11:D11"/>
    <mergeCell ref="I13:I14"/>
    <mergeCell ref="C3:C4"/>
    <mergeCell ref="D3:D4"/>
    <mergeCell ref="E3:E4"/>
    <mergeCell ref="AC2:AC3"/>
    <mergeCell ref="AD2:AD3"/>
    <mergeCell ref="AA2:AA3"/>
    <mergeCell ref="AB2:AB3"/>
    <mergeCell ref="W21:W22"/>
    <mergeCell ref="X21:X22"/>
    <mergeCell ref="AB18:AC18"/>
    <mergeCell ref="AB19:AC19"/>
    <mergeCell ref="AB20:AC20"/>
    <mergeCell ref="Z2:Z3"/>
    <mergeCell ref="C18:D18"/>
    <mergeCell ref="C19:D19"/>
    <mergeCell ref="C20:D20"/>
    <mergeCell ref="C21:D21"/>
    <mergeCell ref="C22:D22"/>
    <mergeCell ref="C2:E2"/>
    <mergeCell ref="C14:D14"/>
    <mergeCell ref="C15:D15"/>
    <mergeCell ref="C16:D16"/>
    <mergeCell ref="C17:D17"/>
    <mergeCell ref="C12:D12"/>
    <mergeCell ref="R15:R16"/>
    <mergeCell ref="S15:S16"/>
    <mergeCell ref="AH15:AH16"/>
    <mergeCell ref="AI15:AI16"/>
    <mergeCell ref="AJ15:AJ16"/>
    <mergeCell ref="AL15:AL16"/>
    <mergeCell ref="AM15:AM16"/>
    <mergeCell ref="AB14:AC14"/>
    <mergeCell ref="AB15:AC15"/>
    <mergeCell ref="AB16:AC16"/>
    <mergeCell ref="H15:H16"/>
    <mergeCell ref="I15:I16"/>
    <mergeCell ref="J15:J16"/>
    <mergeCell ref="K15:K16"/>
    <mergeCell ref="L15:L16"/>
    <mergeCell ref="M15:M16"/>
    <mergeCell ref="N15:N16"/>
    <mergeCell ref="O15:O16"/>
    <mergeCell ref="Q15:Q16"/>
    <mergeCell ref="T3:T4"/>
    <mergeCell ref="U3:V3"/>
    <mergeCell ref="F3:F4"/>
    <mergeCell ref="H3:H4"/>
    <mergeCell ref="I3:I4"/>
    <mergeCell ref="L3:M3"/>
    <mergeCell ref="N3:O3"/>
    <mergeCell ref="J3:J4"/>
    <mergeCell ref="K3:K4"/>
    <mergeCell ref="F11:F14"/>
    <mergeCell ref="H13:H14"/>
    <mergeCell ref="J13:J14"/>
    <mergeCell ref="K13:K14"/>
    <mergeCell ref="L13:M13"/>
    <mergeCell ref="N13:O13"/>
    <mergeCell ref="Q13:Q14"/>
    <mergeCell ref="R13:R14"/>
    <mergeCell ref="S13:S14"/>
    <mergeCell ref="H21:H22"/>
    <mergeCell ref="I21:I22"/>
    <mergeCell ref="J21:J22"/>
    <mergeCell ref="K21:K22"/>
    <mergeCell ref="L21:L22"/>
    <mergeCell ref="H19:H20"/>
    <mergeCell ref="I19:I20"/>
    <mergeCell ref="J19:J20"/>
    <mergeCell ref="K19:K20"/>
    <mergeCell ref="L19:M19"/>
    <mergeCell ref="M21:M22"/>
    <mergeCell ref="N21:N22"/>
    <mergeCell ref="O21:O22"/>
    <mergeCell ref="Q19:Q20"/>
    <mergeCell ref="R19:R20"/>
    <mergeCell ref="S19:S20"/>
    <mergeCell ref="T19:T20"/>
    <mergeCell ref="U19:V19"/>
    <mergeCell ref="W19:X19"/>
    <mergeCell ref="Q21:Q22"/>
    <mergeCell ref="R21:R22"/>
    <mergeCell ref="S21:S22"/>
    <mergeCell ref="T21:T22"/>
    <mergeCell ref="U21:U22"/>
    <mergeCell ref="V21:V22"/>
    <mergeCell ref="N19:O19"/>
    <mergeCell ref="Q18:S18"/>
    <mergeCell ref="T18:X18"/>
    <mergeCell ref="Q12:S12"/>
    <mergeCell ref="T12:X12"/>
    <mergeCell ref="T2:X2"/>
    <mergeCell ref="Q2:S2"/>
    <mergeCell ref="K2:O2"/>
    <mergeCell ref="H2:J2"/>
    <mergeCell ref="K12:O12"/>
    <mergeCell ref="H12:J12"/>
    <mergeCell ref="K18:O18"/>
    <mergeCell ref="H18:J18"/>
    <mergeCell ref="T15:T16"/>
    <mergeCell ref="U15:U16"/>
    <mergeCell ref="V15:V16"/>
    <mergeCell ref="W15:W16"/>
    <mergeCell ref="X15:X16"/>
    <mergeCell ref="W3:X3"/>
    <mergeCell ref="T13:T14"/>
    <mergeCell ref="U13:V13"/>
    <mergeCell ref="W13:X13"/>
    <mergeCell ref="Q3:Q4"/>
    <mergeCell ref="R3:R4"/>
    <mergeCell ref="S3:S4"/>
    <mergeCell ref="Z16:AA16"/>
    <mergeCell ref="Z17:AA17"/>
    <mergeCell ref="Z18:AA18"/>
    <mergeCell ref="Z19:AA19"/>
    <mergeCell ref="Z20:AA20"/>
    <mergeCell ref="Z12:AA12"/>
    <mergeCell ref="Z14:AA14"/>
    <mergeCell ref="Z15:AA15"/>
    <mergeCell ref="AB12:AC12"/>
    <mergeCell ref="AB17:AC17"/>
    <mergeCell ref="AG18:AJ18"/>
    <mergeCell ref="AG19:AI20"/>
    <mergeCell ref="AE2:AE3"/>
    <mergeCell ref="AG2:AJ2"/>
    <mergeCell ref="AG13:AJ13"/>
    <mergeCell ref="AL13:AO13"/>
    <mergeCell ref="AL2:AO2"/>
    <mergeCell ref="AG15:AG16"/>
    <mergeCell ref="AN15:AN16"/>
    <mergeCell ref="AO15:AO16"/>
    <mergeCell ref="AJ19:AJ20"/>
  </mergeCells>
  <phoneticPr fontId="2" type="noConversion"/>
  <conditionalFormatting sqref="AL10:AO11 AG10:AJ11">
    <cfRule type="expression" dxfId="0" priority="1">
      <formula>OR($AA10="",$AB10="",$AC10="")</formula>
    </cfRule>
  </conditionalFormatting>
  <dataValidations count="2">
    <dataValidation type="list" allowBlank="1" showInputMessage="1" showErrorMessage="1" sqref="E5:E10" xr:uid="{3AAEB6F3-09FC-4293-BA11-8C51C132AA7D}">
      <formula1>$B$5:$B$6</formula1>
    </dataValidation>
    <dataValidation type="list" allowBlank="1" showInputMessage="1" showErrorMessage="1" sqref="AJ19:AJ20" xr:uid="{7A813531-1706-4CC3-8E8D-237CA74E7C7D}">
      <formula1>$B$11:$B$12</formula1>
    </dataValidation>
  </dataValidations>
  <pageMargins left="0.7" right="0.7" top="0.75" bottom="0.75" header="0.3" footer="0.3"/>
  <pageSetup paperSize="9" orientation="portrait" r:id="rId1"/>
  <ignoredErrors>
    <ignoredError sqref="M15 V15 M21 V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91C18-2A68-41CE-BD3B-B6B327ECC922}">
  <dimension ref="B1:BC53"/>
  <sheetViews>
    <sheetView zoomScale="85" zoomScaleNormal="85" workbookViewId="0">
      <selection activeCell="AZ26" sqref="AZ26"/>
    </sheetView>
  </sheetViews>
  <sheetFormatPr defaultRowHeight="16.5" x14ac:dyDescent="0.3"/>
  <cols>
    <col min="1" max="1" width="1.125" style="1" customWidth="1"/>
    <col min="2" max="2" width="5.25" style="8" bestFit="1" customWidth="1"/>
    <col min="3" max="3" width="6.5" style="8" bestFit="1" customWidth="1"/>
    <col min="4" max="4" width="5.5" style="8" bestFit="1" customWidth="1"/>
    <col min="5" max="5" width="6.5" style="8" bestFit="1" customWidth="1"/>
    <col min="6" max="6" width="1.125" style="8" customWidth="1"/>
    <col min="7" max="7" width="5.25" style="8" bestFit="1" customWidth="1"/>
    <col min="8" max="8" width="6.5" style="8" bestFit="1" customWidth="1"/>
    <col min="9" max="9" width="5.5" style="8" bestFit="1" customWidth="1"/>
    <col min="10" max="10" width="6.5" style="8" bestFit="1" customWidth="1"/>
    <col min="11" max="11" width="1.125" style="8" customWidth="1"/>
    <col min="12" max="12" width="5.25" style="8" bestFit="1" customWidth="1"/>
    <col min="13" max="13" width="6.5" style="8" bestFit="1" customWidth="1"/>
    <col min="14" max="14" width="5.5" style="8" bestFit="1" customWidth="1"/>
    <col min="15" max="15" width="6.5" style="8" bestFit="1" customWidth="1"/>
    <col min="16" max="16" width="1.125" style="8" customWidth="1"/>
    <col min="17" max="17" width="5.25" style="1" bestFit="1" customWidth="1"/>
    <col min="18" max="18" width="6.5" style="1" bestFit="1" customWidth="1"/>
    <col min="19" max="19" width="5.5" style="1" bestFit="1" customWidth="1"/>
    <col min="20" max="20" width="6.5" style="1" bestFit="1" customWidth="1"/>
    <col min="21" max="21" width="1.125" style="1" customWidth="1"/>
    <col min="22" max="22" width="5.25" style="1" bestFit="1" customWidth="1"/>
    <col min="23" max="23" width="6.5" style="1" bestFit="1" customWidth="1"/>
    <col min="24" max="24" width="5.5" style="1" bestFit="1" customWidth="1"/>
    <col min="25" max="25" width="6.5" style="1" bestFit="1" customWidth="1"/>
    <col min="26" max="26" width="1" style="1" customWidth="1"/>
    <col min="27" max="27" width="5.25" style="1" bestFit="1" customWidth="1"/>
    <col min="28" max="28" width="6.5" style="1" bestFit="1" customWidth="1"/>
    <col min="29" max="29" width="5.5" style="1" bestFit="1" customWidth="1"/>
    <col min="30" max="30" width="6.5" style="1" bestFit="1" customWidth="1"/>
    <col min="31" max="31" width="1.625" style="1" customWidth="1"/>
    <col min="32" max="32" width="5.875" style="1" customWidth="1"/>
    <col min="33" max="33" width="8.875" style="1" bestFit="1" customWidth="1"/>
    <col min="34" max="35" width="7.125" style="1" bestFit="1" customWidth="1"/>
    <col min="36" max="36" width="9.875" style="1" bestFit="1" customWidth="1"/>
    <col min="37" max="37" width="8.875" style="1" bestFit="1" customWidth="1"/>
    <col min="38" max="38" width="9.875" style="1" bestFit="1" customWidth="1"/>
    <col min="39" max="39" width="7.875" style="1" bestFit="1" customWidth="1"/>
    <col min="40" max="41" width="7.125" style="1" bestFit="1" customWidth="1"/>
    <col min="42" max="43" width="8.875" style="1" bestFit="1" customWidth="1"/>
    <col min="44" max="45" width="6.875" style="1" bestFit="1" customWidth="1"/>
    <col min="46" max="46" width="5.875" style="1" bestFit="1" customWidth="1"/>
    <col min="47" max="47" width="9.875" style="1" bestFit="1" customWidth="1"/>
    <col min="48" max="48" width="1.75" style="1" customWidth="1"/>
    <col min="49" max="50" width="9" style="1"/>
    <col min="51" max="51" width="1.5" style="1" customWidth="1"/>
    <col min="52" max="16384" width="9" style="1"/>
  </cols>
  <sheetData>
    <row r="1" spans="2:55" ht="8.25" customHeight="1" x14ac:dyDescent="0.3"/>
    <row r="2" spans="2:55" x14ac:dyDescent="0.3">
      <c r="B2" s="97" t="s">
        <v>22</v>
      </c>
      <c r="C2" s="97"/>
      <c r="D2" s="97"/>
      <c r="E2" s="97"/>
      <c r="F2" s="1"/>
      <c r="G2" s="94" t="s">
        <v>23</v>
      </c>
      <c r="H2" s="95"/>
      <c r="I2" s="95"/>
      <c r="J2" s="96"/>
      <c r="K2" s="1"/>
      <c r="L2" s="94" t="s">
        <v>24</v>
      </c>
      <c r="M2" s="95"/>
      <c r="N2" s="95"/>
      <c r="O2" s="96"/>
      <c r="P2" s="1"/>
      <c r="Q2" s="94" t="s">
        <v>25</v>
      </c>
      <c r="R2" s="95"/>
      <c r="S2" s="95"/>
      <c r="T2" s="96"/>
      <c r="V2" s="94" t="s">
        <v>26</v>
      </c>
      <c r="W2" s="95"/>
      <c r="X2" s="95"/>
      <c r="Y2" s="96"/>
      <c r="Z2" s="3"/>
      <c r="AA2" s="97" t="s">
        <v>21</v>
      </c>
      <c r="AB2" s="97"/>
      <c r="AC2" s="97"/>
      <c r="AD2" s="97"/>
      <c r="AF2" s="88" t="s">
        <v>36</v>
      </c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W2" s="5" t="s">
        <v>0</v>
      </c>
      <c r="AX2" s="4">
        <f>입력!E15</f>
        <v>30</v>
      </c>
      <c r="AY2" s="10"/>
      <c r="AZ2" s="15" t="s">
        <v>63</v>
      </c>
      <c r="BA2" s="15" t="s">
        <v>64</v>
      </c>
      <c r="BB2" s="15" t="s">
        <v>65</v>
      </c>
      <c r="BC2" s="15" t="s">
        <v>66</v>
      </c>
    </row>
    <row r="3" spans="2:55" x14ac:dyDescent="0.3">
      <c r="B3" s="2" t="s">
        <v>10</v>
      </c>
      <c r="C3" s="2" t="s">
        <v>15</v>
      </c>
      <c r="D3" s="97" t="s">
        <v>12</v>
      </c>
      <c r="E3" s="97"/>
      <c r="F3" s="1"/>
      <c r="G3" s="2" t="s">
        <v>10</v>
      </c>
      <c r="H3" s="2" t="s">
        <v>15</v>
      </c>
      <c r="I3" s="97" t="s">
        <v>12</v>
      </c>
      <c r="J3" s="97"/>
      <c r="K3" s="1"/>
      <c r="L3" s="2" t="s">
        <v>10</v>
      </c>
      <c r="M3" s="2" t="s">
        <v>15</v>
      </c>
      <c r="N3" s="97" t="s">
        <v>12</v>
      </c>
      <c r="O3" s="97"/>
      <c r="P3" s="1"/>
      <c r="Q3" s="2" t="s">
        <v>10</v>
      </c>
      <c r="R3" s="2" t="s">
        <v>15</v>
      </c>
      <c r="S3" s="97" t="s">
        <v>12</v>
      </c>
      <c r="T3" s="97"/>
      <c r="V3" s="2" t="s">
        <v>10</v>
      </c>
      <c r="W3" s="2" t="s">
        <v>15</v>
      </c>
      <c r="X3" s="97" t="s">
        <v>12</v>
      </c>
      <c r="Y3" s="97"/>
      <c r="Z3" s="3"/>
      <c r="AA3" s="2" t="s">
        <v>10</v>
      </c>
      <c r="AB3" s="2" t="s">
        <v>11</v>
      </c>
      <c r="AC3" s="97" t="s">
        <v>12</v>
      </c>
      <c r="AD3" s="97"/>
      <c r="AF3" s="89" t="s">
        <v>38</v>
      </c>
      <c r="AG3" s="88" t="s">
        <v>33</v>
      </c>
      <c r="AH3" s="88"/>
      <c r="AI3" s="88"/>
      <c r="AJ3" s="88"/>
      <c r="AK3" s="88"/>
      <c r="AL3" s="88"/>
      <c r="AM3" s="88" t="s">
        <v>34</v>
      </c>
      <c r="AN3" s="88"/>
      <c r="AO3" s="88"/>
      <c r="AP3" s="88"/>
      <c r="AQ3" s="88"/>
      <c r="AR3" s="88"/>
      <c r="AS3" s="88"/>
      <c r="AT3" s="88"/>
      <c r="AU3" s="88"/>
      <c r="AW3" s="5" t="s">
        <v>2</v>
      </c>
      <c r="AX3" s="4">
        <f>입력!E16</f>
        <v>0.7</v>
      </c>
      <c r="AY3" s="3"/>
      <c r="AZ3" s="15" t="s">
        <v>89</v>
      </c>
      <c r="BA3" s="16">
        <v>3</v>
      </c>
      <c r="BB3" s="15" t="s">
        <v>93</v>
      </c>
      <c r="BC3" s="15">
        <v>2</v>
      </c>
    </row>
    <row r="4" spans="2:55" x14ac:dyDescent="0.3">
      <c r="B4" s="2">
        <v>0</v>
      </c>
      <c r="C4" s="2">
        <v>10462</v>
      </c>
      <c r="D4" s="97"/>
      <c r="E4" s="97"/>
      <c r="F4" s="1"/>
      <c r="G4" s="2">
        <v>0</v>
      </c>
      <c r="H4" s="2">
        <v>11267</v>
      </c>
      <c r="I4" s="97"/>
      <c r="J4" s="97"/>
      <c r="K4" s="1"/>
      <c r="L4" s="2">
        <v>0</v>
      </c>
      <c r="M4" s="2">
        <v>8048</v>
      </c>
      <c r="N4" s="97"/>
      <c r="O4" s="97"/>
      <c r="P4" s="1"/>
      <c r="Q4" s="2">
        <v>0</v>
      </c>
      <c r="R4" s="2">
        <v>8853</v>
      </c>
      <c r="S4" s="97"/>
      <c r="T4" s="97"/>
      <c r="V4" s="2">
        <v>0</v>
      </c>
      <c r="W4" s="2">
        <v>12876</v>
      </c>
      <c r="X4" s="97"/>
      <c r="Y4" s="97"/>
      <c r="Z4" s="3"/>
      <c r="AA4" s="2">
        <v>0</v>
      </c>
      <c r="AB4" s="2">
        <v>19413</v>
      </c>
      <c r="AC4" s="97"/>
      <c r="AD4" s="97"/>
      <c r="AF4" s="90"/>
      <c r="AG4" s="14" t="s">
        <v>0</v>
      </c>
      <c r="AH4" s="14" t="s">
        <v>1</v>
      </c>
      <c r="AI4" s="14" t="s">
        <v>7</v>
      </c>
      <c r="AJ4" s="14" t="s">
        <v>27</v>
      </c>
      <c r="AK4" s="14" t="s">
        <v>28</v>
      </c>
      <c r="AL4" s="11" t="s">
        <v>35</v>
      </c>
      <c r="AM4" s="14" t="s">
        <v>0</v>
      </c>
      <c r="AN4" s="14" t="s">
        <v>1</v>
      </c>
      <c r="AO4" s="14" t="s">
        <v>7</v>
      </c>
      <c r="AP4" s="14" t="s">
        <v>27</v>
      </c>
      <c r="AQ4" s="14" t="s">
        <v>28</v>
      </c>
      <c r="AR4" s="14" t="s">
        <v>31</v>
      </c>
      <c r="AS4" s="14" t="s">
        <v>30</v>
      </c>
      <c r="AT4" s="14" t="s">
        <v>32</v>
      </c>
      <c r="AU4" s="13" t="s">
        <v>35</v>
      </c>
      <c r="AW4" s="5" t="s">
        <v>1</v>
      </c>
      <c r="AX4" s="4">
        <f>입력!E17</f>
        <v>40</v>
      </c>
      <c r="AY4" s="3"/>
      <c r="AZ4" s="15" t="s">
        <v>90</v>
      </c>
      <c r="BA4" s="15">
        <v>6</v>
      </c>
      <c r="BB4" s="15" t="s">
        <v>94</v>
      </c>
      <c r="BC4" s="15">
        <v>4</v>
      </c>
    </row>
    <row r="5" spans="2:55" x14ac:dyDescent="0.3">
      <c r="B5" s="2">
        <v>1</v>
      </c>
      <c r="C5" s="2">
        <f>C4+D5</f>
        <v>10674</v>
      </c>
      <c r="D5" s="2">
        <v>212</v>
      </c>
      <c r="E5" s="7">
        <f>C5/C4-1</f>
        <v>2.0263811890651962E-2</v>
      </c>
      <c r="F5" s="1"/>
      <c r="G5" s="2">
        <v>1</v>
      </c>
      <c r="H5" s="2">
        <f>H4+I5</f>
        <v>11495</v>
      </c>
      <c r="I5" s="2">
        <v>228</v>
      </c>
      <c r="J5" s="7">
        <f>H5/H4-1</f>
        <v>2.0236087689713411E-2</v>
      </c>
      <c r="K5" s="1"/>
      <c r="L5" s="2">
        <v>1</v>
      </c>
      <c r="M5" s="2">
        <f>M4+N5</f>
        <v>8211</v>
      </c>
      <c r="N5" s="2">
        <v>163</v>
      </c>
      <c r="O5" s="7">
        <f>M5/M4-1</f>
        <v>2.0253479125248441E-2</v>
      </c>
      <c r="P5" s="1"/>
      <c r="Q5" s="2">
        <v>1</v>
      </c>
      <c r="R5" s="2">
        <f>R4+S5</f>
        <v>9032</v>
      </c>
      <c r="S5" s="2">
        <v>179</v>
      </c>
      <c r="T5" s="7">
        <f>R5/R4-1</f>
        <v>2.021913475657966E-2</v>
      </c>
      <c r="V5" s="2">
        <v>1</v>
      </c>
      <c r="W5" s="2">
        <f>W4+X5</f>
        <v>13137</v>
      </c>
      <c r="X5" s="2">
        <v>261</v>
      </c>
      <c r="Y5" s="7">
        <f>W5/W4-1</f>
        <v>2.0270270270270174E-2</v>
      </c>
      <c r="Z5" s="6"/>
      <c r="AA5" s="2">
        <v>1</v>
      </c>
      <c r="AB5" s="2">
        <f>AB4+AC5</f>
        <v>19803</v>
      </c>
      <c r="AC5" s="2">
        <v>390</v>
      </c>
      <c r="AD5" s="7">
        <f>AB5/AB4-1</f>
        <v>2.0089630659867019E-2</v>
      </c>
      <c r="AF5" s="4">
        <v>13</v>
      </c>
      <c r="AG5" s="9">
        <v>4314.7</v>
      </c>
      <c r="AH5" s="9">
        <v>119.5</v>
      </c>
      <c r="AI5" s="9">
        <v>53.1</v>
      </c>
      <c r="AJ5" s="9">
        <v>6638</v>
      </c>
      <c r="AK5" s="9">
        <v>5310.4</v>
      </c>
      <c r="AL5" s="12">
        <f t="shared" ref="AL5:AL17" si="0">$AX$2*AG5/10+$AX$4*AH5+$AX$5*AI5+$AX$6/1500*AJ5+AK5</f>
        <v>26955.23333333333</v>
      </c>
      <c r="AM5" s="9">
        <v>2710.8</v>
      </c>
      <c r="AN5" s="9">
        <v>75.099999999999994</v>
      </c>
      <c r="AO5" s="9">
        <v>33.4</v>
      </c>
      <c r="AP5" s="9">
        <v>4170.5</v>
      </c>
      <c r="AQ5" s="9">
        <v>3336.4</v>
      </c>
      <c r="AR5" s="9">
        <v>98.1</v>
      </c>
      <c r="AS5" s="9">
        <v>49</v>
      </c>
      <c r="AT5" s="9">
        <v>16.3</v>
      </c>
      <c r="AU5" s="12">
        <f t="shared" ref="AU5:AU17" si="1">$AX$2*AM5/10+$AX$4*AN5+$AX$5*AO5+$AX$6/1500*AP5+AQ5+$AX$7*AR5+$AX$8*AS5+$AX$9*AT5</f>
        <v>32614.683333333334</v>
      </c>
      <c r="AW5" s="5" t="s">
        <v>7</v>
      </c>
      <c r="AX5" s="4">
        <f>입력!E18</f>
        <v>28</v>
      </c>
      <c r="AY5" s="3"/>
      <c r="AZ5" s="15" t="s">
        <v>91</v>
      </c>
      <c r="BA5" s="15">
        <v>9</v>
      </c>
      <c r="BB5" s="15" t="s">
        <v>95</v>
      </c>
      <c r="BC5" s="15">
        <v>6</v>
      </c>
    </row>
    <row r="6" spans="2:55" x14ac:dyDescent="0.3">
      <c r="B6" s="2">
        <v>2</v>
      </c>
      <c r="C6" s="2">
        <f t="shared" ref="C6:C24" si="2">C5+D6</f>
        <v>10889</v>
      </c>
      <c r="D6" s="2">
        <v>215</v>
      </c>
      <c r="E6" s="7">
        <f t="shared" ref="E6:E24" si="3">C6/C5-1</f>
        <v>2.0142402098557222E-2</v>
      </c>
      <c r="F6" s="1"/>
      <c r="G6" s="2">
        <v>2</v>
      </c>
      <c r="H6" s="2">
        <f t="shared" ref="H6:H24" si="4">H5+I6</f>
        <v>11727</v>
      </c>
      <c r="I6" s="2">
        <v>232</v>
      </c>
      <c r="J6" s="7">
        <f t="shared" ref="J6:J24" si="5">H6/H5-1</f>
        <v>2.0182688125271797E-2</v>
      </c>
      <c r="K6" s="1"/>
      <c r="L6" s="2">
        <v>2</v>
      </c>
      <c r="M6" s="2">
        <f t="shared" ref="M6:M24" si="6">M5+N6</f>
        <v>8376</v>
      </c>
      <c r="N6" s="2">
        <v>165</v>
      </c>
      <c r="O6" s="7">
        <f t="shared" ref="O6:O24" si="7">M6/M5-1</f>
        <v>2.0094994519546994E-2</v>
      </c>
      <c r="P6" s="1"/>
      <c r="Q6" s="2">
        <v>2</v>
      </c>
      <c r="R6" s="2">
        <f t="shared" ref="R6:R24" si="8">R5+S6</f>
        <v>9214</v>
      </c>
      <c r="S6" s="2">
        <v>182</v>
      </c>
      <c r="T6" s="7">
        <f t="shared" ref="T6:T24" si="9">R6/R5-1</f>
        <v>2.0150575730735198E-2</v>
      </c>
      <c r="V6" s="2">
        <v>2</v>
      </c>
      <c r="W6" s="2">
        <f t="shared" ref="W6:W24" si="10">W5+X6</f>
        <v>13402</v>
      </c>
      <c r="X6" s="2">
        <v>265</v>
      </c>
      <c r="Y6" s="7">
        <f t="shared" ref="Y6:Y24" si="11">W6/W5-1</f>
        <v>2.0172033188703642E-2</v>
      </c>
      <c r="Z6" s="6"/>
      <c r="AA6" s="2">
        <v>2</v>
      </c>
      <c r="AB6" s="2">
        <f t="shared" ref="AB6:AB24" si="12">AB5+AC6</f>
        <v>20201</v>
      </c>
      <c r="AC6" s="2">
        <v>398</v>
      </c>
      <c r="AD6" s="7">
        <f t="shared" ref="AD6:AD24" si="13">AB6/AB5-1</f>
        <v>2.0097964954804759E-2</v>
      </c>
      <c r="AF6" s="4">
        <v>14</v>
      </c>
      <c r="AG6" s="9">
        <v>8009.9</v>
      </c>
      <c r="AH6" s="9">
        <v>228.9</v>
      </c>
      <c r="AI6" s="9">
        <v>137.30000000000001</v>
      </c>
      <c r="AJ6" s="9">
        <v>16019.8</v>
      </c>
      <c r="AK6" s="9">
        <v>9955.2000000000007</v>
      </c>
      <c r="AL6" s="12">
        <f t="shared" si="0"/>
        <v>52859.226666666669</v>
      </c>
      <c r="AM6" s="9">
        <v>5266.5</v>
      </c>
      <c r="AN6" s="9">
        <v>150.5</v>
      </c>
      <c r="AO6" s="9">
        <v>90.3</v>
      </c>
      <c r="AP6" s="9">
        <v>10533.1</v>
      </c>
      <c r="AQ6" s="9">
        <v>6545.6</v>
      </c>
      <c r="AR6" s="9">
        <v>267.7</v>
      </c>
      <c r="AS6" s="9">
        <v>126.4</v>
      </c>
      <c r="AT6" s="9">
        <v>44.6</v>
      </c>
      <c r="AU6" s="12">
        <f t="shared" si="1"/>
        <v>76726.636666666658</v>
      </c>
      <c r="AW6" s="5" t="s">
        <v>29</v>
      </c>
      <c r="AX6" s="4">
        <f>입력!E19</f>
        <v>550</v>
      </c>
      <c r="AY6" s="3"/>
      <c r="AZ6" s="15" t="s">
        <v>92</v>
      </c>
      <c r="BA6" s="15">
        <v>12</v>
      </c>
      <c r="BB6" s="15" t="s">
        <v>96</v>
      </c>
      <c r="BC6" s="15">
        <v>8</v>
      </c>
    </row>
    <row r="7" spans="2:55" x14ac:dyDescent="0.3">
      <c r="B7" s="2">
        <v>3</v>
      </c>
      <c r="C7" s="2">
        <f t="shared" si="2"/>
        <v>11321</v>
      </c>
      <c r="D7" s="2">
        <v>432</v>
      </c>
      <c r="E7" s="7">
        <f t="shared" si="3"/>
        <v>3.967306456056563E-2</v>
      </c>
      <c r="F7" s="1"/>
      <c r="G7" s="2">
        <v>3</v>
      </c>
      <c r="H7" s="2">
        <f t="shared" si="4"/>
        <v>12191</v>
      </c>
      <c r="I7" s="2">
        <v>464</v>
      </c>
      <c r="J7" s="7">
        <f t="shared" si="5"/>
        <v>3.9566811631278176E-2</v>
      </c>
      <c r="K7" s="1"/>
      <c r="L7" s="2">
        <v>3</v>
      </c>
      <c r="M7" s="2">
        <f t="shared" si="6"/>
        <v>8708</v>
      </c>
      <c r="N7" s="2">
        <v>332</v>
      </c>
      <c r="O7" s="7">
        <f t="shared" si="7"/>
        <v>3.9637058261700053E-2</v>
      </c>
      <c r="P7" s="1"/>
      <c r="Q7" s="2">
        <v>3</v>
      </c>
      <c r="R7" s="2">
        <f t="shared" si="8"/>
        <v>9579</v>
      </c>
      <c r="S7" s="2">
        <v>365</v>
      </c>
      <c r="T7" s="7">
        <f t="shared" si="9"/>
        <v>3.9613631430432061E-2</v>
      </c>
      <c r="V7" s="2">
        <v>3</v>
      </c>
      <c r="W7" s="2">
        <f t="shared" si="10"/>
        <v>13933</v>
      </c>
      <c r="X7" s="2">
        <v>531</v>
      </c>
      <c r="Y7" s="7">
        <f t="shared" si="11"/>
        <v>3.9620952096701911E-2</v>
      </c>
      <c r="Z7" s="6"/>
      <c r="AA7" s="2">
        <v>3</v>
      </c>
      <c r="AB7" s="2">
        <f t="shared" si="12"/>
        <v>20997</v>
      </c>
      <c r="AC7" s="2">
        <v>796</v>
      </c>
      <c r="AD7" s="7">
        <f t="shared" si="13"/>
        <v>3.9403989901489966E-2</v>
      </c>
      <c r="AF7" s="4">
        <v>15</v>
      </c>
      <c r="AG7" s="9">
        <v>8582</v>
      </c>
      <c r="AH7" s="9">
        <v>228.9</v>
      </c>
      <c r="AI7" s="9">
        <v>137.30000000000001</v>
      </c>
      <c r="AJ7" s="9">
        <v>16019.8</v>
      </c>
      <c r="AK7" s="9">
        <v>10756.2</v>
      </c>
      <c r="AL7" s="12">
        <f t="shared" si="0"/>
        <v>55376.526666666672</v>
      </c>
      <c r="AM7" s="9">
        <v>5642.7</v>
      </c>
      <c r="AN7" s="9">
        <v>150.5</v>
      </c>
      <c r="AO7" s="9">
        <v>90.3</v>
      </c>
      <c r="AP7" s="9">
        <v>10533.1</v>
      </c>
      <c r="AQ7" s="9">
        <v>7072.2</v>
      </c>
      <c r="AR7" s="9">
        <v>267.7</v>
      </c>
      <c r="AS7" s="9">
        <v>126.4</v>
      </c>
      <c r="AT7" s="9">
        <v>44.6</v>
      </c>
      <c r="AU7" s="12">
        <f t="shared" si="1"/>
        <v>78381.83666666667</v>
      </c>
      <c r="AW7" s="5" t="s">
        <v>31</v>
      </c>
      <c r="AX7" s="4">
        <f>입력!E20</f>
        <v>60</v>
      </c>
      <c r="AY7" s="3"/>
      <c r="AZ7" s="15" t="s">
        <v>82</v>
      </c>
      <c r="BA7" s="15">
        <v>15</v>
      </c>
      <c r="BB7" s="15" t="s">
        <v>97</v>
      </c>
      <c r="BC7" s="15">
        <v>10</v>
      </c>
    </row>
    <row r="8" spans="2:55" x14ac:dyDescent="0.3">
      <c r="B8" s="2">
        <v>4</v>
      </c>
      <c r="C8" s="2">
        <f t="shared" si="2"/>
        <v>11993</v>
      </c>
      <c r="D8" s="2">
        <v>672</v>
      </c>
      <c r="E8" s="7">
        <f t="shared" si="3"/>
        <v>5.9358713894532178E-2</v>
      </c>
      <c r="F8" s="1"/>
      <c r="G8" s="2">
        <v>4</v>
      </c>
      <c r="H8" s="2">
        <f t="shared" si="4"/>
        <v>12916</v>
      </c>
      <c r="I8" s="2">
        <v>725</v>
      </c>
      <c r="J8" s="7">
        <f t="shared" si="5"/>
        <v>5.9470100894102096E-2</v>
      </c>
      <c r="K8" s="1"/>
      <c r="L8" s="2">
        <v>4</v>
      </c>
      <c r="M8" s="2">
        <f t="shared" si="6"/>
        <v>9226</v>
      </c>
      <c r="N8" s="2">
        <v>518</v>
      </c>
      <c r="O8" s="7">
        <f t="shared" si="7"/>
        <v>5.9485530546623755E-2</v>
      </c>
      <c r="P8" s="1"/>
      <c r="Q8" s="2">
        <v>4</v>
      </c>
      <c r="R8" s="2">
        <f t="shared" si="8"/>
        <v>10148</v>
      </c>
      <c r="S8" s="2">
        <v>569</v>
      </c>
      <c r="T8" s="7">
        <f t="shared" si="9"/>
        <v>5.9400772523227952E-2</v>
      </c>
      <c r="V8" s="2">
        <v>4</v>
      </c>
      <c r="W8" s="2">
        <f t="shared" si="10"/>
        <v>14761</v>
      </c>
      <c r="X8" s="2">
        <v>828</v>
      </c>
      <c r="Y8" s="7">
        <f t="shared" si="11"/>
        <v>5.9427259025335522E-2</v>
      </c>
      <c r="Z8" s="6"/>
      <c r="AA8" s="2">
        <v>4</v>
      </c>
      <c r="AB8" s="2">
        <f t="shared" si="12"/>
        <v>22239</v>
      </c>
      <c r="AC8" s="2">
        <v>1242</v>
      </c>
      <c r="AD8" s="7">
        <f t="shared" si="13"/>
        <v>5.9151307329618596E-2</v>
      </c>
      <c r="AF8" s="4">
        <v>16</v>
      </c>
      <c r="AG8" s="9">
        <v>12329.9</v>
      </c>
      <c r="AH8" s="9">
        <v>301.39999999999998</v>
      </c>
      <c r="AI8" s="9">
        <v>164.4</v>
      </c>
      <c r="AJ8" s="9">
        <v>32879.800000000003</v>
      </c>
      <c r="AK8" s="9">
        <v>15343.9</v>
      </c>
      <c r="AL8" s="12">
        <f t="shared" si="0"/>
        <v>81048.726666666655</v>
      </c>
      <c r="AM8" s="9">
        <v>8130.8</v>
      </c>
      <c r="AN8" s="9">
        <v>198.8</v>
      </c>
      <c r="AO8" s="9">
        <v>108.4</v>
      </c>
      <c r="AP8" s="9">
        <v>21682</v>
      </c>
      <c r="AQ8" s="9">
        <v>10118.299999999999</v>
      </c>
      <c r="AR8" s="9">
        <v>321.7</v>
      </c>
      <c r="AS8" s="9">
        <v>160.80000000000001</v>
      </c>
      <c r="AT8" s="9">
        <v>53.6</v>
      </c>
      <c r="AU8" s="12">
        <f t="shared" si="1"/>
        <v>104909.96666666666</v>
      </c>
      <c r="AW8" s="5" t="s">
        <v>30</v>
      </c>
      <c r="AX8" s="4">
        <f>입력!E21</f>
        <v>115</v>
      </c>
      <c r="AY8" s="3"/>
      <c r="AZ8" s="15" t="s">
        <v>84</v>
      </c>
      <c r="BA8" s="15">
        <v>18</v>
      </c>
      <c r="BB8" s="15" t="s">
        <v>98</v>
      </c>
      <c r="BC8" s="15">
        <v>12</v>
      </c>
    </row>
    <row r="9" spans="2:55" x14ac:dyDescent="0.3">
      <c r="B9" s="2">
        <v>5</v>
      </c>
      <c r="C9" s="2">
        <f t="shared" si="2"/>
        <v>12706</v>
      </c>
      <c r="D9" s="2">
        <v>713</v>
      </c>
      <c r="E9" s="7">
        <f t="shared" si="3"/>
        <v>5.945134661886109E-2</v>
      </c>
      <c r="F9" s="1"/>
      <c r="G9" s="2">
        <v>5</v>
      </c>
      <c r="H9" s="2">
        <f t="shared" si="4"/>
        <v>13683</v>
      </c>
      <c r="I9" s="2">
        <v>767</v>
      </c>
      <c r="J9" s="7">
        <f t="shared" si="5"/>
        <v>5.9383710126974298E-2</v>
      </c>
      <c r="K9" s="1"/>
      <c r="L9" s="2">
        <v>5</v>
      </c>
      <c r="M9" s="2">
        <f t="shared" si="6"/>
        <v>9774</v>
      </c>
      <c r="N9" s="2">
        <v>548</v>
      </c>
      <c r="O9" s="7">
        <f t="shared" si="7"/>
        <v>5.9397355300238486E-2</v>
      </c>
      <c r="P9" s="1"/>
      <c r="Q9" s="2">
        <v>5</v>
      </c>
      <c r="R9" s="2">
        <f t="shared" si="8"/>
        <v>10751</v>
      </c>
      <c r="S9" s="2">
        <v>603</v>
      </c>
      <c r="T9" s="7">
        <f t="shared" si="9"/>
        <v>5.9420575482853843E-2</v>
      </c>
      <c r="V9" s="2">
        <v>5</v>
      </c>
      <c r="W9" s="2">
        <f t="shared" si="10"/>
        <v>15637</v>
      </c>
      <c r="X9" s="2">
        <v>876</v>
      </c>
      <c r="Y9" s="7">
        <f t="shared" si="11"/>
        <v>5.9345572793171097E-2</v>
      </c>
      <c r="Z9" s="6"/>
      <c r="AA9" s="2">
        <v>5</v>
      </c>
      <c r="AB9" s="2">
        <f t="shared" si="12"/>
        <v>23554</v>
      </c>
      <c r="AC9" s="2">
        <v>1315</v>
      </c>
      <c r="AD9" s="7">
        <f t="shared" si="13"/>
        <v>5.9130356580781473E-2</v>
      </c>
      <c r="AF9" s="4">
        <v>17</v>
      </c>
      <c r="AG9" s="9">
        <v>13014.9</v>
      </c>
      <c r="AH9" s="9">
        <v>328.8</v>
      </c>
      <c r="AI9" s="9">
        <v>164.4</v>
      </c>
      <c r="AJ9" s="9">
        <v>32879.800000000003</v>
      </c>
      <c r="AK9" s="9">
        <v>16439.900000000001</v>
      </c>
      <c r="AL9" s="12">
        <f t="shared" si="0"/>
        <v>85295.726666666655</v>
      </c>
      <c r="AM9" s="9">
        <v>8582.5</v>
      </c>
      <c r="AN9" s="9">
        <v>216.8</v>
      </c>
      <c r="AO9" s="9">
        <v>108.4</v>
      </c>
      <c r="AP9" s="9">
        <v>21682</v>
      </c>
      <c r="AQ9" s="9">
        <v>10841</v>
      </c>
      <c r="AR9" s="9">
        <v>321.7</v>
      </c>
      <c r="AS9" s="9">
        <v>160.80000000000001</v>
      </c>
      <c r="AT9" s="9">
        <v>53.6</v>
      </c>
      <c r="AU9" s="12">
        <f t="shared" si="1"/>
        <v>107707.76666666666</v>
      </c>
      <c r="AW9" s="5" t="s">
        <v>32</v>
      </c>
      <c r="AX9" s="4">
        <f>입력!E22</f>
        <v>255</v>
      </c>
      <c r="AY9" s="3"/>
      <c r="AZ9" s="15" t="s">
        <v>86</v>
      </c>
      <c r="BA9" s="15">
        <v>21</v>
      </c>
      <c r="BB9" s="15" t="s">
        <v>99</v>
      </c>
      <c r="BC9" s="15">
        <v>14</v>
      </c>
    </row>
    <row r="10" spans="2:55" x14ac:dyDescent="0.3">
      <c r="B10" s="2">
        <v>6</v>
      </c>
      <c r="C10" s="2">
        <f t="shared" si="2"/>
        <v>13460</v>
      </c>
      <c r="D10" s="2">
        <v>754</v>
      </c>
      <c r="E10" s="7">
        <f t="shared" si="3"/>
        <v>5.9342043129230193E-2</v>
      </c>
      <c r="F10" s="1"/>
      <c r="G10" s="2">
        <v>6</v>
      </c>
      <c r="H10" s="2">
        <f t="shared" si="4"/>
        <v>14495</v>
      </c>
      <c r="I10" s="2">
        <v>812</v>
      </c>
      <c r="J10" s="7">
        <f t="shared" si="5"/>
        <v>5.9343711174450142E-2</v>
      </c>
      <c r="K10" s="1"/>
      <c r="L10" s="2">
        <v>6</v>
      </c>
      <c r="M10" s="2">
        <f t="shared" si="6"/>
        <v>10354</v>
      </c>
      <c r="N10" s="2">
        <v>580</v>
      </c>
      <c r="O10" s="7">
        <f t="shared" si="7"/>
        <v>5.9341109064865893E-2</v>
      </c>
      <c r="P10" s="1"/>
      <c r="Q10" s="2">
        <v>6</v>
      </c>
      <c r="R10" s="2">
        <f t="shared" si="8"/>
        <v>11389</v>
      </c>
      <c r="S10" s="2">
        <v>638</v>
      </c>
      <c r="T10" s="7">
        <f t="shared" si="9"/>
        <v>5.934331690075334E-2</v>
      </c>
      <c r="V10" s="2">
        <v>6</v>
      </c>
      <c r="W10" s="2">
        <f t="shared" si="10"/>
        <v>16566</v>
      </c>
      <c r="X10" s="2">
        <v>929</v>
      </c>
      <c r="Y10" s="7">
        <f t="shared" si="11"/>
        <v>5.9410372833663683E-2</v>
      </c>
      <c r="Z10" s="6"/>
      <c r="AA10" s="2">
        <v>6</v>
      </c>
      <c r="AB10" s="2">
        <f t="shared" si="12"/>
        <v>24947</v>
      </c>
      <c r="AC10" s="2">
        <v>1393</v>
      </c>
      <c r="AD10" s="7">
        <f t="shared" si="13"/>
        <v>5.9140697970620604E-2</v>
      </c>
      <c r="AF10" s="4">
        <v>18</v>
      </c>
      <c r="AG10" s="9">
        <v>19220.7</v>
      </c>
      <c r="AH10" s="9">
        <v>489.3</v>
      </c>
      <c r="AI10" s="9">
        <v>349.5</v>
      </c>
      <c r="AJ10" s="9">
        <v>62904</v>
      </c>
      <c r="AK10" s="9">
        <v>23589</v>
      </c>
      <c r="AL10" s="12">
        <f t="shared" si="0"/>
        <v>133673.90000000002</v>
      </c>
      <c r="AM10" s="9">
        <v>12744.2</v>
      </c>
      <c r="AN10" s="9">
        <v>324.39999999999998</v>
      </c>
      <c r="AO10" s="9">
        <v>231.7</v>
      </c>
      <c r="AP10" s="9">
        <v>41708.400000000001</v>
      </c>
      <c r="AQ10" s="9">
        <v>15640.6</v>
      </c>
      <c r="AR10" s="9">
        <v>344.5</v>
      </c>
      <c r="AS10" s="9">
        <v>206.7</v>
      </c>
      <c r="AT10" s="9">
        <v>68.900000000000006</v>
      </c>
      <c r="AU10" s="12">
        <f t="shared" si="1"/>
        <v>150639.88</v>
      </c>
      <c r="AY10" s="3"/>
      <c r="AZ10" s="15" t="s">
        <v>87</v>
      </c>
      <c r="BA10" s="15">
        <v>24</v>
      </c>
      <c r="BB10" s="15" t="s">
        <v>100</v>
      </c>
      <c r="BC10" s="15">
        <v>16</v>
      </c>
    </row>
    <row r="11" spans="2:55" x14ac:dyDescent="0.3">
      <c r="B11" s="2">
        <v>7</v>
      </c>
      <c r="C11" s="2">
        <f t="shared" si="2"/>
        <v>14259</v>
      </c>
      <c r="D11" s="2">
        <v>799</v>
      </c>
      <c r="E11" s="7">
        <f t="shared" si="3"/>
        <v>5.936106983655276E-2</v>
      </c>
      <c r="F11" s="1"/>
      <c r="G11" s="2">
        <v>7</v>
      </c>
      <c r="H11" s="2">
        <f t="shared" si="4"/>
        <v>15356</v>
      </c>
      <c r="I11" s="2">
        <v>861</v>
      </c>
      <c r="J11" s="7">
        <f t="shared" si="5"/>
        <v>5.9399793032079984E-2</v>
      </c>
      <c r="K11" s="1"/>
      <c r="L11" s="2">
        <v>7</v>
      </c>
      <c r="M11" s="2">
        <f t="shared" si="6"/>
        <v>10969</v>
      </c>
      <c r="N11" s="2">
        <v>615</v>
      </c>
      <c r="O11" s="7">
        <f t="shared" si="7"/>
        <v>5.9397334363531007E-2</v>
      </c>
      <c r="P11" s="1"/>
      <c r="Q11" s="2">
        <v>7</v>
      </c>
      <c r="R11" s="2">
        <f t="shared" si="8"/>
        <v>12065</v>
      </c>
      <c r="S11" s="2">
        <v>676</v>
      </c>
      <c r="T11" s="7">
        <f t="shared" si="9"/>
        <v>5.9355518482746561E-2</v>
      </c>
      <c r="V11" s="2">
        <v>7</v>
      </c>
      <c r="W11" s="2">
        <f t="shared" si="10"/>
        <v>17549</v>
      </c>
      <c r="X11" s="2">
        <v>983</v>
      </c>
      <c r="Y11" s="7">
        <f t="shared" si="11"/>
        <v>5.9338403959917851E-2</v>
      </c>
      <c r="Z11" s="6"/>
      <c r="AA11" s="2">
        <v>7</v>
      </c>
      <c r="AB11" s="2">
        <f t="shared" si="12"/>
        <v>26422</v>
      </c>
      <c r="AC11" s="2">
        <v>1475</v>
      </c>
      <c r="AD11" s="7">
        <f t="shared" si="13"/>
        <v>5.9125345732953916E-2</v>
      </c>
      <c r="AF11" s="4">
        <v>19</v>
      </c>
      <c r="AG11" s="9">
        <v>20094.3</v>
      </c>
      <c r="AH11" s="9">
        <v>524.20000000000005</v>
      </c>
      <c r="AI11" s="9">
        <v>349.5</v>
      </c>
      <c r="AJ11" s="9">
        <v>62904</v>
      </c>
      <c r="AK11" s="9">
        <v>25161.599999999999</v>
      </c>
      <c r="AL11" s="12">
        <f t="shared" si="0"/>
        <v>139263.29999999999</v>
      </c>
      <c r="AM11" s="9">
        <v>13323.5</v>
      </c>
      <c r="AN11" s="9">
        <v>347.6</v>
      </c>
      <c r="AO11" s="9">
        <v>231.7</v>
      </c>
      <c r="AP11" s="9">
        <v>41708.400000000001</v>
      </c>
      <c r="AQ11" s="9">
        <v>16683.400000000001</v>
      </c>
      <c r="AR11" s="9">
        <v>344.5</v>
      </c>
      <c r="AS11" s="9">
        <v>206.7</v>
      </c>
      <c r="AT11" s="9">
        <v>68.900000000000006</v>
      </c>
      <c r="AU11" s="12">
        <f t="shared" si="1"/>
        <v>154348.57999999999</v>
      </c>
      <c r="AZ11" s="15" t="s">
        <v>88</v>
      </c>
      <c r="BA11" s="15">
        <v>30</v>
      </c>
      <c r="BB11" s="15" t="s">
        <v>101</v>
      </c>
      <c r="BC11" s="15">
        <v>18</v>
      </c>
    </row>
    <row r="12" spans="2:55" ht="16.5" customHeight="1" x14ac:dyDescent="0.3">
      <c r="B12" s="2">
        <v>8</v>
      </c>
      <c r="C12" s="2">
        <f t="shared" si="2"/>
        <v>15105</v>
      </c>
      <c r="D12" s="2">
        <v>846</v>
      </c>
      <c r="E12" s="7">
        <f t="shared" si="3"/>
        <v>5.9330948874395162E-2</v>
      </c>
      <c r="F12" s="1"/>
      <c r="G12" s="2">
        <v>8</v>
      </c>
      <c r="H12" s="2">
        <f t="shared" si="4"/>
        <v>16267</v>
      </c>
      <c r="I12" s="2">
        <v>911</v>
      </c>
      <c r="J12" s="7">
        <f t="shared" si="5"/>
        <v>5.932534514196397E-2</v>
      </c>
      <c r="K12" s="1"/>
      <c r="L12" s="2">
        <v>8</v>
      </c>
      <c r="M12" s="2">
        <f t="shared" si="6"/>
        <v>11620</v>
      </c>
      <c r="N12" s="2">
        <v>651</v>
      </c>
      <c r="O12" s="7">
        <f t="shared" si="7"/>
        <v>5.9349074664964974E-2</v>
      </c>
      <c r="P12" s="1"/>
      <c r="Q12" s="2">
        <v>8</v>
      </c>
      <c r="R12" s="2">
        <f t="shared" si="8"/>
        <v>12782</v>
      </c>
      <c r="S12" s="2">
        <v>717</v>
      </c>
      <c r="T12" s="7">
        <f t="shared" si="9"/>
        <v>5.9428097803563951E-2</v>
      </c>
      <c r="V12" s="2">
        <v>8</v>
      </c>
      <c r="W12" s="2">
        <f t="shared" si="10"/>
        <v>18591</v>
      </c>
      <c r="X12" s="2">
        <v>1042</v>
      </c>
      <c r="Y12" s="7">
        <f t="shared" si="11"/>
        <v>5.9376602655421884E-2</v>
      </c>
      <c r="Z12" s="6"/>
      <c r="AA12" s="2">
        <v>8</v>
      </c>
      <c r="AB12" s="2">
        <f t="shared" si="12"/>
        <v>27985</v>
      </c>
      <c r="AC12" s="2">
        <v>1563</v>
      </c>
      <c r="AD12" s="7">
        <f t="shared" si="13"/>
        <v>5.9155249413367583E-2</v>
      </c>
      <c r="AF12" s="4">
        <v>20</v>
      </c>
      <c r="AG12" s="9">
        <v>42064.6</v>
      </c>
      <c r="AH12" s="9">
        <v>1035.4000000000001</v>
      </c>
      <c r="AI12" s="9">
        <v>970.7</v>
      </c>
      <c r="AJ12" s="9">
        <v>161786.9</v>
      </c>
      <c r="AK12" s="9">
        <v>51771.8</v>
      </c>
      <c r="AL12" s="12">
        <f t="shared" si="0"/>
        <v>305883.0633333333</v>
      </c>
      <c r="AM12" s="9">
        <v>28044.400000000001</v>
      </c>
      <c r="AN12" s="9">
        <v>690.3</v>
      </c>
      <c r="AO12" s="9">
        <v>647.20000000000005</v>
      </c>
      <c r="AP12" s="9">
        <v>107862.9</v>
      </c>
      <c r="AQ12" s="9">
        <v>34516.1</v>
      </c>
      <c r="AR12" s="9">
        <v>987.3</v>
      </c>
      <c r="AS12" s="9">
        <v>515.1</v>
      </c>
      <c r="AT12" s="9">
        <v>171.7</v>
      </c>
      <c r="AU12" s="12">
        <f t="shared" si="1"/>
        <v>366190.63</v>
      </c>
      <c r="AZ12" s="15" t="s">
        <v>6</v>
      </c>
      <c r="BA12" s="15">
        <v>40</v>
      </c>
      <c r="BB12" s="15" t="s">
        <v>102</v>
      </c>
      <c r="BC12" s="15">
        <v>20</v>
      </c>
    </row>
    <row r="13" spans="2:55" x14ac:dyDescent="0.3">
      <c r="B13" s="2">
        <v>9</v>
      </c>
      <c r="C13" s="2">
        <f t="shared" si="2"/>
        <v>16590</v>
      </c>
      <c r="D13" s="2">
        <v>1485</v>
      </c>
      <c r="E13" s="7">
        <f t="shared" si="3"/>
        <v>9.8311817279046698E-2</v>
      </c>
      <c r="F13" s="1"/>
      <c r="G13" s="2">
        <v>9</v>
      </c>
      <c r="H13" s="2">
        <f t="shared" si="4"/>
        <v>17867</v>
      </c>
      <c r="I13" s="2">
        <v>1600</v>
      </c>
      <c r="J13" s="7">
        <f t="shared" si="5"/>
        <v>9.8358640191799296E-2</v>
      </c>
      <c r="K13" s="1"/>
      <c r="L13" s="2">
        <v>9</v>
      </c>
      <c r="M13" s="2">
        <f t="shared" si="6"/>
        <v>12762</v>
      </c>
      <c r="N13" s="2">
        <v>1142</v>
      </c>
      <c r="O13" s="7">
        <f t="shared" si="7"/>
        <v>9.8278829604130813E-2</v>
      </c>
      <c r="P13" s="1"/>
      <c r="Q13" s="2">
        <v>9</v>
      </c>
      <c r="R13" s="2">
        <f t="shared" si="8"/>
        <v>14038</v>
      </c>
      <c r="S13" s="2">
        <v>1256</v>
      </c>
      <c r="T13" s="7">
        <f t="shared" si="9"/>
        <v>9.8263182600532017E-2</v>
      </c>
      <c r="V13" s="2">
        <v>9</v>
      </c>
      <c r="W13" s="2">
        <f t="shared" si="10"/>
        <v>20419</v>
      </c>
      <c r="X13" s="2">
        <v>1828</v>
      </c>
      <c r="Y13" s="7">
        <f t="shared" si="11"/>
        <v>9.8327147544510884E-2</v>
      </c>
      <c r="Z13" s="6"/>
      <c r="AA13" s="2">
        <v>9</v>
      </c>
      <c r="AB13" s="2">
        <f t="shared" si="12"/>
        <v>30726</v>
      </c>
      <c r="AC13" s="2">
        <v>2741</v>
      </c>
      <c r="AD13" s="7">
        <f t="shared" si="13"/>
        <v>9.7945327854207509E-2</v>
      </c>
      <c r="AF13" s="4">
        <v>21</v>
      </c>
      <c r="AG13" s="9">
        <v>43682.5</v>
      </c>
      <c r="AH13" s="9">
        <v>1100.2</v>
      </c>
      <c r="AI13" s="9">
        <v>970.7</v>
      </c>
      <c r="AJ13" s="9">
        <v>213558.7</v>
      </c>
      <c r="AK13" s="9">
        <v>55007.5</v>
      </c>
      <c r="AL13" s="12">
        <f t="shared" si="0"/>
        <v>335547.45666666667</v>
      </c>
      <c r="AM13" s="9">
        <v>29123</v>
      </c>
      <c r="AN13" s="9">
        <v>733.5</v>
      </c>
      <c r="AO13" s="9">
        <v>647.20000000000005</v>
      </c>
      <c r="AP13" s="9">
        <v>142379</v>
      </c>
      <c r="AQ13" s="9">
        <v>36673.4</v>
      </c>
      <c r="AR13" s="9">
        <v>987.3</v>
      </c>
      <c r="AS13" s="9">
        <v>515.1</v>
      </c>
      <c r="AT13" s="9">
        <v>171.7</v>
      </c>
      <c r="AU13" s="12">
        <f t="shared" si="1"/>
        <v>385967.6333333333</v>
      </c>
    </row>
    <row r="14" spans="2:55" x14ac:dyDescent="0.3">
      <c r="B14" s="2">
        <v>10</v>
      </c>
      <c r="C14" s="2">
        <f t="shared" si="2"/>
        <v>17339</v>
      </c>
      <c r="D14" s="2">
        <v>749</v>
      </c>
      <c r="E14" s="7">
        <f t="shared" si="3"/>
        <v>4.5147679324894607E-2</v>
      </c>
      <c r="F14" s="1"/>
      <c r="G14" s="2">
        <v>10</v>
      </c>
      <c r="H14" s="2">
        <f t="shared" si="4"/>
        <v>18673</v>
      </c>
      <c r="I14" s="2">
        <v>806</v>
      </c>
      <c r="J14" s="7">
        <f t="shared" si="5"/>
        <v>4.5111098673532135E-2</v>
      </c>
      <c r="K14" s="1"/>
      <c r="L14" s="2">
        <v>10</v>
      </c>
      <c r="M14" s="2">
        <f t="shared" si="6"/>
        <v>13338</v>
      </c>
      <c r="N14" s="2">
        <v>576</v>
      </c>
      <c r="O14" s="7">
        <f t="shared" si="7"/>
        <v>4.5133991537376517E-2</v>
      </c>
      <c r="P14" s="1"/>
      <c r="Q14" s="2">
        <v>10</v>
      </c>
      <c r="R14" s="2">
        <f t="shared" si="8"/>
        <v>14672</v>
      </c>
      <c r="S14" s="2">
        <v>634</v>
      </c>
      <c r="T14" s="7">
        <f t="shared" si="9"/>
        <v>4.5163128650804962E-2</v>
      </c>
      <c r="V14" s="2">
        <v>10</v>
      </c>
      <c r="W14" s="2">
        <f t="shared" si="10"/>
        <v>21341</v>
      </c>
      <c r="X14" s="2">
        <v>922</v>
      </c>
      <c r="Y14" s="7">
        <f t="shared" si="11"/>
        <v>4.5154023213673566E-2</v>
      </c>
      <c r="Z14" s="6"/>
      <c r="AA14" s="2">
        <v>10</v>
      </c>
      <c r="AB14" s="2">
        <f t="shared" si="12"/>
        <v>32109</v>
      </c>
      <c r="AC14" s="2">
        <v>1383</v>
      </c>
      <c r="AD14" s="7">
        <f t="shared" si="13"/>
        <v>4.5010740089826307E-2</v>
      </c>
      <c r="AF14" s="4">
        <v>22</v>
      </c>
      <c r="AG14" s="9">
        <v>70726.3</v>
      </c>
      <c r="AH14" s="9">
        <v>1791.7</v>
      </c>
      <c r="AI14" s="9">
        <v>1414.5</v>
      </c>
      <c r="AJ14" s="9">
        <v>396067.2</v>
      </c>
      <c r="AK14" s="9">
        <v>88643.6</v>
      </c>
      <c r="AL14" s="12">
        <f t="shared" si="0"/>
        <v>557321.14</v>
      </c>
      <c r="AM14" s="9">
        <v>47189.2</v>
      </c>
      <c r="AN14" s="9">
        <v>1195.5</v>
      </c>
      <c r="AO14" s="9">
        <v>943.8</v>
      </c>
      <c r="AP14" s="9">
        <v>264259.3</v>
      </c>
      <c r="AQ14" s="9">
        <v>59143.8</v>
      </c>
      <c r="AR14" s="9">
        <v>1504.7</v>
      </c>
      <c r="AS14" s="9">
        <v>752.4</v>
      </c>
      <c r="AT14" s="9">
        <v>31.3</v>
      </c>
      <c r="AU14" s="12">
        <f t="shared" si="1"/>
        <v>556642.37666666671</v>
      </c>
    </row>
    <row r="15" spans="2:55" x14ac:dyDescent="0.3">
      <c r="B15" s="2">
        <v>11</v>
      </c>
      <c r="C15" s="2">
        <f t="shared" si="2"/>
        <v>18122</v>
      </c>
      <c r="D15" s="2">
        <v>783</v>
      </c>
      <c r="E15" s="7">
        <f t="shared" si="3"/>
        <v>4.5158313628236968E-2</v>
      </c>
      <c r="F15" s="1"/>
      <c r="G15" s="2">
        <v>11</v>
      </c>
      <c r="H15" s="2">
        <f t="shared" si="4"/>
        <v>19516</v>
      </c>
      <c r="I15" s="2">
        <v>843</v>
      </c>
      <c r="J15" s="7">
        <f t="shared" si="5"/>
        <v>4.5145397097413387E-2</v>
      </c>
      <c r="K15" s="1"/>
      <c r="L15" s="2">
        <v>11</v>
      </c>
      <c r="M15" s="2">
        <f t="shared" si="6"/>
        <v>13940</v>
      </c>
      <c r="N15" s="2">
        <v>602</v>
      </c>
      <c r="O15" s="7">
        <f t="shared" si="7"/>
        <v>4.513420302893989E-2</v>
      </c>
      <c r="P15" s="1"/>
      <c r="Q15" s="2">
        <v>11</v>
      </c>
      <c r="R15" s="2">
        <f t="shared" si="8"/>
        <v>15334</v>
      </c>
      <c r="S15" s="2">
        <v>662</v>
      </c>
      <c r="T15" s="7">
        <f t="shared" si="9"/>
        <v>4.5119956379498394E-2</v>
      </c>
      <c r="V15" s="2">
        <v>11</v>
      </c>
      <c r="W15" s="2">
        <f t="shared" si="10"/>
        <v>22304</v>
      </c>
      <c r="X15" s="2">
        <v>963</v>
      </c>
      <c r="Y15" s="7">
        <f t="shared" si="11"/>
        <v>4.5124408415725625E-2</v>
      </c>
      <c r="Z15" s="6"/>
      <c r="AA15" s="2">
        <v>11</v>
      </c>
      <c r="AB15" s="2">
        <f t="shared" si="12"/>
        <v>33554</v>
      </c>
      <c r="AC15" s="2">
        <v>1445</v>
      </c>
      <c r="AD15" s="7">
        <f t="shared" si="13"/>
        <v>4.500295867202353E-2</v>
      </c>
      <c r="AF15" s="4">
        <v>23</v>
      </c>
      <c r="AG15" s="9">
        <v>73083.8</v>
      </c>
      <c r="AH15" s="9">
        <v>1980.3</v>
      </c>
      <c r="AI15" s="9">
        <v>1414.5</v>
      </c>
      <c r="AJ15" s="9">
        <v>471508.5</v>
      </c>
      <c r="AK15" s="9">
        <v>94301.7</v>
      </c>
      <c r="AL15" s="12">
        <f t="shared" si="0"/>
        <v>605257.54999999993</v>
      </c>
      <c r="AM15" s="9">
        <v>48762.1</v>
      </c>
      <c r="AN15" s="9">
        <v>1321.3</v>
      </c>
      <c r="AO15" s="9">
        <v>943.8</v>
      </c>
      <c r="AP15" s="9">
        <v>314594.40000000002</v>
      </c>
      <c r="AQ15" s="9">
        <v>62918.9</v>
      </c>
      <c r="AR15" s="9">
        <v>1504.7</v>
      </c>
      <c r="AS15" s="9">
        <v>752.4</v>
      </c>
      <c r="AT15" s="9">
        <v>31.3</v>
      </c>
      <c r="AU15" s="12">
        <f t="shared" si="1"/>
        <v>588624.38</v>
      </c>
    </row>
    <row r="16" spans="2:55" x14ac:dyDescent="0.3">
      <c r="B16" s="2">
        <v>12</v>
      </c>
      <c r="C16" s="2">
        <f t="shared" si="2"/>
        <v>18940</v>
      </c>
      <c r="D16" s="2">
        <v>818</v>
      </c>
      <c r="E16" s="7">
        <f t="shared" si="3"/>
        <v>4.5138505683699481E-2</v>
      </c>
      <c r="F16" s="1"/>
      <c r="G16" s="2">
        <v>12</v>
      </c>
      <c r="H16" s="2">
        <f t="shared" si="4"/>
        <v>20397</v>
      </c>
      <c r="I16" s="2">
        <v>881</v>
      </c>
      <c r="J16" s="7">
        <f t="shared" si="5"/>
        <v>4.5142447222791482E-2</v>
      </c>
      <c r="K16" s="1"/>
      <c r="L16" s="2">
        <v>12</v>
      </c>
      <c r="M16" s="2">
        <f t="shared" si="6"/>
        <v>14569</v>
      </c>
      <c r="N16" s="2">
        <v>629</v>
      </c>
      <c r="O16" s="7">
        <f t="shared" si="7"/>
        <v>4.5121951219512235E-2</v>
      </c>
      <c r="P16" s="1"/>
      <c r="Q16" s="2">
        <v>12</v>
      </c>
      <c r="R16" s="2">
        <f t="shared" si="8"/>
        <v>16026</v>
      </c>
      <c r="S16" s="2">
        <v>692</v>
      </c>
      <c r="T16" s="7">
        <f t="shared" si="9"/>
        <v>4.5128472675101117E-2</v>
      </c>
      <c r="V16" s="2">
        <v>12</v>
      </c>
      <c r="W16" s="2">
        <f t="shared" si="10"/>
        <v>23310</v>
      </c>
      <c r="X16" s="2">
        <v>1006</v>
      </c>
      <c r="Y16" s="7">
        <f t="shared" si="11"/>
        <v>4.5104017216642811E-2</v>
      </c>
      <c r="Z16" s="6"/>
      <c r="AA16" s="2">
        <v>12</v>
      </c>
      <c r="AB16" s="2">
        <f t="shared" si="12"/>
        <v>35064</v>
      </c>
      <c r="AC16" s="2">
        <v>1510</v>
      </c>
      <c r="AD16" s="7">
        <f t="shared" si="13"/>
        <v>4.5002086189426027E-2</v>
      </c>
      <c r="AF16" s="4">
        <v>24</v>
      </c>
      <c r="AG16" s="9">
        <v>155245.6</v>
      </c>
      <c r="AH16" s="9">
        <v>4018.1</v>
      </c>
      <c r="AI16" s="9">
        <v>4109.3999999999996</v>
      </c>
      <c r="AJ16" s="9">
        <v>1095851.3</v>
      </c>
      <c r="AK16" s="9">
        <v>205472.1</v>
      </c>
      <c r="AL16" s="12">
        <f t="shared" si="0"/>
        <v>1348808.2433333334</v>
      </c>
      <c r="AM16" s="9">
        <v>77756.7</v>
      </c>
      <c r="AN16" s="9">
        <v>2012.5</v>
      </c>
      <c r="AO16" s="9">
        <v>2058.3000000000002</v>
      </c>
      <c r="AP16" s="9">
        <v>548870.9</v>
      </c>
      <c r="AQ16" s="9">
        <v>102913.3</v>
      </c>
      <c r="AR16" s="9">
        <v>2190</v>
      </c>
      <c r="AS16" s="9">
        <v>1095</v>
      </c>
      <c r="AT16" s="9">
        <v>45.6</v>
      </c>
      <c r="AU16" s="12">
        <f t="shared" si="1"/>
        <v>944521.46333333338</v>
      </c>
    </row>
    <row r="17" spans="2:47" x14ac:dyDescent="0.3">
      <c r="B17" s="2">
        <v>13</v>
      </c>
      <c r="C17" s="2">
        <f t="shared" si="2"/>
        <v>19795</v>
      </c>
      <c r="D17" s="2">
        <v>855</v>
      </c>
      <c r="E17" s="7">
        <f t="shared" si="3"/>
        <v>4.5142555438225873E-2</v>
      </c>
      <c r="F17" s="1"/>
      <c r="G17" s="2">
        <v>13</v>
      </c>
      <c r="H17" s="2">
        <f t="shared" si="4"/>
        <v>21317</v>
      </c>
      <c r="I17" s="2">
        <v>920</v>
      </c>
      <c r="J17" s="7">
        <f t="shared" si="5"/>
        <v>4.5104672255723788E-2</v>
      </c>
      <c r="K17" s="1"/>
      <c r="L17" s="2">
        <v>13</v>
      </c>
      <c r="M17" s="2">
        <f t="shared" si="6"/>
        <v>15227</v>
      </c>
      <c r="N17" s="2">
        <v>658</v>
      </c>
      <c r="O17" s="7">
        <f t="shared" si="7"/>
        <v>4.5164390143455302E-2</v>
      </c>
      <c r="P17" s="1"/>
      <c r="Q17" s="2">
        <v>13</v>
      </c>
      <c r="R17" s="2">
        <f t="shared" si="8"/>
        <v>16749</v>
      </c>
      <c r="S17" s="2">
        <v>723</v>
      </c>
      <c r="T17" s="7">
        <f t="shared" si="9"/>
        <v>4.5114189442156505E-2</v>
      </c>
      <c r="V17" s="2">
        <v>13</v>
      </c>
      <c r="W17" s="2">
        <f t="shared" si="10"/>
        <v>24362</v>
      </c>
      <c r="X17" s="2">
        <v>1052</v>
      </c>
      <c r="Y17" s="7">
        <f t="shared" si="11"/>
        <v>4.5130845130845199E-2</v>
      </c>
      <c r="Z17" s="6"/>
      <c r="AA17" s="2">
        <v>13</v>
      </c>
      <c r="AB17" s="2">
        <f t="shared" si="12"/>
        <v>36641</v>
      </c>
      <c r="AC17" s="2">
        <v>1577</v>
      </c>
      <c r="AD17" s="7">
        <f t="shared" si="13"/>
        <v>4.4974903034451286E-2</v>
      </c>
      <c r="AF17" s="4">
        <v>25</v>
      </c>
      <c r="AG17" s="9">
        <v>159811.70000000001</v>
      </c>
      <c r="AH17" s="9">
        <v>4383.3999999999996</v>
      </c>
      <c r="AI17" s="9">
        <v>4109.3999999999996</v>
      </c>
      <c r="AJ17" s="9">
        <v>1315021.6000000001</v>
      </c>
      <c r="AK17" s="9">
        <v>223736.3</v>
      </c>
      <c r="AL17" s="12">
        <f t="shared" si="0"/>
        <v>1475745.1866666668</v>
      </c>
      <c r="AM17" s="9">
        <v>80043.7</v>
      </c>
      <c r="AN17" s="9">
        <v>2195.5</v>
      </c>
      <c r="AO17" s="9">
        <v>2058.3000000000002</v>
      </c>
      <c r="AP17" s="9">
        <v>658645</v>
      </c>
      <c r="AQ17" s="9">
        <v>112061.1</v>
      </c>
      <c r="AR17" s="9">
        <v>2190</v>
      </c>
      <c r="AS17" s="9">
        <v>1095</v>
      </c>
      <c r="AT17" s="9">
        <v>45.6</v>
      </c>
      <c r="AU17" s="12">
        <f t="shared" si="1"/>
        <v>1008100.7666666666</v>
      </c>
    </row>
    <row r="18" spans="2:47" x14ac:dyDescent="0.3">
      <c r="B18" s="2">
        <v>14</v>
      </c>
      <c r="C18" s="2">
        <f t="shared" si="2"/>
        <v>20688</v>
      </c>
      <c r="D18" s="2">
        <v>893</v>
      </c>
      <c r="E18" s="7">
        <f t="shared" si="3"/>
        <v>4.5112402121747941E-2</v>
      </c>
      <c r="F18" s="1"/>
      <c r="G18" s="2">
        <v>14</v>
      </c>
      <c r="H18" s="2">
        <f t="shared" si="4"/>
        <v>22279</v>
      </c>
      <c r="I18" s="2">
        <v>962</v>
      </c>
      <c r="J18" s="7">
        <f t="shared" si="5"/>
        <v>4.5128301355725542E-2</v>
      </c>
      <c r="K18" s="1"/>
      <c r="L18" s="2">
        <v>14</v>
      </c>
      <c r="M18" s="2">
        <f t="shared" si="6"/>
        <v>15914</v>
      </c>
      <c r="N18" s="2">
        <v>687</v>
      </c>
      <c r="O18" s="7">
        <f t="shared" si="7"/>
        <v>4.5117225980166875E-2</v>
      </c>
      <c r="P18" s="1"/>
      <c r="Q18" s="2">
        <v>14</v>
      </c>
      <c r="R18" s="2">
        <f t="shared" si="8"/>
        <v>17505</v>
      </c>
      <c r="S18" s="2">
        <v>756</v>
      </c>
      <c r="T18" s="7">
        <f t="shared" si="9"/>
        <v>4.5137023105856988E-2</v>
      </c>
      <c r="V18" s="2">
        <v>14</v>
      </c>
      <c r="W18" s="2">
        <f t="shared" si="10"/>
        <v>25462</v>
      </c>
      <c r="X18" s="2">
        <v>1100</v>
      </c>
      <c r="Y18" s="7">
        <f t="shared" si="11"/>
        <v>4.5152286347590609E-2</v>
      </c>
      <c r="Z18" s="6"/>
      <c r="AA18" s="2">
        <v>14</v>
      </c>
      <c r="AB18" s="2">
        <f t="shared" si="12"/>
        <v>38290</v>
      </c>
      <c r="AC18" s="2">
        <v>1649</v>
      </c>
      <c r="AD18" s="7">
        <f t="shared" si="13"/>
        <v>4.5004230233891107E-2</v>
      </c>
    </row>
    <row r="19" spans="2:47" x14ac:dyDescent="0.3">
      <c r="B19" s="2">
        <v>15</v>
      </c>
      <c r="C19" s="2">
        <f t="shared" si="2"/>
        <v>21621</v>
      </c>
      <c r="D19" s="2">
        <v>933</v>
      </c>
      <c r="E19" s="7">
        <f t="shared" si="3"/>
        <v>4.509860788863107E-2</v>
      </c>
      <c r="F19" s="1"/>
      <c r="G19" s="2">
        <v>15</v>
      </c>
      <c r="H19" s="2">
        <f t="shared" si="4"/>
        <v>23284</v>
      </c>
      <c r="I19" s="2">
        <v>1005</v>
      </c>
      <c r="J19" s="7">
        <f t="shared" si="5"/>
        <v>4.510974460254058E-2</v>
      </c>
      <c r="K19" s="1"/>
      <c r="L19" s="2">
        <v>15</v>
      </c>
      <c r="M19" s="2">
        <f t="shared" si="6"/>
        <v>16632</v>
      </c>
      <c r="N19" s="2">
        <v>718</v>
      </c>
      <c r="O19" s="7">
        <f t="shared" si="7"/>
        <v>4.5117506597964097E-2</v>
      </c>
      <c r="P19" s="1"/>
      <c r="Q19" s="2">
        <v>15</v>
      </c>
      <c r="R19" s="2">
        <f t="shared" si="8"/>
        <v>18295</v>
      </c>
      <c r="S19" s="2">
        <v>790</v>
      </c>
      <c r="T19" s="7">
        <f t="shared" si="9"/>
        <v>4.5129962867752171E-2</v>
      </c>
      <c r="V19" s="2">
        <v>15</v>
      </c>
      <c r="W19" s="2">
        <f t="shared" si="10"/>
        <v>26610</v>
      </c>
      <c r="X19" s="2">
        <v>1148</v>
      </c>
      <c r="Y19" s="7">
        <f t="shared" si="11"/>
        <v>4.5086796009740082E-2</v>
      </c>
      <c r="Z19" s="6"/>
      <c r="AA19" s="2">
        <v>15</v>
      </c>
      <c r="AB19" s="2">
        <f t="shared" si="12"/>
        <v>40013</v>
      </c>
      <c r="AC19" s="2">
        <v>1723</v>
      </c>
      <c r="AD19" s="7">
        <f t="shared" si="13"/>
        <v>4.4998694176024978E-2</v>
      </c>
      <c r="AF19" s="91" t="s">
        <v>37</v>
      </c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3"/>
    </row>
    <row r="20" spans="2:47" x14ac:dyDescent="0.3">
      <c r="B20" s="2">
        <v>16</v>
      </c>
      <c r="C20" s="2">
        <f t="shared" si="2"/>
        <v>22596</v>
      </c>
      <c r="D20" s="2">
        <v>975</v>
      </c>
      <c r="E20" s="7">
        <f t="shared" si="3"/>
        <v>4.5095046482586332E-2</v>
      </c>
      <c r="F20" s="1"/>
      <c r="G20" s="2">
        <v>16</v>
      </c>
      <c r="H20" s="2">
        <f t="shared" si="4"/>
        <v>24334</v>
      </c>
      <c r="I20" s="2">
        <v>1050</v>
      </c>
      <c r="J20" s="7">
        <f t="shared" si="5"/>
        <v>4.5095344442535712E-2</v>
      </c>
      <c r="K20" s="1"/>
      <c r="L20" s="2">
        <v>16</v>
      </c>
      <c r="M20" s="2">
        <f t="shared" si="6"/>
        <v>17382</v>
      </c>
      <c r="N20" s="2">
        <v>750</v>
      </c>
      <c r="O20" s="7">
        <f t="shared" si="7"/>
        <v>4.5093795093795075E-2</v>
      </c>
      <c r="P20" s="1"/>
      <c r="Q20" s="2">
        <v>16</v>
      </c>
      <c r="R20" s="2">
        <f t="shared" si="8"/>
        <v>19120</v>
      </c>
      <c r="S20" s="2">
        <v>825</v>
      </c>
      <c r="T20" s="7">
        <f t="shared" si="9"/>
        <v>4.5094288056846121E-2</v>
      </c>
      <c r="V20" s="2">
        <v>16</v>
      </c>
      <c r="W20" s="2">
        <f t="shared" si="10"/>
        <v>27811</v>
      </c>
      <c r="X20" s="2">
        <v>1201</v>
      </c>
      <c r="Y20" s="7">
        <f t="shared" si="11"/>
        <v>4.51334084930477E-2</v>
      </c>
      <c r="Z20" s="6"/>
      <c r="AA20" s="2">
        <v>16</v>
      </c>
      <c r="AB20" s="2">
        <f t="shared" si="12"/>
        <v>41814</v>
      </c>
      <c r="AC20" s="2">
        <v>1801</v>
      </c>
      <c r="AD20" s="7">
        <f t="shared" si="13"/>
        <v>4.5010371629220502E-2</v>
      </c>
      <c r="AF20" s="89" t="s">
        <v>38</v>
      </c>
      <c r="AG20" s="88" t="s">
        <v>33</v>
      </c>
      <c r="AH20" s="88"/>
      <c r="AI20" s="88"/>
      <c r="AJ20" s="88"/>
      <c r="AK20" s="88"/>
      <c r="AL20" s="88"/>
      <c r="AM20" s="88" t="s">
        <v>34</v>
      </c>
      <c r="AN20" s="88"/>
      <c r="AO20" s="88"/>
      <c r="AP20" s="88"/>
      <c r="AQ20" s="88"/>
      <c r="AR20" s="88"/>
      <c r="AS20" s="88"/>
      <c r="AT20" s="88"/>
      <c r="AU20" s="88"/>
    </row>
    <row r="21" spans="2:47" x14ac:dyDescent="0.3">
      <c r="B21" s="2">
        <v>17</v>
      </c>
      <c r="C21" s="2">
        <f t="shared" si="2"/>
        <v>23615</v>
      </c>
      <c r="D21" s="2">
        <v>1019</v>
      </c>
      <c r="E21" s="7">
        <f t="shared" si="3"/>
        <v>4.5096477252611011E-2</v>
      </c>
      <c r="F21" s="1"/>
      <c r="G21" s="2">
        <v>17</v>
      </c>
      <c r="H21" s="2">
        <f t="shared" si="4"/>
        <v>25432</v>
      </c>
      <c r="I21" s="2">
        <v>1098</v>
      </c>
      <c r="J21" s="7">
        <f t="shared" si="5"/>
        <v>4.5122051450645184E-2</v>
      </c>
      <c r="K21" s="1"/>
      <c r="L21" s="2">
        <v>17</v>
      </c>
      <c r="M21" s="2">
        <f t="shared" si="6"/>
        <v>18166</v>
      </c>
      <c r="N21" s="2">
        <v>784</v>
      </c>
      <c r="O21" s="7">
        <f t="shared" si="7"/>
        <v>4.5104130709929802E-2</v>
      </c>
      <c r="P21" s="1"/>
      <c r="Q21" s="2">
        <v>17</v>
      </c>
      <c r="R21" s="2">
        <f t="shared" si="8"/>
        <v>19982</v>
      </c>
      <c r="S21" s="2">
        <v>862</v>
      </c>
      <c r="T21" s="7">
        <f t="shared" si="9"/>
        <v>4.5083682008368209E-2</v>
      </c>
      <c r="V21" s="2">
        <v>17</v>
      </c>
      <c r="W21" s="2">
        <f t="shared" si="10"/>
        <v>29065</v>
      </c>
      <c r="X21" s="2">
        <v>1254</v>
      </c>
      <c r="Y21" s="7">
        <f t="shared" si="11"/>
        <v>4.5090072273560766E-2</v>
      </c>
      <c r="Z21" s="6"/>
      <c r="AA21" s="2">
        <v>17</v>
      </c>
      <c r="AB21" s="2">
        <f t="shared" si="12"/>
        <v>43696</v>
      </c>
      <c r="AC21" s="2">
        <v>1882</v>
      </c>
      <c r="AD21" s="7">
        <f t="shared" si="13"/>
        <v>4.5008848710958116E-2</v>
      </c>
      <c r="AF21" s="90"/>
      <c r="AG21" s="14" t="s">
        <v>2</v>
      </c>
      <c r="AH21" s="14" t="s">
        <v>1</v>
      </c>
      <c r="AI21" s="14" t="s">
        <v>7</v>
      </c>
      <c r="AJ21" s="14" t="s">
        <v>27</v>
      </c>
      <c r="AK21" s="14" t="s">
        <v>28</v>
      </c>
      <c r="AL21" s="11" t="s">
        <v>35</v>
      </c>
      <c r="AM21" s="14" t="s">
        <v>2</v>
      </c>
      <c r="AN21" s="14" t="s">
        <v>1</v>
      </c>
      <c r="AO21" s="14" t="s">
        <v>7</v>
      </c>
      <c r="AP21" s="14" t="s">
        <v>27</v>
      </c>
      <c r="AQ21" s="14" t="s">
        <v>28</v>
      </c>
      <c r="AR21" s="14" t="s">
        <v>31</v>
      </c>
      <c r="AS21" s="14" t="s">
        <v>30</v>
      </c>
      <c r="AT21" s="14" t="s">
        <v>32</v>
      </c>
      <c r="AU21" s="13" t="s">
        <v>35</v>
      </c>
    </row>
    <row r="22" spans="2:47" x14ac:dyDescent="0.3">
      <c r="B22" s="2">
        <v>18</v>
      </c>
      <c r="C22" s="2">
        <f t="shared" si="2"/>
        <v>24681</v>
      </c>
      <c r="D22" s="2">
        <v>1066</v>
      </c>
      <c r="E22" s="7">
        <f t="shared" si="3"/>
        <v>4.5140800338767662E-2</v>
      </c>
      <c r="F22" s="1"/>
      <c r="G22" s="2">
        <v>18</v>
      </c>
      <c r="H22" s="2">
        <f t="shared" si="4"/>
        <v>26579</v>
      </c>
      <c r="I22" s="2">
        <v>1147</v>
      </c>
      <c r="J22" s="7">
        <f t="shared" si="5"/>
        <v>4.5100660585089658E-2</v>
      </c>
      <c r="K22" s="1"/>
      <c r="L22" s="2">
        <v>18</v>
      </c>
      <c r="M22" s="2">
        <f t="shared" si="6"/>
        <v>18985</v>
      </c>
      <c r="N22" s="2">
        <v>819</v>
      </c>
      <c r="O22" s="7">
        <f t="shared" si="7"/>
        <v>4.5084223274248547E-2</v>
      </c>
      <c r="P22" s="1"/>
      <c r="Q22" s="2">
        <v>18</v>
      </c>
      <c r="R22" s="2">
        <f t="shared" si="8"/>
        <v>20884</v>
      </c>
      <c r="S22" s="2">
        <v>902</v>
      </c>
      <c r="T22" s="7">
        <f t="shared" si="9"/>
        <v>4.5140626563907604E-2</v>
      </c>
      <c r="V22" s="2">
        <v>18</v>
      </c>
      <c r="W22" s="2">
        <f t="shared" si="10"/>
        <v>30376</v>
      </c>
      <c r="X22" s="2">
        <v>1311</v>
      </c>
      <c r="Y22" s="7">
        <f t="shared" si="11"/>
        <v>4.5105797350765586E-2</v>
      </c>
      <c r="Z22" s="6"/>
      <c r="AA22" s="2">
        <v>18</v>
      </c>
      <c r="AB22" s="2">
        <f t="shared" si="12"/>
        <v>45662</v>
      </c>
      <c r="AC22" s="2">
        <v>1966</v>
      </c>
      <c r="AD22" s="7">
        <f t="shared" si="13"/>
        <v>4.4992676675210452E-2</v>
      </c>
      <c r="AF22" s="4">
        <v>13</v>
      </c>
      <c r="AG22" s="9">
        <v>2588.8000000000002</v>
      </c>
      <c r="AH22" s="9">
        <v>73</v>
      </c>
      <c r="AI22" s="9">
        <v>33.200000000000003</v>
      </c>
      <c r="AJ22" s="9">
        <v>3982.8</v>
      </c>
      <c r="AK22" s="9">
        <v>3186.3</v>
      </c>
      <c r="AL22" s="12">
        <f t="shared" ref="AL22:AL34" si="14">$AX$3*AG22/10+$AX$4*AH22+$AX$5*AI22+$AX$6/1500*AJ22+AK22</f>
        <v>8677.4759999999987</v>
      </c>
      <c r="AM22" s="9">
        <v>1626.5</v>
      </c>
      <c r="AN22" s="9">
        <v>45.9</v>
      </c>
      <c r="AO22" s="9">
        <v>20.9</v>
      </c>
      <c r="AP22" s="9">
        <v>2502.3000000000002</v>
      </c>
      <c r="AQ22" s="9">
        <v>2001.8</v>
      </c>
      <c r="AR22" s="9">
        <v>98.1</v>
      </c>
      <c r="AS22" s="9">
        <v>49</v>
      </c>
      <c r="AT22" s="9">
        <v>16.3</v>
      </c>
      <c r="AU22" s="12">
        <f t="shared" ref="AU22:AU34" si="15">$AX$3*AM22/10+$AX$4*AN22+$AX$5*AO22+$AX$6/1500*AP22+AQ22+$AX$7*AR22+$AX$8*AS22+$AX$9*AT22</f>
        <v>21131.864999999998</v>
      </c>
    </row>
    <row r="23" spans="2:47" x14ac:dyDescent="0.3">
      <c r="B23" s="2">
        <v>19</v>
      </c>
      <c r="C23" s="2">
        <f t="shared" si="2"/>
        <v>25794</v>
      </c>
      <c r="D23" s="2">
        <v>1113</v>
      </c>
      <c r="E23" s="7">
        <f t="shared" si="3"/>
        <v>4.5095417527652781E-2</v>
      </c>
      <c r="F23" s="1"/>
      <c r="G23" s="2">
        <v>19</v>
      </c>
      <c r="H23" s="2">
        <f t="shared" si="4"/>
        <v>27778</v>
      </c>
      <c r="I23" s="2">
        <v>1199</v>
      </c>
      <c r="J23" s="7">
        <f t="shared" si="5"/>
        <v>4.5110801760788632E-2</v>
      </c>
      <c r="K23" s="1"/>
      <c r="L23" s="2">
        <v>19</v>
      </c>
      <c r="M23" s="2">
        <f t="shared" si="6"/>
        <v>19841</v>
      </c>
      <c r="N23" s="2">
        <v>856</v>
      </c>
      <c r="O23" s="7">
        <f t="shared" si="7"/>
        <v>4.5088227548064186E-2</v>
      </c>
      <c r="P23" s="1"/>
      <c r="Q23" s="2">
        <v>19</v>
      </c>
      <c r="R23" s="2">
        <f t="shared" si="8"/>
        <v>21825</v>
      </c>
      <c r="S23" s="2">
        <v>941</v>
      </c>
      <c r="T23" s="7">
        <f t="shared" si="9"/>
        <v>4.5058417927600125E-2</v>
      </c>
      <c r="V23" s="2">
        <v>19</v>
      </c>
      <c r="W23" s="2">
        <f t="shared" si="10"/>
        <v>31746</v>
      </c>
      <c r="X23" s="2">
        <v>1370</v>
      </c>
      <c r="Y23" s="7">
        <f t="shared" si="11"/>
        <v>4.5101395838820224E-2</v>
      </c>
      <c r="Z23" s="6"/>
      <c r="AA23" s="2">
        <v>19</v>
      </c>
      <c r="AB23" s="2">
        <f t="shared" si="12"/>
        <v>47717</v>
      </c>
      <c r="AC23" s="2">
        <v>2055</v>
      </c>
      <c r="AD23" s="7">
        <f t="shared" si="13"/>
        <v>4.5004599010117774E-2</v>
      </c>
      <c r="AF23" s="4">
        <v>14</v>
      </c>
      <c r="AG23" s="9">
        <v>4805.8999999999996</v>
      </c>
      <c r="AH23" s="9">
        <v>137.30000000000001</v>
      </c>
      <c r="AI23" s="9">
        <v>80.099999999999994</v>
      </c>
      <c r="AJ23" s="9">
        <v>9611.9</v>
      </c>
      <c r="AK23" s="9">
        <v>5950.2</v>
      </c>
      <c r="AL23" s="12">
        <f t="shared" si="14"/>
        <v>17545.776333333331</v>
      </c>
      <c r="AM23" s="9">
        <v>3159.9</v>
      </c>
      <c r="AN23" s="9">
        <v>90.3</v>
      </c>
      <c r="AO23" s="9">
        <v>52.7</v>
      </c>
      <c r="AP23" s="9">
        <v>6319.8</v>
      </c>
      <c r="AQ23" s="9">
        <v>3912.3</v>
      </c>
      <c r="AR23" s="9">
        <v>267.7</v>
      </c>
      <c r="AS23" s="9">
        <v>126.4</v>
      </c>
      <c r="AT23" s="9">
        <v>44.6</v>
      </c>
      <c r="AU23" s="12">
        <f t="shared" si="15"/>
        <v>53509.353000000003</v>
      </c>
    </row>
    <row r="24" spans="2:47" x14ac:dyDescent="0.3">
      <c r="B24" s="2">
        <v>20</v>
      </c>
      <c r="C24" s="2">
        <f t="shared" si="2"/>
        <v>26957</v>
      </c>
      <c r="D24" s="2">
        <v>1163</v>
      </c>
      <c r="E24" s="7">
        <f t="shared" si="3"/>
        <v>4.508800496239429E-2</v>
      </c>
      <c r="F24" s="1"/>
      <c r="G24" s="2">
        <v>20</v>
      </c>
      <c r="H24" s="2">
        <f t="shared" si="4"/>
        <v>29030</v>
      </c>
      <c r="I24" s="2">
        <v>1252</v>
      </c>
      <c r="J24" s="7">
        <f t="shared" si="5"/>
        <v>4.5071639426884635E-2</v>
      </c>
      <c r="K24" s="1"/>
      <c r="L24" s="2">
        <v>20</v>
      </c>
      <c r="M24" s="2">
        <f t="shared" si="6"/>
        <v>20736</v>
      </c>
      <c r="N24" s="2">
        <v>895</v>
      </c>
      <c r="O24" s="7">
        <f t="shared" si="7"/>
        <v>4.5108613477143233E-2</v>
      </c>
      <c r="P24" s="1"/>
      <c r="Q24" s="2">
        <v>20</v>
      </c>
      <c r="R24" s="2">
        <f t="shared" si="8"/>
        <v>22810</v>
      </c>
      <c r="S24" s="2">
        <v>985</v>
      </c>
      <c r="T24" s="7">
        <f t="shared" si="9"/>
        <v>4.5131729667812204E-2</v>
      </c>
      <c r="V24" s="2">
        <v>20</v>
      </c>
      <c r="W24" s="2">
        <f t="shared" si="10"/>
        <v>33177</v>
      </c>
      <c r="X24" s="2">
        <v>1431</v>
      </c>
      <c r="Y24" s="7">
        <f t="shared" si="11"/>
        <v>4.5076545076545127E-2</v>
      </c>
      <c r="Z24" s="6"/>
      <c r="AA24" s="2">
        <v>20</v>
      </c>
      <c r="AB24" s="2">
        <f t="shared" si="12"/>
        <v>49864</v>
      </c>
      <c r="AC24" s="2">
        <v>2147</v>
      </c>
      <c r="AD24" s="7">
        <f t="shared" si="13"/>
        <v>4.4994446423706425E-2</v>
      </c>
      <c r="AF24" s="4">
        <v>15</v>
      </c>
      <c r="AG24" s="9">
        <v>5149.2</v>
      </c>
      <c r="AH24" s="9">
        <v>137.30000000000001</v>
      </c>
      <c r="AI24" s="9">
        <v>80.099999999999994</v>
      </c>
      <c r="AJ24" s="9">
        <v>9611.9</v>
      </c>
      <c r="AK24" s="9">
        <v>6407.9</v>
      </c>
      <c r="AL24" s="12">
        <f t="shared" si="14"/>
        <v>18027.507333333331</v>
      </c>
      <c r="AM24" s="9">
        <v>3385.6</v>
      </c>
      <c r="AN24" s="9">
        <v>90.3</v>
      </c>
      <c r="AO24" s="9">
        <v>52.7</v>
      </c>
      <c r="AP24" s="9">
        <v>6319.8</v>
      </c>
      <c r="AQ24" s="9">
        <v>4213.2</v>
      </c>
      <c r="AR24" s="9">
        <v>267.7</v>
      </c>
      <c r="AS24" s="9">
        <v>126.4</v>
      </c>
      <c r="AT24" s="9">
        <v>44.6</v>
      </c>
      <c r="AU24" s="12">
        <f t="shared" si="15"/>
        <v>53826.051999999996</v>
      </c>
    </row>
    <row r="25" spans="2:47" x14ac:dyDescent="0.3">
      <c r="AF25" s="4">
        <v>16</v>
      </c>
      <c r="AG25" s="9">
        <v>7398</v>
      </c>
      <c r="AH25" s="9">
        <v>178.1</v>
      </c>
      <c r="AI25" s="9">
        <v>95.9</v>
      </c>
      <c r="AJ25" s="9">
        <v>19727.900000000001</v>
      </c>
      <c r="AK25" s="9">
        <v>9178.9</v>
      </c>
      <c r="AL25" s="12">
        <f t="shared" si="14"/>
        <v>26739.523333333331</v>
      </c>
      <c r="AM25" s="9">
        <v>4878.5</v>
      </c>
      <c r="AN25" s="9">
        <v>117.4</v>
      </c>
      <c r="AO25" s="9">
        <v>63.2</v>
      </c>
      <c r="AP25" s="9">
        <v>13009.2</v>
      </c>
      <c r="AQ25" s="9">
        <v>6052.9</v>
      </c>
      <c r="AR25" s="9">
        <v>321.7</v>
      </c>
      <c r="AS25" s="9">
        <v>160.80000000000001</v>
      </c>
      <c r="AT25" s="9">
        <v>53.6</v>
      </c>
      <c r="AU25" s="12">
        <f t="shared" si="15"/>
        <v>69092.035000000003</v>
      </c>
    </row>
    <row r="26" spans="2:47" x14ac:dyDescent="0.3">
      <c r="B26" s="94" t="s">
        <v>16</v>
      </c>
      <c r="C26" s="95"/>
      <c r="D26" s="95"/>
      <c r="E26" s="96"/>
      <c r="F26" s="1"/>
      <c r="G26" s="94" t="s">
        <v>17</v>
      </c>
      <c r="H26" s="95"/>
      <c r="I26" s="95"/>
      <c r="J26" s="96"/>
      <c r="K26" s="1"/>
      <c r="L26" s="94" t="s">
        <v>18</v>
      </c>
      <c r="M26" s="95"/>
      <c r="N26" s="95"/>
      <c r="O26" s="96"/>
      <c r="P26" s="1"/>
      <c r="Q26" s="94" t="s">
        <v>19</v>
      </c>
      <c r="R26" s="95"/>
      <c r="S26" s="95"/>
      <c r="T26" s="96"/>
      <c r="V26" s="94" t="s">
        <v>20</v>
      </c>
      <c r="W26" s="95"/>
      <c r="X26" s="95"/>
      <c r="Y26" s="96"/>
      <c r="Z26" s="3"/>
      <c r="AA26" s="97" t="s">
        <v>14</v>
      </c>
      <c r="AB26" s="97"/>
      <c r="AC26" s="97"/>
      <c r="AD26" s="97"/>
      <c r="AF26" s="4">
        <v>17</v>
      </c>
      <c r="AG26" s="9">
        <v>7808.9</v>
      </c>
      <c r="AH26" s="9">
        <v>191.8</v>
      </c>
      <c r="AI26" s="9">
        <v>95.9</v>
      </c>
      <c r="AJ26" s="9">
        <v>19727.900000000001</v>
      </c>
      <c r="AK26" s="9">
        <v>9863.9</v>
      </c>
      <c r="AL26" s="12">
        <f t="shared" si="14"/>
        <v>28001.286333333337</v>
      </c>
      <c r="AM26" s="9">
        <v>5149.5</v>
      </c>
      <c r="AN26" s="9">
        <v>126.5</v>
      </c>
      <c r="AO26" s="9">
        <v>63.2</v>
      </c>
      <c r="AP26" s="9">
        <v>13009.2</v>
      </c>
      <c r="AQ26" s="9">
        <v>6504.6</v>
      </c>
      <c r="AR26" s="9">
        <v>321.7</v>
      </c>
      <c r="AS26" s="9">
        <v>160.80000000000001</v>
      </c>
      <c r="AT26" s="9">
        <v>53.6</v>
      </c>
      <c r="AU26" s="12">
        <f t="shared" si="15"/>
        <v>69926.705000000002</v>
      </c>
    </row>
    <row r="27" spans="2:47" x14ac:dyDescent="0.3">
      <c r="B27" s="2" t="s">
        <v>10</v>
      </c>
      <c r="C27" s="2" t="s">
        <v>15</v>
      </c>
      <c r="D27" s="97" t="s">
        <v>12</v>
      </c>
      <c r="E27" s="97"/>
      <c r="F27" s="1"/>
      <c r="G27" s="2" t="s">
        <v>10</v>
      </c>
      <c r="H27" s="2" t="s">
        <v>15</v>
      </c>
      <c r="I27" s="97" t="s">
        <v>12</v>
      </c>
      <c r="J27" s="97"/>
      <c r="K27" s="1"/>
      <c r="L27" s="2" t="s">
        <v>10</v>
      </c>
      <c r="M27" s="2" t="s">
        <v>15</v>
      </c>
      <c r="N27" s="97" t="s">
        <v>12</v>
      </c>
      <c r="O27" s="97"/>
      <c r="P27" s="1"/>
      <c r="Q27" s="2" t="s">
        <v>10</v>
      </c>
      <c r="R27" s="2" t="s">
        <v>15</v>
      </c>
      <c r="S27" s="97" t="s">
        <v>12</v>
      </c>
      <c r="T27" s="97"/>
      <c r="V27" s="2" t="s">
        <v>10</v>
      </c>
      <c r="W27" s="2" t="s">
        <v>15</v>
      </c>
      <c r="X27" s="97" t="s">
        <v>12</v>
      </c>
      <c r="Y27" s="97"/>
      <c r="Z27" s="3"/>
      <c r="AA27" s="2" t="s">
        <v>10</v>
      </c>
      <c r="AB27" s="2" t="s">
        <v>11</v>
      </c>
      <c r="AC27" s="97" t="s">
        <v>12</v>
      </c>
      <c r="AD27" s="97"/>
      <c r="AF27" s="4">
        <v>18</v>
      </c>
      <c r="AG27" s="9">
        <v>11532.4</v>
      </c>
      <c r="AH27" s="9">
        <v>297</v>
      </c>
      <c r="AI27" s="9">
        <v>209.7</v>
      </c>
      <c r="AJ27" s="9">
        <v>37742.400000000001</v>
      </c>
      <c r="AK27" s="9">
        <v>14153.4</v>
      </c>
      <c r="AL27" s="12">
        <f t="shared" si="14"/>
        <v>46551.148000000001</v>
      </c>
      <c r="AM27" s="9">
        <v>7646.5</v>
      </c>
      <c r="AN27" s="9">
        <v>197</v>
      </c>
      <c r="AO27" s="9">
        <v>139</v>
      </c>
      <c r="AP27" s="9">
        <v>25025</v>
      </c>
      <c r="AQ27" s="9">
        <v>9384.4</v>
      </c>
      <c r="AR27" s="9">
        <v>344.5</v>
      </c>
      <c r="AS27" s="9">
        <v>206.7</v>
      </c>
      <c r="AT27" s="9">
        <v>68.900000000000006</v>
      </c>
      <c r="AU27" s="12">
        <f t="shared" si="15"/>
        <v>92877.488333333342</v>
      </c>
    </row>
    <row r="28" spans="2:47" x14ac:dyDescent="0.3">
      <c r="B28" s="2">
        <v>0</v>
      </c>
      <c r="C28" s="2">
        <v>11267</v>
      </c>
      <c r="D28" s="97"/>
      <c r="E28" s="97"/>
      <c r="F28" s="1"/>
      <c r="G28" s="2">
        <v>0</v>
      </c>
      <c r="H28" s="2">
        <v>11991</v>
      </c>
      <c r="I28" s="97"/>
      <c r="J28" s="97"/>
      <c r="K28" s="1"/>
      <c r="L28" s="2">
        <v>0</v>
      </c>
      <c r="M28" s="2">
        <v>9014</v>
      </c>
      <c r="N28" s="97"/>
      <c r="O28" s="97"/>
      <c r="P28" s="1"/>
      <c r="Q28" s="2">
        <v>0</v>
      </c>
      <c r="R28" s="2">
        <v>9738</v>
      </c>
      <c r="S28" s="97"/>
      <c r="T28" s="97"/>
      <c r="V28" s="2">
        <v>0</v>
      </c>
      <c r="W28" s="2">
        <v>13520</v>
      </c>
      <c r="X28" s="97"/>
      <c r="Y28" s="97"/>
      <c r="Z28" s="3"/>
      <c r="AA28" s="2">
        <v>0</v>
      </c>
      <c r="AB28" s="2">
        <v>19607</v>
      </c>
      <c r="AC28" s="97"/>
      <c r="AD28" s="97"/>
      <c r="AF28" s="4">
        <v>19</v>
      </c>
      <c r="AG28" s="9">
        <v>12056.6</v>
      </c>
      <c r="AH28" s="9">
        <v>314.5</v>
      </c>
      <c r="AI28" s="9">
        <v>209.7</v>
      </c>
      <c r="AJ28" s="9">
        <v>37742.400000000001</v>
      </c>
      <c r="AK28" s="9">
        <v>15027.1</v>
      </c>
      <c r="AL28" s="12">
        <f t="shared" si="14"/>
        <v>48161.541999999994</v>
      </c>
      <c r="AM28" s="9">
        <v>7994.1</v>
      </c>
      <c r="AN28" s="9">
        <v>208.5</v>
      </c>
      <c r="AO28" s="9">
        <v>139</v>
      </c>
      <c r="AP28" s="9">
        <v>25025</v>
      </c>
      <c r="AQ28" s="9">
        <v>9963.7000000000007</v>
      </c>
      <c r="AR28" s="9">
        <v>344.5</v>
      </c>
      <c r="AS28" s="9">
        <v>206.7</v>
      </c>
      <c r="AT28" s="9">
        <v>68.900000000000006</v>
      </c>
      <c r="AU28" s="12">
        <f t="shared" si="15"/>
        <v>93941.120333333325</v>
      </c>
    </row>
    <row r="29" spans="2:47" x14ac:dyDescent="0.3">
      <c r="B29" s="2">
        <v>1</v>
      </c>
      <c r="C29" s="2">
        <f>C28+D29</f>
        <v>11495</v>
      </c>
      <c r="D29" s="2">
        <v>228</v>
      </c>
      <c r="E29" s="7">
        <f>C29/C28-1</f>
        <v>2.0236087689713411E-2</v>
      </c>
      <c r="F29" s="1"/>
      <c r="G29" s="2">
        <v>1</v>
      </c>
      <c r="H29" s="2">
        <f>H28+I29</f>
        <v>12234</v>
      </c>
      <c r="I29" s="2">
        <v>243</v>
      </c>
      <c r="J29" s="7">
        <f>H29/H28-1</f>
        <v>2.0265198899174441E-2</v>
      </c>
      <c r="K29" s="1"/>
      <c r="L29" s="2">
        <v>1</v>
      </c>
      <c r="M29" s="2">
        <f>M28+N29</f>
        <v>9196</v>
      </c>
      <c r="N29" s="2">
        <v>182</v>
      </c>
      <c r="O29" s="7">
        <f>M29/M28-1</f>
        <v>2.0190814288884029E-2</v>
      </c>
      <c r="P29" s="1"/>
      <c r="Q29" s="2">
        <v>1</v>
      </c>
      <c r="R29" s="2">
        <f>R28+S29</f>
        <v>9935</v>
      </c>
      <c r="S29" s="2">
        <v>197</v>
      </c>
      <c r="T29" s="7">
        <f>R29/R28-1</f>
        <v>2.023002669952767E-2</v>
      </c>
      <c r="V29" s="2">
        <v>1</v>
      </c>
      <c r="W29" s="2">
        <f>W28+X29</f>
        <v>13793</v>
      </c>
      <c r="X29" s="2">
        <v>273</v>
      </c>
      <c r="Y29" s="7">
        <f>W29/W28-1</f>
        <v>2.0192307692307621E-2</v>
      </c>
      <c r="Z29" s="6"/>
      <c r="AA29" s="2">
        <v>1</v>
      </c>
      <c r="AB29" s="2">
        <f>AB28+AC29</f>
        <v>20001</v>
      </c>
      <c r="AC29" s="2">
        <v>394</v>
      </c>
      <c r="AD29" s="7">
        <f>AB29/AB28-1</f>
        <v>2.0094864079155395E-2</v>
      </c>
      <c r="AF29" s="4">
        <v>20</v>
      </c>
      <c r="AG29" s="9">
        <v>25238.799999999999</v>
      </c>
      <c r="AH29" s="9">
        <v>614.79999999999995</v>
      </c>
      <c r="AI29" s="9">
        <v>582.4</v>
      </c>
      <c r="AJ29" s="9">
        <v>97072.1</v>
      </c>
      <c r="AK29" s="9">
        <v>31063.1</v>
      </c>
      <c r="AL29" s="12">
        <f t="shared" si="14"/>
        <v>109322.11933333334</v>
      </c>
      <c r="AM29" s="9">
        <v>16826.599999999999</v>
      </c>
      <c r="AN29" s="9">
        <v>409.9</v>
      </c>
      <c r="AO29" s="9">
        <v>388.3</v>
      </c>
      <c r="AP29" s="9">
        <v>64717.7</v>
      </c>
      <c r="AQ29" s="9">
        <v>20709.7</v>
      </c>
      <c r="AR29" s="9">
        <v>987.3</v>
      </c>
      <c r="AS29" s="9">
        <v>515.1</v>
      </c>
      <c r="AT29" s="9">
        <v>171.7</v>
      </c>
      <c r="AU29" s="12">
        <f t="shared" si="15"/>
        <v>235143.78533333333</v>
      </c>
    </row>
    <row r="30" spans="2:47" x14ac:dyDescent="0.3">
      <c r="B30" s="2">
        <v>2</v>
      </c>
      <c r="C30" s="2">
        <f t="shared" ref="C30:C48" si="16">C29+D30</f>
        <v>11727</v>
      </c>
      <c r="D30" s="2">
        <v>232</v>
      </c>
      <c r="E30" s="7">
        <f t="shared" ref="E30:E48" si="17">C30/C29-1</f>
        <v>2.0182688125271797E-2</v>
      </c>
      <c r="F30" s="1"/>
      <c r="G30" s="2">
        <v>2</v>
      </c>
      <c r="H30" s="2">
        <f t="shared" ref="H30:H48" si="18">H29+I30</f>
        <v>12481</v>
      </c>
      <c r="I30" s="2">
        <v>247</v>
      </c>
      <c r="J30" s="7">
        <f t="shared" ref="J30:J48" si="19">H30/H29-1</f>
        <v>2.0189635442210196E-2</v>
      </c>
      <c r="K30" s="1"/>
      <c r="L30" s="2">
        <v>2</v>
      </c>
      <c r="M30" s="2">
        <f t="shared" ref="M30:M48" si="20">M29+N30</f>
        <v>9382</v>
      </c>
      <c r="N30" s="2">
        <v>186</v>
      </c>
      <c r="O30" s="7">
        <f t="shared" ref="O30:O48" si="21">M30/M29-1</f>
        <v>2.0226185297955723E-2</v>
      </c>
      <c r="P30" s="1"/>
      <c r="Q30" s="2">
        <v>2</v>
      </c>
      <c r="R30" s="2">
        <f t="shared" ref="R30:R48" si="22">R29+S30</f>
        <v>10135</v>
      </c>
      <c r="S30" s="2">
        <v>200</v>
      </c>
      <c r="T30" s="7">
        <f t="shared" ref="T30:T48" si="23">R30/R29-1</f>
        <v>2.0130850528434774E-2</v>
      </c>
      <c r="V30" s="2">
        <v>2</v>
      </c>
      <c r="W30" s="2">
        <f t="shared" ref="W30:W48" si="24">W29+X30</f>
        <v>14072</v>
      </c>
      <c r="X30" s="2">
        <v>279</v>
      </c>
      <c r="Y30" s="7">
        <f t="shared" ref="Y30:Y48" si="25">W30/W29-1</f>
        <v>2.0227651707387828E-2</v>
      </c>
      <c r="Z30" s="6"/>
      <c r="AA30" s="2">
        <v>2</v>
      </c>
      <c r="AB30" s="2">
        <f t="shared" ref="AB30:AB53" si="26">AB29+AC30</f>
        <v>20403</v>
      </c>
      <c r="AC30" s="2">
        <v>402</v>
      </c>
      <c r="AD30" s="7">
        <f t="shared" ref="AD30:AD53" si="27">AB30/AB29-1</f>
        <v>2.0098995050247481E-2</v>
      </c>
      <c r="AF30" s="4">
        <v>21</v>
      </c>
      <c r="AG30" s="9">
        <v>26209.5</v>
      </c>
      <c r="AH30" s="9">
        <v>647.1</v>
      </c>
      <c r="AI30" s="9">
        <v>582.4</v>
      </c>
      <c r="AJ30" s="9">
        <v>128135.2</v>
      </c>
      <c r="AK30" s="9">
        <v>33004.5</v>
      </c>
      <c r="AL30" s="12">
        <f t="shared" si="14"/>
        <v>124013.27166666667</v>
      </c>
      <c r="AM30" s="9">
        <v>17473.8</v>
      </c>
      <c r="AN30" s="9">
        <v>431.5</v>
      </c>
      <c r="AO30" s="9">
        <v>388.3</v>
      </c>
      <c r="AP30" s="9">
        <v>85427.4</v>
      </c>
      <c r="AQ30" s="9">
        <v>22004</v>
      </c>
      <c r="AR30" s="9">
        <v>987.3</v>
      </c>
      <c r="AS30" s="9">
        <v>515.1</v>
      </c>
      <c r="AT30" s="9">
        <v>171.7</v>
      </c>
      <c r="AU30" s="12">
        <f t="shared" si="15"/>
        <v>244940.946</v>
      </c>
    </row>
    <row r="31" spans="2:47" x14ac:dyDescent="0.3">
      <c r="B31" s="2">
        <v>3</v>
      </c>
      <c r="C31" s="2">
        <f t="shared" si="16"/>
        <v>12191</v>
      </c>
      <c r="D31" s="2">
        <v>464</v>
      </c>
      <c r="E31" s="7">
        <f t="shared" si="17"/>
        <v>3.9566811631278176E-2</v>
      </c>
      <c r="F31" s="1"/>
      <c r="G31" s="2">
        <v>3</v>
      </c>
      <c r="H31" s="2">
        <f t="shared" si="18"/>
        <v>12975</v>
      </c>
      <c r="I31" s="2">
        <v>494</v>
      </c>
      <c r="J31" s="7">
        <f t="shared" si="19"/>
        <v>3.9580161846005879E-2</v>
      </c>
      <c r="K31" s="1"/>
      <c r="L31" s="2">
        <v>3</v>
      </c>
      <c r="M31" s="2">
        <f t="shared" si="20"/>
        <v>9753</v>
      </c>
      <c r="N31" s="2">
        <v>371</v>
      </c>
      <c r="O31" s="7">
        <f t="shared" si="21"/>
        <v>3.9543807290556288E-2</v>
      </c>
      <c r="P31" s="1"/>
      <c r="Q31" s="2">
        <v>3</v>
      </c>
      <c r="R31" s="2">
        <f t="shared" si="22"/>
        <v>10537</v>
      </c>
      <c r="S31" s="2">
        <v>402</v>
      </c>
      <c r="T31" s="7">
        <f t="shared" si="23"/>
        <v>3.966452886038474E-2</v>
      </c>
      <c r="V31" s="2">
        <v>3</v>
      </c>
      <c r="W31" s="2">
        <f t="shared" si="24"/>
        <v>14630</v>
      </c>
      <c r="X31" s="2">
        <v>558</v>
      </c>
      <c r="Y31" s="7">
        <f t="shared" si="25"/>
        <v>3.9653212052302544E-2</v>
      </c>
      <c r="Z31" s="6"/>
      <c r="AA31" s="2">
        <v>3</v>
      </c>
      <c r="AB31" s="2">
        <f t="shared" si="26"/>
        <v>21207</v>
      </c>
      <c r="AC31" s="2">
        <v>804</v>
      </c>
      <c r="AD31" s="7">
        <f t="shared" si="27"/>
        <v>3.9405969710336608E-2</v>
      </c>
      <c r="AF31" s="4">
        <v>22</v>
      </c>
      <c r="AG31" s="9">
        <v>42435.8</v>
      </c>
      <c r="AH31" s="9">
        <v>1084.5</v>
      </c>
      <c r="AI31" s="9">
        <v>848.7</v>
      </c>
      <c r="AJ31" s="9">
        <v>237640.3</v>
      </c>
      <c r="AK31" s="9">
        <v>53280.5</v>
      </c>
      <c r="AL31" s="12">
        <f t="shared" si="14"/>
        <v>210529.38266666664</v>
      </c>
      <c r="AM31" s="9">
        <v>28313.5</v>
      </c>
      <c r="AN31" s="9">
        <v>723.6</v>
      </c>
      <c r="AO31" s="9">
        <v>566.29999999999995</v>
      </c>
      <c r="AP31" s="9">
        <v>158555.6</v>
      </c>
      <c r="AQ31" s="9">
        <v>35549.199999999997</v>
      </c>
      <c r="AR31" s="9">
        <v>1504.7</v>
      </c>
      <c r="AS31" s="9">
        <v>752.4</v>
      </c>
      <c r="AT31" s="9">
        <v>31.3</v>
      </c>
      <c r="AU31" s="12">
        <f t="shared" si="15"/>
        <v>325258.09833333333</v>
      </c>
    </row>
    <row r="32" spans="2:47" x14ac:dyDescent="0.3">
      <c r="B32" s="2">
        <v>4</v>
      </c>
      <c r="C32" s="2">
        <f t="shared" si="16"/>
        <v>12916</v>
      </c>
      <c r="D32" s="2">
        <v>725</v>
      </c>
      <c r="E32" s="7">
        <f t="shared" si="17"/>
        <v>5.9470100894102096E-2</v>
      </c>
      <c r="F32" s="1"/>
      <c r="G32" s="2">
        <v>4</v>
      </c>
      <c r="H32" s="2">
        <f t="shared" si="18"/>
        <v>13746</v>
      </c>
      <c r="I32" s="2">
        <v>771</v>
      </c>
      <c r="J32" s="7">
        <f t="shared" si="19"/>
        <v>5.9421965317919101E-2</v>
      </c>
      <c r="K32" s="1"/>
      <c r="L32" s="2">
        <v>4</v>
      </c>
      <c r="M32" s="2">
        <f t="shared" si="20"/>
        <v>10333</v>
      </c>
      <c r="N32" s="2">
        <v>580</v>
      </c>
      <c r="O32" s="7">
        <f t="shared" si="21"/>
        <v>5.9468881369834969E-2</v>
      </c>
      <c r="P32" s="1"/>
      <c r="Q32" s="2">
        <v>4</v>
      </c>
      <c r="R32" s="2">
        <f t="shared" si="22"/>
        <v>11163</v>
      </c>
      <c r="S32" s="2">
        <v>626</v>
      </c>
      <c r="T32" s="7">
        <f t="shared" si="23"/>
        <v>5.940969915535721E-2</v>
      </c>
      <c r="V32" s="2">
        <v>4</v>
      </c>
      <c r="W32" s="2">
        <f t="shared" si="24"/>
        <v>15499</v>
      </c>
      <c r="X32" s="2">
        <v>869</v>
      </c>
      <c r="Y32" s="7">
        <f t="shared" si="25"/>
        <v>5.9398496240601562E-2</v>
      </c>
      <c r="Z32" s="6"/>
      <c r="AA32" s="2">
        <v>4</v>
      </c>
      <c r="AB32" s="2">
        <f t="shared" si="26"/>
        <v>22461</v>
      </c>
      <c r="AC32" s="2">
        <v>1254</v>
      </c>
      <c r="AD32" s="7">
        <f t="shared" si="27"/>
        <v>5.9131418871127384E-2</v>
      </c>
      <c r="AF32" s="4">
        <v>23</v>
      </c>
      <c r="AG32" s="9">
        <v>43850.3</v>
      </c>
      <c r="AH32" s="9">
        <v>1178.8</v>
      </c>
      <c r="AI32" s="9">
        <v>848.7</v>
      </c>
      <c r="AJ32" s="9">
        <v>282905.09999999998</v>
      </c>
      <c r="AK32" s="9">
        <v>56581</v>
      </c>
      <c r="AL32" s="12">
        <f t="shared" si="14"/>
        <v>234297.99099999998</v>
      </c>
      <c r="AM32" s="9">
        <v>29257.3</v>
      </c>
      <c r="AN32" s="9">
        <v>786.5</v>
      </c>
      <c r="AO32" s="9">
        <v>566.29999999999995</v>
      </c>
      <c r="AP32" s="9">
        <v>188756.7</v>
      </c>
      <c r="AQ32" s="9">
        <v>37751.300000000003</v>
      </c>
      <c r="AR32" s="9">
        <v>1504.74</v>
      </c>
      <c r="AS32" s="9">
        <v>752.4</v>
      </c>
      <c r="AT32" s="9">
        <v>31.3</v>
      </c>
      <c r="AU32" s="12">
        <f t="shared" si="15"/>
        <v>341118.40099999995</v>
      </c>
    </row>
    <row r="33" spans="2:47" x14ac:dyDescent="0.3">
      <c r="B33" s="2">
        <v>5</v>
      </c>
      <c r="C33" s="2">
        <f t="shared" si="16"/>
        <v>13683</v>
      </c>
      <c r="D33" s="2">
        <v>767</v>
      </c>
      <c r="E33" s="7">
        <f t="shared" si="17"/>
        <v>5.9383710126974298E-2</v>
      </c>
      <c r="F33" s="1"/>
      <c r="G33" s="2">
        <v>5</v>
      </c>
      <c r="H33" s="2">
        <f t="shared" si="18"/>
        <v>14562</v>
      </c>
      <c r="I33" s="2">
        <v>816</v>
      </c>
      <c r="J33" s="7">
        <f t="shared" si="19"/>
        <v>5.9362723701440467E-2</v>
      </c>
      <c r="K33" s="1"/>
      <c r="L33" s="2">
        <v>5</v>
      </c>
      <c r="M33" s="2">
        <f t="shared" si="20"/>
        <v>10946</v>
      </c>
      <c r="N33" s="2">
        <v>613</v>
      </c>
      <c r="O33" s="7">
        <f t="shared" si="21"/>
        <v>5.9324494338527156E-2</v>
      </c>
      <c r="P33" s="1"/>
      <c r="Q33" s="2">
        <v>5</v>
      </c>
      <c r="R33" s="2">
        <f t="shared" si="22"/>
        <v>11826</v>
      </c>
      <c r="S33" s="2">
        <v>663</v>
      </c>
      <c r="T33" s="7">
        <f t="shared" si="23"/>
        <v>5.9392636388067688E-2</v>
      </c>
      <c r="V33" s="2">
        <v>5</v>
      </c>
      <c r="W33" s="2">
        <f t="shared" si="24"/>
        <v>16419</v>
      </c>
      <c r="X33" s="2">
        <v>920</v>
      </c>
      <c r="Y33" s="7">
        <f t="shared" si="25"/>
        <v>5.9358668301180639E-2</v>
      </c>
      <c r="Z33" s="6"/>
      <c r="AA33" s="2">
        <v>5</v>
      </c>
      <c r="AB33" s="2">
        <f t="shared" si="26"/>
        <v>23790</v>
      </c>
      <c r="AC33" s="2">
        <v>1329</v>
      </c>
      <c r="AD33" s="7">
        <f t="shared" si="27"/>
        <v>5.9169226659543162E-2</v>
      </c>
      <c r="AF33" s="4">
        <v>24</v>
      </c>
      <c r="AG33" s="9">
        <v>93147.4</v>
      </c>
      <c r="AH33" s="9">
        <v>2374.3000000000002</v>
      </c>
      <c r="AI33" s="9">
        <v>2465.6999999999998</v>
      </c>
      <c r="AJ33" s="9">
        <v>657510.80000000005</v>
      </c>
      <c r="AK33" s="9">
        <v>123283.3</v>
      </c>
      <c r="AL33" s="12">
        <f t="shared" si="14"/>
        <v>534902.51133333333</v>
      </c>
      <c r="AM33" s="9">
        <v>46654</v>
      </c>
      <c r="AN33" s="9">
        <v>1189.2</v>
      </c>
      <c r="AO33" s="9">
        <v>1235</v>
      </c>
      <c r="AP33" s="9">
        <v>329322.5</v>
      </c>
      <c r="AQ33" s="9">
        <v>61748</v>
      </c>
      <c r="AR33" s="9">
        <v>2190</v>
      </c>
      <c r="AS33" s="9">
        <v>1095</v>
      </c>
      <c r="AT33" s="9">
        <v>45.6</v>
      </c>
      <c r="AU33" s="12">
        <f t="shared" si="15"/>
        <v>536866.36333333328</v>
      </c>
    </row>
    <row r="34" spans="2:47" x14ac:dyDescent="0.3">
      <c r="B34" s="2">
        <v>6</v>
      </c>
      <c r="C34" s="2">
        <f t="shared" si="16"/>
        <v>14495</v>
      </c>
      <c r="D34" s="2">
        <v>812</v>
      </c>
      <c r="E34" s="7">
        <f t="shared" si="17"/>
        <v>5.9343711174450142E-2</v>
      </c>
      <c r="F34" s="1"/>
      <c r="G34" s="2">
        <v>6</v>
      </c>
      <c r="H34" s="2">
        <f t="shared" si="18"/>
        <v>15427</v>
      </c>
      <c r="I34" s="2">
        <v>865</v>
      </c>
      <c r="J34" s="7">
        <f t="shared" si="19"/>
        <v>5.9401181156434557E-2</v>
      </c>
      <c r="K34" s="1"/>
      <c r="L34" s="2">
        <v>6</v>
      </c>
      <c r="M34" s="2">
        <f t="shared" si="20"/>
        <v>11596</v>
      </c>
      <c r="N34" s="2">
        <v>650</v>
      </c>
      <c r="O34" s="7">
        <f t="shared" si="21"/>
        <v>5.9382422802850332E-2</v>
      </c>
      <c r="P34" s="1"/>
      <c r="Q34" s="2">
        <v>6</v>
      </c>
      <c r="R34" s="2">
        <f t="shared" si="22"/>
        <v>12528</v>
      </c>
      <c r="S34" s="2">
        <v>702</v>
      </c>
      <c r="T34" s="7">
        <f t="shared" si="23"/>
        <v>5.9360730593607247E-2</v>
      </c>
      <c r="V34" s="2">
        <v>6</v>
      </c>
      <c r="W34" s="2">
        <f t="shared" si="24"/>
        <v>17394</v>
      </c>
      <c r="X34" s="2">
        <v>975</v>
      </c>
      <c r="Y34" s="7">
        <f t="shared" si="25"/>
        <v>5.9382422802850332E-2</v>
      </c>
      <c r="Z34" s="6"/>
      <c r="AA34" s="2">
        <v>6</v>
      </c>
      <c r="AB34" s="2">
        <f t="shared" si="26"/>
        <v>25196</v>
      </c>
      <c r="AC34" s="2">
        <v>1406</v>
      </c>
      <c r="AD34" s="7">
        <f t="shared" si="27"/>
        <v>5.9100462379150898E-2</v>
      </c>
      <c r="AF34" s="4">
        <v>25</v>
      </c>
      <c r="AG34" s="9">
        <v>95887</v>
      </c>
      <c r="AH34" s="9">
        <v>2648.3</v>
      </c>
      <c r="AI34" s="9">
        <v>2465.6999999999998</v>
      </c>
      <c r="AJ34" s="9">
        <v>789013</v>
      </c>
      <c r="AK34" s="9">
        <v>134241.79999999999</v>
      </c>
      <c r="AL34" s="12">
        <f t="shared" si="14"/>
        <v>605230.2566666666</v>
      </c>
      <c r="AM34" s="9">
        <v>48026.2</v>
      </c>
      <c r="AN34" s="9">
        <v>1326.4</v>
      </c>
      <c r="AO34" s="9">
        <v>1235</v>
      </c>
      <c r="AP34" s="9">
        <v>395187</v>
      </c>
      <c r="AQ34" s="9">
        <v>67236.7</v>
      </c>
      <c r="AR34" s="9">
        <v>2190</v>
      </c>
      <c r="AS34" s="9">
        <v>1095</v>
      </c>
      <c r="AT34" s="9">
        <v>45.6</v>
      </c>
      <c r="AU34" s="12">
        <f t="shared" si="15"/>
        <v>572089.43400000001</v>
      </c>
    </row>
    <row r="35" spans="2:47" x14ac:dyDescent="0.3">
      <c r="B35" s="2">
        <v>7</v>
      </c>
      <c r="C35" s="2">
        <f t="shared" si="16"/>
        <v>15356</v>
      </c>
      <c r="D35" s="2">
        <v>861</v>
      </c>
      <c r="E35" s="7">
        <f t="shared" si="17"/>
        <v>5.9399793032079984E-2</v>
      </c>
      <c r="F35" s="1"/>
      <c r="G35" s="2">
        <v>7</v>
      </c>
      <c r="H35" s="2">
        <f t="shared" si="18"/>
        <v>16343</v>
      </c>
      <c r="I35" s="2">
        <v>916</v>
      </c>
      <c r="J35" s="7">
        <f t="shared" si="19"/>
        <v>5.9376417968496797E-2</v>
      </c>
      <c r="K35" s="1"/>
      <c r="L35" s="2">
        <v>7</v>
      </c>
      <c r="M35" s="2">
        <f t="shared" si="20"/>
        <v>12285</v>
      </c>
      <c r="N35" s="2">
        <v>689</v>
      </c>
      <c r="O35" s="7">
        <f t="shared" si="21"/>
        <v>5.94170403587444E-2</v>
      </c>
      <c r="P35" s="1"/>
      <c r="Q35" s="2">
        <v>7</v>
      </c>
      <c r="R35" s="2">
        <f t="shared" si="22"/>
        <v>13272</v>
      </c>
      <c r="S35" s="2">
        <v>744</v>
      </c>
      <c r="T35" s="7">
        <f t="shared" si="23"/>
        <v>5.9386973180076685E-2</v>
      </c>
      <c r="V35" s="2">
        <v>7</v>
      </c>
      <c r="W35" s="2">
        <f t="shared" si="24"/>
        <v>18427</v>
      </c>
      <c r="X35" s="2">
        <v>1033</v>
      </c>
      <c r="Y35" s="7">
        <f t="shared" si="25"/>
        <v>5.9388294814303855E-2</v>
      </c>
      <c r="Z35" s="6"/>
      <c r="AA35" s="2">
        <v>7</v>
      </c>
      <c r="AB35" s="2">
        <f t="shared" si="26"/>
        <v>26686</v>
      </c>
      <c r="AC35" s="2">
        <v>1490</v>
      </c>
      <c r="AD35" s="7">
        <f t="shared" si="27"/>
        <v>5.9136370852516329E-2</v>
      </c>
    </row>
    <row r="36" spans="2:47" ht="16.5" customHeight="1" x14ac:dyDescent="0.3">
      <c r="B36" s="2">
        <v>8</v>
      </c>
      <c r="C36" s="2">
        <f t="shared" si="16"/>
        <v>16267</v>
      </c>
      <c r="D36" s="2">
        <v>911</v>
      </c>
      <c r="E36" s="7">
        <f t="shared" si="17"/>
        <v>5.932534514196397E-2</v>
      </c>
      <c r="F36" s="1"/>
      <c r="G36" s="2">
        <v>8</v>
      </c>
      <c r="H36" s="2">
        <f t="shared" si="18"/>
        <v>17313</v>
      </c>
      <c r="I36" s="2">
        <v>970</v>
      </c>
      <c r="J36" s="7">
        <f t="shared" si="19"/>
        <v>5.9352628036468236E-2</v>
      </c>
      <c r="K36" s="1"/>
      <c r="L36" s="2">
        <v>8</v>
      </c>
      <c r="M36" s="2">
        <f t="shared" si="20"/>
        <v>13014</v>
      </c>
      <c r="N36" s="2">
        <v>729</v>
      </c>
      <c r="O36" s="7">
        <f t="shared" si="21"/>
        <v>5.9340659340659352E-2</v>
      </c>
      <c r="P36" s="1"/>
      <c r="Q36" s="2">
        <v>8</v>
      </c>
      <c r="R36" s="2">
        <f t="shared" si="22"/>
        <v>14060</v>
      </c>
      <c r="S36" s="2">
        <v>788</v>
      </c>
      <c r="T36" s="7">
        <f t="shared" si="23"/>
        <v>5.937311633514164E-2</v>
      </c>
      <c r="V36" s="2">
        <v>8</v>
      </c>
      <c r="W36" s="2">
        <f t="shared" si="24"/>
        <v>19521</v>
      </c>
      <c r="X36" s="2">
        <v>1094</v>
      </c>
      <c r="Y36" s="7">
        <f t="shared" si="25"/>
        <v>5.9369403592554493E-2</v>
      </c>
      <c r="Z36" s="6"/>
      <c r="AA36" s="2">
        <v>8</v>
      </c>
      <c r="AB36" s="2">
        <f t="shared" si="26"/>
        <v>28264</v>
      </c>
      <c r="AC36" s="2">
        <v>1578</v>
      </c>
      <c r="AD36" s="7">
        <f t="shared" si="27"/>
        <v>5.9132129206325379E-2</v>
      </c>
    </row>
    <row r="37" spans="2:47" ht="16.5" customHeight="1" x14ac:dyDescent="0.3">
      <c r="B37" s="2">
        <v>9</v>
      </c>
      <c r="C37" s="2">
        <f t="shared" si="16"/>
        <v>17867</v>
      </c>
      <c r="D37" s="2">
        <v>1600</v>
      </c>
      <c r="E37" s="7">
        <f t="shared" si="17"/>
        <v>9.8358640191799296E-2</v>
      </c>
      <c r="F37" s="1"/>
      <c r="G37" s="2">
        <v>9</v>
      </c>
      <c r="H37" s="2">
        <f t="shared" si="18"/>
        <v>19015</v>
      </c>
      <c r="I37" s="2">
        <v>1702</v>
      </c>
      <c r="J37" s="7">
        <f t="shared" si="19"/>
        <v>9.8307630104545796E-2</v>
      </c>
      <c r="K37" s="1"/>
      <c r="L37" s="2">
        <v>9</v>
      </c>
      <c r="M37" s="2">
        <f t="shared" si="20"/>
        <v>14293</v>
      </c>
      <c r="N37" s="2">
        <v>1279</v>
      </c>
      <c r="O37" s="7">
        <f t="shared" si="21"/>
        <v>9.8278776702013237E-2</v>
      </c>
      <c r="P37" s="1"/>
      <c r="Q37" s="2">
        <v>9</v>
      </c>
      <c r="R37" s="2">
        <f t="shared" si="22"/>
        <v>15442</v>
      </c>
      <c r="S37" s="2">
        <v>1382</v>
      </c>
      <c r="T37" s="7">
        <f t="shared" si="23"/>
        <v>9.82930298719773E-2</v>
      </c>
      <c r="V37" s="2">
        <v>9</v>
      </c>
      <c r="W37" s="2">
        <f t="shared" si="24"/>
        <v>21440</v>
      </c>
      <c r="X37" s="2">
        <v>1919</v>
      </c>
      <c r="Y37" s="7">
        <f t="shared" si="25"/>
        <v>9.830439014394754E-2</v>
      </c>
      <c r="Z37" s="6"/>
      <c r="AA37" s="2">
        <v>9</v>
      </c>
      <c r="AB37" s="2">
        <f t="shared" si="26"/>
        <v>31033</v>
      </c>
      <c r="AC37" s="2">
        <v>2769</v>
      </c>
      <c r="AD37" s="7">
        <f t="shared" si="27"/>
        <v>9.7969148032833298E-2</v>
      </c>
    </row>
    <row r="38" spans="2:47" x14ac:dyDescent="0.3">
      <c r="B38" s="2">
        <v>10</v>
      </c>
      <c r="C38" s="2">
        <f t="shared" si="16"/>
        <v>18673</v>
      </c>
      <c r="D38" s="2">
        <v>806</v>
      </c>
      <c r="E38" s="7">
        <f t="shared" si="17"/>
        <v>4.5111098673532135E-2</v>
      </c>
      <c r="F38" s="1"/>
      <c r="G38" s="2">
        <v>10</v>
      </c>
      <c r="H38" s="2">
        <f t="shared" si="18"/>
        <v>19873</v>
      </c>
      <c r="I38" s="2">
        <v>858</v>
      </c>
      <c r="J38" s="7">
        <f t="shared" si="19"/>
        <v>4.5122271890612575E-2</v>
      </c>
      <c r="K38" s="1"/>
      <c r="L38" s="2">
        <v>10</v>
      </c>
      <c r="M38" s="2">
        <f t="shared" si="20"/>
        <v>14939</v>
      </c>
      <c r="N38" s="2">
        <v>646</v>
      </c>
      <c r="O38" s="7">
        <f t="shared" si="21"/>
        <v>4.5196949555726507E-2</v>
      </c>
      <c r="P38" s="1"/>
      <c r="Q38" s="2">
        <v>10</v>
      </c>
      <c r="R38" s="2">
        <f t="shared" si="22"/>
        <v>16139</v>
      </c>
      <c r="S38" s="2">
        <v>697</v>
      </c>
      <c r="T38" s="7">
        <f t="shared" si="23"/>
        <v>4.5136640331563171E-2</v>
      </c>
      <c r="V38" s="2">
        <v>10</v>
      </c>
      <c r="W38" s="2">
        <f t="shared" si="24"/>
        <v>22408</v>
      </c>
      <c r="X38" s="2">
        <v>968</v>
      </c>
      <c r="Y38" s="7">
        <f t="shared" si="25"/>
        <v>4.5149253731343375E-2</v>
      </c>
      <c r="Z38" s="6"/>
      <c r="AA38" s="2">
        <v>10</v>
      </c>
      <c r="AB38" s="2">
        <f t="shared" si="26"/>
        <v>32430</v>
      </c>
      <c r="AC38" s="2">
        <v>1397</v>
      </c>
      <c r="AD38" s="7">
        <f t="shared" si="27"/>
        <v>4.5016595237328039E-2</v>
      </c>
    </row>
    <row r="39" spans="2:47" x14ac:dyDescent="0.3">
      <c r="B39" s="2">
        <v>11</v>
      </c>
      <c r="C39" s="2">
        <f t="shared" si="16"/>
        <v>19516</v>
      </c>
      <c r="D39" s="2">
        <v>843</v>
      </c>
      <c r="E39" s="7">
        <f t="shared" si="17"/>
        <v>4.5145397097413387E-2</v>
      </c>
      <c r="F39" s="1"/>
      <c r="G39" s="2">
        <v>11</v>
      </c>
      <c r="H39" s="2">
        <f t="shared" si="18"/>
        <v>20771</v>
      </c>
      <c r="I39" s="2">
        <v>898</v>
      </c>
      <c r="J39" s="7">
        <f t="shared" si="19"/>
        <v>4.5186937050269105E-2</v>
      </c>
      <c r="K39" s="1"/>
      <c r="L39" s="2">
        <v>11</v>
      </c>
      <c r="M39" s="2">
        <f t="shared" si="20"/>
        <v>15613</v>
      </c>
      <c r="N39" s="2">
        <v>674</v>
      </c>
      <c r="O39" s="7">
        <f t="shared" si="21"/>
        <v>4.5116808353972804E-2</v>
      </c>
      <c r="P39" s="1"/>
      <c r="Q39" s="2">
        <v>11</v>
      </c>
      <c r="R39" s="2">
        <f t="shared" si="22"/>
        <v>16867</v>
      </c>
      <c r="S39" s="2">
        <v>728</v>
      </c>
      <c r="T39" s="7">
        <f t="shared" si="23"/>
        <v>4.5108123179874893E-2</v>
      </c>
      <c r="V39" s="2">
        <v>11</v>
      </c>
      <c r="W39" s="2">
        <f t="shared" si="24"/>
        <v>23419</v>
      </c>
      <c r="X39" s="2">
        <v>1011</v>
      </c>
      <c r="Y39" s="7">
        <f t="shared" si="25"/>
        <v>4.5117815066047839E-2</v>
      </c>
      <c r="Z39" s="6"/>
      <c r="AA39" s="2">
        <v>11</v>
      </c>
      <c r="AB39" s="2">
        <f t="shared" si="26"/>
        <v>33889</v>
      </c>
      <c r="AC39" s="2">
        <v>1459</v>
      </c>
      <c r="AD39" s="7">
        <f t="shared" si="27"/>
        <v>4.4989207523897567E-2</v>
      </c>
    </row>
    <row r="40" spans="2:47" x14ac:dyDescent="0.3">
      <c r="B40" s="2">
        <v>12</v>
      </c>
      <c r="C40" s="2">
        <f t="shared" si="16"/>
        <v>20397</v>
      </c>
      <c r="D40" s="2">
        <v>881</v>
      </c>
      <c r="E40" s="7">
        <f t="shared" si="17"/>
        <v>4.5142447222791482E-2</v>
      </c>
      <c r="F40" s="1"/>
      <c r="G40" s="2">
        <v>12</v>
      </c>
      <c r="H40" s="2">
        <f t="shared" si="18"/>
        <v>21708</v>
      </c>
      <c r="I40" s="2">
        <v>937</v>
      </c>
      <c r="J40" s="7">
        <f t="shared" si="19"/>
        <v>4.5110972028308716E-2</v>
      </c>
      <c r="K40" s="1"/>
      <c r="L40" s="2">
        <v>12</v>
      </c>
      <c r="M40" s="2">
        <f t="shared" si="20"/>
        <v>16317</v>
      </c>
      <c r="N40" s="2">
        <v>704</v>
      </c>
      <c r="O40" s="7">
        <f t="shared" si="21"/>
        <v>4.5090629603535604E-2</v>
      </c>
      <c r="P40" s="1"/>
      <c r="Q40" s="2">
        <v>12</v>
      </c>
      <c r="R40" s="2">
        <f t="shared" si="22"/>
        <v>17629</v>
      </c>
      <c r="S40" s="2">
        <v>762</v>
      </c>
      <c r="T40" s="7">
        <f t="shared" si="23"/>
        <v>4.5176972787098979E-2</v>
      </c>
      <c r="V40" s="2">
        <v>12</v>
      </c>
      <c r="W40" s="2">
        <f t="shared" si="24"/>
        <v>24476</v>
      </c>
      <c r="X40" s="2">
        <v>1057</v>
      </c>
      <c r="Y40" s="7">
        <f t="shared" si="25"/>
        <v>4.5134292668346232E-2</v>
      </c>
      <c r="Z40" s="6"/>
      <c r="AA40" s="2">
        <v>12</v>
      </c>
      <c r="AB40" s="2">
        <f t="shared" si="26"/>
        <v>35414</v>
      </c>
      <c r="AC40" s="2">
        <v>1525</v>
      </c>
      <c r="AD40" s="7">
        <f t="shared" si="27"/>
        <v>4.4999852459500111E-2</v>
      </c>
    </row>
    <row r="41" spans="2:47" x14ac:dyDescent="0.3">
      <c r="B41" s="2">
        <v>13</v>
      </c>
      <c r="C41" s="2">
        <f t="shared" si="16"/>
        <v>21317</v>
      </c>
      <c r="D41" s="2">
        <v>920</v>
      </c>
      <c r="E41" s="7">
        <f t="shared" si="17"/>
        <v>4.5104672255723788E-2</v>
      </c>
      <c r="F41" s="1"/>
      <c r="G41" s="2">
        <v>13</v>
      </c>
      <c r="H41" s="2">
        <f t="shared" si="18"/>
        <v>22687</v>
      </c>
      <c r="I41" s="2">
        <v>979</v>
      </c>
      <c r="J41" s="7">
        <f t="shared" si="19"/>
        <v>4.5098581168232954E-2</v>
      </c>
      <c r="K41" s="1"/>
      <c r="L41" s="2">
        <v>13</v>
      </c>
      <c r="M41" s="2">
        <f t="shared" si="20"/>
        <v>17054</v>
      </c>
      <c r="N41" s="2">
        <v>737</v>
      </c>
      <c r="O41" s="7">
        <f t="shared" si="21"/>
        <v>4.5167616596188065E-2</v>
      </c>
      <c r="P41" s="1"/>
      <c r="Q41" s="2">
        <v>13</v>
      </c>
      <c r="R41" s="2">
        <f t="shared" si="22"/>
        <v>18424</v>
      </c>
      <c r="S41" s="2">
        <v>795</v>
      </c>
      <c r="T41" s="7">
        <f t="shared" si="23"/>
        <v>4.5096148391854385E-2</v>
      </c>
      <c r="V41" s="2">
        <v>13</v>
      </c>
      <c r="W41" s="2">
        <f t="shared" si="24"/>
        <v>25580</v>
      </c>
      <c r="X41" s="2">
        <v>1104</v>
      </c>
      <c r="Y41" s="7">
        <f t="shared" si="25"/>
        <v>4.51054093806178E-2</v>
      </c>
      <c r="Z41" s="6"/>
      <c r="AA41" s="2">
        <v>13</v>
      </c>
      <c r="AB41" s="2">
        <f t="shared" si="26"/>
        <v>37008</v>
      </c>
      <c r="AC41" s="2">
        <v>1594</v>
      </c>
      <c r="AD41" s="7">
        <f t="shared" si="27"/>
        <v>4.5010447845484913E-2</v>
      </c>
    </row>
    <row r="42" spans="2:47" x14ac:dyDescent="0.3">
      <c r="B42" s="2">
        <v>14</v>
      </c>
      <c r="C42" s="2">
        <f t="shared" si="16"/>
        <v>22279</v>
      </c>
      <c r="D42" s="2">
        <v>962</v>
      </c>
      <c r="E42" s="7">
        <f t="shared" si="17"/>
        <v>4.5128301355725542E-2</v>
      </c>
      <c r="F42" s="1"/>
      <c r="G42" s="2">
        <v>14</v>
      </c>
      <c r="H42" s="2">
        <f t="shared" si="18"/>
        <v>23711</v>
      </c>
      <c r="I42" s="2">
        <v>1024</v>
      </c>
      <c r="J42" s="7">
        <f t="shared" si="19"/>
        <v>4.5135980958258104E-2</v>
      </c>
      <c r="K42" s="1"/>
      <c r="L42" s="2">
        <v>14</v>
      </c>
      <c r="M42" s="2">
        <f t="shared" si="20"/>
        <v>17823</v>
      </c>
      <c r="N42" s="2">
        <v>769</v>
      </c>
      <c r="O42" s="7">
        <f t="shared" si="21"/>
        <v>4.5092060513662435E-2</v>
      </c>
      <c r="P42" s="1"/>
      <c r="Q42" s="2">
        <v>14</v>
      </c>
      <c r="R42" s="2">
        <f t="shared" si="22"/>
        <v>19255</v>
      </c>
      <c r="S42" s="2">
        <v>831</v>
      </c>
      <c r="T42" s="7">
        <f t="shared" si="23"/>
        <v>4.5104211897524893E-2</v>
      </c>
      <c r="V42" s="2">
        <v>14</v>
      </c>
      <c r="W42" s="2">
        <f t="shared" si="24"/>
        <v>26735</v>
      </c>
      <c r="X42" s="2">
        <v>1155</v>
      </c>
      <c r="Y42" s="7">
        <f t="shared" si="25"/>
        <v>4.5152462861610676E-2</v>
      </c>
      <c r="Z42" s="6"/>
      <c r="AA42" s="2">
        <v>14</v>
      </c>
      <c r="AB42" s="2">
        <f t="shared" si="26"/>
        <v>38673</v>
      </c>
      <c r="AC42" s="2">
        <v>1665</v>
      </c>
      <c r="AD42" s="7">
        <f t="shared" si="27"/>
        <v>4.4990272373540918E-2</v>
      </c>
    </row>
    <row r="43" spans="2:47" x14ac:dyDescent="0.3">
      <c r="B43" s="2">
        <v>15</v>
      </c>
      <c r="C43" s="2">
        <f t="shared" si="16"/>
        <v>23284</v>
      </c>
      <c r="D43" s="2">
        <v>1005</v>
      </c>
      <c r="E43" s="7">
        <f t="shared" si="17"/>
        <v>4.510974460254058E-2</v>
      </c>
      <c r="F43" s="1"/>
      <c r="G43" s="2">
        <v>15</v>
      </c>
      <c r="H43" s="2">
        <f t="shared" si="18"/>
        <v>24781</v>
      </c>
      <c r="I43" s="2">
        <v>1070</v>
      </c>
      <c r="J43" s="7">
        <f t="shared" si="19"/>
        <v>4.5126734427059167E-2</v>
      </c>
      <c r="K43" s="1"/>
      <c r="L43" s="2">
        <v>15</v>
      </c>
      <c r="M43" s="2">
        <f t="shared" si="20"/>
        <v>18627</v>
      </c>
      <c r="N43" s="2">
        <v>804</v>
      </c>
      <c r="O43" s="7">
        <f t="shared" si="21"/>
        <v>4.5110250799528684E-2</v>
      </c>
      <c r="P43" s="1"/>
      <c r="Q43" s="2">
        <v>15</v>
      </c>
      <c r="R43" s="2">
        <f t="shared" si="22"/>
        <v>20124</v>
      </c>
      <c r="S43" s="2">
        <v>869</v>
      </c>
      <c r="T43" s="7">
        <f t="shared" si="23"/>
        <v>4.5131134770189485E-2</v>
      </c>
      <c r="V43" s="2">
        <v>15</v>
      </c>
      <c r="W43" s="2">
        <f t="shared" si="24"/>
        <v>27941</v>
      </c>
      <c r="X43" s="2">
        <v>1206</v>
      </c>
      <c r="Y43" s="7">
        <f t="shared" si="25"/>
        <v>4.5109407144193092E-2</v>
      </c>
      <c r="Z43" s="6"/>
      <c r="AA43" s="2">
        <v>15</v>
      </c>
      <c r="AB43" s="2">
        <f t="shared" si="26"/>
        <v>40413</v>
      </c>
      <c r="AC43" s="2">
        <v>1740</v>
      </c>
      <c r="AD43" s="7">
        <f t="shared" si="27"/>
        <v>4.4992630517415311E-2</v>
      </c>
    </row>
    <row r="44" spans="2:47" x14ac:dyDescent="0.3">
      <c r="B44" s="2">
        <v>16</v>
      </c>
      <c r="C44" s="2">
        <f t="shared" si="16"/>
        <v>24334</v>
      </c>
      <c r="D44" s="2">
        <v>1050</v>
      </c>
      <c r="E44" s="7">
        <f t="shared" si="17"/>
        <v>4.5095344442535712E-2</v>
      </c>
      <c r="F44" s="1"/>
      <c r="G44" s="2">
        <v>16</v>
      </c>
      <c r="H44" s="2">
        <f t="shared" si="18"/>
        <v>25899</v>
      </c>
      <c r="I44" s="2">
        <v>1118</v>
      </c>
      <c r="J44" s="7">
        <f t="shared" si="19"/>
        <v>4.5115209232879927E-2</v>
      </c>
      <c r="K44" s="1"/>
      <c r="L44" s="2">
        <v>16</v>
      </c>
      <c r="M44" s="2">
        <f t="shared" si="20"/>
        <v>19468</v>
      </c>
      <c r="N44" s="2">
        <v>841</v>
      </c>
      <c r="O44" s="7">
        <f t="shared" si="21"/>
        <v>4.5149514146131997E-2</v>
      </c>
      <c r="P44" s="1"/>
      <c r="Q44" s="2">
        <v>16</v>
      </c>
      <c r="R44" s="2">
        <f t="shared" si="22"/>
        <v>21032</v>
      </c>
      <c r="S44" s="2">
        <v>908</v>
      </c>
      <c r="T44" s="7">
        <f t="shared" si="23"/>
        <v>4.5120254422579942E-2</v>
      </c>
      <c r="V44" s="2">
        <v>16</v>
      </c>
      <c r="W44" s="2">
        <f t="shared" si="24"/>
        <v>29201</v>
      </c>
      <c r="X44" s="2">
        <v>1260</v>
      </c>
      <c r="Y44" s="7">
        <f t="shared" si="25"/>
        <v>4.5095021652768352E-2</v>
      </c>
      <c r="Z44" s="6"/>
      <c r="AA44" s="2">
        <v>16</v>
      </c>
      <c r="AB44" s="2">
        <f t="shared" si="26"/>
        <v>42232</v>
      </c>
      <c r="AC44" s="2">
        <v>1819</v>
      </c>
      <c r="AD44" s="7">
        <f t="shared" si="27"/>
        <v>4.5010268972855316E-2</v>
      </c>
    </row>
    <row r="45" spans="2:47" x14ac:dyDescent="0.3">
      <c r="B45" s="2">
        <v>17</v>
      </c>
      <c r="C45" s="2">
        <f t="shared" si="16"/>
        <v>25432</v>
      </c>
      <c r="D45" s="2">
        <v>1098</v>
      </c>
      <c r="E45" s="7">
        <f t="shared" si="17"/>
        <v>4.5122051450645184E-2</v>
      </c>
      <c r="F45" s="1"/>
      <c r="G45" s="2">
        <v>17</v>
      </c>
      <c r="H45" s="2">
        <f t="shared" si="18"/>
        <v>27067</v>
      </c>
      <c r="I45" s="2">
        <v>1168</v>
      </c>
      <c r="J45" s="7">
        <f t="shared" si="19"/>
        <v>4.5098266342329829E-2</v>
      </c>
      <c r="K45" s="1"/>
      <c r="L45" s="2">
        <v>17</v>
      </c>
      <c r="M45" s="2">
        <f t="shared" si="20"/>
        <v>20346</v>
      </c>
      <c r="N45" s="2">
        <v>878</v>
      </c>
      <c r="O45" s="7">
        <f t="shared" si="21"/>
        <v>4.5099650708855465E-2</v>
      </c>
      <c r="P45" s="1"/>
      <c r="Q45" s="2">
        <v>17</v>
      </c>
      <c r="R45" s="2">
        <f t="shared" si="22"/>
        <v>21981</v>
      </c>
      <c r="S45" s="2">
        <v>949</v>
      </c>
      <c r="T45" s="7">
        <f t="shared" si="23"/>
        <v>4.5121719284899164E-2</v>
      </c>
      <c r="V45" s="2">
        <v>17</v>
      </c>
      <c r="W45" s="2">
        <f t="shared" si="24"/>
        <v>30518</v>
      </c>
      <c r="X45" s="2">
        <v>1317</v>
      </c>
      <c r="Y45" s="7">
        <f t="shared" si="25"/>
        <v>4.5101195164549246E-2</v>
      </c>
      <c r="Z45" s="6"/>
      <c r="AA45" s="2">
        <v>17</v>
      </c>
      <c r="AB45" s="2">
        <f t="shared" si="26"/>
        <v>44132</v>
      </c>
      <c r="AC45" s="2">
        <v>1900</v>
      </c>
      <c r="AD45" s="7">
        <f t="shared" si="27"/>
        <v>4.4989581360106001E-2</v>
      </c>
    </row>
    <row r="46" spans="2:47" x14ac:dyDescent="0.3">
      <c r="B46" s="2">
        <v>18</v>
      </c>
      <c r="C46" s="2">
        <f t="shared" si="16"/>
        <v>26579</v>
      </c>
      <c r="D46" s="2">
        <v>1147</v>
      </c>
      <c r="E46" s="7">
        <f t="shared" si="17"/>
        <v>4.5100660585089658E-2</v>
      </c>
      <c r="F46" s="1"/>
      <c r="G46" s="2">
        <v>18</v>
      </c>
      <c r="H46" s="2">
        <f t="shared" si="18"/>
        <v>28288</v>
      </c>
      <c r="I46" s="2">
        <v>1221</v>
      </c>
      <c r="J46" s="7">
        <f t="shared" si="19"/>
        <v>4.5110281893080195E-2</v>
      </c>
      <c r="K46" s="1"/>
      <c r="L46" s="2">
        <v>18</v>
      </c>
      <c r="M46" s="2">
        <f t="shared" si="20"/>
        <v>21263</v>
      </c>
      <c r="N46" s="2">
        <v>917</v>
      </c>
      <c r="O46" s="7">
        <f t="shared" si="21"/>
        <v>4.5070284085323875E-2</v>
      </c>
      <c r="P46" s="1"/>
      <c r="Q46" s="2">
        <v>18</v>
      </c>
      <c r="R46" s="2">
        <f t="shared" si="22"/>
        <v>22972</v>
      </c>
      <c r="S46" s="2">
        <v>991</v>
      </c>
      <c r="T46" s="7">
        <f t="shared" si="23"/>
        <v>4.508439106501072E-2</v>
      </c>
      <c r="V46" s="2">
        <v>18</v>
      </c>
      <c r="W46" s="2">
        <f t="shared" si="24"/>
        <v>31895</v>
      </c>
      <c r="X46" s="2">
        <v>1377</v>
      </c>
      <c r="Y46" s="7">
        <f t="shared" si="25"/>
        <v>4.5120912248509004E-2</v>
      </c>
      <c r="Z46" s="6"/>
      <c r="AA46" s="2">
        <v>18</v>
      </c>
      <c r="AB46" s="2">
        <f t="shared" si="26"/>
        <v>46118</v>
      </c>
      <c r="AC46" s="2">
        <v>1986</v>
      </c>
      <c r="AD46" s="7">
        <f t="shared" si="27"/>
        <v>4.5001359557690579E-2</v>
      </c>
    </row>
    <row r="47" spans="2:47" x14ac:dyDescent="0.3">
      <c r="B47" s="2">
        <v>19</v>
      </c>
      <c r="C47" s="2">
        <f t="shared" si="16"/>
        <v>27778</v>
      </c>
      <c r="D47" s="2">
        <v>1199</v>
      </c>
      <c r="E47" s="7">
        <f t="shared" si="17"/>
        <v>4.5110801760788632E-2</v>
      </c>
      <c r="F47" s="1"/>
      <c r="G47" s="2">
        <v>19</v>
      </c>
      <c r="H47" s="2">
        <f t="shared" si="18"/>
        <v>29563</v>
      </c>
      <c r="I47" s="2">
        <v>1275</v>
      </c>
      <c r="J47" s="7">
        <f t="shared" si="19"/>
        <v>4.5072115384615419E-2</v>
      </c>
      <c r="K47" s="1"/>
      <c r="L47" s="2">
        <v>19</v>
      </c>
      <c r="M47" s="2">
        <f t="shared" si="20"/>
        <v>22222</v>
      </c>
      <c r="N47" s="2">
        <v>959</v>
      </c>
      <c r="O47" s="7">
        <f t="shared" si="21"/>
        <v>4.5101820063020215E-2</v>
      </c>
      <c r="P47" s="1"/>
      <c r="Q47" s="2">
        <v>19</v>
      </c>
      <c r="R47" s="2">
        <f t="shared" si="22"/>
        <v>24008</v>
      </c>
      <c r="S47" s="2">
        <v>1036</v>
      </c>
      <c r="T47" s="7">
        <f t="shared" si="23"/>
        <v>4.5098380637297542E-2</v>
      </c>
      <c r="V47" s="2">
        <v>19</v>
      </c>
      <c r="W47" s="2">
        <f t="shared" si="24"/>
        <v>33333</v>
      </c>
      <c r="X47" s="2">
        <v>1438</v>
      </c>
      <c r="Y47" s="7">
        <f t="shared" si="25"/>
        <v>4.5085436588806926E-2</v>
      </c>
      <c r="Z47" s="6"/>
      <c r="AA47" s="2">
        <v>19</v>
      </c>
      <c r="AB47" s="2">
        <f t="shared" si="26"/>
        <v>48194</v>
      </c>
      <c r="AC47" s="2">
        <v>2076</v>
      </c>
      <c r="AD47" s="7">
        <f t="shared" si="27"/>
        <v>4.5014961620191585E-2</v>
      </c>
    </row>
    <row r="48" spans="2:47" x14ac:dyDescent="0.3">
      <c r="B48" s="2">
        <v>20</v>
      </c>
      <c r="C48" s="2">
        <f t="shared" si="16"/>
        <v>29030</v>
      </c>
      <c r="D48" s="2">
        <v>1252</v>
      </c>
      <c r="E48" s="7">
        <f t="shared" si="17"/>
        <v>4.5071639426884635E-2</v>
      </c>
      <c r="F48" s="1"/>
      <c r="G48" s="2">
        <v>20</v>
      </c>
      <c r="H48" s="2">
        <f t="shared" si="18"/>
        <v>30896</v>
      </c>
      <c r="I48" s="2">
        <v>1333</v>
      </c>
      <c r="J48" s="7">
        <f t="shared" si="19"/>
        <v>4.5090146466867376E-2</v>
      </c>
      <c r="K48" s="1"/>
      <c r="L48" s="2">
        <v>20</v>
      </c>
      <c r="M48" s="2">
        <f t="shared" si="20"/>
        <v>23224</v>
      </c>
      <c r="N48" s="2">
        <v>1002</v>
      </c>
      <c r="O48" s="7">
        <f t="shared" si="21"/>
        <v>4.5090450904509138E-2</v>
      </c>
      <c r="P48" s="1"/>
      <c r="Q48" s="2">
        <v>20</v>
      </c>
      <c r="R48" s="2">
        <f t="shared" si="22"/>
        <v>25090</v>
      </c>
      <c r="S48" s="2">
        <v>1082</v>
      </c>
      <c r="T48" s="7">
        <f t="shared" si="23"/>
        <v>4.5068310563145531E-2</v>
      </c>
      <c r="V48" s="2">
        <v>20</v>
      </c>
      <c r="W48" s="2">
        <f t="shared" si="24"/>
        <v>34836</v>
      </c>
      <c r="X48" s="2">
        <v>1503</v>
      </c>
      <c r="Y48" s="7">
        <f t="shared" si="25"/>
        <v>4.5090450904509138E-2</v>
      </c>
      <c r="Z48" s="6"/>
      <c r="AA48" s="2">
        <v>20</v>
      </c>
      <c r="AB48" s="2">
        <f t="shared" si="26"/>
        <v>50362</v>
      </c>
      <c r="AC48" s="2">
        <v>2168</v>
      </c>
      <c r="AD48" s="7">
        <f t="shared" si="27"/>
        <v>4.4984852886251314E-2</v>
      </c>
    </row>
    <row r="49" spans="2:30" x14ac:dyDescent="0.3">
      <c r="B49" s="2">
        <v>21</v>
      </c>
      <c r="C49" s="2">
        <f t="shared" ref="C49:C53" si="28">C48+D49</f>
        <v>30005</v>
      </c>
      <c r="D49" s="2">
        <v>975</v>
      </c>
      <c r="E49" s="7">
        <f t="shared" ref="E49:E53" si="29">C49/C48-1</f>
        <v>3.3585945573544551E-2</v>
      </c>
      <c r="F49" s="1"/>
      <c r="G49" s="2">
        <v>21</v>
      </c>
      <c r="H49" s="2">
        <f t="shared" ref="H49:H53" si="30">H48+I49</f>
        <v>31934</v>
      </c>
      <c r="I49" s="2">
        <v>1038</v>
      </c>
      <c r="J49" s="7">
        <f t="shared" ref="J49:J53" si="31">H49/H48-1</f>
        <v>3.3596582081822923E-2</v>
      </c>
      <c r="K49" s="1"/>
      <c r="L49" s="2">
        <v>21</v>
      </c>
      <c r="M49" s="2">
        <f t="shared" ref="M49:M53" si="32">M48+N49</f>
        <v>24004</v>
      </c>
      <c r="N49" s="2">
        <v>780</v>
      </c>
      <c r="O49" s="7">
        <f t="shared" ref="O49:O53" si="33">M49/M48-1</f>
        <v>3.3585945573544551E-2</v>
      </c>
      <c r="P49" s="1"/>
      <c r="Q49" s="2">
        <v>21</v>
      </c>
      <c r="R49" s="2">
        <f t="shared" ref="R49:R53" si="34">R48+S49</f>
        <v>25933</v>
      </c>
      <c r="S49" s="2">
        <v>843</v>
      </c>
      <c r="T49" s="7">
        <f t="shared" ref="T49:T53" si="35">R49/R48-1</f>
        <v>3.3599043443603094E-2</v>
      </c>
      <c r="V49" s="2">
        <v>21</v>
      </c>
      <c r="W49" s="2">
        <f t="shared" ref="W49:W53" si="36">W48+X49</f>
        <v>36006</v>
      </c>
      <c r="X49" s="2">
        <v>1170</v>
      </c>
      <c r="Y49" s="7">
        <f t="shared" ref="Y49:Y53" si="37">W49/W48-1</f>
        <v>3.3585945573544551E-2</v>
      </c>
      <c r="Z49" s="6"/>
      <c r="AA49" s="2">
        <v>21</v>
      </c>
      <c r="AB49" s="2">
        <f t="shared" si="26"/>
        <v>52051</v>
      </c>
      <c r="AC49" s="2">
        <v>1689</v>
      </c>
      <c r="AD49" s="7">
        <f t="shared" si="27"/>
        <v>3.3537190739049372E-2</v>
      </c>
    </row>
    <row r="50" spans="2:30" x14ac:dyDescent="0.3">
      <c r="B50" s="2">
        <v>22</v>
      </c>
      <c r="C50" s="2">
        <f t="shared" si="28"/>
        <v>31013</v>
      </c>
      <c r="D50" s="2">
        <v>1008</v>
      </c>
      <c r="E50" s="7">
        <f t="shared" si="29"/>
        <v>3.3594400933177893E-2</v>
      </c>
      <c r="F50" s="1"/>
      <c r="G50" s="2">
        <v>22</v>
      </c>
      <c r="H50" s="2">
        <f t="shared" si="30"/>
        <v>33007</v>
      </c>
      <c r="I50" s="2">
        <v>1073</v>
      </c>
      <c r="J50" s="7">
        <f t="shared" si="31"/>
        <v>3.3600551136719448E-2</v>
      </c>
      <c r="K50" s="1"/>
      <c r="L50" s="2">
        <v>22</v>
      </c>
      <c r="M50" s="2">
        <f t="shared" si="32"/>
        <v>24811</v>
      </c>
      <c r="N50" s="2">
        <v>807</v>
      </c>
      <c r="O50" s="7">
        <f t="shared" si="33"/>
        <v>3.3619396767205378E-2</v>
      </c>
      <c r="P50" s="1"/>
      <c r="Q50" s="2">
        <v>22</v>
      </c>
      <c r="R50" s="2">
        <f t="shared" si="34"/>
        <v>26804</v>
      </c>
      <c r="S50" s="2">
        <v>871</v>
      </c>
      <c r="T50" s="7">
        <f t="shared" si="35"/>
        <v>3.358654995565491E-2</v>
      </c>
      <c r="V50" s="2">
        <v>22</v>
      </c>
      <c r="W50" s="2">
        <f t="shared" si="36"/>
        <v>37216</v>
      </c>
      <c r="X50" s="2">
        <v>1210</v>
      </c>
      <c r="Y50" s="7">
        <f t="shared" si="37"/>
        <v>3.3605510192745713E-2</v>
      </c>
      <c r="Z50" s="6"/>
      <c r="AA50" s="2">
        <v>22</v>
      </c>
      <c r="AB50" s="2">
        <f t="shared" si="26"/>
        <v>53796</v>
      </c>
      <c r="AC50" s="2">
        <v>1745</v>
      </c>
      <c r="AD50" s="7">
        <f t="shared" si="27"/>
        <v>3.3524812203415966E-2</v>
      </c>
    </row>
    <row r="51" spans="2:30" x14ac:dyDescent="0.3">
      <c r="B51" s="2">
        <v>23</v>
      </c>
      <c r="C51" s="2">
        <f t="shared" si="28"/>
        <v>32055</v>
      </c>
      <c r="D51" s="2">
        <v>1042</v>
      </c>
      <c r="E51" s="7">
        <f t="shared" si="29"/>
        <v>3.3598813400831817E-2</v>
      </c>
      <c r="F51" s="1"/>
      <c r="G51" s="2">
        <v>23</v>
      </c>
      <c r="H51" s="2">
        <f t="shared" si="30"/>
        <v>34115</v>
      </c>
      <c r="I51" s="2">
        <v>1108</v>
      </c>
      <c r="J51" s="7">
        <f t="shared" si="31"/>
        <v>3.356863695579726E-2</v>
      </c>
      <c r="K51" s="1"/>
      <c r="L51" s="2">
        <v>23</v>
      </c>
      <c r="M51" s="2">
        <f t="shared" si="32"/>
        <v>25644</v>
      </c>
      <c r="N51" s="2">
        <v>833</v>
      </c>
      <c r="O51" s="7">
        <f t="shared" si="33"/>
        <v>3.3573818064568162E-2</v>
      </c>
      <c r="P51" s="1"/>
      <c r="Q51" s="2">
        <v>23</v>
      </c>
      <c r="R51" s="2">
        <f t="shared" si="34"/>
        <v>27705</v>
      </c>
      <c r="S51" s="2">
        <v>901</v>
      </c>
      <c r="T51" s="7">
        <f t="shared" si="35"/>
        <v>3.3614385912550393E-2</v>
      </c>
      <c r="V51" s="2">
        <v>23</v>
      </c>
      <c r="W51" s="2">
        <f t="shared" si="36"/>
        <v>38466</v>
      </c>
      <c r="X51" s="2">
        <v>1250</v>
      </c>
      <c r="Y51" s="7">
        <f t="shared" si="37"/>
        <v>3.3587704213241532E-2</v>
      </c>
      <c r="Z51" s="6"/>
      <c r="AA51" s="2">
        <v>23</v>
      </c>
      <c r="AB51" s="2">
        <f t="shared" si="26"/>
        <v>55599</v>
      </c>
      <c r="AC51" s="2">
        <v>1803</v>
      </c>
      <c r="AD51" s="7">
        <f t="shared" si="27"/>
        <v>3.3515503011376291E-2</v>
      </c>
    </row>
    <row r="52" spans="2:30" x14ac:dyDescent="0.3">
      <c r="B52" s="2">
        <v>24</v>
      </c>
      <c r="C52" s="2">
        <f t="shared" si="28"/>
        <v>33131</v>
      </c>
      <c r="D52" s="2">
        <v>1076</v>
      </c>
      <c r="E52" s="7">
        <f t="shared" si="29"/>
        <v>3.3567306192481716E-2</v>
      </c>
      <c r="F52" s="1"/>
      <c r="G52" s="2">
        <v>24</v>
      </c>
      <c r="H52" s="2">
        <f t="shared" si="30"/>
        <v>35261</v>
      </c>
      <c r="I52" s="2">
        <v>1146</v>
      </c>
      <c r="J52" s="7">
        <f t="shared" si="31"/>
        <v>3.3592261468562201E-2</v>
      </c>
      <c r="K52" s="1"/>
      <c r="L52" s="2">
        <v>24</v>
      </c>
      <c r="M52" s="2">
        <f t="shared" si="32"/>
        <v>26505</v>
      </c>
      <c r="N52" s="2">
        <v>861</v>
      </c>
      <c r="O52" s="7">
        <f t="shared" si="33"/>
        <v>3.3575105287786622E-2</v>
      </c>
      <c r="P52" s="1"/>
      <c r="Q52" s="2">
        <v>24</v>
      </c>
      <c r="R52" s="2">
        <f t="shared" si="34"/>
        <v>28635</v>
      </c>
      <c r="S52" s="2">
        <v>930</v>
      </c>
      <c r="T52" s="7">
        <f t="shared" si="35"/>
        <v>3.3567948023822458E-2</v>
      </c>
      <c r="V52" s="2">
        <v>24</v>
      </c>
      <c r="W52" s="2">
        <f t="shared" si="36"/>
        <v>39758</v>
      </c>
      <c r="X52" s="2">
        <v>1292</v>
      </c>
      <c r="Y52" s="7">
        <f t="shared" si="37"/>
        <v>3.3588103779961465E-2</v>
      </c>
      <c r="Z52" s="6"/>
      <c r="AA52" s="2">
        <v>24</v>
      </c>
      <c r="AB52" s="2">
        <f t="shared" si="26"/>
        <v>57463</v>
      </c>
      <c r="AC52" s="2">
        <v>1864</v>
      </c>
      <c r="AD52" s="7">
        <f t="shared" si="27"/>
        <v>3.3525782837820817E-2</v>
      </c>
    </row>
    <row r="53" spans="2:30" x14ac:dyDescent="0.3">
      <c r="B53" s="2">
        <v>25</v>
      </c>
      <c r="C53" s="2">
        <f t="shared" si="28"/>
        <v>34244</v>
      </c>
      <c r="D53" s="2">
        <v>1113</v>
      </c>
      <c r="E53" s="7">
        <f t="shared" si="29"/>
        <v>3.3593915064441093E-2</v>
      </c>
      <c r="F53" s="1"/>
      <c r="G53" s="2">
        <v>25</v>
      </c>
      <c r="H53" s="2">
        <f t="shared" si="30"/>
        <v>36445</v>
      </c>
      <c r="I53" s="2">
        <v>1184</v>
      </c>
      <c r="J53" s="7">
        <f t="shared" si="31"/>
        <v>3.3578174186778664E-2</v>
      </c>
      <c r="K53" s="1"/>
      <c r="L53" s="2">
        <v>25</v>
      </c>
      <c r="M53" s="2">
        <f t="shared" si="32"/>
        <v>27395</v>
      </c>
      <c r="N53" s="2">
        <v>890</v>
      </c>
      <c r="O53" s="7">
        <f t="shared" si="33"/>
        <v>3.3578570081116865E-2</v>
      </c>
      <c r="P53" s="1"/>
      <c r="Q53" s="2">
        <v>25</v>
      </c>
      <c r="R53" s="2">
        <f t="shared" si="34"/>
        <v>29597</v>
      </c>
      <c r="S53" s="2">
        <v>962</v>
      </c>
      <c r="T53" s="7">
        <f t="shared" si="35"/>
        <v>3.3595250567487245E-2</v>
      </c>
      <c r="V53" s="2">
        <v>25</v>
      </c>
      <c r="W53" s="2">
        <f t="shared" si="36"/>
        <v>41093</v>
      </c>
      <c r="X53" s="2">
        <v>1335</v>
      </c>
      <c r="Y53" s="7">
        <f t="shared" si="37"/>
        <v>3.3578147794154578E-2</v>
      </c>
      <c r="Z53" s="6"/>
      <c r="AA53" s="2">
        <v>25</v>
      </c>
      <c r="AB53" s="2">
        <f t="shared" si="26"/>
        <v>59390</v>
      </c>
      <c r="AC53" s="2">
        <v>1927</v>
      </c>
      <c r="AD53" s="7">
        <f t="shared" si="27"/>
        <v>3.3534622278683646E-2</v>
      </c>
    </row>
  </sheetData>
  <mergeCells count="32">
    <mergeCell ref="AC3:AD4"/>
    <mergeCell ref="AC27:AD28"/>
    <mergeCell ref="AA2:AD2"/>
    <mergeCell ref="AA26:AD26"/>
    <mergeCell ref="B2:E2"/>
    <mergeCell ref="D3:E4"/>
    <mergeCell ref="D27:E28"/>
    <mergeCell ref="B26:E26"/>
    <mergeCell ref="G26:J26"/>
    <mergeCell ref="L26:O26"/>
    <mergeCell ref="Q26:T26"/>
    <mergeCell ref="V26:Y26"/>
    <mergeCell ref="I27:J28"/>
    <mergeCell ref="N27:O28"/>
    <mergeCell ref="S27:T28"/>
    <mergeCell ref="X27:Y28"/>
    <mergeCell ref="V2:Y2"/>
    <mergeCell ref="X3:Y4"/>
    <mergeCell ref="G2:J2"/>
    <mergeCell ref="I3:J4"/>
    <mergeCell ref="L2:O2"/>
    <mergeCell ref="N3:O4"/>
    <mergeCell ref="Q2:T2"/>
    <mergeCell ref="S3:T4"/>
    <mergeCell ref="AG20:AL20"/>
    <mergeCell ref="AM20:AU20"/>
    <mergeCell ref="AF2:AU2"/>
    <mergeCell ref="AF3:AF4"/>
    <mergeCell ref="AF20:AF21"/>
    <mergeCell ref="AF19:AU19"/>
    <mergeCell ref="AM3:AU3"/>
    <mergeCell ref="AG3:AL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입력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신민수</dc:creator>
  <cp:lastModifiedBy>신 민수</cp:lastModifiedBy>
  <dcterms:created xsi:type="dcterms:W3CDTF">2022-06-21T12:26:42Z</dcterms:created>
  <dcterms:modified xsi:type="dcterms:W3CDTF">2022-06-22T18:01:51Z</dcterms:modified>
</cp:coreProperties>
</file>