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4109\Desktop\로아\충모닉전용\"/>
    </mc:Choice>
  </mc:AlternateContent>
  <xr:revisionPtr revIDLastSave="0" documentId="13_ncr:1_{AF021C68-615C-464B-9BAD-B7E1CAE53FEF}" xr6:coauthVersionLast="47" xr6:coauthVersionMax="47" xr10:uidLastSave="{00000000-0000-0000-0000-000000000000}"/>
  <bookViews>
    <workbookView xWindow="9720" yWindow="3970" windowWidth="21600" windowHeight="11060" xr2:uid="{E0F7A2BB-B73A-4228-9658-33A480D66F54}"/>
  </bookViews>
  <sheets>
    <sheet name="계산기" sheetId="1" r:id="rId1"/>
    <sheet name="데이터" sheetId="2" r:id="rId2"/>
    <sheet name="계산" sheetId="3" r:id="rId3"/>
  </sheets>
  <definedNames>
    <definedName name="공이속변수">데이터!$C$6</definedName>
    <definedName name="기본무공">계산기!$C$7</definedName>
    <definedName name="기본민첩">계산기!$C$6</definedName>
    <definedName name="수확">계산기!$C$35</definedName>
    <definedName name="아드">계산기!$C$11</definedName>
    <definedName name="예둔">계산기!$C$12</definedName>
    <definedName name="정단">계산기!$C$13</definedName>
    <definedName name="치명변수">데이터!$C$5</definedName>
    <definedName name="쿨감변수">데이터!$C$7</definedName>
    <definedName name="특화변수">데이터!$C$8</definedName>
    <definedName name="팔찌무공">계산기!$C$22</definedName>
    <definedName name="팔찌민첩">계산기!$C$21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B45" i="2"/>
  <c r="B44" i="2"/>
  <c r="B46" i="2" s="1"/>
  <c r="B43" i="2"/>
  <c r="B42" i="2"/>
  <c r="G4" i="1" a="1"/>
  <c r="G4" i="1" s="1"/>
  <c r="F4" i="1" a="1"/>
  <c r="F4" i="1" s="1"/>
  <c r="D13" i="3"/>
  <c r="C14" i="2"/>
  <c r="C13" i="2"/>
  <c r="C12" i="2"/>
  <c r="C11" i="2"/>
  <c r="B11" i="2"/>
  <c r="B14" i="2" s="1"/>
  <c r="C20" i="3"/>
  <c r="E20" i="3" s="1"/>
  <c r="B41" i="2"/>
  <c r="B38" i="2"/>
  <c r="B37" i="2"/>
  <c r="B36" i="2"/>
  <c r="B35" i="2"/>
  <c r="B34" i="2"/>
  <c r="F8" i="1"/>
  <c r="G8" i="1" s="1"/>
  <c r="F7" i="1"/>
  <c r="G7" i="1" s="1"/>
  <c r="F6" i="1"/>
  <c r="G6" i="1"/>
  <c r="C19" i="3"/>
  <c r="E19" i="3" s="1"/>
  <c r="C24" i="3"/>
  <c r="D24" i="3" s="1"/>
  <c r="F24" i="3" s="1"/>
  <c r="C18" i="3"/>
  <c r="E18" i="3" s="1"/>
  <c r="C17" i="3"/>
  <c r="C16" i="3"/>
  <c r="D17" i="2"/>
  <c r="C16" i="2"/>
  <c r="D12" i="3"/>
  <c r="C13" i="3"/>
  <c r="C12" i="3"/>
  <c r="F3" i="1"/>
  <c r="C10" i="3"/>
  <c r="D10" i="3" s="1"/>
  <c r="E10" i="3" s="1"/>
  <c r="C3" i="3"/>
  <c r="C4" i="3" s="1"/>
  <c r="F5" i="1" a="1"/>
  <c r="F5" i="1" s="1"/>
  <c r="C7" i="3" s="1"/>
  <c r="G3" i="1" l="1"/>
  <c r="J21" i="1"/>
  <c r="D14" i="2"/>
  <c r="D11" i="2"/>
  <c r="B12" i="2"/>
  <c r="B13" i="2"/>
  <c r="D6" i="3"/>
  <c r="C22" i="3" s="1"/>
  <c r="E12" i="3"/>
  <c r="E13" i="3"/>
  <c r="G5" i="1"/>
  <c r="D7" i="3" s="1"/>
  <c r="C6" i="3"/>
  <c r="C8" i="3" s="1"/>
  <c r="D3" i="3"/>
  <c r="D4" i="3" s="1"/>
  <c r="E4" i="3" s="1"/>
  <c r="J13" i="1" s="1"/>
  <c r="D16" i="3"/>
  <c r="E16" i="3" s="1"/>
  <c r="D17" i="3"/>
  <c r="E17" i="3" s="1"/>
  <c r="D12" i="2" l="1"/>
  <c r="D13" i="2"/>
  <c r="J17" i="1"/>
  <c r="C23" i="3"/>
  <c r="D23" i="3" s="1"/>
  <c r="D22" i="3"/>
  <c r="D8" i="3"/>
  <c r="E8" i="3" s="1"/>
  <c r="J15" i="1" s="1"/>
  <c r="D15" i="2" l="1"/>
  <c r="C15" i="3" s="1"/>
  <c r="E15" i="3" s="1"/>
  <c r="F22" i="3"/>
  <c r="F23" i="3"/>
  <c r="E25" i="3" l="1"/>
  <c r="J19" i="1" s="1"/>
  <c r="H2" i="3" l="1"/>
  <c r="F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<sst xmlns="http://schemas.openxmlformats.org/spreadsheetml/2006/main" count="132" uniqueCount="88">
  <si>
    <t>민첩</t>
    <phoneticPr fontId="3" type="noConversion"/>
  </si>
  <si>
    <t>치명</t>
    <phoneticPr fontId="3" type="noConversion"/>
  </si>
  <si>
    <t>특화</t>
    <phoneticPr fontId="3" type="noConversion"/>
  </si>
  <si>
    <t>신속</t>
    <phoneticPr fontId="3" type="noConversion"/>
  </si>
  <si>
    <t>공격력</t>
    <phoneticPr fontId="3" type="noConversion"/>
  </si>
  <si>
    <t>치명타율</t>
    <phoneticPr fontId="3" type="noConversion"/>
  </si>
  <si>
    <t>무기 공격력</t>
    <phoneticPr fontId="3" type="noConversion"/>
  </si>
  <si>
    <t>아드</t>
    <phoneticPr fontId="3" type="noConversion"/>
  </si>
  <si>
    <t>정단</t>
    <phoneticPr fontId="3" type="noConversion"/>
  </si>
  <si>
    <t>예둔</t>
    <phoneticPr fontId="3" type="noConversion"/>
  </si>
  <si>
    <t>치피</t>
    <phoneticPr fontId="3" type="noConversion"/>
  </si>
  <si>
    <t>치명타 피해</t>
    <phoneticPr fontId="3" type="noConversion"/>
  </si>
  <si>
    <t>치명1당치명타율</t>
    <phoneticPr fontId="3" type="noConversion"/>
  </si>
  <si>
    <t>신속1당공이속</t>
    <phoneticPr fontId="3" type="noConversion"/>
  </si>
  <si>
    <t>신속1당쿨감</t>
    <phoneticPr fontId="3" type="noConversion"/>
  </si>
  <si>
    <t>특화1당딜증</t>
    <phoneticPr fontId="3" type="noConversion"/>
  </si>
  <si>
    <t>수치 입력</t>
    <phoneticPr fontId="3" type="noConversion"/>
  </si>
  <si>
    <t>팔찌 X</t>
    <phoneticPr fontId="3" type="noConversion"/>
  </si>
  <si>
    <t>팔찌 O</t>
    <phoneticPr fontId="3" type="noConversion"/>
  </si>
  <si>
    <t>정밀</t>
    <phoneticPr fontId="3" type="noConversion"/>
  </si>
  <si>
    <t>약점노출</t>
    <phoneticPr fontId="3" type="noConversion"/>
  </si>
  <si>
    <t>무공</t>
    <phoneticPr fontId="3" type="noConversion"/>
  </si>
  <si>
    <t>망치</t>
    <phoneticPr fontId="3" type="noConversion"/>
  </si>
  <si>
    <t>습격</t>
    <phoneticPr fontId="3" type="noConversion"/>
  </si>
  <si>
    <t>쐐기</t>
    <phoneticPr fontId="3" type="noConversion"/>
  </si>
  <si>
    <t>열정</t>
    <phoneticPr fontId="3" type="noConversion"/>
  </si>
  <si>
    <t>우월</t>
    <phoneticPr fontId="3" type="noConversion"/>
  </si>
  <si>
    <t>냉정</t>
    <phoneticPr fontId="3" type="noConversion"/>
  </si>
  <si>
    <t>순환</t>
    <phoneticPr fontId="3" type="noConversion"/>
  </si>
  <si>
    <t>비수</t>
    <phoneticPr fontId="3" type="noConversion"/>
  </si>
  <si>
    <t>수확</t>
    <phoneticPr fontId="3" type="noConversion"/>
  </si>
  <si>
    <t>팔찌O</t>
    <phoneticPr fontId="3" type="noConversion"/>
  </si>
  <si>
    <t>팔찌X</t>
    <phoneticPr fontId="3" type="noConversion"/>
  </si>
  <si>
    <t>딜증</t>
    <phoneticPr fontId="3" type="noConversion"/>
  </si>
  <si>
    <t>치명타피해</t>
    <phoneticPr fontId="3" type="noConversion"/>
  </si>
  <si>
    <t>악마화딜증</t>
    <phoneticPr fontId="3" type="noConversion"/>
  </si>
  <si>
    <t>치특돌대</t>
    <phoneticPr fontId="3" type="noConversion"/>
  </si>
  <si>
    <t>망치(쐐기)</t>
    <phoneticPr fontId="3" type="noConversion"/>
  </si>
  <si>
    <t>총 딜증가량</t>
    <phoneticPr fontId="3" type="noConversion"/>
  </si>
  <si>
    <t>순환치명</t>
    <phoneticPr fontId="3" type="noConversion"/>
  </si>
  <si>
    <t>순환치피</t>
    <phoneticPr fontId="3" type="noConversion"/>
  </si>
  <si>
    <t>순환피증</t>
    <phoneticPr fontId="3" type="noConversion"/>
  </si>
  <si>
    <t>최종순환</t>
    <phoneticPr fontId="3" type="noConversion"/>
  </si>
  <si>
    <t>순환(피증 입력)</t>
    <phoneticPr fontId="3" type="noConversion"/>
  </si>
  <si>
    <t>수확(10스택입력)</t>
    <phoneticPr fontId="3" type="noConversion"/>
  </si>
  <si>
    <t>수치 확인</t>
    <phoneticPr fontId="3" type="noConversion"/>
  </si>
  <si>
    <t>사용법</t>
    <phoneticPr fontId="3" type="noConversion"/>
  </si>
  <si>
    <t>1. 기본스탯(팔찌X)</t>
    <phoneticPr fontId="3" type="noConversion"/>
  </si>
  <si>
    <t>2. 각인</t>
    <phoneticPr fontId="3" type="noConversion"/>
  </si>
  <si>
    <t>3. 팔찌 스탯</t>
    <phoneticPr fontId="3" type="noConversion"/>
  </si>
  <si>
    <t>4. 팔찌 특수옵션</t>
    <phoneticPr fontId="3" type="noConversion"/>
  </si>
  <si>
    <t>피증</t>
    <phoneticPr fontId="3" type="noConversion"/>
  </si>
  <si>
    <t>치확</t>
    <phoneticPr fontId="3" type="noConversion"/>
  </si>
  <si>
    <t>★ 참고사항</t>
    <phoneticPr fontId="3" type="noConversion"/>
  </si>
  <si>
    <t>약점노출, 비수는 본인만 적용받는다는 가정 하의 딜 증가량으로 계산하였음.</t>
    <phoneticPr fontId="3" type="noConversion"/>
  </si>
  <si>
    <t>열정과 냉정은 상시 적용받을 때 기준으로 계산하였음. 또한 열정냉정 추가 1% 또한 계산되어 있음.</t>
    <phoneticPr fontId="3" type="noConversion"/>
  </si>
  <si>
    <t>순환은 피증/치적/치피가 균등하게 계속 돌아간다는 가정 하에 계산하였음.</t>
    <phoneticPr fontId="3" type="noConversion"/>
  </si>
  <si>
    <t>수확은 3%로 스택을 쌓은 이후 상시가 되는 팔찌로, 상시 적용이라고 가정하고 계산하였음.</t>
    <phoneticPr fontId="3" type="noConversion"/>
  </si>
  <si>
    <t>자신이 돌대 효율을 18% 전부 받지 못한다면, 신속의 이속 증가량을 돌대의 피해 증가로 계산하였음.</t>
    <phoneticPr fontId="3" type="noConversion"/>
  </si>
  <si>
    <t>신속의 공격속도 증가와 쿨타임 감소는 계산하지 않았음.</t>
    <phoneticPr fontId="3" type="noConversion"/>
  </si>
  <si>
    <t>치명타 확률</t>
    <phoneticPr fontId="3" type="noConversion"/>
  </si>
  <si>
    <t>결과</t>
    <phoneticPr fontId="3" type="noConversion"/>
  </si>
  <si>
    <t>피해 증가 옵션으로 인한 딜 증가율</t>
    <phoneticPr fontId="3" type="noConversion"/>
  </si>
  <si>
    <t>민첩 / 무기 공격력으로 인한 딜 증가율</t>
    <phoneticPr fontId="3" type="noConversion"/>
  </si>
  <si>
    <t>치명타 확률 / 치명타 피해에 의한 딜 증가율</t>
    <phoneticPr fontId="3" type="noConversion"/>
  </si>
  <si>
    <t>특화 수치로 인한 악마화 딜 증가율</t>
    <phoneticPr fontId="3" type="noConversion"/>
  </si>
  <si>
    <t>내 팔찌 총 딜 증가율</t>
    <phoneticPr fontId="3" type="noConversion"/>
  </si>
  <si>
    <t>신속 이속으로 인한 돌대 딜 증가율</t>
    <phoneticPr fontId="3" type="noConversion"/>
  </si>
  <si>
    <t>6. 팔찌의 딜 증가량을 확인하세요.</t>
  </si>
  <si>
    <t>기타(피증)</t>
    <phoneticPr fontId="3" type="noConversion"/>
  </si>
  <si>
    <t>1. 기본스탯(팔찌를 벗은 상태에서의 스탯)을 노란색 셀에 입력하세요. (모든 스탯 공백없이 필수 입력)</t>
    <phoneticPr fontId="3" type="noConversion"/>
  </si>
  <si>
    <t>4. 팔찌 스탯과 팔찌 특수옵션을 입력하세요.</t>
    <phoneticPr fontId="3" type="noConversion"/>
  </si>
  <si>
    <t>5. 중앙 상단 초록색 칸의 팔찌 O 상태 공격력, 치명타율, 치명타 피해, 특화, 치명, 신속 수치가 맞는지 확인하세요.</t>
    <phoneticPr fontId="3" type="noConversion"/>
  </si>
  <si>
    <t>3. 중앙 상단 초록색 칸의 팔찌 X 상태 공격력, 치명타율, 치명타 피해, 특화, 치명, 신속 수치가 맞는지 확인하세요.</t>
    <phoneticPr fontId="3" type="noConversion"/>
  </si>
  <si>
    <t>2. 본인이 사용중인 치명타 관련 각인을 노란색 셀에 입력하세요. (모든 스탯 공백없이 필수 입력)</t>
    <phoneticPr fontId="3" type="noConversion"/>
  </si>
  <si>
    <t>기타</t>
    <phoneticPr fontId="3" type="noConversion"/>
  </si>
  <si>
    <t>무기 추가피해</t>
    <phoneticPr fontId="3" type="noConversion"/>
  </si>
  <si>
    <t xml:space="preserve">망치의 강철 쐐기 또한 위와 같이 계산하였음. </t>
    <phoneticPr fontId="3" type="noConversion"/>
  </si>
  <si>
    <t>쐐기는 1스택 2초/2스택 2초/3스택 2초/4스택 8초의 사이클이 돌아간다는 가정 하에 계산하였음. 또한 쐐기는 추가 피해로 적용됨.</t>
    <phoneticPr fontId="3" type="noConversion"/>
  </si>
  <si>
    <t>모든 계산은 파티플레이 기준</t>
    <phoneticPr fontId="3" type="noConversion"/>
  </si>
  <si>
    <t>치적시너지</t>
    <phoneticPr fontId="3" type="noConversion"/>
  </si>
  <si>
    <t>O</t>
    <phoneticPr fontId="3" type="noConversion"/>
  </si>
  <si>
    <t>수확(10스택기준)</t>
    <phoneticPr fontId="3" type="noConversion"/>
  </si>
  <si>
    <t>구원</t>
  </si>
  <si>
    <t>세트</t>
    <phoneticPr fontId="3" type="noConversion"/>
  </si>
  <si>
    <t>특치 돌대 (정흡X)</t>
    <phoneticPr fontId="3" type="noConversion"/>
  </si>
  <si>
    <t>추피</t>
    <phoneticPr fontId="3" type="noConversion"/>
  </si>
  <si>
    <t>상처악화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</si>
</sst>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_ "/>
    <numFmt numFmtId="177" formatCode="0&quot;%&quot;"/>
    <numFmt numFmtId="178" formatCode="0.0%"/>
    <numFmt numFmtId="179" formatCode="0.0&quot;%&quot;"/>
    <numFmt numFmtId="180" formatCode="0.0000000"/>
    <numFmt numFmtId="181" formatCode="0.00&quot;%&quot;"/>
    <numFmt numFmtId="182" formatCode="0.00000000000000000000_ "/>
    <numFmt numFmtId="183" formatCode="0.000_ "/>
    <numFmt numFmtId="184" formatCode="0.00000_);[Red]\(0.00000\)"/>
    <numFmt numFmtId="185" formatCode="0.00_ 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5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4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0" fillId="4" borderId="4" xfId="0" applyNumberFormat="1" applyFill="1" applyBorder="1" applyAlignment="1">
      <alignment horizontal="right" vertical="center"/>
    </xf>
    <xf numFmtId="0" fontId="0" fillId="4" borderId="4" xfId="0" applyFill="1" applyBorder="1" applyAlignment="1">
      <alignment horizontal="right" vertical="center"/>
    </xf>
    <xf numFmtId="0" fontId="0" fillId="4" borderId="6" xfId="0" applyFill="1" applyBorder="1" applyAlignment="1">
      <alignment horizontal="right" vertical="center"/>
    </xf>
    <xf numFmtId="0" fontId="0" fillId="3" borderId="7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0" fontId="7" fillId="0" borderId="13" xfId="0" applyNumberFormat="1" applyFont="1" applyBorder="1" applyAlignment="1">
      <alignment horizontal="center" vertical="center"/>
    </xf>
    <xf numFmtId="178" fontId="7" fillId="0" borderId="13" xfId="0" applyNumberFormat="1" applyFont="1" applyBorder="1" applyAlignment="1">
      <alignment horizontal="center" vertical="center"/>
    </xf>
    <xf numFmtId="178" fontId="7" fillId="0" borderId="16" xfId="0" applyNumberFormat="1" applyFont="1" applyBorder="1" applyAlignment="1">
      <alignment horizontal="center" vertical="center"/>
    </xf>
    <xf numFmtId="178" fontId="7" fillId="0" borderId="17" xfId="0" applyNumberFormat="1" applyFont="1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178" fontId="7" fillId="0" borderId="22" xfId="0" applyNumberFormat="1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1" fillId="2" borderId="9" xfId="1" applyNumberFormat="1" applyFont="1" applyBorder="1" applyAlignment="1">
      <alignment horizontal="right" vertical="center"/>
    </xf>
    <xf numFmtId="0" fontId="1" fillId="2" borderId="10" xfId="1" applyFont="1" applyBorder="1" applyAlignment="1">
      <alignment horizontal="right" vertical="center"/>
    </xf>
    <xf numFmtId="10" fontId="0" fillId="8" borderId="2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7" borderId="7" xfId="0" applyNumberFormat="1" applyFill="1" applyBorder="1" applyAlignment="1">
      <alignment horizontal="center" vertical="center"/>
    </xf>
    <xf numFmtId="176" fontId="1" fillId="2" borderId="8" xfId="1" applyNumberFormat="1" applyFont="1" applyBorder="1" applyAlignment="1">
      <alignment horizontal="right" vertical="center"/>
    </xf>
    <xf numFmtId="0" fontId="0" fillId="7" borderId="3" xfId="0" applyFill="1" applyBorder="1" applyAlignment="1">
      <alignment horizontal="center" vertical="center"/>
    </xf>
    <xf numFmtId="0" fontId="1" fillId="2" borderId="4" xfId="1" applyFont="1" applyBorder="1" applyAlignment="1">
      <alignment horizontal="right" vertical="center"/>
    </xf>
    <xf numFmtId="177" fontId="1" fillId="2" borderId="4" xfId="1" applyNumberFormat="1" applyFont="1" applyBorder="1" applyAlignment="1">
      <alignment horizontal="right" vertical="center"/>
    </xf>
    <xf numFmtId="0" fontId="0" fillId="7" borderId="5" xfId="0" applyFill="1" applyBorder="1" applyAlignment="1">
      <alignment horizontal="center" vertical="center"/>
    </xf>
    <xf numFmtId="0" fontId="1" fillId="2" borderId="11" xfId="1" applyFont="1" applyBorder="1" applyAlignment="1">
      <alignment horizontal="right" vertical="center"/>
    </xf>
    <xf numFmtId="0" fontId="1" fillId="2" borderId="6" xfId="1" applyFont="1" applyBorder="1" applyAlignment="1">
      <alignment horizontal="right" vertical="center"/>
    </xf>
    <xf numFmtId="0" fontId="0" fillId="0" borderId="21" xfId="0" applyBorder="1">
      <alignment vertical="center"/>
    </xf>
    <xf numFmtId="0" fontId="0" fillId="10" borderId="8" xfId="0" applyNumberFormat="1" applyFill="1" applyBorder="1">
      <alignment vertical="center"/>
    </xf>
    <xf numFmtId="0" fontId="0" fillId="10" borderId="4" xfId="0" applyNumberFormat="1" applyFill="1" applyBorder="1">
      <alignment vertical="center"/>
    </xf>
    <xf numFmtId="0" fontId="0" fillId="10" borderId="6" xfId="0" applyNumberFormat="1" applyFill="1" applyBorder="1">
      <alignment vertical="center"/>
    </xf>
    <xf numFmtId="179" fontId="0" fillId="10" borderId="8" xfId="0" applyNumberFormat="1" applyFill="1" applyBorder="1">
      <alignment vertical="center"/>
    </xf>
    <xf numFmtId="179" fontId="0" fillId="10" borderId="4" xfId="0" applyNumberFormat="1" applyFill="1" applyBorder="1">
      <alignment vertical="center"/>
    </xf>
    <xf numFmtId="181" fontId="0" fillId="10" borderId="4" xfId="0" applyNumberFormat="1" applyFill="1" applyBorder="1">
      <alignment vertical="center"/>
    </xf>
    <xf numFmtId="0" fontId="0" fillId="0" borderId="8" xfId="0" applyBorder="1" applyAlignment="1">
      <alignment horizontal="center" vertical="center"/>
    </xf>
    <xf numFmtId="179" fontId="0" fillId="10" borderId="6" xfId="0" applyNumberFormat="1" applyFill="1" applyBorder="1">
      <alignment vertical="center"/>
    </xf>
    <xf numFmtId="177" fontId="1" fillId="2" borderId="10" xfId="1" applyNumberFormat="1" applyFont="1" applyBorder="1" applyAlignment="1">
      <alignment horizontal="right" vertical="center"/>
    </xf>
    <xf numFmtId="181" fontId="1" fillId="2" borderId="10" xfId="1" applyNumberFormat="1" applyFont="1" applyBorder="1" applyAlignment="1">
      <alignment horizontal="right" vertical="center"/>
    </xf>
    <xf numFmtId="181" fontId="1" fillId="2" borderId="4" xfId="1" applyNumberFormat="1" applyFont="1" applyBorder="1" applyAlignment="1">
      <alignment horizontal="right" vertical="center"/>
    </xf>
    <xf numFmtId="0" fontId="0" fillId="4" borderId="8" xfId="0" applyFill="1" applyBorder="1" applyAlignment="1">
      <alignment horizontal="right" vertical="center"/>
    </xf>
    <xf numFmtId="182" fontId="0" fillId="0" borderId="0" xfId="0" applyNumberFormat="1">
      <alignment vertical="center"/>
    </xf>
    <xf numFmtId="0" fontId="0" fillId="0" borderId="0" xfId="0" applyNumberFormat="1">
      <alignment vertical="center"/>
    </xf>
    <xf numFmtId="183" fontId="0" fillId="0" borderId="0" xfId="0" applyNumberFormat="1">
      <alignment vertical="center"/>
    </xf>
    <xf numFmtId="184" fontId="0" fillId="0" borderId="0" xfId="0" applyNumberFormat="1">
      <alignment vertical="center"/>
    </xf>
    <xf numFmtId="0" fontId="10" fillId="0" borderId="0" xfId="2">
      <alignment vertical="center"/>
    </xf>
    <xf numFmtId="0" fontId="0" fillId="3" borderId="1" xfId="0" applyFill="1" applyBorder="1" applyAlignment="1">
      <alignment horizontal="center" vertical="center"/>
    </xf>
    <xf numFmtId="0" fontId="0" fillId="10" borderId="2" xfId="0" applyFill="1" applyBorder="1" applyAlignment="1">
      <alignment horizontal="right" vertical="center"/>
    </xf>
    <xf numFmtId="9" fontId="7" fillId="0" borderId="17" xfId="0" applyNumberFormat="1" applyFont="1" applyBorder="1" applyAlignment="1">
      <alignment horizontal="center" vertical="center"/>
    </xf>
    <xf numFmtId="185" fontId="0" fillId="0" borderId="0" xfId="0" applyNumberFormat="1">
      <alignment vertical="center"/>
    </xf>
    <xf numFmtId="10" fontId="0" fillId="10" borderId="4" xfId="0" applyNumberFormat="1" applyFill="1" applyBorder="1">
      <alignment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78" fontId="7" fillId="6" borderId="22" xfId="0" applyNumberFormat="1" applyFont="1" applyFill="1" applyBorder="1" applyAlignment="1">
      <alignment horizontal="center" vertical="center"/>
    </xf>
    <xf numFmtId="178" fontId="7" fillId="6" borderId="24" xfId="0" applyNumberFormat="1" applyFont="1" applyFill="1" applyBorder="1" applyAlignment="1">
      <alignment horizontal="center" vertical="center"/>
    </xf>
    <xf numFmtId="178" fontId="7" fillId="6" borderId="23" xfId="0" applyNumberFormat="1" applyFont="1" applyFill="1" applyBorder="1" applyAlignment="1">
      <alignment horizontal="center" vertical="center"/>
    </xf>
    <xf numFmtId="178" fontId="7" fillId="6" borderId="12" xfId="0" applyNumberFormat="1" applyFont="1" applyFill="1" applyBorder="1" applyAlignment="1">
      <alignment horizontal="center" vertical="center"/>
    </xf>
    <xf numFmtId="178" fontId="7" fillId="0" borderId="14" xfId="0" applyNumberFormat="1" applyFont="1" applyBorder="1" applyAlignment="1"/>
    <xf numFmtId="178" fontId="7" fillId="0" borderId="15" xfId="0" applyNumberFormat="1" applyFont="1" applyBorder="1" applyAlignment="1"/>
    <xf numFmtId="178" fontId="7" fillId="6" borderId="18" xfId="0" applyNumberFormat="1" applyFont="1" applyFill="1" applyBorder="1" applyAlignment="1">
      <alignment horizontal="center" vertical="center"/>
    </xf>
    <xf numFmtId="178" fontId="7" fillId="6" borderId="19" xfId="0" applyNumberFormat="1" applyFont="1" applyFill="1" applyBorder="1" applyAlignment="1">
      <alignment horizontal="center" vertical="center"/>
    </xf>
    <xf numFmtId="178" fontId="7" fillId="6" borderId="20" xfId="0" applyNumberFormat="1" applyFont="1" applyFill="1" applyBorder="1" applyAlignment="1">
      <alignment horizontal="center" vertical="center"/>
    </xf>
    <xf numFmtId="180" fontId="7" fillId="6" borderId="12" xfId="0" applyNumberFormat="1" applyFont="1" applyFill="1" applyBorder="1" applyAlignment="1">
      <alignment horizontal="center" vertical="center"/>
    </xf>
    <xf numFmtId="180" fontId="7" fillId="6" borderId="14" xfId="0" applyNumberFormat="1" applyFont="1" applyFill="1" applyBorder="1" applyAlignment="1">
      <alignment horizontal="center" vertical="center"/>
    </xf>
    <xf numFmtId="180" fontId="7" fillId="6" borderId="15" xfId="0" applyNumberFormat="1" applyFont="1" applyFill="1" applyBorder="1" applyAlignment="1">
      <alignment horizontal="center" vertical="center"/>
    </xf>
    <xf numFmtId="178" fontId="7" fillId="6" borderId="14" xfId="0" applyNumberFormat="1" applyFont="1" applyFill="1" applyBorder="1" applyAlignment="1">
      <alignment horizontal="center" vertical="center"/>
    </xf>
    <xf numFmtId="178" fontId="7" fillId="6" borderId="15" xfId="0" applyNumberFormat="1" applyFont="1" applyFill="1" applyBorder="1" applyAlignment="1">
      <alignment horizontal="center" vertical="center"/>
    </xf>
    <xf numFmtId="178" fontId="7" fillId="6" borderId="25" xfId="0" applyNumberFormat="1" applyFont="1" applyFill="1" applyBorder="1" applyAlignment="1">
      <alignment horizontal="center" vertical="center"/>
    </xf>
    <xf numFmtId="180" fontId="7" fillId="6" borderId="26" xfId="0" applyNumberFormat="1" applyFont="1" applyFill="1" applyBorder="1" applyAlignment="1">
      <alignment horizontal="center" vertical="center"/>
    </xf>
    <xf numFmtId="178" fontId="7" fillId="6" borderId="26" xfId="0" applyNumberFormat="1" applyFont="1" applyFill="1" applyBorder="1" applyAlignment="1">
      <alignment horizontal="center" vertical="center"/>
    </xf>
    <xf numFmtId="0" fontId="7" fillId="0" borderId="14" xfId="0" applyFont="1" applyBorder="1" applyAlignment="1"/>
    <xf numFmtId="0" fontId="7" fillId="0" borderId="15" xfId="0" applyFont="1" applyBorder="1" applyAlignment="1"/>
    <xf numFmtId="10" fontId="9" fillId="8" borderId="7" xfId="0" applyNumberFormat="1" applyFont="1" applyFill="1" applyBorder="1" applyAlignment="1">
      <alignment horizontal="center" vertical="center"/>
    </xf>
    <xf numFmtId="10" fontId="9" fillId="8" borderId="28" xfId="0" applyNumberFormat="1" applyFont="1" applyFill="1" applyBorder="1" applyAlignment="1">
      <alignment horizontal="center" vertical="center"/>
    </xf>
    <xf numFmtId="10" fontId="9" fillId="8" borderId="8" xfId="0" applyNumberFormat="1" applyFont="1" applyFill="1" applyBorder="1" applyAlignment="1">
      <alignment horizontal="center" vertical="center"/>
    </xf>
    <xf numFmtId="10" fontId="9" fillId="8" borderId="3" xfId="0" applyNumberFormat="1" applyFont="1" applyFill="1" applyBorder="1" applyAlignment="1">
      <alignment horizontal="center" vertical="center"/>
    </xf>
    <xf numFmtId="10" fontId="9" fillId="8" borderId="0" xfId="0" applyNumberFormat="1" applyFont="1" applyFill="1" applyBorder="1" applyAlignment="1">
      <alignment horizontal="center" vertical="center"/>
    </xf>
    <xf numFmtId="10" fontId="9" fillId="8" borderId="4" xfId="0" applyNumberFormat="1" applyFont="1" applyFill="1" applyBorder="1" applyAlignment="1">
      <alignment horizontal="center" vertical="center"/>
    </xf>
    <xf numFmtId="10" fontId="9" fillId="8" borderId="5" xfId="0" applyNumberFormat="1" applyFont="1" applyFill="1" applyBorder="1" applyAlignment="1">
      <alignment horizontal="center" vertical="center"/>
    </xf>
    <xf numFmtId="10" fontId="9" fillId="8" borderId="29" xfId="0" applyNumberFormat="1" applyFont="1" applyFill="1" applyBorder="1" applyAlignment="1">
      <alignment horizontal="center" vertical="center"/>
    </xf>
    <xf numFmtId="10" fontId="9" fillId="8" borderId="6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9" borderId="7" xfId="0" applyFont="1" applyFill="1" applyBorder="1" applyAlignment="1">
      <alignment horizontal="center" vertical="center"/>
    </xf>
    <xf numFmtId="0" fontId="9" fillId="9" borderId="28" xfId="0" applyFont="1" applyFill="1" applyBorder="1" applyAlignment="1">
      <alignment horizontal="center" vertical="center"/>
    </xf>
    <xf numFmtId="0" fontId="9" fillId="9" borderId="8" xfId="0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9" fillId="9" borderId="0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center" vertical="center"/>
    </xf>
    <xf numFmtId="0" fontId="9" fillId="9" borderId="29" xfId="0" applyFont="1" applyFill="1" applyBorder="1" applyAlignment="1">
      <alignment horizontal="center" vertical="center"/>
    </xf>
    <xf numFmtId="0" fontId="9" fillId="9" borderId="6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6" fillId="9" borderId="27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</cellXfs>
  <cellStyles count="3">
    <cellStyle name="좋음" xfId="1" builtinId="26"/>
    <cellStyle name="표준" xfId="0" builtinId="0"/>
    <cellStyle name="하이퍼링크" xfId="2" builtinId="8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B7D25-8094-4478-A3FB-4E886A88EAD3}">
  <dimension ref="B1:Z56"/>
  <sheetViews>
    <sheetView showGridLines="0" tabSelected="1" topLeftCell="A28" workbookViewId="0">
      <selection activeCell="E25" sqref="E25"/>
    </sheetView>
  </sheetViews>
  <sheetFormatPr defaultRowHeight="17" x14ac:dyDescent="0.45"/>
  <cols>
    <col min="1" max="1" width="3.6640625" customWidth="1"/>
    <col min="2" max="2" width="17" bestFit="1" customWidth="1"/>
    <col min="3" max="3" width="8.6640625" style="2"/>
    <col min="5" max="5" width="15.75" bestFit="1" customWidth="1"/>
    <col min="6" max="6" width="9.5" bestFit="1" customWidth="1"/>
    <col min="8" max="8" width="11.08203125" customWidth="1"/>
    <col min="11" max="11" width="5.75" customWidth="1"/>
    <col min="12" max="12" width="5.1640625" customWidth="1"/>
    <col min="14" max="17" width="8.75" bestFit="1" customWidth="1"/>
    <col min="18" max="18" width="10.08203125" bestFit="1" customWidth="1"/>
  </cols>
  <sheetData>
    <row r="1" spans="2:26" ht="13.5" customHeight="1" thickBot="1" x14ac:dyDescent="0.5">
      <c r="L1" s="39"/>
    </row>
    <row r="2" spans="2:26" ht="26.5" customHeight="1" thickBot="1" x14ac:dyDescent="0.5">
      <c r="B2" s="29" t="s">
        <v>47</v>
      </c>
      <c r="C2" s="46" t="s">
        <v>16</v>
      </c>
      <c r="E2" s="14" t="s">
        <v>45</v>
      </c>
      <c r="F2" s="29" t="s">
        <v>17</v>
      </c>
      <c r="G2" s="30" t="s">
        <v>18</v>
      </c>
      <c r="L2" s="39"/>
      <c r="M2" s="15" t="s">
        <v>46</v>
      </c>
    </row>
    <row r="3" spans="2:26" x14ac:dyDescent="0.45">
      <c r="B3" s="7" t="s">
        <v>2</v>
      </c>
      <c r="C3" s="51">
        <v>1705</v>
      </c>
      <c r="E3" s="31" t="s">
        <v>4</v>
      </c>
      <c r="F3" s="26">
        <f>SQRT((기본민첩)*(기본무공)/6)</f>
        <v>43591.080647306735</v>
      </c>
      <c r="G3" s="32">
        <f>SQRT((기본민첩+팔찌민첩)*(기본무공+팔찌무공)/6)</f>
        <v>43591.080647306735</v>
      </c>
      <c r="L3" s="39"/>
    </row>
    <row r="4" spans="2:26" x14ac:dyDescent="0.45">
      <c r="B4" s="8" t="s">
        <v>1</v>
      </c>
      <c r="C4" s="5">
        <v>558</v>
      </c>
      <c r="E4" s="33" t="s">
        <v>60</v>
      </c>
      <c r="F4" s="49" cm="1">
        <f t="array" ref="F4">C4/2794.4*100+30+아드*5+IF(정단=0,0,INDEX(데이터!C3:E3,1,정단))+C39</f>
        <v>64.968508445462348</v>
      </c>
      <c r="G4" s="50" cm="1">
        <f t="array" ref="G4">((C4+C19)/2794.4*100)+30+아드*5+IF(정단=0,0,INDEX(데이터!C3:E3,1,정단))+C25+C26+C39</f>
        <v>64.968508445462348</v>
      </c>
      <c r="L4" s="39"/>
      <c r="M4" s="63" t="s">
        <v>70</v>
      </c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</row>
    <row r="5" spans="2:26" x14ac:dyDescent="0.45">
      <c r="B5" s="8" t="s">
        <v>3</v>
      </c>
      <c r="C5" s="5">
        <v>56</v>
      </c>
      <c r="E5" s="33" t="s">
        <v>11</v>
      </c>
      <c r="F5" s="48" cm="1">
        <f t="array" ref="F5">200+IF(예둔=0,0,INDEX(데이터!C2:E2,1,예둔))+IF(정단&gt;=1,-12,0)</f>
        <v>250</v>
      </c>
      <c r="G5" s="35">
        <f>F5+C27+C28</f>
        <v>250</v>
      </c>
      <c r="L5" s="39"/>
      <c r="M5" s="63" t="s">
        <v>74</v>
      </c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</row>
    <row r="6" spans="2:26" x14ac:dyDescent="0.45">
      <c r="B6" s="8" t="s">
        <v>0</v>
      </c>
      <c r="C6" s="5">
        <v>211932</v>
      </c>
      <c r="E6" s="33" t="s">
        <v>2</v>
      </c>
      <c r="F6" s="27">
        <f>C3</f>
        <v>1705</v>
      </c>
      <c r="G6" s="34">
        <f>ROUNDDOWN(((C3/1.1)+C18)*1.1,0)</f>
        <v>1705</v>
      </c>
      <c r="L6" s="39"/>
      <c r="M6" s="63" t="s">
        <v>73</v>
      </c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</row>
    <row r="7" spans="2:26" x14ac:dyDescent="0.45">
      <c r="B7" s="8" t="s">
        <v>6</v>
      </c>
      <c r="C7" s="5">
        <v>53796</v>
      </c>
      <c r="E7" s="33" t="s">
        <v>1</v>
      </c>
      <c r="F7" s="27">
        <f>C4</f>
        <v>558</v>
      </c>
      <c r="G7" s="34">
        <f>F7+C19</f>
        <v>558</v>
      </c>
      <c r="L7" s="39"/>
      <c r="M7" s="63" t="s">
        <v>71</v>
      </c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</row>
    <row r="8" spans="2:26" ht="17.5" thickBot="1" x14ac:dyDescent="0.5">
      <c r="B8" s="9" t="s">
        <v>76</v>
      </c>
      <c r="C8" s="6">
        <v>30</v>
      </c>
      <c r="E8" s="36" t="s">
        <v>3</v>
      </c>
      <c r="F8" s="37">
        <f>C5</f>
        <v>56</v>
      </c>
      <c r="G8" s="38">
        <f>F8+C20</f>
        <v>56</v>
      </c>
      <c r="L8" s="39"/>
      <c r="M8" s="63" t="s">
        <v>72</v>
      </c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spans="2:26" ht="17" customHeight="1" thickBot="1" x14ac:dyDescent="0.5">
      <c r="B9" s="3"/>
      <c r="L9" s="39"/>
      <c r="M9" s="63" t="s">
        <v>68</v>
      </c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spans="2:26" ht="17.5" thickBot="1" x14ac:dyDescent="0.5">
      <c r="B10" s="12" t="s">
        <v>48</v>
      </c>
      <c r="C10" s="13" t="s">
        <v>16</v>
      </c>
      <c r="L10" s="39"/>
      <c r="M10" s="62" t="s">
        <v>53</v>
      </c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</row>
    <row r="11" spans="2:26" ht="17.5" thickBot="1" x14ac:dyDescent="0.5">
      <c r="B11" s="8" t="s">
        <v>7</v>
      </c>
      <c r="C11" s="4">
        <v>3</v>
      </c>
      <c r="G11" s="104" t="s">
        <v>61</v>
      </c>
      <c r="H11" s="105"/>
      <c r="I11" s="106"/>
      <c r="L11" s="39"/>
      <c r="M11" s="62" t="s">
        <v>54</v>
      </c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</row>
    <row r="12" spans="2:26" ht="17.5" thickBot="1" x14ac:dyDescent="0.5">
      <c r="B12" s="8" t="s">
        <v>9</v>
      </c>
      <c r="C12" s="5">
        <v>3</v>
      </c>
      <c r="L12" s="39"/>
      <c r="M12" s="62" t="s">
        <v>78</v>
      </c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</row>
    <row r="13" spans="2:26" ht="17.5" thickBot="1" x14ac:dyDescent="0.5">
      <c r="B13" s="8" t="s">
        <v>8</v>
      </c>
      <c r="C13" s="5">
        <v>0</v>
      </c>
      <c r="F13" s="92" t="s">
        <v>65</v>
      </c>
      <c r="G13" s="93"/>
      <c r="H13" s="93"/>
      <c r="I13" s="94"/>
      <c r="J13" s="28">
        <f>계산!E4-1</f>
        <v>0</v>
      </c>
      <c r="L13" s="39"/>
      <c r="M13" s="62" t="s">
        <v>77</v>
      </c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</row>
    <row r="14" spans="2:26" ht="17.5" thickBot="1" x14ac:dyDescent="0.5">
      <c r="B14" s="8" t="s">
        <v>84</v>
      </c>
      <c r="C14" s="5" t="s">
        <v>83</v>
      </c>
      <c r="L14" s="39"/>
      <c r="M14" s="62" t="s">
        <v>55</v>
      </c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</row>
    <row r="15" spans="2:26" ht="17.5" thickBot="1" x14ac:dyDescent="0.5">
      <c r="B15" s="9" t="s">
        <v>85</v>
      </c>
      <c r="C15" s="6" t="s">
        <v>81</v>
      </c>
      <c r="F15" s="92" t="s">
        <v>64</v>
      </c>
      <c r="G15" s="93"/>
      <c r="H15" s="93"/>
      <c r="I15" s="94"/>
      <c r="J15" s="28">
        <f>계산!E8-1</f>
        <v>0</v>
      </c>
      <c r="L15" s="39"/>
      <c r="M15" s="62" t="s">
        <v>56</v>
      </c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</row>
    <row r="16" spans="2:26" ht="17.5" thickBot="1" x14ac:dyDescent="0.5">
      <c r="L16" s="39"/>
      <c r="M16" s="62" t="s">
        <v>57</v>
      </c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</row>
    <row r="17" spans="2:26" ht="17.5" thickBot="1" x14ac:dyDescent="0.5">
      <c r="B17" s="10" t="s">
        <v>49</v>
      </c>
      <c r="C17" s="11" t="s">
        <v>16</v>
      </c>
      <c r="F17" s="92" t="s">
        <v>63</v>
      </c>
      <c r="G17" s="93"/>
      <c r="H17" s="93"/>
      <c r="I17" s="94"/>
      <c r="J17" s="28">
        <f>(계산!E12*계산!E13)-1</f>
        <v>0</v>
      </c>
      <c r="L17" s="39"/>
      <c r="M17" s="62" t="s">
        <v>58</v>
      </c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</row>
    <row r="18" spans="2:26" ht="17.5" thickBot="1" x14ac:dyDescent="0.5">
      <c r="B18" s="7" t="s">
        <v>2</v>
      </c>
      <c r="C18" s="40"/>
      <c r="L18" s="39"/>
      <c r="M18" s="62" t="s">
        <v>59</v>
      </c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 spans="2:26" ht="17.5" thickBot="1" x14ac:dyDescent="0.5">
      <c r="B19" s="8" t="s">
        <v>1</v>
      </c>
      <c r="C19" s="41"/>
      <c r="F19" s="92" t="s">
        <v>62</v>
      </c>
      <c r="G19" s="93"/>
      <c r="H19" s="93"/>
      <c r="I19" s="94"/>
      <c r="J19" s="28">
        <f>PRODUCT(계산!E15:E25)-1</f>
        <v>0</v>
      </c>
      <c r="L19" s="39"/>
      <c r="M19" s="62" t="s">
        <v>79</v>
      </c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spans="2:26" ht="17.5" thickBot="1" x14ac:dyDescent="0.5">
      <c r="B20" s="8" t="s">
        <v>3</v>
      </c>
      <c r="C20" s="41"/>
      <c r="L20" s="39"/>
      <c r="M20" s="73" t="s">
        <v>19</v>
      </c>
      <c r="N20" s="18">
        <v>0.02</v>
      </c>
      <c r="O20" s="67" t="s">
        <v>20</v>
      </c>
      <c r="P20" s="18">
        <v>1.4999999999999999E-2</v>
      </c>
      <c r="Q20" s="70" t="s">
        <v>23</v>
      </c>
      <c r="R20" s="20">
        <v>0.04</v>
      </c>
    </row>
    <row r="21" spans="2:26" ht="17.5" thickBot="1" x14ac:dyDescent="0.5">
      <c r="B21" s="8" t="s">
        <v>0</v>
      </c>
      <c r="C21" s="41"/>
      <c r="F21" s="92" t="s">
        <v>67</v>
      </c>
      <c r="G21" s="93"/>
      <c r="H21" s="93"/>
      <c r="I21" s="94"/>
      <c r="J21" s="28">
        <f>계산!E10-1</f>
        <v>0</v>
      </c>
      <c r="L21" s="39"/>
      <c r="M21" s="81"/>
      <c r="N21" s="18">
        <v>0.03</v>
      </c>
      <c r="O21" s="68"/>
      <c r="P21" s="18">
        <v>1.7999999999999999E-2</v>
      </c>
      <c r="Q21" s="71"/>
      <c r="R21" s="20">
        <v>0.06</v>
      </c>
    </row>
    <row r="22" spans="2:26" ht="17.5" thickBot="1" x14ac:dyDescent="0.5">
      <c r="B22" s="9" t="s">
        <v>6</v>
      </c>
      <c r="C22" s="42"/>
      <c r="L22" s="39"/>
      <c r="M22" s="81"/>
      <c r="N22" s="18">
        <v>0.04</v>
      </c>
      <c r="O22" s="68"/>
      <c r="P22" s="18">
        <v>2.1000000000000001E-2</v>
      </c>
      <c r="Q22" s="71"/>
      <c r="R22" s="20">
        <v>0.08</v>
      </c>
    </row>
    <row r="23" spans="2:26" ht="17.5" thickBot="1" x14ac:dyDescent="0.5">
      <c r="F23" s="95" t="s">
        <v>66</v>
      </c>
      <c r="G23" s="96"/>
      <c r="H23" s="96"/>
      <c r="I23" s="96"/>
      <c r="J23" s="97"/>
      <c r="L23" s="39"/>
      <c r="M23" s="82"/>
      <c r="N23" s="18">
        <v>0.05</v>
      </c>
      <c r="O23" s="69"/>
      <c r="P23" s="18">
        <v>2.5000000000000001E-2</v>
      </c>
      <c r="Q23" s="72"/>
      <c r="R23" s="20">
        <v>0.1</v>
      </c>
    </row>
    <row r="24" spans="2:26" ht="17.5" thickBot="1" x14ac:dyDescent="0.5">
      <c r="B24" s="29" t="s">
        <v>50</v>
      </c>
      <c r="C24" s="46" t="s">
        <v>16</v>
      </c>
      <c r="F24" s="98"/>
      <c r="G24" s="99"/>
      <c r="H24" s="99"/>
      <c r="I24" s="99"/>
      <c r="J24" s="100"/>
      <c r="L24" s="39"/>
      <c r="M24" s="73" t="s">
        <v>22</v>
      </c>
      <c r="N24" s="18">
        <v>0.06</v>
      </c>
      <c r="O24" s="67" t="s">
        <v>24</v>
      </c>
      <c r="P24" s="18">
        <v>3.0000000000000001E-3</v>
      </c>
      <c r="Q24" s="70" t="s">
        <v>25</v>
      </c>
      <c r="R24" s="20">
        <v>2.5000000000000001E-2</v>
      </c>
    </row>
    <row r="25" spans="2:26" x14ac:dyDescent="0.45">
      <c r="B25" s="7" t="s">
        <v>19</v>
      </c>
      <c r="C25" s="43"/>
      <c r="F25" s="98"/>
      <c r="G25" s="99"/>
      <c r="H25" s="99"/>
      <c r="I25" s="99"/>
      <c r="J25" s="100"/>
      <c r="L25" s="39"/>
      <c r="M25" s="74"/>
      <c r="N25" s="18">
        <v>0.08</v>
      </c>
      <c r="O25" s="76"/>
      <c r="P25" s="17">
        <v>3.5000000000000001E-3</v>
      </c>
      <c r="Q25" s="71"/>
      <c r="R25" s="20">
        <v>0.03</v>
      </c>
    </row>
    <row r="26" spans="2:26" ht="17.5" thickBot="1" x14ac:dyDescent="0.5">
      <c r="B26" s="8" t="s">
        <v>20</v>
      </c>
      <c r="C26" s="44"/>
      <c r="F26" s="101"/>
      <c r="G26" s="102"/>
      <c r="H26" s="102"/>
      <c r="I26" s="102"/>
      <c r="J26" s="103"/>
      <c r="L26" s="39"/>
      <c r="M26" s="74"/>
      <c r="N26" s="18">
        <v>0.1</v>
      </c>
      <c r="O26" s="76"/>
      <c r="P26" s="17">
        <v>4.4999999999999997E-3</v>
      </c>
      <c r="Q26" s="71"/>
      <c r="R26" s="20">
        <v>3.5000000000000003E-2</v>
      </c>
    </row>
    <row r="27" spans="2:26" x14ac:dyDescent="0.45">
      <c r="B27" s="8" t="s">
        <v>23</v>
      </c>
      <c r="C27" s="44"/>
      <c r="F27" s="83">
        <f>IF(데이터!B46=TRUE,계산!H2-1,"입력되지 않은 필수 칸이 있습니다.")</f>
        <v>0</v>
      </c>
      <c r="G27" s="84"/>
      <c r="H27" s="84"/>
      <c r="I27" s="84"/>
      <c r="J27" s="85"/>
      <c r="L27" s="39"/>
      <c r="M27" s="75"/>
      <c r="N27" s="18">
        <v>0.12</v>
      </c>
      <c r="O27" s="77"/>
      <c r="P27" s="18">
        <v>5.0000000000000001E-3</v>
      </c>
      <c r="Q27" s="78"/>
      <c r="R27" s="22">
        <v>0.04</v>
      </c>
    </row>
    <row r="28" spans="2:26" x14ac:dyDescent="0.45">
      <c r="B28" s="8" t="s">
        <v>22</v>
      </c>
      <c r="C28" s="44"/>
      <c r="F28" s="86"/>
      <c r="G28" s="87"/>
      <c r="H28" s="87"/>
      <c r="I28" s="87"/>
      <c r="J28" s="88"/>
      <c r="L28" s="39"/>
      <c r="M28" s="73" t="s">
        <v>27</v>
      </c>
      <c r="N28" s="18">
        <v>2.5000000000000001E-2</v>
      </c>
      <c r="O28" s="67" t="s">
        <v>26</v>
      </c>
      <c r="P28" s="18">
        <v>1.4999999999999999E-2</v>
      </c>
      <c r="Q28" s="64" t="s">
        <v>29</v>
      </c>
      <c r="R28" s="20">
        <v>1.4999999999999999E-2</v>
      </c>
    </row>
    <row r="29" spans="2:26" x14ac:dyDescent="0.45">
      <c r="B29" s="8" t="s">
        <v>24</v>
      </c>
      <c r="C29" s="45"/>
      <c r="F29" s="86"/>
      <c r="G29" s="87"/>
      <c r="H29" s="87"/>
      <c r="I29" s="87"/>
      <c r="J29" s="88"/>
      <c r="L29" s="39"/>
      <c r="M29" s="74"/>
      <c r="N29" s="18">
        <v>0.03</v>
      </c>
      <c r="O29" s="76"/>
      <c r="P29" s="18">
        <v>0.02</v>
      </c>
      <c r="Q29" s="65"/>
      <c r="R29" s="20">
        <v>1.7999999999999999E-2</v>
      </c>
    </row>
    <row r="30" spans="2:26" ht="17" customHeight="1" thickBot="1" x14ac:dyDescent="0.5">
      <c r="B30" s="8" t="s">
        <v>25</v>
      </c>
      <c r="C30" s="44"/>
      <c r="F30" s="89"/>
      <c r="G30" s="90"/>
      <c r="H30" s="90"/>
      <c r="I30" s="90"/>
      <c r="J30" s="91"/>
      <c r="L30" s="39"/>
      <c r="M30" s="74"/>
      <c r="N30" s="18">
        <v>3.5000000000000003E-2</v>
      </c>
      <c r="O30" s="76"/>
      <c r="P30" s="18">
        <v>2.5000000000000001E-2</v>
      </c>
      <c r="Q30" s="65"/>
      <c r="R30" s="20">
        <v>2.1000000000000001E-2</v>
      </c>
    </row>
    <row r="31" spans="2:26" ht="17" customHeight="1" x14ac:dyDescent="0.45">
      <c r="B31" s="8" t="s">
        <v>27</v>
      </c>
      <c r="C31" s="44"/>
      <c r="L31" s="39"/>
      <c r="M31" s="79"/>
      <c r="N31" s="19">
        <v>0.04</v>
      </c>
      <c r="O31" s="80"/>
      <c r="P31" s="19">
        <v>0.03</v>
      </c>
      <c r="Q31" s="66"/>
      <c r="R31" s="20">
        <v>2.5000000000000001E-2</v>
      </c>
    </row>
    <row r="32" spans="2:26" ht="17" customHeight="1" x14ac:dyDescent="0.45">
      <c r="B32" s="8" t="s">
        <v>26</v>
      </c>
      <c r="C32" s="44"/>
      <c r="L32" s="39"/>
      <c r="M32" s="64" t="s">
        <v>30</v>
      </c>
      <c r="N32" s="21">
        <v>1600</v>
      </c>
      <c r="O32" s="64" t="s">
        <v>21</v>
      </c>
      <c r="P32" s="21">
        <v>1300</v>
      </c>
      <c r="Q32" s="64" t="s">
        <v>87</v>
      </c>
      <c r="R32" s="59">
        <v>0.02</v>
      </c>
    </row>
    <row r="33" spans="2:18" ht="17.5" customHeight="1" x14ac:dyDescent="0.45">
      <c r="B33" s="8" t="s">
        <v>43</v>
      </c>
      <c r="C33" s="44"/>
      <c r="F33" s="56"/>
      <c r="L33" s="39"/>
      <c r="M33" s="65"/>
      <c r="N33" s="21">
        <v>1900</v>
      </c>
      <c r="O33" s="65"/>
      <c r="P33" s="21">
        <v>1600</v>
      </c>
      <c r="Q33" s="65"/>
      <c r="R33" s="59">
        <v>0.03</v>
      </c>
    </row>
    <row r="34" spans="2:18" ht="17.5" customHeight="1" x14ac:dyDescent="0.45">
      <c r="B34" s="8" t="s">
        <v>29</v>
      </c>
      <c r="C34" s="44"/>
      <c r="L34" s="39"/>
      <c r="M34" s="65"/>
      <c r="N34" s="21">
        <v>2200</v>
      </c>
      <c r="O34" s="65"/>
      <c r="P34" s="21">
        <v>1900</v>
      </c>
      <c r="Q34" s="65"/>
      <c r="R34" s="59">
        <v>0.05</v>
      </c>
    </row>
    <row r="35" spans="2:18" x14ac:dyDescent="0.45">
      <c r="B35" s="8" t="s">
        <v>82</v>
      </c>
      <c r="C35" s="41"/>
      <c r="L35" s="39"/>
      <c r="M35" s="66"/>
      <c r="N35" s="21">
        <v>2500</v>
      </c>
      <c r="O35" s="66"/>
      <c r="P35" s="21">
        <v>2200</v>
      </c>
      <c r="Q35" s="66"/>
      <c r="R35" s="59">
        <v>7.0000000000000007E-2</v>
      </c>
    </row>
    <row r="36" spans="2:18" x14ac:dyDescent="0.45">
      <c r="B36" s="8" t="s">
        <v>87</v>
      </c>
      <c r="C36" s="61"/>
      <c r="L36" s="39"/>
    </row>
    <row r="37" spans="2:18" ht="17.5" thickBot="1" x14ac:dyDescent="0.5">
      <c r="B37" s="9" t="s">
        <v>69</v>
      </c>
      <c r="C37" s="47"/>
      <c r="L37" s="39"/>
      <c r="M37" s="24"/>
      <c r="N37" s="23" t="s">
        <v>51</v>
      </c>
      <c r="O37" s="23" t="s">
        <v>52</v>
      </c>
      <c r="P37" s="23" t="s">
        <v>10</v>
      </c>
    </row>
    <row r="38" spans="2:18" ht="17.5" thickBot="1" x14ac:dyDescent="0.5">
      <c r="L38" s="39"/>
      <c r="M38" s="64" t="s">
        <v>28</v>
      </c>
      <c r="N38" s="20">
        <v>2.5000000000000001E-2</v>
      </c>
      <c r="O38" s="20">
        <v>0.04</v>
      </c>
      <c r="P38" s="23">
        <v>6</v>
      </c>
    </row>
    <row r="39" spans="2:18" ht="17.5" thickBot="1" x14ac:dyDescent="0.5">
      <c r="B39" s="57" t="s">
        <v>80</v>
      </c>
      <c r="C39" s="58"/>
      <c r="L39" s="39"/>
      <c r="M39" s="65"/>
      <c r="N39" s="20">
        <v>0.03</v>
      </c>
      <c r="O39" s="20">
        <v>0.05</v>
      </c>
      <c r="P39" s="23">
        <v>8</v>
      </c>
    </row>
    <row r="40" spans="2:18" x14ac:dyDescent="0.45">
      <c r="L40" s="39"/>
      <c r="M40" s="65"/>
      <c r="N40" s="20">
        <v>3.5000000000000003E-2</v>
      </c>
      <c r="O40" s="20">
        <v>0.06</v>
      </c>
      <c r="P40" s="23">
        <v>10</v>
      </c>
    </row>
    <row r="41" spans="2:18" x14ac:dyDescent="0.45">
      <c r="L41" s="39"/>
      <c r="M41" s="66"/>
      <c r="N41" s="20">
        <v>0.04</v>
      </c>
      <c r="O41" s="20">
        <v>7.0000000000000007E-2</v>
      </c>
      <c r="P41" s="23">
        <v>12</v>
      </c>
    </row>
    <row r="42" spans="2:18" x14ac:dyDescent="0.45">
      <c r="L42" s="39"/>
    </row>
    <row r="44" spans="2:18" x14ac:dyDescent="0.45">
      <c r="M44" s="16"/>
    </row>
    <row r="45" spans="2:18" x14ac:dyDescent="0.45">
      <c r="M45" s="16"/>
    </row>
    <row r="46" spans="2:18" x14ac:dyDescent="0.45">
      <c r="M46" s="16"/>
    </row>
    <row r="47" spans="2:18" x14ac:dyDescent="0.45">
      <c r="M47" s="16"/>
    </row>
    <row r="48" spans="2:18" x14ac:dyDescent="0.45">
      <c r="M48" s="25"/>
    </row>
    <row r="49" spans="13:13" x14ac:dyDescent="0.45">
      <c r="M49" s="25"/>
    </row>
    <row r="50" spans="13:13" x14ac:dyDescent="0.45">
      <c r="M50" s="25"/>
    </row>
    <row r="51" spans="13:13" x14ac:dyDescent="0.45">
      <c r="M51" s="25"/>
    </row>
    <row r="52" spans="13:13" x14ac:dyDescent="0.45">
      <c r="M52" s="25"/>
    </row>
    <row r="53" spans="13:13" x14ac:dyDescent="0.45">
      <c r="M53" s="25"/>
    </row>
    <row r="54" spans="13:13" x14ac:dyDescent="0.45">
      <c r="M54" s="25"/>
    </row>
    <row r="55" spans="13:13" x14ac:dyDescent="0.45">
      <c r="M55" s="25"/>
    </row>
    <row r="56" spans="13:13" x14ac:dyDescent="0.45">
      <c r="M56" s="25"/>
    </row>
  </sheetData>
  <mergeCells count="37">
    <mergeCell ref="G11:I11"/>
    <mergeCell ref="F13:I13"/>
    <mergeCell ref="F15:I15"/>
    <mergeCell ref="F17:I17"/>
    <mergeCell ref="F19:I19"/>
    <mergeCell ref="F27:J30"/>
    <mergeCell ref="F21:I21"/>
    <mergeCell ref="F23:J26"/>
    <mergeCell ref="M32:M35"/>
    <mergeCell ref="O32:O35"/>
    <mergeCell ref="M38:M41"/>
    <mergeCell ref="O20:O23"/>
    <mergeCell ref="Q20:Q23"/>
    <mergeCell ref="M24:M27"/>
    <mergeCell ref="O24:O27"/>
    <mergeCell ref="Q24:Q27"/>
    <mergeCell ref="M28:M31"/>
    <mergeCell ref="O28:O31"/>
    <mergeCell ref="Q28:Q31"/>
    <mergeCell ref="M20:M23"/>
    <mergeCell ref="Q32:Q35"/>
    <mergeCell ref="M5:Z5"/>
    <mergeCell ref="M4:Z4"/>
    <mergeCell ref="M6:Z6"/>
    <mergeCell ref="M7:Z7"/>
    <mergeCell ref="M8:Z8"/>
    <mergeCell ref="M9:Z9"/>
    <mergeCell ref="M10:Z10"/>
    <mergeCell ref="M11:Z11"/>
    <mergeCell ref="M12:Z12"/>
    <mergeCell ref="M13:Z13"/>
    <mergeCell ref="M19:Z19"/>
    <mergeCell ref="M14:Z14"/>
    <mergeCell ref="M15:Z15"/>
    <mergeCell ref="M16:Z16"/>
    <mergeCell ref="M17:Z17"/>
    <mergeCell ref="M18:Z18"/>
  </mergeCells>
  <phoneticPr fontId="3" type="noConversion"/>
  <dataValidations count="3">
    <dataValidation type="list" allowBlank="1" showInputMessage="1" showErrorMessage="1" sqref="C11:C13" xr:uid="{0A7BB58C-AB6E-41F2-B958-DF5238849B07}">
      <formula1>"0,1,2,3"</formula1>
    </dataValidation>
    <dataValidation type="list" allowBlank="1" showInputMessage="1" showErrorMessage="1" sqref="C15" xr:uid="{DF269232-ABD8-4D31-B0D8-1766183BCEEC}">
      <formula1>"O,X"</formula1>
    </dataValidation>
    <dataValidation type="list" allowBlank="1" showInputMessage="1" showErrorMessage="1" sqref="C14" xr:uid="{8E3C8C59-0BEC-4D17-A62E-3C692630BF76}">
      <formula1>"구원,환각"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E0490-0FD3-4804-8C35-205C40ABB801}">
  <dimension ref="B1:S46"/>
  <sheetViews>
    <sheetView workbookViewId="0">
      <selection activeCell="C48" sqref="B48:C48"/>
    </sheetView>
  </sheetViews>
  <sheetFormatPr defaultRowHeight="17" x14ac:dyDescent="0.45"/>
  <cols>
    <col min="2" max="2" width="16.25" bestFit="1" customWidth="1"/>
    <col min="3" max="3" width="9.5" bestFit="1" customWidth="1"/>
    <col min="13" max="13" width="9.5" bestFit="1" customWidth="1"/>
    <col min="14" max="14" width="10.08203125" bestFit="1" customWidth="1"/>
    <col min="15" max="15" width="25.33203125" customWidth="1"/>
  </cols>
  <sheetData>
    <row r="1" spans="2:19" x14ac:dyDescent="0.45">
      <c r="C1">
        <v>1</v>
      </c>
      <c r="D1">
        <v>2</v>
      </c>
      <c r="E1">
        <v>3</v>
      </c>
    </row>
    <row r="2" spans="2:19" x14ac:dyDescent="0.45">
      <c r="B2" t="s">
        <v>9</v>
      </c>
      <c r="C2">
        <v>10</v>
      </c>
      <c r="D2">
        <v>25</v>
      </c>
      <c r="E2">
        <v>50</v>
      </c>
      <c r="F2" s="1"/>
      <c r="N2" t="s">
        <v>19</v>
      </c>
      <c r="O2">
        <v>0</v>
      </c>
      <c r="P2">
        <v>2</v>
      </c>
      <c r="Q2">
        <v>3</v>
      </c>
      <c r="R2">
        <v>4</v>
      </c>
      <c r="S2">
        <v>5</v>
      </c>
    </row>
    <row r="3" spans="2:19" x14ac:dyDescent="0.45">
      <c r="B3" t="s">
        <v>8</v>
      </c>
      <c r="C3">
        <v>4</v>
      </c>
      <c r="D3">
        <v>10</v>
      </c>
      <c r="E3">
        <v>20</v>
      </c>
      <c r="F3" s="1"/>
      <c r="N3" t="s">
        <v>20</v>
      </c>
      <c r="O3">
        <v>0</v>
      </c>
      <c r="P3">
        <v>1.5</v>
      </c>
      <c r="Q3">
        <v>1.8</v>
      </c>
      <c r="R3">
        <v>2.1</v>
      </c>
      <c r="S3">
        <v>2.5</v>
      </c>
    </row>
    <row r="4" spans="2:19" x14ac:dyDescent="0.45">
      <c r="N4" t="s">
        <v>23</v>
      </c>
      <c r="O4">
        <v>0</v>
      </c>
      <c r="P4">
        <v>4</v>
      </c>
      <c r="Q4">
        <v>6</v>
      </c>
      <c r="R4">
        <v>8</v>
      </c>
      <c r="S4">
        <v>10</v>
      </c>
    </row>
    <row r="5" spans="2:19" x14ac:dyDescent="0.45">
      <c r="B5" t="s">
        <v>12</v>
      </c>
      <c r="C5">
        <v>3.5790000000000002E-2</v>
      </c>
      <c r="N5" t="s">
        <v>22</v>
      </c>
      <c r="O5">
        <v>0</v>
      </c>
      <c r="P5">
        <v>6</v>
      </c>
      <c r="Q5">
        <v>8</v>
      </c>
      <c r="R5">
        <v>10</v>
      </c>
      <c r="S5">
        <v>12</v>
      </c>
    </row>
    <row r="6" spans="2:19" x14ac:dyDescent="0.45">
      <c r="B6" t="s">
        <v>13</v>
      </c>
      <c r="C6">
        <v>1.7179E-2</v>
      </c>
      <c r="N6" t="s">
        <v>24</v>
      </c>
      <c r="O6">
        <v>0</v>
      </c>
      <c r="P6">
        <v>0.3</v>
      </c>
      <c r="Q6">
        <v>0.35</v>
      </c>
      <c r="R6">
        <v>0.45</v>
      </c>
      <c r="S6">
        <v>0.5</v>
      </c>
    </row>
    <row r="7" spans="2:19" x14ac:dyDescent="0.45">
      <c r="B7" t="s">
        <v>14</v>
      </c>
      <c r="C7">
        <v>2.1474E-2</v>
      </c>
      <c r="N7" t="s">
        <v>25</v>
      </c>
      <c r="O7">
        <v>0</v>
      </c>
      <c r="P7">
        <v>2.5</v>
      </c>
      <c r="Q7">
        <v>3</v>
      </c>
      <c r="R7">
        <v>3.5</v>
      </c>
      <c r="S7">
        <v>4</v>
      </c>
    </row>
    <row r="8" spans="2:19" x14ac:dyDescent="0.45">
      <c r="B8" t="s">
        <v>15</v>
      </c>
      <c r="C8">
        <v>8.5833000000000007E-2</v>
      </c>
      <c r="N8" t="s">
        <v>27</v>
      </c>
      <c r="O8">
        <v>0</v>
      </c>
      <c r="P8">
        <v>2.5</v>
      </c>
      <c r="Q8">
        <v>3</v>
      </c>
      <c r="R8">
        <v>3.5</v>
      </c>
      <c r="S8">
        <v>4</v>
      </c>
    </row>
    <row r="9" spans="2:19" x14ac:dyDescent="0.45">
      <c r="N9" t="s">
        <v>26</v>
      </c>
      <c r="O9">
        <v>0</v>
      </c>
      <c r="P9">
        <v>1.5</v>
      </c>
      <c r="Q9">
        <v>2</v>
      </c>
      <c r="R9">
        <v>2.5</v>
      </c>
      <c r="S9">
        <v>3</v>
      </c>
    </row>
    <row r="10" spans="2:19" x14ac:dyDescent="0.45">
      <c r="B10" t="s">
        <v>24</v>
      </c>
      <c r="N10" t="s">
        <v>43</v>
      </c>
      <c r="O10">
        <v>0</v>
      </c>
      <c r="P10">
        <v>2.5</v>
      </c>
      <c r="Q10">
        <v>3</v>
      </c>
      <c r="R10">
        <v>3.5</v>
      </c>
      <c r="S10">
        <v>4</v>
      </c>
    </row>
    <row r="11" spans="2:19" x14ac:dyDescent="0.45">
      <c r="B11">
        <f>계산기!C29</f>
        <v>0</v>
      </c>
      <c r="C11" s="55">
        <f>2/14</f>
        <v>0.14285714285714285</v>
      </c>
      <c r="D11" s="53">
        <f>($H$11+B11)/$H$11*C11</f>
        <v>0.14285714285714285</v>
      </c>
      <c r="G11" t="s">
        <v>86</v>
      </c>
      <c r="H11">
        <f>계산기!C8+12+100+IF(계산기!C14="구원",63,0)</f>
        <v>205</v>
      </c>
      <c r="N11" t="s">
        <v>29</v>
      </c>
      <c r="O11">
        <v>0</v>
      </c>
      <c r="P11">
        <v>1.5</v>
      </c>
      <c r="Q11">
        <v>1.8</v>
      </c>
      <c r="R11">
        <v>2.1</v>
      </c>
      <c r="S11">
        <v>2.5</v>
      </c>
    </row>
    <row r="12" spans="2:19" x14ac:dyDescent="0.45">
      <c r="B12">
        <f>B11*2</f>
        <v>0</v>
      </c>
      <c r="C12" s="55">
        <f>2/14</f>
        <v>0.14285714285714285</v>
      </c>
      <c r="D12" s="53">
        <f t="shared" ref="D12:D14" si="0">($H$11+B12)/$H$11*C12</f>
        <v>0.14285714285714285</v>
      </c>
      <c r="N12" t="s">
        <v>44</v>
      </c>
      <c r="O12">
        <v>0</v>
      </c>
      <c r="P12">
        <v>1300</v>
      </c>
      <c r="Q12">
        <v>1600</v>
      </c>
      <c r="R12">
        <v>1900</v>
      </c>
      <c r="S12">
        <v>2200</v>
      </c>
    </row>
    <row r="13" spans="2:19" x14ac:dyDescent="0.45">
      <c r="B13">
        <f>B11*3</f>
        <v>0</v>
      </c>
      <c r="C13" s="55">
        <f>2/14</f>
        <v>0.14285714285714285</v>
      </c>
      <c r="D13" s="53">
        <f t="shared" si="0"/>
        <v>0.14285714285714285</v>
      </c>
    </row>
    <row r="14" spans="2:19" x14ac:dyDescent="0.45">
      <c r="B14">
        <f>B11*8</f>
        <v>0</v>
      </c>
      <c r="C14" s="55">
        <f>8/14</f>
        <v>0.5714285714285714</v>
      </c>
      <c r="D14" s="53">
        <f t="shared" si="0"/>
        <v>0.5714285714285714</v>
      </c>
    </row>
    <row r="15" spans="2:19" x14ac:dyDescent="0.45">
      <c r="D15" s="54">
        <f>IF(B11=0,1,SUM(D11:D14))</f>
        <v>1</v>
      </c>
    </row>
    <row r="16" spans="2:19" x14ac:dyDescent="0.45">
      <c r="B16" t="s">
        <v>37</v>
      </c>
      <c r="C16" t="b">
        <f>IF(AND(계산기!C28&gt;0,계산기!C29&gt;0),TRUE,FALSE)</f>
        <v>0</v>
      </c>
    </row>
    <row r="17" spans="2:15" x14ac:dyDescent="0.45">
      <c r="B17">
        <v>6</v>
      </c>
      <c r="C17">
        <v>10.571428571428571</v>
      </c>
      <c r="D17">
        <f>C17-B17</f>
        <v>4.5714285714285712</v>
      </c>
    </row>
    <row r="18" spans="2:15" x14ac:dyDescent="0.45">
      <c r="B18">
        <v>8</v>
      </c>
      <c r="C18">
        <v>12.571428571428571</v>
      </c>
    </row>
    <row r="19" spans="2:15" x14ac:dyDescent="0.45">
      <c r="B19">
        <v>10</v>
      </c>
      <c r="C19">
        <v>14.571428571428573</v>
      </c>
    </row>
    <row r="20" spans="2:15" x14ac:dyDescent="0.45">
      <c r="B20">
        <v>12</v>
      </c>
      <c r="C20">
        <v>16.571428571428573</v>
      </c>
    </row>
    <row r="22" spans="2:15" x14ac:dyDescent="0.45">
      <c r="B22" t="s">
        <v>29</v>
      </c>
    </row>
    <row r="23" spans="2:15" x14ac:dyDescent="0.45">
      <c r="B23" s="2">
        <v>1.5</v>
      </c>
      <c r="C23">
        <v>1</v>
      </c>
    </row>
    <row r="24" spans="2:15" x14ac:dyDescent="0.45">
      <c r="B24" s="2">
        <v>1.8</v>
      </c>
      <c r="C24">
        <v>1.00908</v>
      </c>
    </row>
    <row r="25" spans="2:15" x14ac:dyDescent="0.45">
      <c r="B25" s="2">
        <v>2.1</v>
      </c>
      <c r="C25">
        <v>1.0105999999999999</v>
      </c>
    </row>
    <row r="26" spans="2:15" x14ac:dyDescent="0.45">
      <c r="B26" s="2">
        <v>2.5</v>
      </c>
      <c r="C26">
        <v>1.0266</v>
      </c>
      <c r="O26" s="52"/>
    </row>
    <row r="27" spans="2:15" x14ac:dyDescent="0.45">
      <c r="O27" s="52"/>
    </row>
    <row r="28" spans="2:15" x14ac:dyDescent="0.45">
      <c r="B28" t="s">
        <v>28</v>
      </c>
      <c r="O28" s="52"/>
    </row>
    <row r="29" spans="2:15" x14ac:dyDescent="0.45">
      <c r="B29" s="2">
        <v>2.5</v>
      </c>
      <c r="C29">
        <v>4</v>
      </c>
      <c r="D29">
        <v>6</v>
      </c>
      <c r="O29" s="52"/>
    </row>
    <row r="30" spans="2:15" x14ac:dyDescent="0.45">
      <c r="B30" s="2">
        <v>3</v>
      </c>
      <c r="C30">
        <v>5</v>
      </c>
      <c r="D30">
        <v>8</v>
      </c>
      <c r="O30" s="52"/>
    </row>
    <row r="31" spans="2:15" x14ac:dyDescent="0.45">
      <c r="B31" s="2">
        <v>3.5</v>
      </c>
      <c r="C31">
        <v>6</v>
      </c>
      <c r="D31">
        <v>10</v>
      </c>
    </row>
    <row r="32" spans="2:15" x14ac:dyDescent="0.45">
      <c r="B32" s="2">
        <v>4</v>
      </c>
      <c r="C32">
        <v>7</v>
      </c>
      <c r="D32">
        <v>12</v>
      </c>
    </row>
    <row r="34" spans="2:2" x14ac:dyDescent="0.45">
      <c r="B34" t="b">
        <f>IF(계산기!C3&lt;&gt;"",TRUE,FALSE)</f>
        <v>1</v>
      </c>
    </row>
    <row r="35" spans="2:2" x14ac:dyDescent="0.45">
      <c r="B35" t="b">
        <f>IF(계산기!C4&lt;&gt;"",TRUE,FALSE)</f>
        <v>1</v>
      </c>
    </row>
    <row r="36" spans="2:2" x14ac:dyDescent="0.45">
      <c r="B36" t="b">
        <f>IF(계산기!C5&lt;&gt;"",TRUE,FALSE)</f>
        <v>1</v>
      </c>
    </row>
    <row r="37" spans="2:2" x14ac:dyDescent="0.45">
      <c r="B37" t="b">
        <f>IF(계산기!C6&lt;&gt;"",TRUE,FALSE)</f>
        <v>1</v>
      </c>
    </row>
    <row r="38" spans="2:2" x14ac:dyDescent="0.45">
      <c r="B38" t="b">
        <f>IF(계산기!C7&lt;&gt;"",TRUE,FALSE)</f>
        <v>1</v>
      </c>
    </row>
    <row r="41" spans="2:2" x14ac:dyDescent="0.45">
      <c r="B41" t="b">
        <f>IF(계산기!C11&lt;&gt;"",TRUE,FALSE)</f>
        <v>1</v>
      </c>
    </row>
    <row r="42" spans="2:2" x14ac:dyDescent="0.45">
      <c r="B42" t="b">
        <f>IF(계산기!C12&lt;&gt;"",TRUE,FALSE)</f>
        <v>1</v>
      </c>
    </row>
    <row r="43" spans="2:2" x14ac:dyDescent="0.45">
      <c r="B43" t="b">
        <f>IF(계산기!C13&lt;&gt;"",TRUE,FALSE)</f>
        <v>1</v>
      </c>
    </row>
    <row r="44" spans="2:2" x14ac:dyDescent="0.45">
      <c r="B44" t="b">
        <f>IF(계산기!C14&lt;&gt;"",TRUE,FALSE)</f>
        <v>1</v>
      </c>
    </row>
    <row r="45" spans="2:2" x14ac:dyDescent="0.45">
      <c r="B45" t="b">
        <f>IF(계산기!C15&lt;&gt;"",TRUE,FALSE)</f>
        <v>1</v>
      </c>
    </row>
    <row r="46" spans="2:2" x14ac:dyDescent="0.45">
      <c r="B46" t="b">
        <f>IF(COUNTIF(B34:B45,FALSE)&gt;0,FALSE,TRUE)</f>
        <v>1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2278F-AD88-4681-9486-16FAD9502424}">
  <dimension ref="B2:H27"/>
  <sheetViews>
    <sheetView workbookViewId="0">
      <selection activeCell="D7" sqref="D7"/>
    </sheetView>
  </sheetViews>
  <sheetFormatPr defaultRowHeight="17" x14ac:dyDescent="0.45"/>
  <cols>
    <col min="2" max="2" width="11" bestFit="1" customWidth="1"/>
    <col min="4" max="4" width="10.08203125" bestFit="1" customWidth="1"/>
    <col min="7" max="7" width="11.58203125" bestFit="1" customWidth="1"/>
  </cols>
  <sheetData>
    <row r="2" spans="2:8" x14ac:dyDescent="0.45">
      <c r="C2" t="s">
        <v>32</v>
      </c>
      <c r="D2" t="s">
        <v>31</v>
      </c>
      <c r="G2" t="s">
        <v>38</v>
      </c>
      <c r="H2">
        <f>PRODUCT(E4:E36)</f>
        <v>1</v>
      </c>
    </row>
    <row r="3" spans="2:8" x14ac:dyDescent="0.45">
      <c r="B3" t="s">
        <v>2</v>
      </c>
      <c r="C3">
        <f>계산기!C3</f>
        <v>1705</v>
      </c>
      <c r="D3">
        <f>ROUNDDOWN(((C3/1.1)+계산기!C18)*1.1,0)</f>
        <v>1705</v>
      </c>
    </row>
    <row r="4" spans="2:8" x14ac:dyDescent="0.45">
      <c r="B4" t="s">
        <v>35</v>
      </c>
      <c r="C4">
        <f>C3*특화변수</f>
        <v>146.34526500000001</v>
      </c>
      <c r="D4">
        <f>D3*특화변수</f>
        <v>146.34526500000001</v>
      </c>
      <c r="E4">
        <f>(D4+100)/(C4+100)</f>
        <v>1</v>
      </c>
    </row>
    <row r="6" spans="2:8" x14ac:dyDescent="0.45">
      <c r="B6" t="s">
        <v>5</v>
      </c>
      <c r="C6">
        <f>계산기!F4</f>
        <v>64.968508445462348</v>
      </c>
      <c r="D6">
        <f>계산기!G4</f>
        <v>64.968508445462348</v>
      </c>
    </row>
    <row r="7" spans="2:8" x14ac:dyDescent="0.45">
      <c r="B7" t="s">
        <v>34</v>
      </c>
      <c r="C7">
        <f>계산기!F5</f>
        <v>250</v>
      </c>
      <c r="D7" s="53">
        <f>IF(데이터!C16=FALSE,계산기!G5,계산기!G5+데이터!D17)+계산기!C36*100</f>
        <v>250</v>
      </c>
    </row>
    <row r="8" spans="2:8" x14ac:dyDescent="0.45">
      <c r="B8" t="s">
        <v>33</v>
      </c>
      <c r="C8">
        <f>1+C6/100*(C7/100-1)</f>
        <v>1.9745276266819352</v>
      </c>
      <c r="D8">
        <f>1+D6/100*(D7/100-1)</f>
        <v>1.9745276266819352</v>
      </c>
      <c r="E8">
        <f>D8/C8</f>
        <v>1</v>
      </c>
    </row>
    <row r="10" spans="2:8" x14ac:dyDescent="0.45">
      <c r="B10" t="s">
        <v>36</v>
      </c>
      <c r="C10">
        <f>계산기!C20*공이속변수</f>
        <v>0</v>
      </c>
      <c r="D10">
        <f>C10*0.45</f>
        <v>0</v>
      </c>
      <c r="E10">
        <f>IF(계산기!C15="O",D10/100+1,1)</f>
        <v>1</v>
      </c>
    </row>
    <row r="12" spans="2:8" x14ac:dyDescent="0.45">
      <c r="B12" t="s">
        <v>0</v>
      </c>
      <c r="C12">
        <f>SQRT((기본민첩)*(기본무공)/6)</f>
        <v>43591.080647306735</v>
      </c>
      <c r="D12">
        <f>SQRT((기본민첩+팔찌민첩)*(기본무공)/6)</f>
        <v>43591.080647306735</v>
      </c>
      <c r="E12">
        <f>IFERROR(D12/C12,1)</f>
        <v>1</v>
      </c>
    </row>
    <row r="13" spans="2:8" x14ac:dyDescent="0.45">
      <c r="B13" t="s">
        <v>21</v>
      </c>
      <c r="C13">
        <f>SQRT((기본민첩)*(기본무공)/6)</f>
        <v>43591.080647306735</v>
      </c>
      <c r="D13">
        <f>SQRT((기본민첩)*(기본무공+팔찌무공+수확)/6)</f>
        <v>43591.080647306735</v>
      </c>
      <c r="E13">
        <f>IFERROR(D13/C13,1)</f>
        <v>1</v>
      </c>
    </row>
    <row r="15" spans="2:8" x14ac:dyDescent="0.45">
      <c r="B15" t="s">
        <v>24</v>
      </c>
      <c r="C15">
        <f>데이터!D15</f>
        <v>1</v>
      </c>
      <c r="E15">
        <f>C15</f>
        <v>1</v>
      </c>
    </row>
    <row r="16" spans="2:8" x14ac:dyDescent="0.45">
      <c r="B16" t="s">
        <v>25</v>
      </c>
      <c r="C16">
        <f>계산기!C30</f>
        <v>0</v>
      </c>
      <c r="D16">
        <f>IF(AND(C17&gt;0,C16&gt;0),C16+1,C16)</f>
        <v>0</v>
      </c>
      <c r="E16">
        <f>D16/100+1</f>
        <v>1</v>
      </c>
    </row>
    <row r="17" spans="2:6" x14ac:dyDescent="0.45">
      <c r="B17" t="s">
        <v>27</v>
      </c>
      <c r="C17">
        <f>계산기!C31</f>
        <v>0</v>
      </c>
      <c r="D17">
        <f>IF(AND(C17&gt;0,C16&gt;0),C17+1,C17)</f>
        <v>0</v>
      </c>
      <c r="E17">
        <f>D17/100+1</f>
        <v>1</v>
      </c>
    </row>
    <row r="18" spans="2:6" x14ac:dyDescent="0.45">
      <c r="B18" t="s">
        <v>26</v>
      </c>
      <c r="C18">
        <f>계산기!C32</f>
        <v>0</v>
      </c>
      <c r="E18">
        <f>C18/100+1</f>
        <v>1</v>
      </c>
    </row>
    <row r="19" spans="2:6" x14ac:dyDescent="0.45">
      <c r="B19" t="s">
        <v>29</v>
      </c>
      <c r="C19">
        <f>IFERROR(VLOOKUP(계산기!C34,데이터!B22:C26,2,FALSE),0)</f>
        <v>0</v>
      </c>
      <c r="E19">
        <f>C19/100+1</f>
        <v>1</v>
      </c>
    </row>
    <row r="20" spans="2:6" x14ac:dyDescent="0.45">
      <c r="B20" t="s">
        <v>75</v>
      </c>
      <c r="C20">
        <f>계산기!C37</f>
        <v>0</v>
      </c>
      <c r="E20">
        <f>C20/100+1</f>
        <v>1</v>
      </c>
    </row>
    <row r="22" spans="2:6" x14ac:dyDescent="0.45">
      <c r="B22" t="s">
        <v>39</v>
      </c>
      <c r="C22">
        <f>D6+IFERROR(VLOOKUP(계산기!C33,데이터!$B$29:$D$32,2,FALSE),0)</f>
        <v>64.968508445462348</v>
      </c>
      <c r="D22">
        <f>1+C22/100*(D7/100-1)</f>
        <v>1.9745276266819352</v>
      </c>
      <c r="F22">
        <f>D22/D8</f>
        <v>1</v>
      </c>
    </row>
    <row r="23" spans="2:6" x14ac:dyDescent="0.45">
      <c r="B23" t="s">
        <v>40</v>
      </c>
      <c r="C23">
        <f>D7+IFERROR(VLOOKUP(계산기!C33,데이터!B29:D32,3,FALSE),0)</f>
        <v>250</v>
      </c>
      <c r="D23">
        <f>1+D6/100*(C23/100-1)</f>
        <v>1.9745276266819352</v>
      </c>
      <c r="F23">
        <f>D23/D8</f>
        <v>1</v>
      </c>
    </row>
    <row r="24" spans="2:6" x14ac:dyDescent="0.45">
      <c r="B24" t="s">
        <v>41</v>
      </c>
      <c r="C24">
        <f>계산기!C33</f>
        <v>0</v>
      </c>
      <c r="D24">
        <f>C24</f>
        <v>0</v>
      </c>
      <c r="F24">
        <f>D24/100+1</f>
        <v>1</v>
      </c>
    </row>
    <row r="25" spans="2:6" x14ac:dyDescent="0.45">
      <c r="B25" t="s">
        <v>42</v>
      </c>
      <c r="E25">
        <f>AVERAGE(F22:F24)</f>
        <v>1</v>
      </c>
    </row>
    <row r="27" spans="2:6" x14ac:dyDescent="0.45">
      <c r="C27" s="60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12</vt:i4>
      </vt:variant>
    </vt:vector>
  </HeadingPairs>
  <TitlesOfParts>
    <vt:vector size="15" baseType="lpstr">
      <vt:lpstr>계산기</vt:lpstr>
      <vt:lpstr>데이터</vt:lpstr>
      <vt:lpstr>계산</vt:lpstr>
      <vt:lpstr>공이속변수</vt:lpstr>
      <vt:lpstr>기본무공</vt:lpstr>
      <vt:lpstr>기본민첩</vt:lpstr>
      <vt:lpstr>수확</vt:lpstr>
      <vt:lpstr>아드</vt:lpstr>
      <vt:lpstr>예둔</vt:lpstr>
      <vt:lpstr>정단</vt:lpstr>
      <vt:lpstr>치명변수</vt:lpstr>
      <vt:lpstr>쿨감변수</vt:lpstr>
      <vt:lpstr>특화변수</vt:lpstr>
      <vt:lpstr>팔찌무공</vt:lpstr>
      <vt:lpstr>팔찌민첩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SEUNG JAE MOK</dc:creator>
  <cp:lastModifiedBy>SEUNG JAE MOK</cp:lastModifiedBy>
  <dcterms:created xsi:type="dcterms:W3CDTF">2022-05-12T08:12:25Z</dcterms:created>
  <dcterms:modified xsi:type="dcterms:W3CDTF">2022-06-26T04:06:49Z</dcterms:modified>
</cp:coreProperties>
</file>