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로스트 아크\"/>
    </mc:Choice>
  </mc:AlternateContent>
  <xr:revisionPtr revIDLastSave="0" documentId="13_ncr:1_{48C6A062-CFAB-410E-AC60-B7C6B5F46C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r.22-09-17" sheetId="1" r:id="rId1"/>
    <sheet name="전체스킬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3" i="2" l="1"/>
  <c r="F23" i="2"/>
  <c r="Q21" i="2"/>
  <c r="Q19" i="2"/>
  <c r="Q15" i="2"/>
  <c r="Q14" i="2"/>
  <c r="Q13" i="2"/>
  <c r="Q12" i="2"/>
  <c r="Q9" i="2"/>
  <c r="Q3" i="2"/>
  <c r="F25" i="2"/>
  <c r="F24" i="2"/>
  <c r="N22" i="2"/>
  <c r="M22" i="2"/>
  <c r="F22" i="2"/>
  <c r="N21" i="2"/>
  <c r="M21" i="2"/>
  <c r="F21" i="2"/>
  <c r="N20" i="2"/>
  <c r="M20" i="2"/>
  <c r="F20" i="2"/>
  <c r="F19" i="2"/>
  <c r="L8" i="2" s="1"/>
  <c r="F18" i="2"/>
  <c r="F17" i="2"/>
  <c r="N16" i="2"/>
  <c r="M16" i="2"/>
  <c r="F16" i="2"/>
  <c r="F15" i="2"/>
  <c r="N14" i="2"/>
  <c r="M14" i="2"/>
  <c r="N6" i="2"/>
  <c r="M6" i="2"/>
  <c r="N5" i="2"/>
  <c r="M5" i="2"/>
  <c r="N4" i="2"/>
  <c r="M4" i="2"/>
  <c r="N3" i="2"/>
  <c r="M3" i="2"/>
  <c r="U24" i="2" l="1"/>
  <c r="T24" i="2"/>
  <c r="L18" i="2"/>
  <c r="U17" i="2"/>
  <c r="T16" i="2"/>
  <c r="T9" i="2"/>
  <c r="U20" i="2"/>
  <c r="U16" i="2"/>
  <c r="T14" i="2"/>
  <c r="T21" i="2"/>
  <c r="T18" i="2"/>
  <c r="U7" i="2"/>
  <c r="U13" i="2"/>
  <c r="U21" i="2"/>
  <c r="U18" i="2"/>
  <c r="T22" i="2"/>
  <c r="T8" i="2"/>
  <c r="T20" i="2"/>
  <c r="U19" i="2"/>
  <c r="U22" i="2"/>
  <c r="U8" i="2"/>
  <c r="U12" i="2"/>
  <c r="T11" i="2"/>
  <c r="T3" i="2"/>
  <c r="T23" i="2"/>
  <c r="U3" i="2"/>
  <c r="U23" i="2"/>
  <c r="U25" i="2"/>
  <c r="U9" i="2"/>
  <c r="T19" i="2"/>
  <c r="T4" i="2"/>
  <c r="U14" i="2"/>
  <c r="U4" i="2"/>
  <c r="T15" i="2"/>
  <c r="T7" i="2"/>
  <c r="T13" i="2"/>
  <c r="T5" i="2"/>
  <c r="T10" i="2"/>
  <c r="U15" i="2"/>
  <c r="U5" i="2"/>
  <c r="U10" i="2"/>
  <c r="T17" i="2"/>
  <c r="U6" i="2"/>
  <c r="U11" i="2"/>
  <c r="T25" i="2"/>
  <c r="T6" i="2"/>
  <c r="T12" i="2"/>
  <c r="S25" i="2"/>
  <c r="R25" i="2"/>
  <c r="L25" i="2"/>
  <c r="L10" i="2"/>
  <c r="L12" i="2"/>
  <c r="L14" i="2"/>
  <c r="L16" i="2"/>
  <c r="L20" i="2"/>
  <c r="L21" i="2"/>
  <c r="L22" i="2"/>
  <c r="L23" i="2"/>
  <c r="L24" i="2"/>
  <c r="L3" i="2"/>
  <c r="L5" i="2"/>
  <c r="L4" i="2"/>
  <c r="L6" i="2"/>
  <c r="L7" i="2"/>
  <c r="P22" i="2"/>
  <c r="P15" i="2"/>
  <c r="P4" i="2"/>
  <c r="P12" i="2"/>
  <c r="P5" i="2"/>
  <c r="P13" i="2"/>
  <c r="P14" i="2"/>
  <c r="P3" i="2"/>
  <c r="P24" i="2"/>
  <c r="R24" i="2" s="1"/>
  <c r="P21" i="2"/>
  <c r="P18" i="2"/>
  <c r="P6" i="2"/>
  <c r="P9" i="2"/>
  <c r="P11" i="2"/>
  <c r="P20" i="2"/>
  <c r="P19" i="2"/>
  <c r="P16" i="2"/>
  <c r="P7" i="2"/>
  <c r="P8" i="2"/>
  <c r="P10" i="2"/>
  <c r="P25" i="2"/>
  <c r="P23" i="2"/>
  <c r="P17" i="2"/>
  <c r="R37" i="1"/>
  <c r="I35" i="1"/>
  <c r="I34" i="1"/>
  <c r="I33" i="1"/>
  <c r="I32" i="1"/>
  <c r="R31" i="1"/>
  <c r="I31" i="1"/>
  <c r="I30" i="1"/>
  <c r="I29" i="1"/>
  <c r="R28" i="1"/>
  <c r="I28" i="1"/>
  <c r="I27" i="1"/>
  <c r="I26" i="1"/>
  <c r="R25" i="1"/>
  <c r="I25" i="1"/>
  <c r="R10" i="1"/>
  <c r="S24" i="2" l="1"/>
  <c r="S21" i="2"/>
  <c r="R21" i="2"/>
  <c r="S11" i="2"/>
  <c r="R11" i="2"/>
  <c r="S18" i="2"/>
  <c r="R18" i="2"/>
  <c r="S3" i="2"/>
  <c r="R3" i="2"/>
  <c r="R12" i="2"/>
  <c r="S12" i="2"/>
  <c r="S9" i="2"/>
  <c r="R9" i="2"/>
  <c r="S14" i="2"/>
  <c r="R14" i="2"/>
  <c r="S4" i="2"/>
  <c r="R4" i="2"/>
  <c r="S6" i="2"/>
  <c r="R6" i="2"/>
  <c r="S17" i="2"/>
  <c r="R17" i="2"/>
  <c r="R13" i="2"/>
  <c r="S13" i="2"/>
  <c r="S10" i="2"/>
  <c r="R10" i="2"/>
  <c r="R7" i="2"/>
  <c r="S7" i="2"/>
  <c r="S15" i="2"/>
  <c r="R15" i="2"/>
  <c r="S20" i="2"/>
  <c r="R20" i="2"/>
  <c r="S23" i="2"/>
  <c r="R23" i="2"/>
  <c r="S5" i="2"/>
  <c r="R5" i="2"/>
  <c r="R8" i="2"/>
  <c r="S8" i="2"/>
  <c r="S16" i="2"/>
  <c r="R16" i="2"/>
  <c r="R22" i="2"/>
  <c r="S22" i="2"/>
  <c r="R19" i="2"/>
  <c r="S19" i="2"/>
  <c r="I42" i="1"/>
  <c r="I41" i="1"/>
  <c r="I40" i="1"/>
  <c r="I39" i="1"/>
  <c r="I38" i="1"/>
  <c r="N25" i="1"/>
  <c r="Y10" i="1" s="1"/>
  <c r="N28" i="1"/>
  <c r="Y13" i="1" s="1"/>
  <c r="N31" i="1"/>
  <c r="Y16" i="1" s="1"/>
  <c r="N34" i="1"/>
  <c r="Y19" i="1" s="1"/>
  <c r="N37" i="1"/>
  <c r="Y22" i="1" s="1"/>
  <c r="N40" i="1"/>
  <c r="Y25" i="1" s="1"/>
  <c r="R42" i="1"/>
  <c r="Q42" i="1"/>
  <c r="N42" i="1"/>
  <c r="M42" i="1"/>
  <c r="M27" i="1"/>
  <c r="N27" i="1"/>
  <c r="M30" i="1"/>
  <c r="N30" i="1"/>
  <c r="M33" i="1"/>
  <c r="N33" i="1"/>
  <c r="M36" i="1"/>
  <c r="N36" i="1"/>
  <c r="M39" i="1"/>
  <c r="N39" i="1"/>
  <c r="Q39" i="1"/>
  <c r="R39" i="1"/>
  <c r="P40" i="1"/>
  <c r="P37" i="1"/>
  <c r="P34" i="1"/>
  <c r="P31" i="1"/>
  <c r="P28" i="1"/>
  <c r="P25" i="1"/>
  <c r="I10" i="1"/>
  <c r="K27" i="1" l="1"/>
  <c r="L27" i="1"/>
  <c r="K30" i="1"/>
  <c r="L30" i="1"/>
  <c r="K33" i="1"/>
  <c r="L33" i="1"/>
  <c r="K36" i="1"/>
  <c r="L36" i="1"/>
  <c r="K39" i="1"/>
  <c r="L39" i="1"/>
  <c r="O39" i="1"/>
  <c r="P39" i="1"/>
  <c r="P42" i="1"/>
  <c r="O42" i="1"/>
  <c r="L42" i="1"/>
  <c r="K42" i="1"/>
  <c r="I4" i="1"/>
  <c r="I14" i="1"/>
  <c r="R16" i="1"/>
  <c r="R7" i="1"/>
  <c r="R4" i="1"/>
  <c r="I8" i="1"/>
  <c r="I7" i="1"/>
  <c r="I9" i="1"/>
  <c r="I13" i="1"/>
  <c r="I11" i="1"/>
  <c r="I5" i="1"/>
  <c r="I12" i="1"/>
  <c r="I6" i="1"/>
  <c r="I21" i="1" l="1"/>
  <c r="I20" i="1"/>
  <c r="V30" i="1" s="1"/>
  <c r="I19" i="1"/>
  <c r="U30" i="1" s="1"/>
  <c r="I18" i="1"/>
  <c r="T30" i="1" s="1"/>
  <c r="P13" i="1"/>
  <c r="K15" i="1" s="1"/>
  <c r="T21" i="1" s="1"/>
  <c r="N19" i="1"/>
  <c r="AA25" i="1" s="1"/>
  <c r="N16" i="1"/>
  <c r="AA22" i="1" s="1"/>
  <c r="N13" i="1"/>
  <c r="AA19" i="1" s="1"/>
  <c r="N10" i="1"/>
  <c r="AA16" i="1" s="1"/>
  <c r="N7" i="1"/>
  <c r="AA13" i="1" s="1"/>
  <c r="N4" i="1"/>
  <c r="AA10" i="1" s="1"/>
  <c r="R21" i="1"/>
  <c r="AA27" i="1" s="1"/>
  <c r="Q21" i="1"/>
  <c r="Z27" i="1" s="1"/>
  <c r="N21" i="1"/>
  <c r="W27" i="1" s="1"/>
  <c r="M21" i="1"/>
  <c r="V27" i="1" s="1"/>
  <c r="R18" i="1"/>
  <c r="AA24" i="1" s="1"/>
  <c r="Q18" i="1"/>
  <c r="Z24" i="1" s="1"/>
  <c r="N18" i="1"/>
  <c r="W24" i="1" s="1"/>
  <c r="M18" i="1"/>
  <c r="V24" i="1" s="1"/>
  <c r="N15" i="1"/>
  <c r="W21" i="1" s="1"/>
  <c r="M15" i="1"/>
  <c r="V21" i="1" s="1"/>
  <c r="N12" i="1"/>
  <c r="W18" i="1" s="1"/>
  <c r="M12" i="1"/>
  <c r="V18" i="1" s="1"/>
  <c r="N9" i="1"/>
  <c r="W15" i="1" s="1"/>
  <c r="M9" i="1"/>
  <c r="V15" i="1" s="1"/>
  <c r="N6" i="1"/>
  <c r="W12" i="1" s="1"/>
  <c r="M6" i="1"/>
  <c r="V12" i="1" s="1"/>
  <c r="W30" i="1"/>
  <c r="I17" i="1"/>
  <c r="W28" i="1" s="1"/>
  <c r="P7" i="1"/>
  <c r="P10" i="1"/>
  <c r="P16" i="1"/>
  <c r="P19" i="1"/>
  <c r="P4" i="1"/>
  <c r="W19" i="1" l="1"/>
  <c r="L15" i="1"/>
  <c r="U21" i="1" s="1"/>
  <c r="W25" i="1"/>
  <c r="W10" i="1"/>
  <c r="W13" i="1"/>
  <c r="W22" i="1"/>
  <c r="L6" i="1"/>
  <c r="U12" i="1" s="1"/>
  <c r="K6" i="1"/>
  <c r="T12" i="1" s="1"/>
  <c r="P21" i="1"/>
  <c r="Y27" i="1" s="1"/>
  <c r="O21" i="1"/>
  <c r="X27" i="1" s="1"/>
  <c r="L21" i="1"/>
  <c r="U27" i="1" s="1"/>
  <c r="K21" i="1"/>
  <c r="T27" i="1" s="1"/>
  <c r="P18" i="1"/>
  <c r="Y24" i="1" s="1"/>
  <c r="O18" i="1"/>
  <c r="X24" i="1" s="1"/>
  <c r="L18" i="1"/>
  <c r="U24" i="1" s="1"/>
  <c r="K18" i="1"/>
  <c r="T24" i="1" s="1"/>
  <c r="L12" i="1"/>
  <c r="U18" i="1" s="1"/>
  <c r="K12" i="1"/>
  <c r="T18" i="1" s="1"/>
  <c r="L9" i="1"/>
  <c r="U15" i="1" s="1"/>
  <c r="K9" i="1"/>
  <c r="T15" i="1" s="1"/>
  <c r="W16" i="1"/>
</calcChain>
</file>

<file path=xl/sharedStrings.xml><?xml version="1.0" encoding="utf-8"?>
<sst xmlns="http://schemas.openxmlformats.org/spreadsheetml/2006/main" count="412" uniqueCount="123">
  <si>
    <t>1번 세팅</t>
    <phoneticPr fontId="1" type="noConversion"/>
  </si>
  <si>
    <t>스탯</t>
    <phoneticPr fontId="1" type="noConversion"/>
  </si>
  <si>
    <t>각인</t>
    <phoneticPr fontId="1" type="noConversion"/>
  </si>
  <si>
    <t>각인레벨</t>
    <phoneticPr fontId="1" type="noConversion"/>
  </si>
  <si>
    <t>종합</t>
    <phoneticPr fontId="1" type="noConversion"/>
  </si>
  <si>
    <t>루인 딜(1=공격력1/치명0/특화0/각인X인 상태로 보스에게 들어간 4스택 루인 딜)</t>
    <phoneticPr fontId="1" type="noConversion"/>
  </si>
  <si>
    <t>치명</t>
    <phoneticPr fontId="1" type="noConversion"/>
  </si>
  <si>
    <t>각성</t>
    <phoneticPr fontId="1" type="noConversion"/>
  </si>
  <si>
    <t>치적</t>
    <phoneticPr fontId="1" type="noConversion"/>
  </si>
  <si>
    <t>시크릿 가든</t>
    <phoneticPr fontId="1" type="noConversion"/>
  </si>
  <si>
    <t>쿨타임</t>
    <phoneticPr fontId="1" type="noConversion"/>
  </si>
  <si>
    <t>스킬치적</t>
    <phoneticPr fontId="1" type="noConversion"/>
  </si>
  <si>
    <t>트포계수</t>
    <phoneticPr fontId="1" type="noConversion"/>
  </si>
  <si>
    <t>특화</t>
    <phoneticPr fontId="1" type="noConversion"/>
  </si>
  <si>
    <t>돌대</t>
    <phoneticPr fontId="1" type="noConversion"/>
  </si>
  <si>
    <t>루인딜증</t>
    <phoneticPr fontId="1" type="noConversion"/>
  </si>
  <si>
    <t>기본</t>
    <phoneticPr fontId="1" type="noConversion"/>
  </si>
  <si>
    <t>리턴</t>
    <phoneticPr fontId="1" type="noConversion"/>
  </si>
  <si>
    <t>도태</t>
    <phoneticPr fontId="1" type="noConversion"/>
  </si>
  <si>
    <t>리턴+도태</t>
    <phoneticPr fontId="1" type="noConversion"/>
  </si>
  <si>
    <t>신속</t>
    <phoneticPr fontId="1" type="noConversion"/>
  </si>
  <si>
    <t>바리</t>
    <phoneticPr fontId="1" type="noConversion"/>
  </si>
  <si>
    <t>공격력</t>
    <phoneticPr fontId="1" type="noConversion"/>
  </si>
  <si>
    <t>기본공격력</t>
    <phoneticPr fontId="1" type="noConversion"/>
  </si>
  <si>
    <t>아드</t>
    <phoneticPr fontId="1" type="noConversion"/>
  </si>
  <si>
    <t>공속</t>
    <phoneticPr fontId="1" type="noConversion"/>
  </si>
  <si>
    <t>셀레스티얼 레인</t>
    <phoneticPr fontId="1" type="noConversion"/>
  </si>
  <si>
    <t>무기 추피</t>
    <phoneticPr fontId="1" type="noConversion"/>
  </si>
  <si>
    <t>예둔</t>
    <phoneticPr fontId="1" type="noConversion"/>
  </si>
  <si>
    <t>쿨감</t>
    <phoneticPr fontId="1" type="noConversion"/>
  </si>
  <si>
    <t>팔찌+시너지</t>
    <phoneticPr fontId="1" type="noConversion"/>
  </si>
  <si>
    <t>원한</t>
    <phoneticPr fontId="1" type="noConversion"/>
  </si>
  <si>
    <t>추피</t>
    <phoneticPr fontId="1" type="noConversion"/>
  </si>
  <si>
    <t>비교 : 1번이 2번의 n% =&gt; 100%보다 크면 1번이 더 큰 수</t>
    <phoneticPr fontId="1" type="noConversion"/>
  </si>
  <si>
    <t>저받</t>
    <phoneticPr fontId="1" type="noConversion"/>
  </si>
  <si>
    <t>치피</t>
    <phoneticPr fontId="1" type="noConversion"/>
  </si>
  <si>
    <t>포카드</t>
  </si>
  <si>
    <t>카드강화</t>
  </si>
  <si>
    <t>1번쿨</t>
    <phoneticPr fontId="1" type="noConversion"/>
  </si>
  <si>
    <t>2번쿨</t>
    <phoneticPr fontId="1" type="noConversion"/>
  </si>
  <si>
    <t>쿨비교</t>
    <phoneticPr fontId="1" type="noConversion"/>
  </si>
  <si>
    <t>정단</t>
    <phoneticPr fontId="1" type="noConversion"/>
  </si>
  <si>
    <t>팔찌피증</t>
    <phoneticPr fontId="1" type="noConversion"/>
  </si>
  <si>
    <t>방깎</t>
    <phoneticPr fontId="1" type="noConversion"/>
  </si>
  <si>
    <t>질증</t>
    <phoneticPr fontId="1" type="noConversion"/>
  </si>
  <si>
    <t>각인피증</t>
    <phoneticPr fontId="1" type="noConversion"/>
  </si>
  <si>
    <t>피증1</t>
    <phoneticPr fontId="1" type="noConversion"/>
  </si>
  <si>
    <t>타대</t>
    <phoneticPr fontId="1" type="noConversion"/>
  </si>
  <si>
    <t>장비피증</t>
    <phoneticPr fontId="1" type="noConversion"/>
  </si>
  <si>
    <t>눈속임(X)</t>
  </si>
  <si>
    <t>피증2</t>
    <phoneticPr fontId="1" type="noConversion"/>
  </si>
  <si>
    <t>황후</t>
    <phoneticPr fontId="1" type="noConversion"/>
  </si>
  <si>
    <t>방깎딜증</t>
    <phoneticPr fontId="1" type="noConversion"/>
  </si>
  <si>
    <t>피증3</t>
    <phoneticPr fontId="1" type="noConversion"/>
  </si>
  <si>
    <t>보스 방어력</t>
  </si>
  <si>
    <t>장비</t>
    <phoneticPr fontId="1" type="noConversion"/>
  </si>
  <si>
    <t>장비개수</t>
    <phoneticPr fontId="1" type="noConversion"/>
  </si>
  <si>
    <t>각성기</t>
  </si>
  <si>
    <t>세렌디피티</t>
    <phoneticPr fontId="1" type="noConversion"/>
  </si>
  <si>
    <t>꿰뚫는일격</t>
    <phoneticPr fontId="1" type="noConversion"/>
  </si>
  <si>
    <t>보스방어력</t>
    <phoneticPr fontId="1" type="noConversion"/>
  </si>
  <si>
    <t>구원</t>
    <phoneticPr fontId="1" type="noConversion"/>
  </si>
  <si>
    <t>쿨타임</t>
  </si>
  <si>
    <t>심판</t>
    <phoneticPr fontId="1" type="noConversion"/>
  </si>
  <si>
    <t>리턴+심판</t>
    <phoneticPr fontId="1" type="noConversion"/>
  </si>
  <si>
    <t>도태+심판</t>
    <phoneticPr fontId="1" type="noConversion"/>
  </si>
  <si>
    <t>리턴+도태+심판</t>
    <phoneticPr fontId="1" type="noConversion"/>
  </si>
  <si>
    <t>끝마</t>
    <phoneticPr fontId="1" type="noConversion"/>
  </si>
  <si>
    <t>기본</t>
  </si>
  <si>
    <t>마중</t>
    <phoneticPr fontId="1" type="noConversion"/>
  </si>
  <si>
    <t>리턴</t>
  </si>
  <si>
    <t>눈속임</t>
    <phoneticPr fontId="1" type="noConversion"/>
  </si>
  <si>
    <t>지배</t>
    <phoneticPr fontId="1" type="noConversion"/>
  </si>
  <si>
    <t>도태</t>
  </si>
  <si>
    <t>환각</t>
    <phoneticPr fontId="1" type="noConversion"/>
  </si>
  <si>
    <t>리턴+도태</t>
  </si>
  <si>
    <t>꿰뚫는 일격</t>
    <phoneticPr fontId="1" type="noConversion"/>
  </si>
  <si>
    <t>스킬</t>
    <phoneticPr fontId="1" type="noConversion"/>
  </si>
  <si>
    <t>공격타입</t>
    <phoneticPr fontId="1" type="noConversion"/>
  </si>
  <si>
    <t>트포</t>
    <phoneticPr fontId="1" type="noConversion"/>
  </si>
  <si>
    <t>쿨</t>
    <phoneticPr fontId="1" type="noConversion"/>
  </si>
  <si>
    <t>10렙</t>
    <phoneticPr fontId="1" type="noConversion"/>
  </si>
  <si>
    <t>12렙</t>
    <phoneticPr fontId="1" type="noConversion"/>
  </si>
  <si>
    <t>치적</t>
    <phoneticPr fontId="1" type="noConversion"/>
  </si>
  <si>
    <t>리턴</t>
    <phoneticPr fontId="1" type="noConversion"/>
  </si>
  <si>
    <t>도태</t>
    <phoneticPr fontId="1" type="noConversion"/>
  </si>
  <si>
    <t>리턴+도태</t>
    <phoneticPr fontId="1" type="noConversion"/>
  </si>
  <si>
    <t>쿼드라</t>
    <phoneticPr fontId="1" type="noConversion"/>
  </si>
  <si>
    <t>백</t>
    <phoneticPr fontId="1" type="noConversion"/>
  </si>
  <si>
    <t>2-3-3</t>
    <phoneticPr fontId="1" type="noConversion"/>
  </si>
  <si>
    <t>스크래치</t>
    <phoneticPr fontId="1" type="noConversion"/>
  </si>
  <si>
    <t>1-3-3</t>
    <phoneticPr fontId="1" type="noConversion"/>
  </si>
  <si>
    <t>스파이럴</t>
    <phoneticPr fontId="1" type="noConversion"/>
  </si>
  <si>
    <t>2-2-2</t>
    <phoneticPr fontId="1" type="noConversion"/>
  </si>
  <si>
    <t>스트림</t>
    <phoneticPr fontId="1" type="noConversion"/>
  </si>
  <si>
    <t>2-3-2</t>
    <phoneticPr fontId="1" type="noConversion"/>
  </si>
  <si>
    <t>백플래쉬</t>
    <phoneticPr fontId="1" type="noConversion"/>
  </si>
  <si>
    <t>3-2-2</t>
    <phoneticPr fontId="1" type="noConversion"/>
  </si>
  <si>
    <t>레인</t>
    <phoneticPr fontId="1" type="noConversion"/>
  </si>
  <si>
    <t>레인(루인)</t>
    <phoneticPr fontId="1" type="noConversion"/>
  </si>
  <si>
    <t>포카드</t>
    <phoneticPr fontId="1" type="noConversion"/>
  </si>
  <si>
    <t>1-1-1</t>
    <phoneticPr fontId="1" type="noConversion"/>
  </si>
  <si>
    <t>포카드(루인)</t>
    <phoneticPr fontId="1" type="noConversion"/>
  </si>
  <si>
    <t>1-3-1</t>
    <phoneticPr fontId="1" type="noConversion"/>
  </si>
  <si>
    <t>세렌</t>
    <phoneticPr fontId="1" type="noConversion"/>
  </si>
  <si>
    <t>헤드</t>
    <phoneticPr fontId="1" type="noConversion"/>
  </si>
  <si>
    <t>1-1-2</t>
    <phoneticPr fontId="1" type="noConversion"/>
  </si>
  <si>
    <t>세렌(루인)</t>
    <phoneticPr fontId="1" type="noConversion"/>
  </si>
  <si>
    <t>2-1-2</t>
    <phoneticPr fontId="1" type="noConversion"/>
  </si>
  <si>
    <t>시가</t>
    <phoneticPr fontId="1" type="noConversion"/>
  </si>
  <si>
    <t>3-1-2</t>
    <phoneticPr fontId="1" type="noConversion"/>
  </si>
  <si>
    <t>시가(루인)</t>
    <phoneticPr fontId="1" type="noConversion"/>
  </si>
  <si>
    <t>운부</t>
    <phoneticPr fontId="1" type="noConversion"/>
  </si>
  <si>
    <t>3-1-1</t>
    <phoneticPr fontId="1" type="noConversion"/>
  </si>
  <si>
    <t>3-3-2</t>
    <phoneticPr fontId="1" type="noConversion"/>
  </si>
  <si>
    <t>1-3-2</t>
    <phoneticPr fontId="1" type="noConversion"/>
  </si>
  <si>
    <t>이보크</t>
    <phoneticPr fontId="1" type="noConversion"/>
  </si>
  <si>
    <t>1-2-2</t>
    <phoneticPr fontId="1" type="noConversion"/>
  </si>
  <si>
    <t>죽음의운명</t>
    <phoneticPr fontId="1" type="noConversion"/>
  </si>
  <si>
    <t>각성기</t>
    <phoneticPr fontId="1" type="noConversion"/>
  </si>
  <si>
    <t>기본(10렙)</t>
    <phoneticPr fontId="1" type="noConversion"/>
  </si>
  <si>
    <t>홍염Lv</t>
    <phoneticPr fontId="1" type="noConversion"/>
  </si>
  <si>
    <t>멸화Lv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</si>
</sst>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);[Red]\(0.00\)"/>
    <numFmt numFmtId="178" formatCode="0.00_ "/>
    <numFmt numFmtId="179" formatCode="#,##0_ 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5F8CED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14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9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10" fontId="0" fillId="0" borderId="3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4" fillId="0" borderId="0" xfId="0" applyFont="1">
      <alignment vertical="center"/>
    </xf>
    <xf numFmtId="176" fontId="0" fillId="15" borderId="14" xfId="0" applyNumberForma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0" fontId="2" fillId="6" borderId="14" xfId="0" applyNumberFormat="1" applyFont="1" applyFill="1" applyBorder="1" applyAlignment="1">
      <alignment horizontal="center" vertical="center"/>
    </xf>
    <xf numFmtId="10" fontId="0" fillId="12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176" fontId="0" fillId="12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0" fontId="0" fillId="11" borderId="14" xfId="0" applyNumberForma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177" fontId="0" fillId="6" borderId="14" xfId="0" applyNumberFormat="1" applyFill="1" applyBorder="1" applyAlignment="1">
      <alignment horizontal="center" vertical="center"/>
    </xf>
    <xf numFmtId="177" fontId="2" fillId="6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179" fontId="0" fillId="12" borderId="5" xfId="0" applyNumberFormat="1" applyFill="1" applyBorder="1" applyAlignment="1">
      <alignment horizontal="right" vertical="center"/>
    </xf>
    <xf numFmtId="10" fontId="0" fillId="9" borderId="2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8" fontId="0" fillId="19" borderId="25" xfId="0" applyNumberForma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19" borderId="25" xfId="0" applyFill="1" applyBorder="1">
      <alignment vertical="center"/>
    </xf>
    <xf numFmtId="0" fontId="0" fillId="19" borderId="4" xfId="0" applyFill="1" applyBorder="1">
      <alignment vertical="center"/>
    </xf>
    <xf numFmtId="0" fontId="0" fillId="20" borderId="5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178" fontId="0" fillId="4" borderId="6" xfId="0" applyNumberFormat="1" applyFill="1" applyBorder="1" applyAlignment="1">
      <alignment horizontal="center" vertical="center"/>
    </xf>
    <xf numFmtId="10" fontId="0" fillId="4" borderId="6" xfId="0" applyNumberFormat="1" applyFill="1" applyBorder="1" applyAlignment="1">
      <alignment horizontal="center" vertical="center"/>
    </xf>
    <xf numFmtId="179" fontId="0" fillId="4" borderId="6" xfId="0" applyNumberForma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179" fontId="0" fillId="12" borderId="26" xfId="0" applyNumberFormat="1" applyFill="1" applyBorder="1" applyAlignment="1">
      <alignment horizontal="right" vertical="center"/>
    </xf>
    <xf numFmtId="0" fontId="0" fillId="8" borderId="29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0" fillId="19" borderId="32" xfId="0" applyNumberFormat="1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10" fontId="0" fillId="9" borderId="32" xfId="0" applyNumberForma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0" fillId="19" borderId="31" xfId="0" applyFill="1" applyBorder="1">
      <alignment vertical="center"/>
    </xf>
    <xf numFmtId="0" fontId="0" fillId="19" borderId="32" xfId="0" applyFill="1" applyBorder="1">
      <alignment vertical="center"/>
    </xf>
    <xf numFmtId="0" fontId="0" fillId="18" borderId="26" xfId="0" applyFill="1" applyBorder="1" applyAlignment="1">
      <alignment horizontal="center" vertical="center"/>
    </xf>
    <xf numFmtId="178" fontId="0" fillId="19" borderId="26" xfId="0" applyNumberFormat="1" applyFill="1" applyBorder="1" applyAlignment="1">
      <alignment horizontal="center" vertical="center"/>
    </xf>
    <xf numFmtId="10" fontId="0" fillId="9" borderId="26" xfId="0" applyNumberFormat="1" applyFill="1" applyBorder="1" applyAlignment="1">
      <alignment horizontal="center" vertical="center"/>
    </xf>
    <xf numFmtId="179" fontId="0" fillId="12" borderId="29" xfId="0" applyNumberFormat="1" applyFill="1" applyBorder="1" applyAlignment="1">
      <alignment horizontal="right" vertical="center"/>
    </xf>
    <xf numFmtId="0" fontId="5" fillId="16" borderId="33" xfId="0" applyFont="1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8" fontId="0" fillId="19" borderId="36" xfId="0" applyNumberForma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10" fontId="0" fillId="9" borderId="36" xfId="0" applyNumberFormat="1" applyFill="1" applyBorder="1" applyAlignment="1">
      <alignment horizontal="center" vertical="center"/>
    </xf>
    <xf numFmtId="179" fontId="0" fillId="12" borderId="33" xfId="0" applyNumberFormat="1" applyFill="1" applyBorder="1" applyAlignment="1">
      <alignment horizontal="right" vertical="center"/>
    </xf>
    <xf numFmtId="0" fontId="0" fillId="17" borderId="3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3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DB9CFF"/>
      <color rgb="FF524782"/>
      <color rgb="FF00009A"/>
      <color rgb="FFFF1414"/>
      <color rgb="FFD30505"/>
      <color rgb="FFF00000"/>
      <color rgb="FFC40000"/>
      <color rgb="FFE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2"/>
  <sheetViews>
    <sheetView tabSelected="1" workbookViewId="0"/>
  </sheetViews>
  <sheetFormatPr defaultRowHeight="16.5" customHeight="1"/>
  <cols>
    <col min="1" max="1" width="2.75" style="4" customWidth="1"/>
    <col min="2" max="2" width="9" style="4"/>
    <col min="3" max="3" width="9" style="4" customWidth="1"/>
    <col min="4" max="4" width="2.75" style="4" customWidth="1"/>
    <col min="5" max="6" width="9" style="4"/>
    <col min="7" max="7" width="2.75" style="4" customWidth="1"/>
    <col min="8" max="8" width="9" style="4"/>
    <col min="9" max="9" width="9" style="4" customWidth="1"/>
    <col min="10" max="10" width="2.75" style="4" customWidth="1"/>
    <col min="11" max="17" width="9" style="4" customWidth="1"/>
    <col min="18" max="18" width="16.125" style="4" bestFit="1" customWidth="1"/>
    <col min="19" max="19" width="2.75" style="4" customWidth="1"/>
    <col min="20" max="21" width="9" style="4"/>
    <col min="22" max="22" width="9" style="4" customWidth="1"/>
    <col min="23" max="23" width="9.625" style="4" bestFit="1" customWidth="1"/>
    <col min="24" max="26" width="9" style="4"/>
    <col min="27" max="27" width="16.125" style="4" bestFit="1" customWidth="1"/>
    <col min="28" max="16384" width="9" style="4"/>
  </cols>
  <sheetData>
    <row r="2" spans="2:27" ht="16.5" customHeight="1">
      <c r="B2" s="105" t="s">
        <v>0</v>
      </c>
      <c r="C2" s="105"/>
      <c r="D2" s="105"/>
      <c r="E2" s="105"/>
      <c r="F2" s="105"/>
      <c r="G2" s="105"/>
      <c r="H2" s="106"/>
      <c r="I2" s="106"/>
      <c r="J2" s="105"/>
      <c r="K2" s="106"/>
      <c r="L2" s="106"/>
      <c r="M2" s="106"/>
      <c r="N2" s="106"/>
      <c r="O2" s="106"/>
      <c r="P2" s="106"/>
      <c r="Q2" s="106"/>
      <c r="R2" s="106"/>
    </row>
    <row r="3" spans="2:27" ht="16.5" customHeight="1">
      <c r="B3" s="107" t="s">
        <v>1</v>
      </c>
      <c r="C3" s="108"/>
      <c r="E3" s="5" t="s">
        <v>2</v>
      </c>
      <c r="F3" s="6" t="s">
        <v>3</v>
      </c>
      <c r="H3" s="86" t="s">
        <v>4</v>
      </c>
      <c r="I3" s="86"/>
      <c r="K3" s="86" t="s">
        <v>5</v>
      </c>
      <c r="L3" s="86"/>
      <c r="M3" s="86"/>
      <c r="N3" s="86"/>
      <c r="O3" s="86"/>
      <c r="P3" s="86"/>
      <c r="Q3" s="86"/>
      <c r="R3" s="86"/>
    </row>
    <row r="4" spans="2:27" ht="16.5" customHeight="1">
      <c r="B4" s="7" t="s">
        <v>6</v>
      </c>
      <c r="C4" s="8">
        <v>600</v>
      </c>
      <c r="E4" s="9" t="s">
        <v>7</v>
      </c>
      <c r="F4" s="8"/>
      <c r="H4" s="26" t="s">
        <v>8</v>
      </c>
      <c r="I4" s="27">
        <f>C4*0.0003579+0.1+C10+IF(F7=1,0.05,IF(F7=2,0.1,IF(F7=3,0.15,0)))+IF(F11=3,0.2,IF(F11=2,0.1,IF(F11=1,0.04,0)))+IF(F21=4,0.2,IF(F21=6,0.28,0))</f>
        <v>0.46474000000000004</v>
      </c>
      <c r="K4" s="110" t="s">
        <v>9</v>
      </c>
      <c r="L4" s="111"/>
      <c r="M4" s="14" t="s">
        <v>10</v>
      </c>
      <c r="N4" s="29">
        <f>8*(1-$I$8)</f>
        <v>7.9141199999999996</v>
      </c>
      <c r="O4" s="14" t="s">
        <v>11</v>
      </c>
      <c r="P4" s="24">
        <f>I4+0.4</f>
        <v>0.86474000000000006</v>
      </c>
      <c r="Q4" s="14" t="s">
        <v>12</v>
      </c>
      <c r="R4" s="14">
        <f>1.8*1.95</f>
        <v>3.51</v>
      </c>
      <c r="T4" s="18"/>
    </row>
    <row r="5" spans="2:27" ht="16.5" customHeight="1">
      <c r="B5" s="7" t="s">
        <v>13</v>
      </c>
      <c r="C5" s="10">
        <v>1820</v>
      </c>
      <c r="E5" s="9" t="s">
        <v>14</v>
      </c>
      <c r="F5" s="10"/>
      <c r="H5" s="26" t="s">
        <v>15</v>
      </c>
      <c r="I5" s="27">
        <f>C5*0.0005007</f>
        <v>0.91127399999999992</v>
      </c>
      <c r="K5" s="15" t="s">
        <v>16</v>
      </c>
      <c r="L5" s="15" t="s">
        <v>17</v>
      </c>
      <c r="M5" s="15" t="s">
        <v>18</v>
      </c>
      <c r="N5" s="15" t="s">
        <v>19</v>
      </c>
      <c r="O5" s="83"/>
      <c r="P5" s="83"/>
      <c r="Q5" s="83"/>
      <c r="R5" s="83"/>
    </row>
    <row r="6" spans="2:27" ht="16.5" customHeight="1">
      <c r="B6" s="7" t="s">
        <v>20</v>
      </c>
      <c r="C6" s="10">
        <v>50</v>
      </c>
      <c r="E6" s="9" t="s">
        <v>21</v>
      </c>
      <c r="F6" s="10"/>
      <c r="H6" s="26" t="s">
        <v>22</v>
      </c>
      <c r="I6" s="28">
        <f>C7+IF(F10=1,0.03*C7,IF(F10=2,0.08*C7,IF(F10=3,0.16*C7,0)))+IF(F12=1,0.04*C7,IF(F12=2,0.1*C7,IF(F12=3,0.18*C7,0)))+IF(F7=1,0.018*C7,IF(F7=2,0.036*C7,IF(F7=3,0.06*C7,0)))</f>
        <v>42400</v>
      </c>
      <c r="K6" s="25">
        <f>$I$6*(1+$I$9)*IF($P4&gt;=1,$I$10,($I$10*$P4+1-$P4))*(1+$I$5)*$R4*(1+$I$11)*(1+$I$12)*(1+$I$13)*(1+$I$14)</f>
        <v>1340459.8943738381</v>
      </c>
      <c r="L6" s="25">
        <f>$I$6*(1+$I$9)*IF($P4&gt;=1,$I$10+0.775,(($I$10+0.775)*$P4+1-$P4))*(1+$I$5)*$R4*(1+$I$11)*(1+$I$12)*(1+$I$13)*(1+$I$14)</f>
        <v>1822211.0763199243</v>
      </c>
      <c r="M6" s="25">
        <f>$I$6*(1+$I$9)*($I$10+0.5)*(1+$I$5)*$R4*(1+$I$11)*(1+$I$12)*(1+$I$13)*(1+$I$14)</f>
        <v>1797113.6651407676</v>
      </c>
      <c r="N6" s="25">
        <f>$I$6*(1+$I$9)*($I$10+0.5+0.775)*(1+$I$5)*$R4*(1+$I$11)*(1+$I$12)*(1+$I$13)*(1+$I$14)</f>
        <v>2354218.9013344059</v>
      </c>
      <c r="O6" s="83"/>
      <c r="P6" s="83"/>
      <c r="Q6" s="83"/>
      <c r="R6" s="83"/>
    </row>
    <row r="7" spans="2:27" ht="16.5" customHeight="1">
      <c r="B7" s="7" t="s">
        <v>23</v>
      </c>
      <c r="C7" s="10">
        <v>40000</v>
      </c>
      <c r="E7" s="9" t="s">
        <v>24</v>
      </c>
      <c r="F7" s="10">
        <v>3</v>
      </c>
      <c r="H7" s="26" t="s">
        <v>25</v>
      </c>
      <c r="I7" s="27">
        <f>1+C6*0.0001717+IF(F17&gt;=4,0.1,0)+IF(F18=6,0.15,IF(F18=4,0.12,0))+IF(OR(F12=1,F12=2,F12=3),-0.1,0)</f>
        <v>1.0085850000000001</v>
      </c>
      <c r="K7" s="111" t="s">
        <v>26</v>
      </c>
      <c r="L7" s="111"/>
      <c r="M7" s="14" t="s">
        <v>10</v>
      </c>
      <c r="N7" s="29">
        <f>17*(1-$I$8)</f>
        <v>16.817505000000001</v>
      </c>
      <c r="O7" s="14" t="s">
        <v>11</v>
      </c>
      <c r="P7" s="24">
        <f>I4+0.45</f>
        <v>0.91474000000000011</v>
      </c>
      <c r="Q7" s="14" t="s">
        <v>12</v>
      </c>
      <c r="R7" s="14">
        <f>1.6*2.76</f>
        <v>4.4159999999999995</v>
      </c>
    </row>
    <row r="8" spans="2:27" ht="16.5" customHeight="1">
      <c r="B8" s="7" t="s">
        <v>27</v>
      </c>
      <c r="C8" s="1">
        <v>0.3</v>
      </c>
      <c r="E8" s="9" t="s">
        <v>28</v>
      </c>
      <c r="F8" s="10"/>
      <c r="H8" s="26" t="s">
        <v>29</v>
      </c>
      <c r="I8" s="27">
        <f>1-(1-C6*0.0002147)*IF(F18=6,0.77*0.8,IF(F18=4,0.77,1))*IF(OR(F20=2,F20=4,F20=6),0.82,1)</f>
        <v>1.073500000000005E-2</v>
      </c>
      <c r="K8" s="15" t="s">
        <v>16</v>
      </c>
      <c r="L8" s="15" t="s">
        <v>17</v>
      </c>
      <c r="M8" s="15" t="s">
        <v>18</v>
      </c>
      <c r="N8" s="15" t="s">
        <v>19</v>
      </c>
      <c r="O8" s="83"/>
      <c r="P8" s="83"/>
      <c r="Q8" s="83"/>
      <c r="R8" s="83"/>
    </row>
    <row r="9" spans="2:27" ht="16.5" customHeight="1" thickBot="1">
      <c r="B9" s="107" t="s">
        <v>30</v>
      </c>
      <c r="C9" s="109"/>
      <c r="E9" s="9" t="s">
        <v>31</v>
      </c>
      <c r="F9" s="10"/>
      <c r="H9" s="26" t="s">
        <v>32</v>
      </c>
      <c r="I9" s="27">
        <f>C8+IF(F17=2,0.0105*20,IF(F17=4,0.0105*40,IF(F17=6,0.0105*60,0)))+IF(OR(F19=4,F19=6),0.2,0)</f>
        <v>0.5</v>
      </c>
      <c r="K9" s="25">
        <f>$I$6*(1+$I$9)*IF($P7&gt;=1,$I$10,($I$10*$P7+1-$P7))*(1+$I$5)*$R7*(1+$I$11)*(1+$I$12)*(1+$I$13)*(1+$I$14)</f>
        <v>1731678.6246325073</v>
      </c>
      <c r="L9" s="25">
        <f>$I$6*(1+$I$9)*IF($P7&gt;=1,$I$10+0.775,(($I$10+0.775)*$P7+1-$P7))*(1+$I$5)*$R7*(1+$I$11)*(1+$I$12)*(1+$I$13)*(1+$I$14)</f>
        <v>2372824.5094260895</v>
      </c>
      <c r="M9" s="25">
        <f>$I$6*(1+$I$9)*($I$10+0.5)*(1+$I$5)*$R7*(1+$I$11)*(1+$I$12)*(1+$I$13)*(1+$I$14)</f>
        <v>2260984.0299890684</v>
      </c>
      <c r="N9" s="25">
        <f>$I$6*(1+$I$9)*($I$10+0.5+0.775)*(1+$I$5)*$R7*(1+$I$11)*(1+$I$12)*(1+$I$13)*(1+$I$14)</f>
        <v>2961889.0792856799</v>
      </c>
      <c r="O9" s="83"/>
      <c r="P9" s="83"/>
      <c r="Q9" s="83"/>
      <c r="R9" s="83"/>
      <c r="T9" s="81" t="s">
        <v>33</v>
      </c>
      <c r="U9" s="92"/>
      <c r="V9" s="92"/>
      <c r="W9" s="92"/>
      <c r="X9" s="92"/>
      <c r="Y9" s="92"/>
      <c r="Z9" s="92"/>
      <c r="AA9" s="82"/>
    </row>
    <row r="10" spans="2:27" ht="16.5" customHeight="1">
      <c r="B10" s="7" t="s">
        <v>8</v>
      </c>
      <c r="C10" s="2"/>
      <c r="E10" s="9" t="s">
        <v>34</v>
      </c>
      <c r="F10" s="10"/>
      <c r="H10" s="26" t="s">
        <v>35</v>
      </c>
      <c r="I10" s="27">
        <f>2+C11+IF(F8=1,0.1,IF(F8=2,0.25,IF(F8=3,0.5,0)))+IF(OR(F11=1,F11=2,F11=3),-0.12,0)</f>
        <v>2</v>
      </c>
      <c r="K10" s="20" t="s">
        <v>36</v>
      </c>
      <c r="L10" s="20" t="s">
        <v>37</v>
      </c>
      <c r="M10" s="14" t="s">
        <v>10</v>
      </c>
      <c r="N10" s="29">
        <f>16*(1-$I$8)</f>
        <v>15.828239999999999</v>
      </c>
      <c r="O10" s="14" t="s">
        <v>11</v>
      </c>
      <c r="P10" s="24">
        <f>I4+0.44</f>
        <v>0.9047400000000001</v>
      </c>
      <c r="Q10" s="14" t="s">
        <v>12</v>
      </c>
      <c r="R10" s="14">
        <f>1.75*1.36</f>
        <v>2.3800000000000003</v>
      </c>
      <c r="T10" s="93" t="s">
        <v>9</v>
      </c>
      <c r="U10" s="94"/>
      <c r="V10" s="21" t="s">
        <v>38</v>
      </c>
      <c r="W10" s="30">
        <f>N4</f>
        <v>7.9141199999999996</v>
      </c>
      <c r="X10" s="21" t="s">
        <v>39</v>
      </c>
      <c r="Y10" s="30">
        <f>N25</f>
        <v>7.9141199999999996</v>
      </c>
      <c r="Z10" s="21" t="s">
        <v>40</v>
      </c>
      <c r="AA10" s="22">
        <f>N4/Y10</f>
        <v>1</v>
      </c>
    </row>
    <row r="11" spans="2:27" ht="16.5" customHeight="1">
      <c r="B11" s="7" t="s">
        <v>35</v>
      </c>
      <c r="C11" s="3"/>
      <c r="E11" s="9" t="s">
        <v>41</v>
      </c>
      <c r="F11" s="10"/>
      <c r="H11" s="26" t="s">
        <v>42</v>
      </c>
      <c r="I11" s="27">
        <f>(1+C13)*(1+C14)*(1+C15)-1</f>
        <v>0</v>
      </c>
      <c r="K11" s="15" t="s">
        <v>16</v>
      </c>
      <c r="L11" s="15" t="s">
        <v>17</v>
      </c>
      <c r="M11" s="15" t="s">
        <v>18</v>
      </c>
      <c r="N11" s="15" t="s">
        <v>19</v>
      </c>
      <c r="O11" s="83"/>
      <c r="P11" s="83"/>
      <c r="Q11" s="83"/>
      <c r="R11" s="83"/>
      <c r="T11" s="15" t="s">
        <v>16</v>
      </c>
      <c r="U11" s="15" t="s">
        <v>17</v>
      </c>
      <c r="V11" s="15" t="s">
        <v>18</v>
      </c>
      <c r="W11" s="15" t="s">
        <v>19</v>
      </c>
      <c r="X11" s="95"/>
      <c r="Y11" s="96"/>
      <c r="Z11" s="96"/>
      <c r="AA11" s="97"/>
    </row>
    <row r="12" spans="2:27" ht="16.5" customHeight="1">
      <c r="B12" s="7" t="s">
        <v>43</v>
      </c>
      <c r="C12" s="3"/>
      <c r="E12" s="9" t="s">
        <v>44</v>
      </c>
      <c r="F12" s="10"/>
      <c r="H12" s="26" t="s">
        <v>45</v>
      </c>
      <c r="I12" s="27">
        <f>PRODUCT(IF(F5=1,1.04,IF(F5=2,1.088,IF(F5=3,1.18,1))),IF(F6=1,1.03,IF(F6=2,1.08,IF(F6=3,1.16,1))),IF(OR(F8=1,F8=2,F8=3),0.98,1),IF(F9=1,1.04,IF(F9=2,1.1,IF(F9=3,1.2,1))),IF(F13=1,1.03,IF(F13=2,1.08,IF(F13=3,1.16,1))),IF(F14=1,1.2,IF(F14=2,1.25,IF(F14=3,1.3,1))))-1</f>
        <v>0.19999999999999996</v>
      </c>
      <c r="K12" s="25">
        <f>$I$6*(1+$I$9)*IF($P10&gt;=1,$I$10,($I$10*$P10+1-$P10))*(1+$I$5)*$R10*(1+$I$11)*(1+$I$12)*(1+$I$13)*(1+$I$14)</f>
        <v>928412.71708783344</v>
      </c>
      <c r="L12" s="25">
        <f>$I$6*(1+$I$9)*IF($P10&gt;=1,$I$10+0.775,(($I$10+0.775)*$P10+1-$P10))*(1+$I$5)*$R10*(1+$I$11)*(1+$I$12)*(1+$I$13)*(1+$I$14)</f>
        <v>1270180.3044147054</v>
      </c>
      <c r="M12" s="25">
        <f>$I$6*(1+$I$9)*($I$10+0.5)*(1+$I$5)*$R10*(1+$I$11)*(1+$I$12)*(1+$I$13)*(1+$I$14)</f>
        <v>1218555.704568384</v>
      </c>
      <c r="N12" s="25">
        <f>$I$6*(1+$I$9)*($I$10+0.5+0.775)*(1+$I$5)*$R10*(1+$I$11)*(1+$I$12)*(1+$I$13)*(1+$I$14)</f>
        <v>1596307.9729845831</v>
      </c>
      <c r="O12" s="83"/>
      <c r="P12" s="83"/>
      <c r="Q12" s="83"/>
      <c r="R12" s="83"/>
      <c r="T12" s="23">
        <f>K6/K27</f>
        <v>1.0093021951558159</v>
      </c>
      <c r="U12" s="23">
        <f>L6/L27</f>
        <v>1.0178763072338666</v>
      </c>
      <c r="V12" s="23">
        <f>M6/M27</f>
        <v>0.98223938223938212</v>
      </c>
      <c r="W12" s="23">
        <f>N6/N27</f>
        <v>0.98223938223938234</v>
      </c>
      <c r="X12" s="98"/>
      <c r="Y12" s="99"/>
      <c r="Z12" s="99"/>
      <c r="AA12" s="100"/>
    </row>
    <row r="13" spans="2:27" ht="16.5" customHeight="1">
      <c r="B13" s="7" t="s">
        <v>46</v>
      </c>
      <c r="C13" s="3"/>
      <c r="E13" s="9" t="s">
        <v>47</v>
      </c>
      <c r="F13" s="10"/>
      <c r="H13" s="26" t="s">
        <v>48</v>
      </c>
      <c r="I13" s="27">
        <f>PRODUCT(IF(F17=6,1.06,1),IF(OR(F18=2,F18=4,F18=6),1.17,1),IF(F19=6,1.2*1.17,IF(OR(F19=2,F19=4),1.17,1)),IF(F20=2,1.1,IF(F20=4,1.31,IF(F20=6,1.31*1.2,1))),IF(F21=6,1.32,IF(OR(F21=2,F21=4),1.17,1)))-1</f>
        <v>0.40399999999999991</v>
      </c>
      <c r="K13" s="20" t="s">
        <v>36</v>
      </c>
      <c r="L13" s="20" t="s">
        <v>49</v>
      </c>
      <c r="M13" s="14" t="s">
        <v>10</v>
      </c>
      <c r="N13" s="29">
        <f>16*(1-$I$8)</f>
        <v>15.828239999999999</v>
      </c>
      <c r="O13" s="14" t="s">
        <v>11</v>
      </c>
      <c r="P13" s="24">
        <f>I4+0.44</f>
        <v>0.9047400000000001</v>
      </c>
      <c r="Q13" s="14" t="s">
        <v>12</v>
      </c>
      <c r="R13" s="14">
        <v>1.36</v>
      </c>
      <c r="T13" s="101" t="s">
        <v>26</v>
      </c>
      <c r="U13" s="102"/>
      <c r="V13" s="21" t="s">
        <v>38</v>
      </c>
      <c r="W13" s="30">
        <f>N7</f>
        <v>16.817505000000001</v>
      </c>
      <c r="X13" s="21" t="s">
        <v>39</v>
      </c>
      <c r="Y13" s="30">
        <f>N28</f>
        <v>16.817505000000001</v>
      </c>
      <c r="Z13" s="21" t="s">
        <v>40</v>
      </c>
      <c r="AA13" s="22">
        <f>N7/Y13</f>
        <v>1</v>
      </c>
    </row>
    <row r="14" spans="2:27" ht="16.5" customHeight="1" thickBot="1">
      <c r="B14" s="7" t="s">
        <v>50</v>
      </c>
      <c r="C14" s="3"/>
      <c r="E14" s="9" t="s">
        <v>51</v>
      </c>
      <c r="F14" s="11">
        <v>1</v>
      </c>
      <c r="H14" s="26" t="s">
        <v>52</v>
      </c>
      <c r="I14" s="27">
        <f>(C17+6500)/(C17*(1-C12)+6500)-1</f>
        <v>0</v>
      </c>
      <c r="K14" s="15" t="s">
        <v>16</v>
      </c>
      <c r="L14" s="15" t="s">
        <v>17</v>
      </c>
      <c r="M14" s="15" t="s">
        <v>18</v>
      </c>
      <c r="N14" s="15" t="s">
        <v>19</v>
      </c>
      <c r="O14" s="83"/>
      <c r="P14" s="83"/>
      <c r="Q14" s="83"/>
      <c r="R14" s="83"/>
      <c r="T14" s="15" t="s">
        <v>16</v>
      </c>
      <c r="U14" s="15" t="s">
        <v>17</v>
      </c>
      <c r="V14" s="15" t="s">
        <v>18</v>
      </c>
      <c r="W14" s="15" t="s">
        <v>19</v>
      </c>
      <c r="X14" s="95"/>
      <c r="Y14" s="96"/>
      <c r="Z14" s="96"/>
      <c r="AA14" s="97"/>
    </row>
    <row r="15" spans="2:27" ht="16.5" customHeight="1" thickBot="1">
      <c r="B15" s="12" t="s">
        <v>53</v>
      </c>
      <c r="C15" s="1"/>
      <c r="K15" s="25">
        <f>$I$6*(1+$I$9)*IF($P13&gt;=1,$I$10,($I$10*$P13+1-$P13))*(1+$I$5)*$R13*(1+$I$11)*(1+$I$12)*(1+$I$13)*(1+$I$14)</f>
        <v>530521.55262161908</v>
      </c>
      <c r="L15" s="25">
        <f>$I$6*(1+$I$9)*IF($P13&gt;=1,$I$10+0.775,(($I$10+0.775)*$P13+1-$P13))*(1+$I$5)*$R13*(1+$I$11)*(1+$I$12)*(1+$I$13)*(1+$I$14)</f>
        <v>725817.316808403</v>
      </c>
      <c r="M15" s="25">
        <f>$I$6*(1+$I$9)*($I$10+0.5)*(1+$I$5)*$R13*(1+$I$11)*(1+$I$12)*(1+$I$13)*(1+$I$14)</f>
        <v>696317.54546764796</v>
      </c>
      <c r="N15" s="25">
        <f>$I$6*(1+$I$9)*($I$10+0.5+0.775)*(1+$I$5)*$R13*(1+$I$11)*(1+$I$12)*(1+$I$13)*(1+$I$14)</f>
        <v>912175.98456261877</v>
      </c>
      <c r="O15" s="83"/>
      <c r="P15" s="83"/>
      <c r="Q15" s="83"/>
      <c r="R15" s="83"/>
      <c r="T15" s="23">
        <f>K9/K30</f>
        <v>1.0085765494111967</v>
      </c>
      <c r="U15" s="23">
        <f>L9/L30</f>
        <v>1.0166286208361806</v>
      </c>
      <c r="V15" s="23">
        <f>M9/M30</f>
        <v>0.98223938223938234</v>
      </c>
      <c r="W15" s="23">
        <f>N9/N30</f>
        <v>0.98223938223938256</v>
      </c>
      <c r="X15" s="98"/>
      <c r="Y15" s="99"/>
      <c r="Z15" s="99"/>
      <c r="AA15" s="100"/>
    </row>
    <row r="16" spans="2:27" ht="16.5" customHeight="1" thickBot="1">
      <c r="B16" s="84" t="s">
        <v>54</v>
      </c>
      <c r="C16" s="85"/>
      <c r="E16" s="5" t="s">
        <v>55</v>
      </c>
      <c r="F16" s="6" t="s">
        <v>56</v>
      </c>
      <c r="H16" s="86" t="s">
        <v>57</v>
      </c>
      <c r="I16" s="86"/>
      <c r="K16" s="20" t="s">
        <v>58</v>
      </c>
      <c r="L16" s="20" t="s">
        <v>59</v>
      </c>
      <c r="M16" s="14" t="s">
        <v>10</v>
      </c>
      <c r="N16" s="29">
        <f>16*(1-$I$8)</f>
        <v>15.828239999999999</v>
      </c>
      <c r="O16" s="14" t="s">
        <v>11</v>
      </c>
      <c r="P16" s="24">
        <f>I4</f>
        <v>0.46474000000000004</v>
      </c>
      <c r="Q16" s="14" t="s">
        <v>12</v>
      </c>
      <c r="R16" s="14">
        <f>0.7*(C17+6500)/(C17*(IF(0.2-C12&lt;0,0,0.2-C12))+6500)+0.3*(C17+6500)/(C17*(1-C12)+6500)</f>
        <v>1.4363636363636365</v>
      </c>
      <c r="T16" s="20" t="s">
        <v>36</v>
      </c>
      <c r="U16" s="20" t="s">
        <v>37</v>
      </c>
      <c r="V16" s="21" t="s">
        <v>38</v>
      </c>
      <c r="W16" s="30">
        <f>N10</f>
        <v>15.828239999999999</v>
      </c>
      <c r="X16" s="21" t="s">
        <v>39</v>
      </c>
      <c r="Y16" s="30">
        <f>N31</f>
        <v>15.828239999999999</v>
      </c>
      <c r="Z16" s="21" t="s">
        <v>40</v>
      </c>
      <c r="AA16" s="22">
        <f>N10/Y16</f>
        <v>1</v>
      </c>
    </row>
    <row r="17" spans="2:27" ht="16.5" customHeight="1" thickBot="1">
      <c r="B17" s="78" t="s">
        <v>60</v>
      </c>
      <c r="C17" s="31">
        <v>6000</v>
      </c>
      <c r="E17" s="13" t="s">
        <v>61</v>
      </c>
      <c r="F17" s="8"/>
      <c r="H17" s="16" t="s">
        <v>62</v>
      </c>
      <c r="I17" s="17">
        <f>300*IF(OR(F20=2,F20=4,F20=6),(1-I8)/0.82,1-I8)*IF(F4=1,0.9,IF(F4=2,0.75,IF(F4=3,0.5,1)))*IF(OR(F20=2,F20=4,F20=6),0.8,1)</f>
        <v>296.77949999999998</v>
      </c>
      <c r="K17" s="15" t="s">
        <v>16</v>
      </c>
      <c r="L17" s="15" t="s">
        <v>17</v>
      </c>
      <c r="M17" s="15" t="s">
        <v>18</v>
      </c>
      <c r="N17" s="15" t="s">
        <v>19</v>
      </c>
      <c r="O17" s="15" t="s">
        <v>63</v>
      </c>
      <c r="P17" s="15" t="s">
        <v>64</v>
      </c>
      <c r="Q17" s="15" t="s">
        <v>65</v>
      </c>
      <c r="R17" s="15" t="s">
        <v>66</v>
      </c>
      <c r="T17" s="15" t="s">
        <v>16</v>
      </c>
      <c r="U17" s="15" t="s">
        <v>17</v>
      </c>
      <c r="V17" s="15" t="s">
        <v>18</v>
      </c>
      <c r="W17" s="15" t="s">
        <v>19</v>
      </c>
      <c r="X17" s="95"/>
      <c r="Y17" s="96"/>
      <c r="Z17" s="96"/>
      <c r="AA17" s="97"/>
    </row>
    <row r="18" spans="2:27" ht="16.5" customHeight="1">
      <c r="E18" s="13" t="s">
        <v>67</v>
      </c>
      <c r="F18" s="10"/>
      <c r="H18" s="16" t="s">
        <v>68</v>
      </c>
      <c r="I18" s="19">
        <f>(1+C5*0.0005464)*I6*(I10*I4+1-I4)*IF(OR(F18=4,F18=6),I9+0.2+1,I9+1)*((1+I12)/(IF(F13=1,1.03,IF(F13=2,1.08,IF(F13=3,1.16,1)))*IF(F14=1,1.2,IF(F14=2,1.25,IF(F14=3,1.3,1)))))*IF(F18=6,1.2*(I13+1)/1.17,IF(OR(F18=2,F18=4,F19=2,F19=4,F19=6),(I13+1)/1.17,IF(F20=2,0.9*(I13+1)/1.1,IF(OR(F20=4,F20=6),0.9*(I13+1)/1.31,I13+1))))*(1+I14)</f>
        <v>222957.26131184641</v>
      </c>
      <c r="K18" s="25">
        <f>$I$6*(1+$I$9)*IF($P16&gt;=1,$I$10+5.04,(($I$10+5.04)*$P16+1-$P16))*(1+$I$5)*$R16*(1+$I$11)*(1+$I$12)*(1+$I$13)</f>
        <v>1119899.5669571117</v>
      </c>
      <c r="L18" s="25">
        <f>$I$6*(1+$I$9)*IF($P16&gt;=1,$I$10+5.04+0.775,(($I$10+5.04+0.775)*$P16+1-$P16))*(1+$I$5)*$R16*(1+$I$11)*(1+$I$12)*(1+$I$13)</f>
        <v>1225850.4496819079</v>
      </c>
      <c r="M18" s="25">
        <f>$I$6*(1+$I$9)*($I$10+5.04+0.5)*(1+$I$5)*$R16*(1+$I$11)*(1+$I$12)*(1+$I$13)</f>
        <v>2218013.4178249151</v>
      </c>
      <c r="N18" s="25">
        <f>$I$6*(1+$I$9)*($I$10+5.04+0.5+0.775)*(1+$I$5)*$R16*(1+$I$11)*(1+$I$12)*(1+$I$13)</f>
        <v>2445992.2505589086</v>
      </c>
      <c r="O18" s="25">
        <f>$I$6*(1+$I$9)*IF($P16&gt;=1,$I$10+5.04,(($I$10+5.04)*$P16+1-$P16))*(1+$I$5)*$R16*(1+$I$11)*(1+$I$12)*(1+$I$13)*2</f>
        <v>2239799.1339142234</v>
      </c>
      <c r="P18" s="25">
        <f>$I$6*(1+$I$9)*IF($P16&gt;=1,$I$10+5.04+0.775,(($I$10+5.04+0.775)*$P16+1-$P16))*(1+$I$5)*$R16*(1+$I$11)*(1+$I$12)*(1+$I$13)*2</f>
        <v>2451700.8993638158</v>
      </c>
      <c r="Q18" s="25">
        <f>$I$6*(1+$I$9)*($I$10+5.04+0.5)*(1+$I$5)*$R16*(1+$I$11)*(1+$I$12)*(1+$I$13)*2</f>
        <v>4436026.8356498303</v>
      </c>
      <c r="R18" s="25">
        <f>$I$6*(1+$I$9)*($I$10+5.04+0.5+0.775)*(1+$I$5)*$R16*(1+$I$11)*(1+$I$12)*(1+$I$13)*2</f>
        <v>4891984.5011178171</v>
      </c>
      <c r="T18" s="23">
        <f>K12/K33</f>
        <v>1.0087185486519086</v>
      </c>
      <c r="U18" s="23">
        <f>L12/L33</f>
        <v>1.0168711195793463</v>
      </c>
      <c r="V18" s="23">
        <f>M12/M33</f>
        <v>0.98223938223938223</v>
      </c>
      <c r="W18" s="23">
        <f>N12/N33</f>
        <v>0.98223938223938223</v>
      </c>
      <c r="X18" s="98"/>
      <c r="Y18" s="99"/>
      <c r="Z18" s="99"/>
      <c r="AA18" s="100"/>
    </row>
    <row r="19" spans="2:27" ht="16.5" customHeight="1">
      <c r="E19" s="13" t="s">
        <v>69</v>
      </c>
      <c r="F19" s="10">
        <v>6</v>
      </c>
      <c r="H19" s="16" t="s">
        <v>70</v>
      </c>
      <c r="I19" s="19">
        <f>(1+C5*0.0005464)*I6*((I10+0.775)*I4+1-I4)*IF(OR(F18=4,F18=6),I9+0.2+1,I9+1)*((1+I12)/(IF(F13=1,1.03,IF(F13=2,1.08,IF(F13=3,1.16,1)))*IF(F14=1,1.2,IF(F14=2,1.25,IF(F14=3,1.3,1)))))*IF(F18=6,1.2*(I13+1)/1.17,IF(OR(F18=2,F18=4,F19=2,F19=4,F19=6),(I13+1)/1.17,IF(F20=2,0.9*(I13+1)/1.1,IF(OR(F20=4,F20=6),0.9*(I13+1)/1.31,I13+1))))*(1+I14)</f>
        <v>277781.52852452738</v>
      </c>
      <c r="K19" s="20" t="s">
        <v>58</v>
      </c>
      <c r="L19" s="20" t="s">
        <v>71</v>
      </c>
      <c r="M19" s="14" t="s">
        <v>10</v>
      </c>
      <c r="N19" s="29">
        <f>16*(1-$I$8)</f>
        <v>15.828239999999999</v>
      </c>
      <c r="O19" s="14" t="s">
        <v>11</v>
      </c>
      <c r="P19" s="24">
        <f>I4</f>
        <v>0.46474000000000004</v>
      </c>
      <c r="Q19" s="14" t="s">
        <v>12</v>
      </c>
      <c r="R19" s="14">
        <v>1.48</v>
      </c>
      <c r="T19" s="20" t="s">
        <v>36</v>
      </c>
      <c r="U19" s="20" t="s">
        <v>49</v>
      </c>
      <c r="V19" s="21" t="s">
        <v>38</v>
      </c>
      <c r="W19" s="30">
        <f>N13</f>
        <v>15.828239999999999</v>
      </c>
      <c r="X19" s="21" t="s">
        <v>39</v>
      </c>
      <c r="Y19" s="30">
        <f>N34</f>
        <v>15.828239999999999</v>
      </c>
      <c r="Z19" s="21" t="s">
        <v>40</v>
      </c>
      <c r="AA19" s="22">
        <f>N13/Y19</f>
        <v>1</v>
      </c>
    </row>
    <row r="20" spans="2:27" ht="16.5" customHeight="1">
      <c r="E20" s="13" t="s">
        <v>72</v>
      </c>
      <c r="F20" s="10"/>
      <c r="H20" s="16" t="s">
        <v>73</v>
      </c>
      <c r="I20" s="19">
        <f>(1+C5*0.0005464)*I6*(I10+0.5)*IF(OR(F18=4,F18=6),I9+0.2+1,I9+1)*((1+I12)/(IF(F13=1,1.03,IF(F13=2,1.08,IF(F13=3,1.16,1)))*IF(F14=1,1.2,IF(F14=2,1.25,IF(F14=3,1.3,1)))))*IF(F18=6,1.2*(I13+1)/1.17,IF(OR(F18=2,F18=4,F19=2,F19=4,F19=6),(I13+1)/1.17,IF(F20=2,0.9*(I13+1)/1.1,IF(OR(F20=4,F20=6),0.9*(I13+1)/1.31,I13+1))))*(1+I14)</f>
        <v>380540.67840000003</v>
      </c>
      <c r="K20" s="15" t="s">
        <v>16</v>
      </c>
      <c r="L20" s="15" t="s">
        <v>17</v>
      </c>
      <c r="M20" s="15" t="s">
        <v>18</v>
      </c>
      <c r="N20" s="15" t="s">
        <v>19</v>
      </c>
      <c r="O20" s="15" t="s">
        <v>63</v>
      </c>
      <c r="P20" s="15" t="s">
        <v>64</v>
      </c>
      <c r="Q20" s="15" t="s">
        <v>65</v>
      </c>
      <c r="R20" s="15" t="s">
        <v>66</v>
      </c>
      <c r="T20" s="15" t="s">
        <v>16</v>
      </c>
      <c r="U20" s="15" t="s">
        <v>17</v>
      </c>
      <c r="V20" s="15" t="s">
        <v>18</v>
      </c>
      <c r="W20" s="15" t="s">
        <v>19</v>
      </c>
      <c r="X20" s="95"/>
      <c r="Y20" s="96"/>
      <c r="Z20" s="96"/>
      <c r="AA20" s="97"/>
    </row>
    <row r="21" spans="2:27" ht="16.5" customHeight="1">
      <c r="E21" s="13" t="s">
        <v>74</v>
      </c>
      <c r="F21" s="11"/>
      <c r="H21" s="16" t="s">
        <v>75</v>
      </c>
      <c r="I21" s="19">
        <f>(1+C5*0.0005464)*I6*(I10+0.5+0.775)*IF(OR(F18=4,F18=6),I9+0.2+1,I9+1)*((1+I12)/(IF(F13=1,1.03,IF(F13=2,1.08,IF(F13=3,1.16,1)))*IF(F14=1,1.2,IF(F14=2,1.25,IF(F14=3,1.3,1)))))*IF(F18=6,1.2*(I13+1)/1.17,IF(OR(F18=2,F18=4,F19=2,F19=4,F19=6),(I13+1)/1.17,IF(F20=2,0.9*(I13+1)/1.1,IF(OR(F20=4,F20=6),0.9*(I13+1)/1.31,I13+1))))*(1+I14)</f>
        <v>498508.28870400006</v>
      </c>
      <c r="K21" s="25">
        <f>$I$6*(1+$I$9)*IF($P19&gt;=1,$I$10+5.04,(($I$10+5.04)*$P19+1-$P19))*(1+$I$5)*$R19*(1+$I$11)*(1+$I$12)*(1+$I$13)*(1+$I$14)</f>
        <v>1153921.8322823909</v>
      </c>
      <c r="L21" s="25">
        <f>$I$6*(1+$I$9)*IF($P19&gt;=1,$I$10+5.04+0.775,(($I$10+5.04+0.775)*$P19+1-$P19))*(1+$I$5)*$R19*(1+$I$11)*(1+$I$12)*(1+$I$13)*(1+$I$14)</f>
        <v>1263091.4760013584</v>
      </c>
      <c r="M21" s="25">
        <f>$I$6*(1+$I$9)*($I$10+5.04+0.5)*(1+$I$5)*$R19*(1+$I$11)*(1+$I$12)*(1+$I$13)*(1+$I$14)</f>
        <v>2285396.1039360519</v>
      </c>
      <c r="N21" s="25">
        <f>$I$6*(1+$I$9)*($I$10+5.04+0.5+0.775)*(1+$I$5)*$R19*(1+$I$11)*(1+$I$12)*(1+$I$13)*(1+$I$14)</f>
        <v>2520300.8758923439</v>
      </c>
      <c r="O21" s="25">
        <f>$I$6*(1+$I$9)*IF($P19&gt;=1,$I$10+5.04,(($I$10+5.04)*$P19+1-$P19))*(1+$I$5)*(1+$I$11)*(1+$I$12)*(1+$I$13)*2*(1+$I$14)</f>
        <v>1559353.8274086365</v>
      </c>
      <c r="P21" s="25">
        <f>$I$6*(1+$I$9)*IF($P19&gt;=1,$I$10+5.04+0.775,(($I$10+5.04+0.775)*$P19+1-$P19))*(1+$I$5)*(1+$I$11)*(1+$I$12)*(1+$I$13)*2*(1+$I$14)</f>
        <v>1706880.3729748083</v>
      </c>
      <c r="Q21" s="25">
        <f>$I$6*(1+$I$9)*($I$10+5.04+0.5)*(1+$I$5)*(1+$I$11)*(1+$I$12)*(1+$I$13)*2*(1+$I$14)</f>
        <v>3088373.1134270974</v>
      </c>
      <c r="R21" s="25">
        <f>$I$6*(1+$I$9)*($I$10+5.04+0.5+0.775)*(1+$I$5)*(1+$I$11)*(1+$I$12)*(1+$I$13)*2*(1+$I$14)</f>
        <v>3405811.9944491135</v>
      </c>
      <c r="T21" s="23">
        <f>K15/K36</f>
        <v>1.0087185486519086</v>
      </c>
      <c r="U21" s="23">
        <f>L15/L36</f>
        <v>1.0168711195793463</v>
      </c>
      <c r="V21" s="23">
        <f>M15/M36</f>
        <v>0.98223938223938223</v>
      </c>
      <c r="W21" s="23">
        <f>N15/N36</f>
        <v>0.98223938223938223</v>
      </c>
      <c r="X21" s="98"/>
      <c r="Y21" s="99"/>
      <c r="Z21" s="99"/>
      <c r="AA21" s="100"/>
    </row>
    <row r="22" spans="2:27" ht="16.5" customHeight="1">
      <c r="T22" s="20" t="s">
        <v>58</v>
      </c>
      <c r="U22" s="20" t="s">
        <v>76</v>
      </c>
      <c r="V22" s="21" t="s">
        <v>38</v>
      </c>
      <c r="W22" s="30">
        <f>N16</f>
        <v>15.828239999999999</v>
      </c>
      <c r="X22" s="21" t="s">
        <v>39</v>
      </c>
      <c r="Y22" s="30">
        <f>N37</f>
        <v>15.828239999999999</v>
      </c>
      <c r="Z22" s="21" t="s">
        <v>40</v>
      </c>
      <c r="AA22" s="22">
        <f>N16/Y22</f>
        <v>1</v>
      </c>
    </row>
    <row r="23" spans="2:27" ht="16.5" customHeight="1">
      <c r="B23" s="87" t="s">
        <v>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T23" s="15" t="s">
        <v>16</v>
      </c>
      <c r="U23" s="15" t="s">
        <v>17</v>
      </c>
      <c r="V23" s="15" t="s">
        <v>18</v>
      </c>
      <c r="W23" s="15" t="s">
        <v>19</v>
      </c>
      <c r="X23" s="15" t="s">
        <v>63</v>
      </c>
      <c r="Y23" s="15" t="s">
        <v>64</v>
      </c>
      <c r="Z23" s="15" t="s">
        <v>65</v>
      </c>
      <c r="AA23" s="15" t="s">
        <v>66</v>
      </c>
    </row>
    <row r="24" spans="2:27" ht="16.5" customHeight="1">
      <c r="B24" s="90" t="s">
        <v>1</v>
      </c>
      <c r="C24" s="91"/>
      <c r="E24" s="5" t="s">
        <v>2</v>
      </c>
      <c r="F24" s="6" t="s">
        <v>3</v>
      </c>
      <c r="H24" s="81" t="s">
        <v>4</v>
      </c>
      <c r="I24" s="82"/>
      <c r="K24" s="81" t="s">
        <v>5</v>
      </c>
      <c r="L24" s="92"/>
      <c r="M24" s="92"/>
      <c r="N24" s="92"/>
      <c r="O24" s="92"/>
      <c r="P24" s="92"/>
      <c r="Q24" s="92"/>
      <c r="R24" s="82"/>
      <c r="T24" s="23">
        <f t="shared" ref="T24:AA24" si="0">K18/K39</f>
        <v>1.0668709908957812</v>
      </c>
      <c r="U24" s="23">
        <f t="shared" si="0"/>
        <v>1.0697089162310756</v>
      </c>
      <c r="V24" s="23">
        <f t="shared" si="0"/>
        <v>0.98223938223938201</v>
      </c>
      <c r="W24" s="23">
        <f t="shared" si="0"/>
        <v>0.98223938223938234</v>
      </c>
      <c r="X24" s="23">
        <f t="shared" si="0"/>
        <v>1.0668709908957812</v>
      </c>
      <c r="Y24" s="23">
        <f t="shared" si="0"/>
        <v>1.0697089162310756</v>
      </c>
      <c r="Z24" s="23">
        <f t="shared" si="0"/>
        <v>0.98223938223938201</v>
      </c>
      <c r="AA24" s="23">
        <f t="shared" si="0"/>
        <v>0.98223938223938234</v>
      </c>
    </row>
    <row r="25" spans="2:27" ht="16.5" customHeight="1">
      <c r="B25" s="7" t="s">
        <v>6</v>
      </c>
      <c r="C25" s="8">
        <v>600</v>
      </c>
      <c r="E25" s="9" t="s">
        <v>7</v>
      </c>
      <c r="F25" s="8"/>
      <c r="H25" s="26" t="s">
        <v>8</v>
      </c>
      <c r="I25" s="27">
        <f>C25*0.0003579+0.1+C31+IF(F28=1,0.05,IF(F28=2,0.1,IF(F28=3,0.15,0)))+IF(F32=3,0.2,IF(F32=2,0.1,IF(F32=1,0.04,0)))+IF(F42=4,0.2,IF(F42=6,0.28,0))</f>
        <v>0.41474</v>
      </c>
      <c r="K25" s="93" t="s">
        <v>9</v>
      </c>
      <c r="L25" s="94"/>
      <c r="M25" s="14" t="s">
        <v>10</v>
      </c>
      <c r="N25" s="29">
        <f>8*(1-$I$29)</f>
        <v>7.9141199999999996</v>
      </c>
      <c r="O25" s="14" t="s">
        <v>11</v>
      </c>
      <c r="P25" s="24">
        <f>I25+0.4</f>
        <v>0.81474000000000002</v>
      </c>
      <c r="Q25" s="14" t="s">
        <v>12</v>
      </c>
      <c r="R25" s="14">
        <f>1.8*1.95</f>
        <v>3.51</v>
      </c>
      <c r="T25" s="20" t="s">
        <v>58</v>
      </c>
      <c r="U25" s="20" t="s">
        <v>71</v>
      </c>
      <c r="V25" s="21" t="s">
        <v>38</v>
      </c>
      <c r="W25" s="30">
        <f>N19</f>
        <v>15.828239999999999</v>
      </c>
      <c r="X25" s="21" t="s">
        <v>39</v>
      </c>
      <c r="Y25" s="30">
        <f>N40</f>
        <v>15.828239999999999</v>
      </c>
      <c r="Z25" s="21" t="s">
        <v>40</v>
      </c>
      <c r="AA25" s="22">
        <f>N19/Y25</f>
        <v>1</v>
      </c>
    </row>
    <row r="26" spans="2:27" ht="16.5" customHeight="1">
      <c r="B26" s="7" t="s">
        <v>13</v>
      </c>
      <c r="C26" s="10">
        <v>1820</v>
      </c>
      <c r="E26" s="9" t="s">
        <v>14</v>
      </c>
      <c r="F26" s="10"/>
      <c r="H26" s="26" t="s">
        <v>15</v>
      </c>
      <c r="I26" s="27">
        <f>C26*0.0005007</f>
        <v>0.91127399999999992</v>
      </c>
      <c r="K26" s="15" t="s">
        <v>16</v>
      </c>
      <c r="L26" s="15" t="s">
        <v>17</v>
      </c>
      <c r="M26" s="15" t="s">
        <v>18</v>
      </c>
      <c r="N26" s="15" t="s">
        <v>19</v>
      </c>
      <c r="O26" s="95"/>
      <c r="P26" s="96"/>
      <c r="Q26" s="96"/>
      <c r="R26" s="97"/>
      <c r="T26" s="15" t="s">
        <v>16</v>
      </c>
      <c r="U26" s="15" t="s">
        <v>17</v>
      </c>
      <c r="V26" s="15" t="s">
        <v>18</v>
      </c>
      <c r="W26" s="15" t="s">
        <v>19</v>
      </c>
      <c r="X26" s="15" t="s">
        <v>63</v>
      </c>
      <c r="Y26" s="15" t="s">
        <v>64</v>
      </c>
      <c r="Z26" s="15" t="s">
        <v>65</v>
      </c>
      <c r="AA26" s="15" t="s">
        <v>66</v>
      </c>
    </row>
    <row r="27" spans="2:27" ht="16.5" customHeight="1">
      <c r="B27" s="7" t="s">
        <v>20</v>
      </c>
      <c r="C27" s="10">
        <v>50</v>
      </c>
      <c r="E27" s="9" t="s">
        <v>21</v>
      </c>
      <c r="F27" s="10"/>
      <c r="H27" s="26" t="s">
        <v>22</v>
      </c>
      <c r="I27" s="28">
        <f>C28+IF(F31=1,0.03*C28,IF(F31=2,0.08*C28,IF(F31=3,0.16*C28,0)))+IF(F33=1,0.04*C28,IF(F33=2,0.1*C28,IF(F33=3,0.18*C28,0)))+IF(F28=1,0.018*C28,IF(F28=2,0.036*C28,IF(F28=3,0.06*C28,0)))</f>
        <v>41440</v>
      </c>
      <c r="K27" s="25">
        <f>$I$27*(1+$I$30)*IF($P25&gt;=1,$I$31,($I$31*$P25+1-$P25))*(1+$I$26)*$R25*(1+$I$32)*(1+$I$33)*(1+$I$34)*(1+$I$35)</f>
        <v>1328105.5969237222</v>
      </c>
      <c r="L27" s="25">
        <f>$I$27*(1+$I$30)*IF($P25&gt;=1,$I$31+0.775,(($I$31+0.775)*$P25+1-$P25))*(1+$I$26)*$R25*(1+$I$32)*(1+$I$33)*(1+$I$34)*(1+$I$35)</f>
        <v>1790208.7546097625</v>
      </c>
      <c r="M27" s="25">
        <f>$I$27*(1+$I$30)*($I$31+0.5)*(1+$I$26)*$R25*(1+$I$32)*(1+$I$33)*(1+$I$34)*(1+$I$35)</f>
        <v>1829608.6449349797</v>
      </c>
      <c r="N27" s="25">
        <f>$I$27*(1+$I$30)*($I$31+0.5+0.775)*(1+$I$26)*$R25*(1+$I$32)*(1+$I$33)*(1+$I$34)*(1+$I$35)</f>
        <v>2396787.3248648234</v>
      </c>
      <c r="O27" s="98"/>
      <c r="P27" s="99"/>
      <c r="Q27" s="99"/>
      <c r="R27" s="100"/>
      <c r="T27" s="23">
        <f t="shared" ref="T27:AA27" si="1">K21/K42</f>
        <v>1.066870990895781</v>
      </c>
      <c r="U27" s="23">
        <f t="shared" si="1"/>
        <v>1.0697089162310758</v>
      </c>
      <c r="V27" s="23">
        <f t="shared" si="1"/>
        <v>0.98223938223938212</v>
      </c>
      <c r="W27" s="23">
        <f t="shared" si="1"/>
        <v>0.98223938223938234</v>
      </c>
      <c r="X27" s="23">
        <f t="shared" si="1"/>
        <v>1.066870990895781</v>
      </c>
      <c r="Y27" s="23">
        <f t="shared" si="1"/>
        <v>1.0697089162310756</v>
      </c>
      <c r="Z27" s="23">
        <f t="shared" si="1"/>
        <v>0.98223938223938234</v>
      </c>
      <c r="AA27" s="23">
        <f t="shared" si="1"/>
        <v>0.98223938223938223</v>
      </c>
    </row>
    <row r="28" spans="2:27" ht="16.5" customHeight="1">
      <c r="B28" s="7" t="s">
        <v>23</v>
      </c>
      <c r="C28" s="10">
        <v>40000</v>
      </c>
      <c r="E28" s="9" t="s">
        <v>24</v>
      </c>
      <c r="F28" s="10">
        <v>2</v>
      </c>
      <c r="H28" s="26" t="s">
        <v>25</v>
      </c>
      <c r="I28" s="27">
        <f>1+C27*0.0001717+IF(F38&gt;=4,0.1,0)+IF(F39=6,0.15,IF(F39=4,0.12,0))+IF(OR(F33=1,F33=2,F33=3),-0.1,0)</f>
        <v>1.0085850000000001</v>
      </c>
      <c r="K28" s="101" t="s">
        <v>26</v>
      </c>
      <c r="L28" s="102"/>
      <c r="M28" s="14" t="s">
        <v>10</v>
      </c>
      <c r="N28" s="29">
        <f>17*(1-$I$29)</f>
        <v>16.817505000000001</v>
      </c>
      <c r="O28" s="14" t="s">
        <v>11</v>
      </c>
      <c r="P28" s="24">
        <f>I25+0.45</f>
        <v>0.86474000000000006</v>
      </c>
      <c r="Q28" s="14" t="s">
        <v>12</v>
      </c>
      <c r="R28" s="14">
        <f>1.6*2.76</f>
        <v>4.4159999999999995</v>
      </c>
      <c r="T28" s="112" t="s">
        <v>57</v>
      </c>
      <c r="U28" s="113"/>
      <c r="V28" s="21" t="s">
        <v>62</v>
      </c>
      <c r="W28" s="22">
        <f>I17/I38</f>
        <v>1</v>
      </c>
    </row>
    <row r="29" spans="2:27" ht="16.5" customHeight="1">
      <c r="B29" s="7" t="s">
        <v>27</v>
      </c>
      <c r="C29" s="1">
        <v>0.3</v>
      </c>
      <c r="E29" s="9" t="s">
        <v>28</v>
      </c>
      <c r="F29" s="10"/>
      <c r="H29" s="26" t="s">
        <v>29</v>
      </c>
      <c r="I29" s="27">
        <f>1-(1-C27*0.0002147)*IF(F39=6,0.77*0.8,IF(F39=4,0.77,1))*IF(OR(F41=2,F41=4,F41=6),0.82,1)</f>
        <v>1.073500000000005E-2</v>
      </c>
      <c r="K29" s="15" t="s">
        <v>16</v>
      </c>
      <c r="L29" s="15" t="s">
        <v>17</v>
      </c>
      <c r="M29" s="15" t="s">
        <v>18</v>
      </c>
      <c r="N29" s="15" t="s">
        <v>19</v>
      </c>
      <c r="O29" s="95"/>
      <c r="P29" s="96"/>
      <c r="Q29" s="96"/>
      <c r="R29" s="97"/>
      <c r="T29" s="15" t="s">
        <v>16</v>
      </c>
      <c r="U29" s="15" t="s">
        <v>17</v>
      </c>
      <c r="V29" s="15" t="s">
        <v>18</v>
      </c>
      <c r="W29" s="15" t="s">
        <v>19</v>
      </c>
    </row>
    <row r="30" spans="2:27" ht="16.5" customHeight="1" thickBot="1">
      <c r="B30" s="103" t="s">
        <v>30</v>
      </c>
      <c r="C30" s="104"/>
      <c r="E30" s="9" t="s">
        <v>31</v>
      </c>
      <c r="F30" s="10"/>
      <c r="H30" s="26" t="s">
        <v>32</v>
      </c>
      <c r="I30" s="27">
        <f>C29+IF(F38=2,0.0105*20,IF(F38=4,0.0105*40,IF(F38=6,0.0105*60,0)))+IF(OR(F40=4,F40=6),0.2,0)</f>
        <v>0.5</v>
      </c>
      <c r="K30" s="25">
        <f>$I$27*(1+$I$30)*IF($P28&gt;=1,$I$31,($I$31*$P28+1-$P28))*(1+$I$26)*$R28*(1+$I$32)*(1+$I$33)*(1+$I$34)*(1+$I$35)</f>
        <v>1716953.0916056447</v>
      </c>
      <c r="L30" s="25">
        <f>$I$27*(1+$I$30)*IF($P28&gt;=1,$I$31+0.775,(($I$31+0.775)*$P28+1-$P28))*(1+$I$26)*$R28*(1+$I$32)*(1+$I$33)*(1+$I$34)*(1+$I$35)</f>
        <v>2334013.0907139257</v>
      </c>
      <c r="M30" s="25">
        <f>$I$27*(1+$I$30)*($I$31+0.5)*(1+$I$26)*$R28*(1+$I$32)*(1+$I$33)*(1+$I$34)*(1+$I$35)</f>
        <v>2301866.6028583674</v>
      </c>
      <c r="N30" s="25">
        <f>$I$27*(1+$I$30)*($I$31+0.5+0.775)*(1+$I$26)*$R28*(1+$I$32)*(1+$I$33)*(1+$I$34)*(1+$I$35)</f>
        <v>3015445.2497444609</v>
      </c>
      <c r="O30" s="98"/>
      <c r="P30" s="99"/>
      <c r="Q30" s="99"/>
      <c r="R30" s="100"/>
      <c r="T30" s="23">
        <f>I18/I39</f>
        <v>1.0593269440124693</v>
      </c>
      <c r="U30" s="23">
        <f>I19/I40</f>
        <v>1.0754686919849359</v>
      </c>
      <c r="V30" s="23">
        <f>I20/I41</f>
        <v>1.0231660231660231</v>
      </c>
      <c r="W30" s="23">
        <f>I21/I42</f>
        <v>1.0231660231660231</v>
      </c>
    </row>
    <row r="31" spans="2:27" ht="16.5" customHeight="1">
      <c r="B31" s="7" t="s">
        <v>8</v>
      </c>
      <c r="C31" s="2"/>
      <c r="E31" s="9" t="s">
        <v>34</v>
      </c>
      <c r="F31" s="10"/>
      <c r="H31" s="26" t="s">
        <v>35</v>
      </c>
      <c r="I31" s="27">
        <f>2+C32+IF(F29=1,0.1,IF(F29=2,0.25,IF(F29=3,0.5,0)))+IF(OR(F32=1,F32=2,F32=3),-0.12,0)</f>
        <v>2</v>
      </c>
      <c r="K31" s="20" t="s">
        <v>36</v>
      </c>
      <c r="L31" s="20" t="s">
        <v>37</v>
      </c>
      <c r="M31" s="14" t="s">
        <v>10</v>
      </c>
      <c r="N31" s="29">
        <f>16*(1-$I$29)</f>
        <v>15.828239999999999</v>
      </c>
      <c r="O31" s="14" t="s">
        <v>11</v>
      </c>
      <c r="P31" s="24">
        <f>I25+0.44</f>
        <v>0.85474000000000006</v>
      </c>
      <c r="Q31" s="14" t="s">
        <v>12</v>
      </c>
      <c r="R31" s="14">
        <f>1.75*1.36</f>
        <v>2.3800000000000003</v>
      </c>
    </row>
    <row r="32" spans="2:27" ht="16.5" customHeight="1">
      <c r="B32" s="7" t="s">
        <v>35</v>
      </c>
      <c r="C32" s="3"/>
      <c r="E32" s="9" t="s">
        <v>41</v>
      </c>
      <c r="F32" s="10"/>
      <c r="H32" s="26" t="s">
        <v>42</v>
      </c>
      <c r="I32" s="27">
        <f>(1+C34)*(1+C35)*(1+C36)-1</f>
        <v>0</v>
      </c>
      <c r="K32" s="15" t="s">
        <v>16</v>
      </c>
      <c r="L32" s="15" t="s">
        <v>17</v>
      </c>
      <c r="M32" s="15" t="s">
        <v>18</v>
      </c>
      <c r="N32" s="15" t="s">
        <v>19</v>
      </c>
      <c r="O32" s="95"/>
      <c r="P32" s="96"/>
      <c r="Q32" s="96"/>
      <c r="R32" s="97"/>
    </row>
    <row r="33" spans="2:18" ht="16.5" customHeight="1">
      <c r="B33" s="7" t="s">
        <v>43</v>
      </c>
      <c r="C33" s="3"/>
      <c r="E33" s="9" t="s">
        <v>44</v>
      </c>
      <c r="F33" s="10"/>
      <c r="H33" s="26" t="s">
        <v>45</v>
      </c>
      <c r="I33" s="27">
        <f>PRODUCT(IF(F26=1,1.04,IF(F26=2,1.088,IF(F26=3,1.18,1))),IF(F27=1,1.03,IF(F27=2,1.08,IF(F27=3,1.16,1))),IF(OR(F29=1,F29=2,F29=3),0.98,1),IF(F30=1,1.04,IF(F30=2,1.1,IF(F30=3,1.2,1))),IF(F34=1,1.03,IF(F34=2,1.08,IF(F34=3,1.16,1))),IF(F35=1,1.2,IF(F35=2,1.25,IF(F35=3,1.3,1))))-1</f>
        <v>0.25</v>
      </c>
      <c r="K33" s="25">
        <f>$I$27*(1+$I$30)*IF($P31&gt;=1,$I$31,($I$31*$P31+1-$P31))*(1+$I$26)*$R31*(1+$I$32)*(1+$I$33)*(1+$I$34)*(1+$I$35)</f>
        <v>920388.26720159058</v>
      </c>
      <c r="L33" s="25">
        <f>$I$27*(1+$I$30)*IF($P31&gt;=1,$I$31+0.775,(($I$31+0.775)*$P31+1-$P31))*(1+$I$26)*$R31*(1+$I$32)*(1+$I$33)*(1+$I$34)*(1+$I$35)</f>
        <v>1249106.4796295392</v>
      </c>
      <c r="M33" s="25">
        <f>$I$27*(1+$I$30)*($I$31+0.5)*(1+$I$26)*$R31*(1+$I$32)*(1+$I$33)*(1+$I$34)*(1+$I$35)</f>
        <v>1240589.3375912399</v>
      </c>
      <c r="N33" s="25">
        <f>$I$27*(1+$I$30)*($I$31+0.5+0.775)*(1+$I$26)*$R31*(1+$I$32)*(1+$I$33)*(1+$I$34)*(1+$I$35)</f>
        <v>1625172.0322445245</v>
      </c>
      <c r="O33" s="98"/>
      <c r="P33" s="99"/>
      <c r="Q33" s="99"/>
      <c r="R33" s="100"/>
    </row>
    <row r="34" spans="2:18" ht="16.5" customHeight="1">
      <c r="B34" s="7" t="s">
        <v>46</v>
      </c>
      <c r="C34" s="3"/>
      <c r="E34" s="9" t="s">
        <v>47</v>
      </c>
      <c r="F34" s="10"/>
      <c r="H34" s="26" t="s">
        <v>48</v>
      </c>
      <c r="I34" s="27">
        <f>PRODUCT(IF(F38=6,1.06,1),IF(OR(F39=2,F39=4,F39=6),1.17,1),IF(F40=6,1.2*1.17,IF(OR(F40=2,F40=4),1.17,1)),IF(F41=2,1.1,IF(F41=4,1.31,IF(F41=6,1.31*1.2,1))),IF(F42=6,1.32,IF(OR(F42=2,F42=4),1.17,1)))-1</f>
        <v>0.40399999999999991</v>
      </c>
      <c r="K34" s="20" t="s">
        <v>36</v>
      </c>
      <c r="L34" s="20" t="s">
        <v>49</v>
      </c>
      <c r="M34" s="14" t="s">
        <v>10</v>
      </c>
      <c r="N34" s="29">
        <f>16*(1-$I$29)</f>
        <v>15.828239999999999</v>
      </c>
      <c r="O34" s="14" t="s">
        <v>11</v>
      </c>
      <c r="P34" s="24">
        <f>I25+0.44</f>
        <v>0.85474000000000006</v>
      </c>
      <c r="Q34" s="14" t="s">
        <v>12</v>
      </c>
      <c r="R34" s="14">
        <v>1.36</v>
      </c>
    </row>
    <row r="35" spans="2:18" ht="16.5" customHeight="1" thickBot="1">
      <c r="B35" s="7" t="s">
        <v>50</v>
      </c>
      <c r="C35" s="3"/>
      <c r="E35" s="9" t="s">
        <v>51</v>
      </c>
      <c r="F35" s="11">
        <v>2</v>
      </c>
      <c r="H35" s="26" t="s">
        <v>52</v>
      </c>
      <c r="I35" s="27">
        <f>(C38+6500)/(C38*(1-C33)+6500)-1</f>
        <v>0</v>
      </c>
      <c r="K35" s="15" t="s">
        <v>16</v>
      </c>
      <c r="L35" s="15" t="s">
        <v>17</v>
      </c>
      <c r="M35" s="15" t="s">
        <v>18</v>
      </c>
      <c r="N35" s="15" t="s">
        <v>19</v>
      </c>
      <c r="O35" s="95"/>
      <c r="P35" s="96"/>
      <c r="Q35" s="96"/>
      <c r="R35" s="97"/>
    </row>
    <row r="36" spans="2:18" ht="16.5" customHeight="1" thickBot="1">
      <c r="B36" s="12" t="s">
        <v>53</v>
      </c>
      <c r="C36" s="1"/>
      <c r="K36" s="25">
        <f>$I$27*(1+$I$30)*IF($P34&gt;=1,$I$31,($I$31*$P34+1-$P34))*(1+$I$26)*$R34*(1+$I$32)*(1+$I$33)*(1+$I$34)*(1+$I$35)</f>
        <v>525936.15268662316</v>
      </c>
      <c r="L36" s="25">
        <f>$I$27*(1+$I$30)*IF($P34&gt;=1,$I$31+0.775,(($I$31+0.775)*$P34+1-$P34))*(1+$I$26)*$R34*(1+$I$32)*(1+$I$33)*(1+$I$34)*(1+$I$35)</f>
        <v>713775.13121687947</v>
      </c>
      <c r="M36" s="25">
        <f>$I$27*(1+$I$30)*($I$31+0.5)*(1+$I$26)*$R34*(1+$I$32)*(1+$I$33)*(1+$I$34)*(1+$I$35)</f>
        <v>708908.19290927995</v>
      </c>
      <c r="N36" s="25">
        <f>$I$27*(1+$I$30)*($I$31+0.5+0.775)*(1+$I$26)*$R34*(1+$I$32)*(1+$I$33)*(1+$I$34)*(1+$I$35)</f>
        <v>928669.73271115671</v>
      </c>
      <c r="O36" s="98"/>
      <c r="P36" s="99"/>
      <c r="Q36" s="99"/>
      <c r="R36" s="100"/>
    </row>
    <row r="37" spans="2:18" ht="16.5" customHeight="1" thickBot="1">
      <c r="B37" s="79" t="s">
        <v>54</v>
      </c>
      <c r="C37" s="80"/>
      <c r="E37" s="5" t="s">
        <v>55</v>
      </c>
      <c r="F37" s="6" t="s">
        <v>56</v>
      </c>
      <c r="H37" s="81" t="s">
        <v>57</v>
      </c>
      <c r="I37" s="82"/>
      <c r="K37" s="20" t="s">
        <v>58</v>
      </c>
      <c r="L37" s="20" t="s">
        <v>59</v>
      </c>
      <c r="M37" s="14" t="s">
        <v>10</v>
      </c>
      <c r="N37" s="29">
        <f>16*(1-$I$29)</f>
        <v>15.828239999999999</v>
      </c>
      <c r="O37" s="14" t="s">
        <v>11</v>
      </c>
      <c r="P37" s="24">
        <f>I25</f>
        <v>0.41474</v>
      </c>
      <c r="Q37" s="14" t="s">
        <v>12</v>
      </c>
      <c r="R37" s="14">
        <f>0.7*(C38+6500)/(C38*(IF(0.2-C33&lt;0,0,0.2-C33))+6500)+0.3*(C38+6500)/(C38*(1-C33)+6500)</f>
        <v>1.4363636363636365</v>
      </c>
    </row>
    <row r="38" spans="2:18" ht="16.5" customHeight="1" thickBot="1">
      <c r="B38" s="78" t="s">
        <v>60</v>
      </c>
      <c r="C38" s="31">
        <v>6000</v>
      </c>
      <c r="E38" s="13" t="s">
        <v>61</v>
      </c>
      <c r="F38" s="8"/>
      <c r="H38" s="16" t="s">
        <v>62</v>
      </c>
      <c r="I38" s="17">
        <f>300*IF(OR(F41=2,F41=4,F41=6),(1-I29)/0.82,1-I29)*IF(F25=1,0.9,IF(F25=2,0.75,IF(F25=3,0.5,1)))*IF(OR(F41=2,F41=4,F41=6),0.8,1)</f>
        <v>296.77949999999998</v>
      </c>
      <c r="K38" s="15" t="s">
        <v>16</v>
      </c>
      <c r="L38" s="15" t="s">
        <v>17</v>
      </c>
      <c r="M38" s="15" t="s">
        <v>18</v>
      </c>
      <c r="N38" s="15" t="s">
        <v>19</v>
      </c>
      <c r="O38" s="15" t="s">
        <v>63</v>
      </c>
      <c r="P38" s="15" t="s">
        <v>64</v>
      </c>
      <c r="Q38" s="15" t="s">
        <v>65</v>
      </c>
      <c r="R38" s="15" t="s">
        <v>66</v>
      </c>
    </row>
    <row r="39" spans="2:18" ht="16.5" customHeight="1">
      <c r="E39" s="13" t="s">
        <v>67</v>
      </c>
      <c r="F39" s="10"/>
      <c r="H39" s="16" t="s">
        <v>68</v>
      </c>
      <c r="I39" s="19">
        <f>(1+C26*0.0005464)*I27*(I31*I25+1-I25)*IF(OR(F39=4,F39=6),I30+0.2+1,I30+1)*((1+I33)/(IF(F34=1,1.03,IF(F34=2,1.08,IF(F34=3,1.16,1)))*IF(F35=1,1.2,IF(F35=2,1.25,IF(F35=3,1.3,1)))))*IF(F39=6,1.2*(I34+1)/1.17,IF(OR(F39=2,F39=4,F40=2,F40=4,F40=6),(I34+1)/1.17,IF(F41=2,0.9*(I34+1)/1.1,IF(OR(F41=4,F41=6),0.9*(I34+1)/1.31,I34+1))))*(1+I35)</f>
        <v>210470.67911568386</v>
      </c>
      <c r="K39" s="25">
        <f>$I$27*(1+$I$30)*IF($P37&gt;=1,$I$31+5.04,(($I$31+5.04)*$P37+1-$P37))*(1+$I$26)*$R37*(1+$I$32)*(1+$I$33)*(1+$I$34)</f>
        <v>1049704.7689119431</v>
      </c>
      <c r="L39" s="25">
        <f>$I$27*(1+$I$30)*IF($P37&gt;=1,$I$31+5.04+0.775,(($I$31+5.04+0.775)*$P37+1-$P37))*(1+$I$26)*$R37*(1+$I$32)*(1+$I$33)*(1+$I$34)</f>
        <v>1145966.3756014754</v>
      </c>
      <c r="M39" s="25">
        <f>$I$27*(1+$I$30)*($I$31+5.04+0.5)*(1+$I$26)*$R37*(1+$I$32)*(1+$I$33)*(1+$I$34)</f>
        <v>2258119.0063547688</v>
      </c>
      <c r="N39" s="25">
        <f>$I$27*(1+$I$30)*($I$31+5.04+0.5+0.775)*(1+$I$26)*$R37*(1+$I$32)*(1+$I$33)*(1+$I$34)</f>
        <v>2490220.0978567502</v>
      </c>
      <c r="O39" s="25">
        <f>$I$27*(1+$I$30)*IF($P37&gt;=1,$I$31+5.04,(($I$31+5.04)*$P37+1-$P37))*(1+$I$26)*$R37*(1+$I$32)*(1+$I$33)*(1+$I$34)*2</f>
        <v>2099409.5378238861</v>
      </c>
      <c r="P39" s="25">
        <f>$I$27*(1+$I$30)*IF($P37&gt;=1,$I$31+5.04+0.775,(($I$31+5.04+0.775)*$P37+1-$P37))*(1+$I$26)*$R37*(1+$I$32)*(1+$I$33)*(1+$I$34)*2</f>
        <v>2291932.7512029507</v>
      </c>
      <c r="Q39" s="25">
        <f>$I$27*(1+$I$30)*($I$31+5.04+0.5)*(1+$I$26)*$R37*(1+$I$32)*(1+$I$33)*(1+$I$34)*2</f>
        <v>4516238.0127095375</v>
      </c>
      <c r="R39" s="25">
        <f>$I$27*(1+$I$30)*($I$31+5.04+0.5+0.775)*(1+$I$26)*$R37*(1+$I$32)*(1+$I$33)*(1+$I$34)*2</f>
        <v>4980440.1957135005</v>
      </c>
    </row>
    <row r="40" spans="2:18" ht="16.5" customHeight="1">
      <c r="E40" s="13" t="s">
        <v>69</v>
      </c>
      <c r="F40" s="10">
        <v>6</v>
      </c>
      <c r="H40" s="16" t="s">
        <v>70</v>
      </c>
      <c r="I40" s="19">
        <f>(1+C26*0.0005464)*I27*((I31+0.775)*I25+1-I25)*IF(OR(F39=4,F39=6),I30+0.2+1,I30+1)*((1+I33)/(IF(F34=1,1.03,IF(F34=2,1.08,IF(F34=3,1.16,1)))*IF(F35=1,1.2,IF(F35=2,1.25,IF(F35=3,1.3,1)))))*IF(F39=6,1.2*(I34+1)/1.17,IF(OR(F39=2,F39=4,F40=2,F40=4,F40=6),(I34+1)/1.17,IF(F41=2,0.9*(I34+1)/1.1,IF(OR(F41=4,F41=6),0.9*(I34+1)/1.31,I34+1))))*(1+I35)</f>
        <v>258288.80988793884</v>
      </c>
      <c r="K40" s="20" t="s">
        <v>58</v>
      </c>
      <c r="L40" s="20" t="s">
        <v>71</v>
      </c>
      <c r="M40" s="14" t="s">
        <v>10</v>
      </c>
      <c r="N40" s="29">
        <f>16*(1-$I$29)</f>
        <v>15.828239999999999</v>
      </c>
      <c r="O40" s="14" t="s">
        <v>11</v>
      </c>
      <c r="P40" s="24">
        <f>I25</f>
        <v>0.41474</v>
      </c>
      <c r="Q40" s="14" t="s">
        <v>12</v>
      </c>
      <c r="R40" s="14">
        <v>1.48</v>
      </c>
    </row>
    <row r="41" spans="2:18" ht="16.5" customHeight="1">
      <c r="E41" s="13" t="s">
        <v>72</v>
      </c>
      <c r="F41" s="10"/>
      <c r="H41" s="16" t="s">
        <v>73</v>
      </c>
      <c r="I41" s="19">
        <f>(1+C26*0.0005464)*I27*(I31+0.5)*IF(OR(F39=4,F39=6),I30+0.2+1,I30+1)*((1+I33)/(IF(F34=1,1.03,IF(F34=2,1.08,IF(F34=3,1.16,1)))*IF(F35=1,1.2,IF(F35=2,1.25,IF(F35=3,1.3,1)))))*IF(F39=6,1.2*(I34+1)/1.17,IF(OR(F39=2,F39=4,F40=2,F40=4,F40=6),(I34+1)/1.17,IF(F41=2,0.9*(I34+1)/1.1,IF(OR(F41=4,F41=6),0.9*(I34+1)/1.31,I34+1))))*(1+I35)</f>
        <v>371924.66304000007</v>
      </c>
      <c r="K41" s="15" t="s">
        <v>16</v>
      </c>
      <c r="L41" s="15" t="s">
        <v>17</v>
      </c>
      <c r="M41" s="15" t="s">
        <v>18</v>
      </c>
      <c r="N41" s="15" t="s">
        <v>19</v>
      </c>
      <c r="O41" s="15" t="s">
        <v>63</v>
      </c>
      <c r="P41" s="15" t="s">
        <v>64</v>
      </c>
      <c r="Q41" s="15" t="s">
        <v>65</v>
      </c>
      <c r="R41" s="15" t="s">
        <v>66</v>
      </c>
    </row>
    <row r="42" spans="2:18" ht="16.5" customHeight="1">
      <c r="E42" s="13" t="s">
        <v>74</v>
      </c>
      <c r="F42" s="11"/>
      <c r="H42" s="16" t="s">
        <v>75</v>
      </c>
      <c r="I42" s="19">
        <f>(1+C26*0.0005464)*I27*(I31+0.5+0.775)*IF(OR(F39=4,F39=6),I30+0.2+1,I30+1)*((1+I33)/(IF(F34=1,1.03,IF(F34=2,1.08,IF(F34=3,1.16,1)))*IF(F35=1,1.2,IF(F35=2,1.25,IF(F35=3,1.3,1)))))*IF(F39=6,1.2*(I34+1)/1.17,IF(OR(F39=2,F39=4,F40=2,F40=4,F40=6),(I34+1)/1.17,IF(F41=2,0.9*(I34+1)/1.1,IF(OR(F41=4,F41=6),0.9*(I34+1)/1.31,I34+1))))*(1+I35)</f>
        <v>487221.30858240009</v>
      </c>
      <c r="K42" s="25">
        <f>$I$27*(1+$I$30)*IF($P40&gt;=1,$I$31+5.04,(($I$31+5.04)*$P40+1-$P40))*(1+$I$26)*$R40*(1+$I$32)*(1+$I$33)*(1+$I$34)*(1+$I$35)</f>
        <v>1081594.5340434453</v>
      </c>
      <c r="L42" s="25">
        <f>$I$27*(1+$I$30)*IF($P40&gt;=1,$I$31+5.04+0.775,(($I$31+5.04+0.775)*$P40+1-$P40))*(1+$I$26)*$R40*(1+$I$32)*(1+$I$33)*(1+$I$34)*(1+$I$35)</f>
        <v>1180780.5439741784</v>
      </c>
      <c r="M42" s="25">
        <f>$I$27*(1+$I$30)*($I$31+5.04+0.5)*(1+$I$26)*$R40*(1+$I$32)*(1+$I$33)*(1+$I$34)*(1+$I$35)</f>
        <v>2326720.0900921286</v>
      </c>
      <c r="N42" s="25">
        <f>$I$27*(1+$I$30)*($I$31+5.04+0.5+0.775)*(1+$I$26)*$R40*(1+$I$32)*(1+$I$33)*(1+$I$34)*(1+$I$35)</f>
        <v>2565872.3539941707</v>
      </c>
      <c r="O42" s="25">
        <f>$I$27*(1+$I$30)*IF($P40&gt;=1,$I$31+5.04,(($I$31+5.04)*$P40+1-$P40))*(1+$I$26)*(1+$I$32)*(1+$I$33)*(1+$I$34)*2*(1+$I$35)</f>
        <v>1461614.2351938449</v>
      </c>
      <c r="P42" s="25">
        <f>$I$27*(1+$I$30)*IF($P40&gt;=1,$I$31+5.04+0.775,(($I$31+5.04+0.775)*$P40+1-$P40))*(1+$I$26)*(1+$I$32)*(1+$I$33)*(1+$I$34)*2*(1+$I$35)</f>
        <v>1595649.3837488897</v>
      </c>
      <c r="Q42" s="25">
        <f>$I$27*(1+$I$30)*($I$31+5.04+0.5)*(1+$I$26)*(1+$I$32)*(1+$I$33)*(1+$I$34)*2*(1+$I$35)</f>
        <v>3144216.3379623354</v>
      </c>
      <c r="R42" s="25">
        <f>$I$27*(1+$I$30)*($I$31+5.04+0.5+0.775)*(1+$I$26)*(1+$I$32)*(1+$I$33)*(1+$I$34)*2*(1+$I$35)</f>
        <v>3467395.0729650958</v>
      </c>
    </row>
  </sheetData>
  <mergeCells count="34">
    <mergeCell ref="T9:AA9"/>
    <mergeCell ref="T10:U10"/>
    <mergeCell ref="T13:U13"/>
    <mergeCell ref="T28:U28"/>
    <mergeCell ref="X11:AA12"/>
    <mergeCell ref="X14:AA15"/>
    <mergeCell ref="X17:AA18"/>
    <mergeCell ref="X20:AA21"/>
    <mergeCell ref="O11:R12"/>
    <mergeCell ref="O35:R36"/>
    <mergeCell ref="B2:R2"/>
    <mergeCell ref="B3:C3"/>
    <mergeCell ref="B9:C9"/>
    <mergeCell ref="H3:I3"/>
    <mergeCell ref="K3:R3"/>
    <mergeCell ref="K4:L4"/>
    <mergeCell ref="K7:L7"/>
    <mergeCell ref="O5:R6"/>
    <mergeCell ref="O8:R9"/>
    <mergeCell ref="B37:C37"/>
    <mergeCell ref="H37:I37"/>
    <mergeCell ref="O14:R15"/>
    <mergeCell ref="B16:C16"/>
    <mergeCell ref="H16:I16"/>
    <mergeCell ref="B23:R23"/>
    <mergeCell ref="B24:C24"/>
    <mergeCell ref="H24:I24"/>
    <mergeCell ref="K24:R24"/>
    <mergeCell ref="K25:L25"/>
    <mergeCell ref="O26:R27"/>
    <mergeCell ref="K28:L28"/>
    <mergeCell ref="O29:R30"/>
    <mergeCell ref="B30:C30"/>
    <mergeCell ref="O32:R3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F012-BA3A-4032-A2B8-B4945EA609DC}">
  <dimension ref="B2:U25"/>
  <sheetViews>
    <sheetView workbookViewId="0"/>
  </sheetViews>
  <sheetFormatPr defaultRowHeight="16.5" customHeight="1"/>
  <cols>
    <col min="1" max="1" width="2.75" style="4" customWidth="1"/>
    <col min="2" max="3" width="9" style="4"/>
    <col min="4" max="4" width="2.75" style="4" customWidth="1"/>
    <col min="5" max="6" width="9" style="4"/>
    <col min="7" max="7" width="2.75" style="4" customWidth="1"/>
    <col min="8" max="11" width="9" style="4"/>
    <col min="12" max="12" width="9" style="32"/>
    <col min="13" max="15" width="9" style="4"/>
    <col min="16" max="16" width="9" style="33"/>
    <col min="17" max="17" width="9" style="4"/>
    <col min="18" max="21" width="15.875" style="34" bestFit="1" customWidth="1"/>
    <col min="22" max="16384" width="9" style="4"/>
  </cols>
  <sheetData>
    <row r="2" spans="2:21" ht="16.5" customHeight="1" thickBot="1">
      <c r="B2" s="107" t="s">
        <v>1</v>
      </c>
      <c r="C2" s="108"/>
      <c r="E2" s="5" t="s">
        <v>2</v>
      </c>
      <c r="F2" s="6" t="s">
        <v>3</v>
      </c>
      <c r="H2" s="6" t="s">
        <v>77</v>
      </c>
      <c r="I2" s="6" t="s">
        <v>78</v>
      </c>
      <c r="J2" s="6" t="s">
        <v>79</v>
      </c>
      <c r="K2" s="6" t="s">
        <v>121</v>
      </c>
      <c r="L2" s="48" t="s">
        <v>80</v>
      </c>
      <c r="M2" s="6" t="s">
        <v>81</v>
      </c>
      <c r="N2" s="6" t="s">
        <v>82</v>
      </c>
      <c r="O2" s="6" t="s">
        <v>122</v>
      </c>
      <c r="P2" s="49" t="s">
        <v>83</v>
      </c>
      <c r="Q2" s="6" t="s">
        <v>79</v>
      </c>
      <c r="R2" s="50" t="s">
        <v>120</v>
      </c>
      <c r="S2" s="50" t="s">
        <v>84</v>
      </c>
      <c r="T2" s="50" t="s">
        <v>85</v>
      </c>
      <c r="U2" s="50" t="s">
        <v>86</v>
      </c>
    </row>
    <row r="3" spans="2:21" ht="16.5" customHeight="1">
      <c r="B3" s="7" t="s">
        <v>6</v>
      </c>
      <c r="C3" s="8">
        <v>600</v>
      </c>
      <c r="E3" s="9" t="s">
        <v>7</v>
      </c>
      <c r="F3" s="8"/>
      <c r="H3" s="35" t="s">
        <v>87</v>
      </c>
      <c r="I3" s="46" t="s">
        <v>88</v>
      </c>
      <c r="J3" s="47" t="s">
        <v>89</v>
      </c>
      <c r="K3" s="8"/>
      <c r="L3" s="42">
        <f>8*(1-F$19)*(1-0.02*K3)</f>
        <v>7.9141199999999996</v>
      </c>
      <c r="M3" s="40">
        <f>3313*4</f>
        <v>13252</v>
      </c>
      <c r="N3" s="41">
        <f>3746*4</f>
        <v>14984</v>
      </c>
      <c r="O3" s="8"/>
      <c r="P3" s="39">
        <f>F$15</f>
        <v>0.46474000000000004</v>
      </c>
      <c r="Q3" s="40">
        <f>1.45*1.75</f>
        <v>2.5375000000000001</v>
      </c>
      <c r="R3" s="38">
        <f>$M3*IF($O3=10,1.4,IF($O3=9,1.3,IF(OR($O3=1,$O3=2,$O3=3,$O3=4,$O3=5,$O3=6,$O3=7,$O3=8),1+0.03*$O3,1)))*$F$17*IF($P3&gt;=1,$F$21,$P3*$F$21+1-$P3)*$Q3*(1+$F$20)*(1+$F$22)*((1+$F$23)/(IF(F4=1,1.04,IF(F4=2,1.088,IF(F4=3,1.18,1)))*IF(F5=1,1.03,IF(F5=2,1.08,IF(F5=3,1.16,1)))*IF(F12=1,1.03,IF(F12=2,1.08,IF(F12=3,1.16,1)))*IF(F13=1,1.2,IF(F13=2,1.25,IF(F13=3,1.3,1)))))*(1+$F$24)*(1+$F$25)</f>
        <v>5277806811.8555269</v>
      </c>
      <c r="S3" s="38">
        <f>$M3*IF($O3=10,1.4,IF($O3=9,1.3,IF(OR($O3=1,$O3=2,$O3=3,$O3=4,$O3=5,$O3=6,$O3=7,$O3=8),1+0.03*$O3,1)))*$F$17*IF($P3&gt;=1,$F$21+0.775,$P3*($F$21+0.775)+1-$P3)*$Q3*(1+$F$20)*(1+$F$22)*((1+$F$23)/(IF(F4=1,1.04,IF(F4=2,1.088,IF(F4=3,1.18,1)))*IF(F5=1,1.03,IF(F5=2,1.08,IF(F5=3,1.16,1)))*IF(F12=1,1.03,IF(F12=2,1.08,IF(F12=3,1.16,1)))*IF(F13=1,1.2,IF(F13=2,1.25,IF(F13=3,1.3,1)))))*(1+$F$24)*(1+$F$25)</f>
        <v>6575597649.6491613</v>
      </c>
      <c r="T3" s="38">
        <f>$M3*IF($O3=10,1.4,IF($O3=9,1.3,IF(OR($O3=1,$O3=2,$O3=3,$O3=4,$O3=5,$O3=6,$O3=7,$O3=8),1+0.03*$O3,1)))*$F$17*($F$21+0.5)*$Q3*(1+$F$20)*(1+$F$22)*((1+$F$23)/(IF(F4=1,1.04,IF(F4=2,1.088,IF(F4=3,1.18,1)))*IF(F5=1,1.03,IF(F5=2,1.08,IF(F5=3,1.16,1)))*IF(F12=1,1.03,IF(F12=2,1.08,IF(F12=3,1.16,1)))*IF(F13=1,1.2,IF(F13=2,1.25,IF(F13=3,1.3,1)))))*(1+$F$24)*(1+$F$25)</f>
        <v>9008094972.2399998</v>
      </c>
      <c r="U3" s="38">
        <f>$M3*IF($O3=10,1.4,IF($O3=9,1.3,IF(OR($O3=1,$O3=2,$O3=3,$O3=4,$O3=5,$O3=6,$O3=7,$O3=8),1+0.03*$O3,1)))*$F$17*($F$21+0.5+0.775)*$Q3*(1+$F$20)*(1+$F$22)*((1+$F$23)/(IF(F4=1,1.04,IF(F4=2,1.088,IF(F4=3,1.18,1)))*IF(F5=1,1.03,IF(F5=2,1.08,IF(F5=3,1.16,1)))*IF(F12=1,1.03,IF(F12=2,1.08,IF(F12=3,1.16,1)))*IF(F13=1,1.2,IF(F13=2,1.25,IF(F13=3,1.3,1)))))*(1+$F$24)*(1+$F$25)</f>
        <v>11800604413.634399</v>
      </c>
    </row>
    <row r="4" spans="2:21" ht="16.5" customHeight="1">
      <c r="B4" s="7" t="s">
        <v>13</v>
      </c>
      <c r="C4" s="10">
        <v>1800</v>
      </c>
      <c r="E4" s="9" t="s">
        <v>14</v>
      </c>
      <c r="F4" s="10">
        <v>3</v>
      </c>
      <c r="H4" s="35" t="s">
        <v>90</v>
      </c>
      <c r="I4" s="46" t="s">
        <v>88</v>
      </c>
      <c r="J4" s="47" t="s">
        <v>91</v>
      </c>
      <c r="K4" s="10"/>
      <c r="L4" s="42">
        <f>10*(1-F$19)*(1-0.02*K4)</f>
        <v>9.8926499999999997</v>
      </c>
      <c r="M4" s="40">
        <f>3814+5715</f>
        <v>9529</v>
      </c>
      <c r="N4" s="41">
        <f>4314+6465</f>
        <v>10779</v>
      </c>
      <c r="O4" s="10"/>
      <c r="P4" s="39">
        <f>F$15</f>
        <v>0.46474000000000004</v>
      </c>
      <c r="Q4" s="40">
        <v>1.7</v>
      </c>
      <c r="R4" s="38">
        <f>$M4*IF($O4=10,1.4,IF($O4=9,1.3,IF(OR($O4=1,$O4=2,$O4=3,$O4=4,$O4=5,$O4=6,$O4=7,$O4=8),1+0.03*$O4,1)))*$F$17*IF($P4&gt;=1,$F$21,$P4*$F$21+1-$P4)*$Q4*(1+$F$20)*(1+$F$22)*((1+$F$23)/(IF(F4=1,1.04,IF(F4=2,1.088,IF(F4=3,1.18,1)))*IF(F5=1,1.03,IF(F5=2,1.08,IF(F5=3,1.16,1)))*IF(F12=1,1.03,IF(F12=2,1.08,IF(F12=3,1.16,1)))*IF(F13=1,1.2,IF(F13=2,1.25,IF(F13=3,1.3,1)))))*(1+$F$24)*(1+$F$25)</f>
        <v>2542507598.4378967</v>
      </c>
      <c r="S4" s="38">
        <f>$M4*IF($O4=10,1.4,IF($O4=9,1.3,IF(OR($O4=1,$O4=2,$O4=3,$O4=4,$O4=5,$O4=6,$O4=7,$O4=8),1+0.03*$O4,1)))*$F$17*IF($P4&gt;=1,$F$21+0.775,$P4*($F$21+0.775)+1-$P4)*$Q4*(1+$F$20)*(1+$F$22)*((1+$F$23)/(IF(F4=1,1.04,IF(F4=2,1.088,IF(F4=3,1.18,1)))*IF(F5=1,1.03,IF(F5=2,1.08,IF(F5=3,1.16,1)))*IF(F12=1,1.03,IF(F12=2,1.08,IF(F12=3,1.16,1)))*IF(F13=1,1.2,IF(F13=2,1.25,IF(F13=3,1.3,1)))))*(1+$F$24)*(1+$F$25)</f>
        <v>3167699687.481667</v>
      </c>
      <c r="T4" s="38">
        <f>$M4*IF($O4=10,1.4,IF($O4=9,1.3,IF(OR($O4=1,$O4=2,$O4=3,$O4=4,$O4=5,$O4=6,$O4=7,$O4=8),1+0.03*$O4,1)))*$F$17*($F$21+0.5)*$Q4*(1+$F$20)*(1+$F$22)*((1+$F$23)/(IF(F4=1,1.04,IF(F4=2,1.088,IF(F4=3,1.18,1)))*IF(F5=1,1.03,IF(F5=2,1.08,IF(F5=3,1.16,1)))*IF(F12=1,1.03,IF(F12=2,1.08,IF(F12=3,1.16,1)))*IF(F13=1,1.2,IF(F13=2,1.25,IF(F13=3,1.3,1)))))*(1+$F$24)*(1+$F$25)</f>
        <v>4339520321.7599993</v>
      </c>
      <c r="U4" s="38">
        <f>$M4*IF($O4=10,1.4,IF($O4=9,1.3,IF(OR($O4=1,$O4=2,$O4=3,$O4=4,$O4=5,$O4=6,$O4=7,$O4=8),1+0.03*$O4,1)))*$F$17*($F$21+0.5+0.775)*$Q4*(1+$F$20)*(1+$F$22)*((1+$F$23)/(IF(F4=1,1.04,IF(F4=2,1.088,IF(F4=3,1.18,1)))*IF(F5=1,1.03,IF(F5=2,1.08,IF(F5=3,1.16,1)))*IF(F12=1,1.03,IF(F12=2,1.08,IF(F12=3,1.16,1)))*IF(F13=1,1.2,IF(F13=2,1.25,IF(F13=3,1.3,1)))))*(1+$F$24)*(1+$F$25)</f>
        <v>5684771621.505599</v>
      </c>
    </row>
    <row r="5" spans="2:21" ht="16.5" customHeight="1">
      <c r="B5" s="7" t="s">
        <v>20</v>
      </c>
      <c r="C5" s="10">
        <v>50</v>
      </c>
      <c r="E5" s="9" t="s">
        <v>21</v>
      </c>
      <c r="F5" s="10">
        <v>3</v>
      </c>
      <c r="H5" s="35" t="s">
        <v>92</v>
      </c>
      <c r="I5" s="46" t="s">
        <v>88</v>
      </c>
      <c r="J5" s="47" t="s">
        <v>93</v>
      </c>
      <c r="K5" s="10"/>
      <c r="L5" s="42">
        <f>9*(1-F$19)*(1-0.02*K5)</f>
        <v>8.9033850000000001</v>
      </c>
      <c r="M5" s="40">
        <f>6716*2</f>
        <v>13432</v>
      </c>
      <c r="N5" s="41">
        <f>7598*2</f>
        <v>15196</v>
      </c>
      <c r="O5" s="10"/>
      <c r="P5" s="39">
        <f>F$15</f>
        <v>0.46474000000000004</v>
      </c>
      <c r="Q5" s="40">
        <v>1.46</v>
      </c>
      <c r="R5" s="38">
        <f>$M5*IF($O5=10,1.4,IF($O5=9,1.3,IF(OR($O5=1,$O5=2,$O5=3,$O5=4,$O5=5,$O5=6,$O5=7,$O5=8),1+0.03*$O5,1)))*$F$17*IF($P5&gt;=1,$F$21,$P5*$F$21+1-$P5)*$Q5*(1+$F$20)*(1+$F$22)*((1+$F$23)/(IF(F4=1,1.04,IF(F4=2,1.088,IF(F4=3,1.18,1)))*IF(F5=1,1.03,IF(F5=2,1.08,IF(F5=3,1.16,1)))*IF(F12=1,1.03,IF(F12=2,1.08,IF(F12=3,1.16,1)))*IF(F13=1,1.2,IF(F13=2,1.25,IF(F13=3,1.3,1)))))*(1+$F$24)*(1+$F$25)</f>
        <v>3077935750.9792418</v>
      </c>
      <c r="S5" s="38">
        <f>$M5*IF($O5=10,1.4,IF($O5=9,1.3,IF(OR($O5=1,$O5=2,$O5=3,$O5=4,$O5=5,$O5=6,$O5=7,$O5=8),1+0.03*$O5,1)))*$F$17*IF($P5&gt;=1,$F$21+0.775,$P5*($F$21+0.775)+1-$P5)*$Q5*(1+$F$20)*(1+$F$22)*((1+$F$23)/(IF(F4=1,1.04,IF(F4=2,1.088,IF(F4=3,1.18,1)))*IF(F5=1,1.03,IF(F5=2,1.08,IF(F5=3,1.16,1)))*IF(F12=1,1.03,IF(F12=2,1.08,IF(F12=3,1.16,1)))*IF(F13=1,1.2,IF(F13=2,1.25,IF(F13=3,1.3,1)))))*(1+$F$24)*(1+$F$25)</f>
        <v>3834787405.3379145</v>
      </c>
      <c r="T5" s="38">
        <f>$M5*IF($O5=10,1.4,IF($O5=9,1.3,IF(OR($O5=1,$O5=2,$O5=3,$O5=4,$O5=5,$O5=6,$O5=7,$O5=8),1+0.03*$O5,1)))*$F$17*($F$21+0.5)*$Q5*(1+$F$20)*(1+$F$22)*((1+$F$23)/(IF(F4=1,1.04,IF(F4=2,1.088,IF(F4=3,1.18,1)))*IF(F5=1,1.03,IF(F5=2,1.08,IF(F5=3,1.16,1)))*IF(F12=1,1.03,IF(F12=2,1.08,IF(F12=3,1.16,1)))*IF(F13=1,1.2,IF(F13=2,1.25,IF(F13=3,1.3,1)))))*(1+$F$24)*(1+$F$25)</f>
        <v>5253382427.9039993</v>
      </c>
      <c r="U5" s="38">
        <f>$M5*IF($O5=10,1.4,IF($O5=9,1.3,IF(OR($O5=1,$O5=2,$O5=3,$O5=4,$O5=5,$O5=6,$O5=7,$O5=8),1+0.03*$O5,1)))*$F$17*($F$21+0.5+0.775)*$Q5*(1+$F$20)*(1+$F$22)*((1+$F$23)/(IF(F4=1,1.04,IF(F4=2,1.088,IF(F4=3,1.18,1)))*IF(F5=1,1.03,IF(F5=2,1.08,IF(F5=3,1.16,1)))*IF(F12=1,1.03,IF(F12=2,1.08,IF(F12=3,1.16,1)))*IF(F13=1,1.2,IF(F13=2,1.25,IF(F13=3,1.3,1)))))*(1+$F$24)*(1+$F$25)</f>
        <v>6881930980.5542393</v>
      </c>
    </row>
    <row r="6" spans="2:21" ht="16.5" customHeight="1">
      <c r="B6" s="7" t="s">
        <v>23</v>
      </c>
      <c r="C6" s="10">
        <v>40000</v>
      </c>
      <c r="E6" s="9" t="s">
        <v>24</v>
      </c>
      <c r="F6" s="10">
        <v>3</v>
      </c>
      <c r="H6" s="35" t="s">
        <v>94</v>
      </c>
      <c r="I6" s="46"/>
      <c r="J6" s="47" t="s">
        <v>95</v>
      </c>
      <c r="K6" s="10"/>
      <c r="L6" s="42">
        <f>24*(1-F$19)*(1-0.02*K6)</f>
        <v>23.742359999999998</v>
      </c>
      <c r="M6" s="40">
        <f>1136*15</f>
        <v>17040</v>
      </c>
      <c r="N6" s="41">
        <f>1283*15</f>
        <v>19245</v>
      </c>
      <c r="O6" s="10"/>
      <c r="P6" s="39">
        <f>F$15</f>
        <v>0.46474000000000004</v>
      </c>
      <c r="Q6" s="40">
        <v>1</v>
      </c>
      <c r="R6" s="38">
        <f>$M6*IF($O6=10,1.4,IF($O6=9,1.3,IF(OR($O6=1,$O6=2,$O6=3,$O6=4,$O6=5,$O6=6,$O6=7,$O6=8),1+0.03*$O6,1)))*$F$17*IF($P6&gt;=1,$F$21,$P6*$F$21+1-$P6)*$Q6*(1+$F$20)*(1+$F$22)*((1+$F$23)/(IF(F4=1,1.04,IF(F4=2,1.088,IF(F4=3,1.18,1)))*IF(F5=1,1.03,IF(F5=2,1.08,IF(F5=3,1.16,1)))*IF(F13=1,1.2,IF(F13=2,1.25,IF(F13=3,1.3,1)))))*(1+$F$24)*(1+$F$25)</f>
        <v>3102369990.910893</v>
      </c>
      <c r="S6" s="38">
        <f>$M6*IF($O6=10,1.4,IF($O6=9,1.3,IF(OR($O6=1,$O6=2,$O6=3,$O6=4,$O6=5,$O6=6,$O6=7,$O6=8),1+0.03*$O6,1)))*$F$17*IF($P6&gt;=1,$F$21+0.775,$P6*($F$21+0.775)+1-$P6)*$Q6*(1+$F$20)*(1+$F$22)*((1+$F$23)/(IF(F4=1,1.04,IF(F4=2,1.088,IF(F4=3,1.18,1)))*IF(F5=1,1.03,IF(F5=2,1.08,IF(F5=3,1.16,1)))*IF(F13=1,1.2,IF(F13=2,1.25,IF(F13=3,1.3,1)))))*(1+$F$24)*(1+$F$25)</f>
        <v>3865229923.6780357</v>
      </c>
      <c r="T6" s="38">
        <f>$M6*IF($O6=10,1.4,IF($O6=9,1.3,IF(OR($O6=1,$O6=2,$O6=3,$O6=4,$O6=5,$O6=6,$O6=7,$O6=8),1+0.03*$O6,1)))*$F$17*($F$21+0.5)*$Q6*(1+$F$20)*(1+$F$22)*((1+$F$23)/(IF(F4=1,1.04,IF(F4=2,1.088,IF(F4=3,1.18,1)))*IF(F5=1,1.03,IF(F5=2,1.08,IF(F5=3,1.16,1)))*IF(F13=1,1.2,IF(F13=2,1.25,IF(F13=3,1.3,1)))))*(1+$F$24)*(1+$F$25)</f>
        <v>5295086484.4799986</v>
      </c>
      <c r="U6" s="38">
        <f>$M6*IF($O6=10,1.4,IF($O6=9,1.3,IF(OR($O6=1,$O6=2,$O6=3,$O6=4,$O6=5,$O6=6,$O6=7,$O6=8),1+0.03*$O6,1)))*$F$17*($F$21+0.5+0.775)*$Q6*(1+$F$20)*(1+$F$22)*((1+$F$23)/(IF(F4=1,1.04,IF(F4=2,1.088,IF(F4=3,1.18,1)))*IF(F5=1,1.03,IF(F5=2,1.08,IF(F5=3,1.16,1)))*IF(F13=1,1.2,IF(F13=2,1.25,IF(F13=3,1.3,1)))))*(1+$F$24)*(1+$F$25)</f>
        <v>6936563294.6687984</v>
      </c>
    </row>
    <row r="7" spans="2:21" ht="16.5" customHeight="1" thickBot="1">
      <c r="B7" s="7" t="s">
        <v>27</v>
      </c>
      <c r="C7" s="1">
        <v>0.3</v>
      </c>
      <c r="E7" s="9" t="s">
        <v>28</v>
      </c>
      <c r="F7" s="10"/>
      <c r="H7" s="53" t="s">
        <v>96</v>
      </c>
      <c r="I7" s="54"/>
      <c r="J7" s="55" t="s">
        <v>97</v>
      </c>
      <c r="K7" s="56"/>
      <c r="L7" s="57">
        <f>10*(1-F$19)*(1-0.02*K7)</f>
        <v>9.8926499999999997</v>
      </c>
      <c r="M7" s="58">
        <v>9481</v>
      </c>
      <c r="N7" s="59">
        <v>10723</v>
      </c>
      <c r="O7" s="56"/>
      <c r="P7" s="60">
        <f>F$15</f>
        <v>0.46474000000000004</v>
      </c>
      <c r="Q7" s="58">
        <v>1</v>
      </c>
      <c r="R7" s="67">
        <f>$M7*IF($O7=10,1.4,IF($O7=9,1.3,IF(OR($O7=1,$O7=2,$O7=3,$O7=4,$O7=5,$O7=6,$O7=7,$O7=8),1+0.03*$O7,1)))*$F$17*IF($P7&gt;=1,$F$21,$P7*$F$21+1-$P7)*$Q7*(1+$F$20)*(1+$F$22)*((1+$F$23)/(IF(F4=1,1.04,IF(F4=2,1.088,IF(F4=3,1.18,1)))*IF(F5=1,1.03,IF(F5=2,1.08,IF(F5=3,1.16,1)))*IF(F13=1,1.2,IF(F13=2,1.25,IF(F13=3,1.3,1)))))*(1+$F$24)*(1+$F$25)</f>
        <v>1726148467.3606911</v>
      </c>
      <c r="S7" s="67">
        <f>$M7*IF($O7=10,1.4,IF($O7=9,1.3,IF(OR($O7=1,$O7=2,$O7=3,$O7=4,$O7=5,$O7=6,$O7=7,$O7=8),1+0.03*$O7,1)))*$F$17*IF($P7&gt;=1,$F$21+0.775,$P7*($F$21+0.775)+1-$P7)*$Q7*(1+$F$20)*(1+$F$22)*((1+$F$23)/(IF(F4=1,1.04,IF(F4=2,1.088,IF(F4=3,1.18,1)))*IF(F5=1,1.03,IF(F5=2,1.08,IF(F5=3,1.16,1)))*IF(F13=1,1.2,IF(F13=2,1.25,IF(F13=3,1.3,1)))))*(1+$F$24)*(1+$F$25)</f>
        <v>2150601226.9009075</v>
      </c>
      <c r="T7" s="67">
        <f>$M7*IF($O7=10,1.4,IF($O7=9,1.3,IF(OR($O7=1,$O7=2,$O7=3,$O7=4,$O7=5,$O7=6,$O7=7,$O7=8),1+0.03*$O7,1)))*$F$17*($F$21+0.5)*$Q7*(1+$F$20)*(1+$F$22)*((1+$F$23)/(IF(F4=1,1.04,IF(F4=2,1.088,IF(F4=3,1.18,1)))*IF(F5=1,1.03,IF(F5=2,1.08,IF(F5=3,1.16,1)))*IF(F13=1,1.2,IF(F13=2,1.25,IF(F13=3,1.3,1)))))*(1+$F$24)*(1+$F$25)</f>
        <v>2946168718.2719994</v>
      </c>
      <c r="U7" s="67">
        <f>$M7*IF($O7=10,1.4,IF($O7=9,1.3,IF(OR($O7=1,$O7=2,$O7=3,$O7=4,$O7=5,$O7=6,$O7=7,$O7=8),1+0.03*$O7,1)))*$F$17*($F$21+0.5+0.775)*$Q7*(1+$F$20)*(1+$F$22)*((1+$F$23)/(IF(F4=1,1.04,IF(F4=2,1.088,IF(F4=3,1.18,1)))*IF(F5=1,1.03,IF(F5=2,1.08,IF(F5=3,1.16,1)))*IF(F13=1,1.2,IF(F13=2,1.25,IF(F13=3,1.3,1)))))*(1+$F$24)*(1+$F$25)</f>
        <v>3859481020.9363189</v>
      </c>
    </row>
    <row r="8" spans="2:21" ht="16.5" customHeight="1" thickTop="1">
      <c r="E8" s="9" t="s">
        <v>31</v>
      </c>
      <c r="F8" s="10">
        <v>3</v>
      </c>
      <c r="H8" s="68" t="s">
        <v>98</v>
      </c>
      <c r="I8" s="69"/>
      <c r="J8" s="70" t="s">
        <v>95</v>
      </c>
      <c r="K8" s="71"/>
      <c r="L8" s="72">
        <f>17*(1-F$19)*(1-0.02*K8)</f>
        <v>16.817505000000001</v>
      </c>
      <c r="M8" s="73">
        <v>9331</v>
      </c>
      <c r="N8" s="74">
        <v>10555</v>
      </c>
      <c r="O8" s="71"/>
      <c r="P8" s="75">
        <f>F$15+0.45</f>
        <v>0.91474000000000011</v>
      </c>
      <c r="Q8" s="73">
        <v>1.6</v>
      </c>
      <c r="R8" s="76">
        <f>$M8*IF($O8=10,1.4,IF($O8=9,1.3,IF(OR($O8=1,$O8=2,$O8=3,$O8=4,$O8=5,$O8=6,$O8=7,$O8=8),1+0.03*$O8,1)))*$F$17*IF($P8&gt;=1,$F$21,$P8*$F$21+1-$P8)*$Q8*(1+$F$20)*(1+$F$22)*((1+$F$23)/IF(F13=1,1.2,IF(F13=2,1.25,IF(F13=3,1.3,1))))*(1+$F$24)*(1+$F$25)*(1+$F$16)</f>
        <v>9247044522.8666649</v>
      </c>
      <c r="S8" s="76">
        <f>$M8*IF($O8=10,1.4,IF($O8=9,1.3,IF(OR($O8=1,$O8=2,$O8=3,$O8=4,$O8=5,$O8=6,$O8=7,$O8=8),1+0.03*$O8,1)))*$F$17*IF($P8&gt;=1,$F$21+0.775,$P8*($F$21+0.775)+1-$P8)*$Q8*(1+$F$20)*(1+$F$22)*((1+$F$23)/IF(F13=1,1.2,IF(F13=2,1.25,IF(F13=3,1.3,1))))*(1+$F$24)*(1+$F$25)*(1+$F$16)</f>
        <v>12670719365.302958</v>
      </c>
      <c r="T8" s="76">
        <f>$M8*IF($O8=10,1.4,IF($O8=9,1.3,IF(OR($O8=1,$O8=2,$O8=3,$O8=4,$O8=5,$O8=6,$O8=7,$O8=8),1+0.03*$O8,1)))*$F$17*($F$21+0.5)*$Q8*(1+$F$20)*(1+$F$22)*((1+$F$23)/IF(F13=1,1.2,IF(F13=2,1.25,IF(F13=3,1.3,1))))*(1+$F$24)*(1+$F$25)*(1+$F$16)</f>
        <v>12073498912.21088</v>
      </c>
      <c r="U8" s="76">
        <f>$M8*IF($O8=10,1.4,IF($O8=9,1.3,IF(OR($O8=1,$O8=2,$O8=3,$O8=4,$O8=5,$O8=6,$O8=7,$O8=8),1+0.03*$O8,1)))*$F$17*($F$21+0.5+0.775)*$Q8*(1+$F$20)*(1+$F$22)*((1+$F$23)/IF(F13=1,1.2,IF(F13=2,1.25,IF(F13=3,1.3,1))))*(1+$F$24)*(1+$F$25)*(1+$F$16)</f>
        <v>15816283574.996252</v>
      </c>
    </row>
    <row r="9" spans="2:21" ht="16.5" customHeight="1" thickBot="1">
      <c r="B9" s="90" t="s">
        <v>30</v>
      </c>
      <c r="C9" s="91"/>
      <c r="E9" s="9" t="s">
        <v>34</v>
      </c>
      <c r="F9" s="10"/>
      <c r="H9" s="36" t="s">
        <v>99</v>
      </c>
      <c r="I9" s="46"/>
      <c r="J9" s="47" t="s">
        <v>95</v>
      </c>
      <c r="K9" s="45"/>
      <c r="L9" s="44"/>
      <c r="M9" s="117">
        <v>34814</v>
      </c>
      <c r="N9" s="118"/>
      <c r="O9" s="10"/>
      <c r="P9" s="39">
        <f>F$15+0.45</f>
        <v>0.91474000000000011</v>
      </c>
      <c r="Q9" s="40">
        <f>1.6*2.76</f>
        <v>4.4159999999999995</v>
      </c>
      <c r="R9" s="38">
        <f>$M9*IF($O9=10,1.4,IF($O9=9,1.3,IF(OR($O9=1,$O9=2,$O9=3,$O9=4,$O9=5,$O9=6,$O9=7,$O9=8),1+0.03*$O9,1)))*$F$17*IF($P9&gt;=1,$F$21,$P9*$F$21+1-$P9)*$Q9*(1+$F$20)*(1+$F$22)*(1+$F$23)*(1+$F$24)*(1+$F$25)*(1+$F$16)</f>
        <v>114266522962.08263</v>
      </c>
      <c r="S9" s="38">
        <f>$M9*IF($O9=10,1.4,IF($O9=9,1.3,IF(OR($O9=1,$O9=2,$O9=3,$O9=4,$O9=5,$O9=6,$O9=7,$O9=8),1+0.03*$O9,1)))*$F$17*IF($P9&gt;=1,$F$21+0.775,$P9*($F$21+0.775)+1-$P9)*$Q9*(1+$F$20)*(1+$F$22)*(1+$F$23)*(1+$F$24)*(1+$F$25)*(1+$F$16)</f>
        <v>156573166888.20834</v>
      </c>
      <c r="T9" s="38">
        <f>$M9*IF($O9=10,1.4,IF($O9=9,1.3,IF(OR($O9=1,$O9=2,$O9=3,$O9=4,$O9=5,$O9=6,$O9=7,$O9=8),1+0.03*$O9,1)))*$F$17*($F$21+0.5)*$Q9*(1+$F$20)*(1+$F$22)*(1+$F$23)*(1+$F$24)*(1+$F$25)*(1+$F$16)</f>
        <v>149193262482.22031</v>
      </c>
      <c r="U9" s="38">
        <f>$M9*IF($O9=10,1.4,IF($O9=9,1.3,IF(OR($O9=1,$O9=2,$O9=3,$O9=4,$O9=5,$O9=6,$O9=7,$O9=8),1+0.03*$O9,1)))*$F$17*($F$21+0.5+0.775)*$Q9*(1+$F$20)*(1+$F$22)*(1+$F$23)*(1+$F$24)*(1+$F$25)*(1+$F$16)</f>
        <v>195443173851.70865</v>
      </c>
    </row>
    <row r="10" spans="2:21" ht="16.5" customHeight="1">
      <c r="B10" s="7" t="s">
        <v>8</v>
      </c>
      <c r="C10" s="2"/>
      <c r="E10" s="9" t="s">
        <v>41</v>
      </c>
      <c r="F10" s="10"/>
      <c r="H10" s="36" t="s">
        <v>100</v>
      </c>
      <c r="I10" s="46" t="s">
        <v>88</v>
      </c>
      <c r="J10" s="47" t="s">
        <v>101</v>
      </c>
      <c r="K10" s="10"/>
      <c r="L10" s="42">
        <f>16*(1-F$19)*(1-0.02*K10)</f>
        <v>15.828239999999999</v>
      </c>
      <c r="M10" s="40">
        <v>8393</v>
      </c>
      <c r="N10" s="41">
        <v>9494</v>
      </c>
      <c r="O10" s="10"/>
      <c r="P10" s="39">
        <f>F$15+0.44</f>
        <v>0.9047400000000001</v>
      </c>
      <c r="Q10" s="40">
        <v>1.36</v>
      </c>
      <c r="R10" s="38">
        <f>$M10*IF($O10=10,1.4,IF($O10=9,1.3,IF(OR($O10=1,$O10=2,$O10=3,$O10=4,$O10=5,$O10=6,$O10=7,$O10=8),1+0.03*$O10,1)))*$F$17*IF($P10&gt;=1,$F$21,$P10*$F$21+1-$P10)*$Q10*(1+$F$20)*(1+$F$22)*((1+$F$23)/(IF(F12=1,1.03,IF(F12=2,1.08,IF(F12=3,1.16,1)))*IF(F13=1,1.2,IF(F13=2,1.25,IF(F13=3,1.3,1)))))*(1+$F$24)*(1+$F$25)*(1+$F$16)</f>
        <v>6062877745.1781321</v>
      </c>
      <c r="S10" s="38">
        <f>$M10*IF($O10=10,1.4,IF($O10=9,1.3,IF(OR($O10=1,$O10=2,$O10=3,$O10=4,$O10=5,$O10=6,$O10=7,$O10=8),1+0.03*$O10,1)))*$F$17*IF($P10&gt;=1,$F$21+0.775,$P10*($F$21+0.775)+1-$P10)*$Q10*(1+$F$20)*(1+$F$22)*((1+$F$23)/(IF(F12=1,1.03,IF(F12=2,1.08,IF(F12=3,1.16,1)))*IF(F13=1,1.2,IF(F13=2,1.25,IF(F13=3,1.3,1)))))*(1+$F$24)*(1+$F$25)*(1+$F$16)</f>
        <v>8294746246.2116899</v>
      </c>
      <c r="T10" s="38">
        <f>$M10*IF($O10=10,1.4,IF($O10=9,1.3,IF(OR($O10=1,$O10=2,$O10=3,$O10=4,$O10=5,$O10=6,$O10=7,$O10=8),1+0.03*$O10,1)))*$F$17*($F$21+0.5)*$Q10*(1+$F$20)*(1+$F$22)*((1+$F$23)/(IF(F12=1,1.03,IF(F12=2,1.08,IF(F12=3,1.16,1)))*IF(F13=1,1.2,IF(F13=2,1.25,IF(F13=3,1.3,1)))))*(1+$F$24)*(1+$F$25)*(1+$F$16)</f>
        <v>7957618553.1596594</v>
      </c>
      <c r="U10" s="38">
        <f>$M10*IF($O10=10,1.4,IF($O10=9,1.3,IF(OR($O10=1,$O10=2,$O10=3,$O10=4,$O10=5,$O10=6,$O10=7,$O10=8),1+0.03*$O10,1)))*$F$17*($F$21+0.5+0.775)*$Q10*(1+$F$20)*(1+$F$22)*((1+$F$23)/(IF(F12=1,1.03,IF(F12=2,1.08,IF(F12=3,1.16,1)))*IF(F13=1,1.2,IF(F13=2,1.25,IF(F13=3,1.3,1)))))*(1+$F$24)*(1+$F$25)*(1+$F$16)</f>
        <v>10424480304.639154</v>
      </c>
    </row>
    <row r="11" spans="2:21" ht="16.5" customHeight="1">
      <c r="B11" s="7" t="s">
        <v>35</v>
      </c>
      <c r="C11" s="3"/>
      <c r="E11" s="9" t="s">
        <v>44</v>
      </c>
      <c r="F11" s="10"/>
      <c r="H11" s="36" t="s">
        <v>102</v>
      </c>
      <c r="I11" s="46"/>
      <c r="J11" s="47" t="s">
        <v>101</v>
      </c>
      <c r="K11" s="45"/>
      <c r="L11" s="44"/>
      <c r="M11" s="117">
        <v>34814</v>
      </c>
      <c r="N11" s="118"/>
      <c r="O11" s="10"/>
      <c r="P11" s="39">
        <f>F$15+0.44</f>
        <v>0.9047400000000001</v>
      </c>
      <c r="Q11" s="40">
        <v>1.36</v>
      </c>
      <c r="R11" s="38">
        <f>$M11*IF($O11=10,1.4,IF($O11=9,1.3,IF(OR($O11=1,$O11=2,$O11=3,$O11=4,$O11=5,$O11=6,$O11=7,$O11=8),1+0.03*$O11,1)))*$F$17*IF($P11&gt;=1,$F$21,$P11*$F$21+1-$P11)*$Q11*(1+$F$20)*(1+$F$22)*(1+$F$23)*(1+$F$24)*(1+$F$25)*(1+$F$16)</f>
        <v>35006988197.583588</v>
      </c>
      <c r="S11" s="38">
        <f>$M11*IF($O11=10,1.4,IF($O11=9,1.3,IF(OR($O11=1,$O11=2,$O11=3,$O11=4,$O11=5,$O11=6,$O11=7,$O11=8),1+0.03*$O11,1)))*$F$17*IF($P11&gt;=1,$F$21+0.775,$P11*($F$21+0.775)+1-$P11)*$Q11*(1+$F$20)*(1+$F$22)*(1+$F$23)*(1+$F$24)*(1+$F$25)*(1+$F$16)</f>
        <v>47893771926.049606</v>
      </c>
      <c r="T11" s="38">
        <f>$M11*IF($O11=10,1.4,IF($O11=9,1.3,IF(OR($O11=1,$O11=2,$O11=3,$O11=4,$O11=5,$O11=6,$O11=7,$O11=8),1+0.03*$O11,1)))*$F$17*($F$21+0.5)*$Q11*(1+$F$20)*(1+$F$22)*(1+$F$23)*(1+$F$24)*(1+$F$25)*(1+$F$16)</f>
        <v>45947200402.133072</v>
      </c>
      <c r="U11" s="38">
        <f>$M11*IF($O11=10,1.4,IF($O11=9,1.3,IF(OR($O11=1,$O11=2,$O11=3,$O11=4,$O11=5,$O11=6,$O11=7,$O11=8),1+0.03*$O11,1)))*$F$17*($F$21+0.5+0.775)*$Q11*(1+$F$20)*(1+$F$22)*(1+$F$23)*(1+$F$24)*(1+$F$25)*(1+$F$16)</f>
        <v>60190832526.794334</v>
      </c>
    </row>
    <row r="12" spans="2:21" ht="16.5" customHeight="1">
      <c r="B12" s="7" t="s">
        <v>43</v>
      </c>
      <c r="C12" s="3"/>
      <c r="E12" s="9" t="s">
        <v>47</v>
      </c>
      <c r="F12" s="10">
        <v>3</v>
      </c>
      <c r="H12" s="36" t="s">
        <v>100</v>
      </c>
      <c r="I12" s="46" t="s">
        <v>88</v>
      </c>
      <c r="J12" s="47" t="s">
        <v>103</v>
      </c>
      <c r="K12" s="10"/>
      <c r="L12" s="42">
        <f>16*(1-F$19)*(1-0.02*K12)</f>
        <v>15.828239999999999</v>
      </c>
      <c r="M12" s="40">
        <v>8393</v>
      </c>
      <c r="N12" s="41">
        <v>9494</v>
      </c>
      <c r="O12" s="10"/>
      <c r="P12" s="39">
        <f>F$15+0.44</f>
        <v>0.9047400000000001</v>
      </c>
      <c r="Q12" s="40">
        <f>1.75*1.36</f>
        <v>2.3800000000000003</v>
      </c>
      <c r="R12" s="38">
        <f>$M12*IF($O12=10,1.4,IF($O12=9,1.3,IF(OR($O12=1,$O12=2,$O12=3,$O12=4,$O12=5,$O12=6,$O12=7,$O12=8),1+0.03*$O12,1)))*$F$17*IF($P12&gt;=1,$F$21,$P12*$F$21+1-$P12)*$Q12*(1+$F$20)*(1+$F$22)*((1+$F$23)/(IF(F12=1,1.03,IF(F12=2,1.08,IF(F12=3,1.16,1)))*IF(F13=1,1.2,IF(F13=2,1.25,IF(F13=3,1.3,1)))))*(1+$F$24)*(1+$F$25)*(1+$F$16)</f>
        <v>10610036054.061735</v>
      </c>
      <c r="S12" s="38">
        <f>$M12*IF($O12=10,1.4,IF($O12=9,1.3,IF(OR($O12=1,$O12=2,$O12=3,$O12=4,$O12=5,$O12=6,$O12=7,$O12=8),1+0.03*$O12,1)))*$F$17*IF($P12&gt;=1,$F$21+0.775,$P12*($F$21+0.775)+1-$P12)*$Q12*(1+$F$20)*(1+$F$22)*((1+$F$23)/(IF(F12=1,1.03,IF(F12=2,1.08,IF(F12=3,1.16,1)))*IF(F13=1,1.2,IF(F13=2,1.25,IF(F13=3,1.3,1)))))*(1+$F$24)*(1+$F$25)*(1+$F$16)</f>
        <v>14515805930.870457</v>
      </c>
      <c r="T12" s="38">
        <f>$M12*IF($O12=10,1.4,IF($O12=9,1.3,IF(OR($O12=1,$O12=2,$O12=3,$O12=4,$O12=5,$O12=6,$O12=7,$O12=8),1+0.03*$O12,1)))*$F$17*($F$21+0.5)*$Q12*(1+$F$20)*(1+$F$22)*((1+$F$23)/(IF(F12=1,1.03,IF(F12=2,1.08,IF(F12=3,1.16,1)))*IF(F13=1,1.2,IF(F13=2,1.25,IF(F13=3,1.3,1)))))*(1+$F$24)*(1+$F$25)*(1+$F$16)</f>
        <v>13925832468.029404</v>
      </c>
      <c r="U12" s="38">
        <f>$M12*IF($O12=10,1.4,IF($O12=9,1.3,IF(OR($O12=1,$O12=2,$O12=3,$O12=4,$O12=5,$O12=6,$O12=7,$O12=8),1+0.03*$O12,1)))*$F$17*($F$21+0.5+0.775)*$Q12*(1+$F$20)*(1+$F$22)*((1+$F$23)/(IF(F12=1,1.03,IF(F12=2,1.08,IF(F12=3,1.16,1)))*IF(F13=1,1.2,IF(F13=2,1.25,IF(F13=3,1.3,1)))))*(1+$F$24)*(1+$F$25)*(1+$F$16)</f>
        <v>18242840533.118523</v>
      </c>
    </row>
    <row r="13" spans="2:21" ht="16.5" customHeight="1" thickBot="1">
      <c r="B13" s="7" t="s">
        <v>46</v>
      </c>
      <c r="C13" s="3"/>
      <c r="E13" s="9" t="s">
        <v>51</v>
      </c>
      <c r="F13" s="11">
        <v>1</v>
      </c>
      <c r="H13" s="36" t="s">
        <v>102</v>
      </c>
      <c r="I13" s="46"/>
      <c r="J13" s="47" t="s">
        <v>103</v>
      </c>
      <c r="K13" s="45"/>
      <c r="L13" s="44"/>
      <c r="M13" s="117">
        <v>34814</v>
      </c>
      <c r="N13" s="118"/>
      <c r="O13" s="10"/>
      <c r="P13" s="39">
        <f>F$15+0.44</f>
        <v>0.9047400000000001</v>
      </c>
      <c r="Q13" s="40">
        <f>1.75*1.36</f>
        <v>2.3800000000000003</v>
      </c>
      <c r="R13" s="38">
        <f>$M13*IF($O13=10,1.4,IF($O13=9,1.3,IF(OR($O13=1,$O13=2,$O13=3,$O13=4,$O13=5,$O13=6,$O13=7,$O13=8),1+0.03*$O13,1)))*$F$17*IF($P13&gt;=1,$F$21,$P13*$F$21+1-$P13)*$Q13*(1+$F$20)*(1+$F$22)*(1+$F$23)*(1+$F$24)*(1+$F$25)*(1+$F$16)</f>
        <v>61262229345.771286</v>
      </c>
      <c r="S13" s="38">
        <f>$M13*IF($O13=10,1.4,IF($O13=9,1.3,IF(OR($O13=1,$O13=2,$O13=3,$O13=4,$O13=5,$O13=6,$O13=7,$O13=8),1+0.03*$O13,1)))*$F$17*IF($P13&gt;=1,$F$21+0.775,$P13*($F$21+0.775)+1-$P13)*$Q13*(1+$F$20)*(1+$F$22)*(1+$F$23)*(1+$F$24)*(1+$F$25)*(1+$F$16)</f>
        <v>83814100870.586807</v>
      </c>
      <c r="T13" s="38">
        <f>$M13*IF($O13=10,1.4,IF($O13=9,1.3,IF(OR($O13=1,$O13=2,$O13=3,$O13=4,$O13=5,$O13=6,$O13=7,$O13=8),1+0.03*$O13,1)))*$F$17*($F$21+0.5)*$Q13*(1+$F$20)*(1+$F$22)*(1+$F$23)*(1+$F$24)*(1+$F$25)*(1+$F$16)</f>
        <v>80407600703.732895</v>
      </c>
      <c r="U13" s="38">
        <f>$M13*IF($O13=10,1.4,IF($O13=9,1.3,IF(OR($O13=1,$O13=2,$O13=3,$O13=4,$O13=5,$O13=6,$O13=7,$O13=8),1+0.03*$O13,1)))*$F$17*($F$21+0.5+0.775)*$Q13*(1+$F$20)*(1+$F$22)*(1+$F$23)*(1+$F$24)*(1+$F$25)*(1+$F$16)</f>
        <v>105333956921.89011</v>
      </c>
    </row>
    <row r="14" spans="2:21" ht="16.5" customHeight="1">
      <c r="B14" s="7" t="s">
        <v>50</v>
      </c>
      <c r="C14" s="3"/>
      <c r="E14" s="123" t="s">
        <v>4</v>
      </c>
      <c r="F14" s="124"/>
      <c r="H14" s="36" t="s">
        <v>104</v>
      </c>
      <c r="I14" s="46" t="s">
        <v>105</v>
      </c>
      <c r="J14" s="47" t="s">
        <v>106</v>
      </c>
      <c r="K14" s="10"/>
      <c r="L14" s="42">
        <f>16*(1-F$19)*(1-0.02*K14)</f>
        <v>15.828239999999999</v>
      </c>
      <c r="M14" s="40">
        <f>3814+5715</f>
        <v>9529</v>
      </c>
      <c r="N14" s="41">
        <f>4314+6465</f>
        <v>10779</v>
      </c>
      <c r="O14" s="10"/>
      <c r="P14" s="39">
        <f>F$15</f>
        <v>0.46474000000000004</v>
      </c>
      <c r="Q14" s="40">
        <f>0.7*(C18+6500)/(C18*(IF(0.2-C12&lt;0,0,0.2-C12))+6500)+0.3*(C18+6500)/(C18*(1-C12)+6500)</f>
        <v>1.4363636363636365</v>
      </c>
      <c r="R14" s="38">
        <f>$M14*IF($O14=10,1.4,IF($O14=9,1.3,IF(OR($O14=1,$O14=2,$O14=3,$O14=4,$O14=5,$O14=6,$O14=7,$O14=8),1+0.03*$O14,1)))*$F$17*IF($P14&gt;=1,$F$21,$P14*$F$21+1-$P14)*$Q14*(1+$F$20)*(1+$F$22)*((1+$F$23)/(IF(F12=1,1.03,IF(F12=2,1.08,IF(F12=3,1.16,1)))*IF(F13=1,1.2,IF(F13=2,1.25,IF(F13=3,1.3,1)))))*(1+$F$24)*(1+$F$25)*(1+$F$16)</f>
        <v>5590610653.5464478</v>
      </c>
      <c r="S14" s="38">
        <f>$M14*IF($O14=10,1.4,IF($O14=9,1.3,IF(OR($O14=1,$O14=2,$O14=3,$O14=4,$O14=5,$O14=6,$O14=7,$O14=8),1+0.03*$O14,1)))*$F$17*IF($P14&gt;=1,$F$21+0.775,$P14*($F$21+0.775)+1-$P14)*$Q14*(1+$F$20)*(1+$F$22)*((1+$F$23)/(IF(F12=1,1.03,IF(F12=2,1.08,IF(F12=3,1.16,1)))*IF(F13=1,1.2,IF(F13=2,1.25,IF(F13=3,1.3,1)))))*(1+$F$24)*(1+$F$25)*(1+$F$16)</f>
        <v>6965318660.5819025</v>
      </c>
      <c r="T14" s="38">
        <f>$M14*IF($O14=10,1.4,IF($O14=9,1.3,IF(OR($O14=1,$O14=2,$O14=3,$O14=4,$O14=5,$O14=6,$O14=7,$O14=8),1+0.03*$O14,1)))*$F$17*($F$21+0.5)*$Q14*(1+$F$20)*(1+$F$22)*((1+$F$23)/(IF(F12=1,1.03,IF(F12=2,1.08,IF(F12=3,1.16,1)))*IF(F13=1,1.2,IF(F13=2,1.25,IF(F13=3,1.3,1)))))*(1+$F$24)*(1+$F$25)*(1+$F$16)</f>
        <v>9541984675.687233</v>
      </c>
      <c r="U14" s="38">
        <f>$M14*IF($O14=10,1.4,IF($O14=9,1.3,IF(OR($O14=1,$O14=2,$O14=3,$O14=4,$O14=5,$O14=6,$O14=7,$O14=8),1+0.03*$O14,1)))*$F$17*($F$21+0.5+0.775)*$Q14*(1+$F$20)*(1+$F$22)*((1+$F$23)/(IF(F12=1,1.03,IF(F12=2,1.08,IF(F12=3,1.16,1)))*IF(F13=1,1.2,IF(F13=2,1.25,IF(F13=3,1.3,1)))))*(1+$F$24)*(1+$F$25)*(1+$F$16)</f>
        <v>12499999925.150278</v>
      </c>
    </row>
    <row r="15" spans="2:21" ht="16.5" customHeight="1" thickBot="1">
      <c r="B15" s="7" t="s">
        <v>53</v>
      </c>
      <c r="C15" s="1"/>
      <c r="E15" s="26" t="s">
        <v>8</v>
      </c>
      <c r="F15" s="27">
        <f>C3*0.0003579+0.1+C10+IF(F6=1,0.05,IF(F6=2,0.1,IF(F6=3,0.15,0)))+IF(F10=3,0.2,IF(F10=2,0.1,IF(F10=1,0.04,0)))+IF(C25=4,0.2,IF(C25=6,0.28,0))</f>
        <v>0.46474000000000004</v>
      </c>
      <c r="H15" s="36" t="s">
        <v>107</v>
      </c>
      <c r="I15" s="46"/>
      <c r="J15" s="47" t="s">
        <v>106</v>
      </c>
      <c r="K15" s="45"/>
      <c r="L15" s="44"/>
      <c r="M15" s="117">
        <v>34814</v>
      </c>
      <c r="N15" s="118"/>
      <c r="O15" s="10"/>
      <c r="P15" s="39">
        <f>F$15</f>
        <v>0.46474000000000004</v>
      </c>
      <c r="Q15" s="40">
        <f>0.7*(C18+6500)/(C18*(IF(0.2-C12&lt;0,0,0.2-C12))+6500)+0.3*(C18+6500)/(C18*(1-C12)+6500)</f>
        <v>1.4363636363636365</v>
      </c>
      <c r="R15" s="38">
        <f>$M15*IF($O15=10,1.4,IF($O15=9,1.3,IF(OR($O15=1,$O15=2,$O15=3,$O15=4,$O15=5,$O15=6,$O15=7,$O15=8),1+0.03*$O15,1)))*$F$17*IF($P15&gt;=1,$F$21+5.04,$P15*($F$21+5.04)+1-$P15)*$Q15*(1+$F$20)*(1+$F$22)*(1+$F$23)*(1+$F$24)*(1+$F$25)*(1+$F$16)</f>
        <v>73897678104.150558</v>
      </c>
      <c r="S15" s="38">
        <f>$M15*IF($O15=10,1.4,IF($O15=9,1.3,IF(OR($O15=1,$O15=2,$O15=3,$O15=4,$O15=5,$O15=6,$O15=7,$O15=8),1+0.03*$O15,1)))*$F$17*IF($P15&gt;=1,$F$21+5.04+0.775,$P15*($F$21+5.04+0.775)+1-$P15)*$Q15*(1+$F$20)*(1+$F$22)*(1+$F$23)*(1+$F$24)*(1+$F$25)*(1+$F$16)</f>
        <v>80888951658.904434</v>
      </c>
      <c r="T15" s="38">
        <f>$M15*IF($O15=10,1.4,IF($O15=9,1.3,IF(OR($O15=1,$O15=2,$O15=3,$O15=4,$O15=5,$O15=6,$O15=7,$O15=8),1+0.03*$O15,1)))*$F$17*($F$21+5.04+0.5)*$Q15*(1+$F$20)*(1+$F$22)*(1+$F$23)*(1+$F$24)*(1+$F$25)*(1+$F$16)</f>
        <v>146357804232.8053</v>
      </c>
      <c r="U15" s="38">
        <f>$M15*IF($O15=10,1.4,IF($O15=9,1.3,IF(OR($O15=1,$O15=2,$O15=3,$O15=4,$O15=5,$O15=6,$O15=7,$O15=8),1+0.03*$O15,1)))*$F$17*($F$21+5.04+0.5+0.775)*$Q15*(1+$F$20)*(1+$F$22)*(1+$F$23)*(1+$F$24)*(1+$F$25)*(1+$F$16)</f>
        <v>161401212492.8085</v>
      </c>
    </row>
    <row r="16" spans="2:21" ht="16.5" customHeight="1">
      <c r="E16" s="26" t="s">
        <v>15</v>
      </c>
      <c r="F16" s="27">
        <f>C4*0.0005007</f>
        <v>0.90125999999999995</v>
      </c>
      <c r="H16" s="36" t="s">
        <v>104</v>
      </c>
      <c r="I16" s="46" t="s">
        <v>105</v>
      </c>
      <c r="J16" s="47" t="s">
        <v>108</v>
      </c>
      <c r="K16" s="10"/>
      <c r="L16" s="42">
        <f>16*(1-F$19)*(1-0.02*K16)</f>
        <v>15.828239999999999</v>
      </c>
      <c r="M16" s="40">
        <f>3814+5715</f>
        <v>9529</v>
      </c>
      <c r="N16" s="41">
        <f>4314+6465</f>
        <v>10779</v>
      </c>
      <c r="O16" s="10"/>
      <c r="P16" s="39">
        <f>F$15</f>
        <v>0.46474000000000004</v>
      </c>
      <c r="Q16" s="40">
        <v>1</v>
      </c>
      <c r="R16" s="38">
        <f>$M16*IF($O16=10,1.4,IF($O16=9,1.3,IF(OR($O16=1,$O16=2,$O16=3,$O16=4,$O16=5,$O16=6,$O16=7,$O16=8),1+0.03*$O16,1)))*$F$17*IF($P16&gt;=1,$F$21,$P16*$F$21+1-$P16)*$Q16*(1+$F$20)*(1+$F$22)*((1+$F$23)/(IF(F12=1,1.03,IF(F12=2,1.08,IF(F12=3,1.16,1)))*IF(F13=1,1.2,IF(F13=2,1.25,IF(F13=3,1.3,1)))))*(1+$F$24)*(1+$F$25)*(1+$F$16)</f>
        <v>3892197290.4437299</v>
      </c>
      <c r="S16" s="38">
        <f>$M16*IF($O16=10,1.4,IF($O16=9,1.3,IF(OR($O16=1,$O16=2,$O16=3,$O16=4,$O16=5,$O16=6,$O16=7,$O16=8),1+0.03*$O16,1)))*$F$17*IF($P16&gt;=1,$F$21+0.775,$P16*($F$21+0.775)+1-$P16)*$Q16*(1+$F$20)*(1+$F$22)*((1+$F$23)/(IF(F12=1,1.03,IF(F12=2,1.08,IF(F12=3,1.16,1)))*IF(F13=1,1.2,IF(F13=2,1.25,IF(F13=3,1.3,1)))))*(1+$F$24)*(1+$F$25)*(1+$F$16)</f>
        <v>4849272485.2152481</v>
      </c>
      <c r="T16" s="38">
        <f>$M16*IF($O16=10,1.4,IF($O16=9,1.3,IF(OR($O16=1,$O16=2,$O16=3,$O16=4,$O16=5,$O16=6,$O16=7,$O16=8),1+0.03*$O16,1)))*$F$17*($F$21+0.5)*$Q16*(1+$F$20)*(1+$F$22)*((1+$F$23)/(IF(F12=1,1.03,IF(F12=2,1.08,IF(F12=3,1.16,1)))*IF(F13=1,1.2,IF(F13=2,1.25,IF(F13=3,1.3,1)))))*(1+$F$24)*(1+$F$25)*(1+$F$16)</f>
        <v>6643153888.1366816</v>
      </c>
      <c r="U16" s="38">
        <f>$M16*IF($O16=10,1.4,IF($O16=9,1.3,IF(OR($O16=1,$O16=2,$O16=3,$O16=4,$O16=5,$O16=6,$O16=7,$O16=8),1+0.03*$O16,1)))*$F$17*($F$21+0.5+0.775)*$Q16*(1+$F$20)*(1+$F$22)*((1+$F$23)/(IF(F12=1,1.03,IF(F12=2,1.08,IF(F12=3,1.16,1)))*IF(F13=1,1.2,IF(F13=2,1.25,IF(F13=3,1.3,1)))))*(1+$F$24)*(1+$F$25)*(1+$F$16)</f>
        <v>8702531593.459053</v>
      </c>
    </row>
    <row r="17" spans="2:21" ht="16.5" customHeight="1" thickBot="1">
      <c r="B17" s="119" t="s">
        <v>54</v>
      </c>
      <c r="C17" s="120"/>
      <c r="E17" s="26" t="s">
        <v>22</v>
      </c>
      <c r="F17" s="28">
        <f>C6+IF(F9=1,0.03*C6,IF(F9=2,0.08*C6,IF(F9=3,0.16*C6,0)))+IF(F11=1,0.04*C6,IF(F11=2,0.1*C6,IF(F11=3,0.18*C6,0)))+IF(F6=1,0.018*C6,IF(F6=2,0.036*C6,IF(F6=3,0.06*C6,0)))</f>
        <v>42400</v>
      </c>
      <c r="H17" s="36" t="s">
        <v>107</v>
      </c>
      <c r="I17" s="46"/>
      <c r="J17" s="47" t="s">
        <v>108</v>
      </c>
      <c r="K17" s="45"/>
      <c r="L17" s="44"/>
      <c r="M17" s="117">
        <v>34814</v>
      </c>
      <c r="N17" s="118"/>
      <c r="O17" s="10"/>
      <c r="P17" s="39">
        <f>F$15</f>
        <v>0.46474000000000004</v>
      </c>
      <c r="Q17" s="40">
        <v>1.48</v>
      </c>
      <c r="R17" s="38">
        <f>$M17*IF($O17=10,1.4,IF($O17=9,1.3,IF(OR($O17=1,$O17=2,$O17=3,$O17=4,$O17=5,$O17=6,$O17=7,$O17=8),1+0.03*$O17,1)))*$F$17*IF($P17&gt;=1,$F$21+5.04,$P17*($F$21+5.04)+1-$P17)*$Q17*(1+$F$20)*(1+$F$22)*(1+$F$23)*(1+$F$24)*(1+$F$25)*(1+$F$16)</f>
        <v>76142670856.681686</v>
      </c>
      <c r="S17" s="38">
        <f>$M17*IF($O17=10,1.4,IF($O17=9,1.3,IF(OR($O17=1,$O17=2,$O17=3,$O17=4,$O17=5,$O17=6,$O17=7,$O17=8),1+0.03*$O17,1)))*$F$17*IF($P17&gt;=1,$F$21+5.04+0.775,$P17*($F$21+5.04+0.775)+1-$P17)*$Q17*(1+$F$20)*(1+$F$22)*(1+$F$23)*(1+$F$24)*(1+$F$25)*(1+$F$16)</f>
        <v>83346337532.086334</v>
      </c>
      <c r="T17" s="38">
        <f>$M17*IF($O17=10,1.4,IF($O17=9,1.3,IF(OR($O17=1,$O17=2,$O17=3,$O17=4,$O17=5,$O17=6,$O17=7,$O17=8),1+0.03*$O17,1)))*$F$17*($F$21+5.04+0.5)*$Q17*(1+$F$20)*(1+$F$22)*(1+$F$23)*(1+$F$24)*(1+$F$25)*(1+$F$16)</f>
        <v>150804117272.78925</v>
      </c>
      <c r="U17" s="38">
        <f>$M17*IF($O17=10,1.4,IF($O17=9,1.3,IF(OR($O17=1,$O17=2,$O17=3,$O17=4,$O17=5,$O17=6,$O17=7,$O17=8),1+0.03*$O17,1)))*$F$17*($F$21+5.04+0.5+0.775)*$Q17*(1+$F$20)*(1+$F$22)*(1+$F$23)*(1+$F$24)*(1+$F$25)*(1+$F$16)</f>
        <v>166304540467.27353</v>
      </c>
    </row>
    <row r="18" spans="2:21" ht="16.5" customHeight="1" thickBot="1">
      <c r="B18" s="7" t="s">
        <v>60</v>
      </c>
      <c r="C18" s="31">
        <v>6000</v>
      </c>
      <c r="E18" s="26" t="s">
        <v>25</v>
      </c>
      <c r="F18" s="27">
        <f>1+C5*0.0001717+IF(C21&gt;=4,0.1,0)+IF(C22=6,0.15,IF(C22=4,0.12,0))+IF(OR(F11=1,F11=2,F11=3),-0.1,0)</f>
        <v>1.0085850000000001</v>
      </c>
      <c r="H18" s="36" t="s">
        <v>109</v>
      </c>
      <c r="I18" s="46" t="s">
        <v>88</v>
      </c>
      <c r="J18" s="47" t="s">
        <v>110</v>
      </c>
      <c r="K18" s="10"/>
      <c r="L18" s="42">
        <f>8*(1-F$19)*(1-0.02*K18)</f>
        <v>7.9141199999999996</v>
      </c>
      <c r="M18" s="40">
        <v>3954</v>
      </c>
      <c r="N18" s="41">
        <v>4474</v>
      </c>
      <c r="O18" s="10"/>
      <c r="P18" s="39">
        <f>F$15+0.4</f>
        <v>0.86474000000000006</v>
      </c>
      <c r="Q18" s="40">
        <v>1</v>
      </c>
      <c r="R18" s="38">
        <f>$M18*IF($O18=10,1.4,IF($O18=9,1.3,IF(OR($O18=1,$O18=2,$O18=3,$O18=4,$O18=5,$O18=6,$O18=7,$O18=8),1+0.03*$O18,1)))*$F$17*IF($P18&gt;=1,$F$21,$P18*$F$21+1-$P18)*$Q18*(1+$F$20)*(1+$F$22)*((1+$F$23)/(IF(F12=1,1.03,IF(F12=2,1.08,IF(F12=3,1.16,1)))*IF(F13=1,1.2,IF(F13=2,1.25,IF(F13=3,1.3,1)))))*(1+$F$24)*(1+$F$25)*(1+$F$16)</f>
        <v>2056089092.4761567</v>
      </c>
      <c r="S18" s="38">
        <f>$M18*IF($O18=10,1.4,IF($O18=9,1.3,IF(OR($O18=1,$O18=2,$O18=3,$O18=4,$O18=5,$O18=6,$O18=7,$O18=8),1+0.03*$O18,1)))*$F$17*IF($P18&gt;=1,$F$21+0.775,$P18*($F$21+0.775)+1-$P18)*$Q18*(1+$F$20)*(1+$F$22)*((1+$F$23)/(IF(F12=1,1.03,IF(F12=2,1.08,IF(F12=3,1.16,1)))*IF(F13=1,1.2,IF(F13=2,1.25,IF(F13=3,1.3,1)))))*(1+$F$24)*(1+$F$25)*(1+$F$16)</f>
        <v>2795032013.9647126</v>
      </c>
      <c r="T18" s="38">
        <f>$M18*IF($O18=10,1.4,IF($O18=9,1.3,IF(OR($O18=1,$O18=2,$O18=3,$O18=4,$O18=5,$O18=6,$O18=7,$O18=8),1+0.03*$O18,1)))*$F$17*($F$21+0.5)*$Q18*(1+$F$20)*(1+$F$22)*((1+$F$23)/(IF(F12=1,1.03,IF(F12=2,1.08,IF(F12=3,1.16,1)))*IF(F13=1,1.2,IF(F13=2,1.25,IF(F13=3,1.3,1)))))*(1+$F$24)*(1+$F$25)*(1+$F$16)</f>
        <v>2756535887.6789212</v>
      </c>
      <c r="U18" s="38">
        <f>$M18*IF($O18=10,1.4,IF($O18=9,1.3,IF(OR($O18=1,$O18=2,$O18=3,$O18=4,$O18=5,$O18=6,$O18=7,$O18=8),1+0.03*$O18,1)))*$F$17*($F$21+0.5+0.775)*$Q18*(1+$F$20)*(1+$F$22)*((1+$F$23)/(IF(F12=1,1.03,IF(F12=2,1.08,IF(F12=3,1.16,1)))*IF(F13=1,1.2,IF(F13=2,1.25,IF(F13=3,1.3,1)))))*(1+$F$24)*(1+$F$25)*(1+$F$16)</f>
        <v>3611062012.8593864</v>
      </c>
    </row>
    <row r="19" spans="2:21" ht="16.5" customHeight="1" thickBot="1">
      <c r="E19" s="26" t="s">
        <v>29</v>
      </c>
      <c r="F19" s="27">
        <f>1-(1-C5*0.0002147)*IF(C22=6,0.77*0.8,IF(C22=4,0.77,1))*IF(OR(C24=2,C24=4,C24=6),0.82,1)</f>
        <v>1.073500000000005E-2</v>
      </c>
      <c r="H19" s="61" t="s">
        <v>111</v>
      </c>
      <c r="I19" s="54"/>
      <c r="J19" s="55" t="s">
        <v>110</v>
      </c>
      <c r="K19" s="62"/>
      <c r="L19" s="63"/>
      <c r="M19" s="121">
        <v>34814</v>
      </c>
      <c r="N19" s="122"/>
      <c r="O19" s="56"/>
      <c r="P19" s="60">
        <f>F$15+0.4</f>
        <v>0.86474000000000006</v>
      </c>
      <c r="Q19" s="58">
        <f>1.8*1.95</f>
        <v>3.51</v>
      </c>
      <c r="R19" s="67">
        <f>$M19*IF($O19=10,1.4,IF($O19=9,1.3,IF(OR($O19=1,$O19=2,$O19=3,$O19=4,$O19=5,$O19=6,$O19=7,$O19=8),1+0.03*$O19,1)))*$F$17*IF($P19&gt;=1,$F$21,$P19*$F$21+1-$P19)*$Q19*(1+$F$20)*(1+$F$22)*(1+$F$23)*(1+$F$24)*(1+$F$25)*(1+$F$16)</f>
        <v>88451568969.80484</v>
      </c>
      <c r="S19" s="67">
        <f>$M19*IF($O19=10,1.4,IF($O19=9,1.3,IF(OR($O19=1,$O19=2,$O19=3,$O19=4,$O19=5,$O19=6,$O19=7,$O19=8),1+0.03*$O19,1)))*$F$17*IF($P19&gt;=1,$F$21+0.775,$P19*($F$21+0.775)+1-$P19)*$Q19*(1+$F$20)*(1+$F$22)*(1+$F$23)*(1+$F$24)*(1+$F$25)*(1+$F$16)</f>
        <v>120240396129.0793</v>
      </c>
      <c r="T19" s="67">
        <f>$M19*IF($O19=10,1.4,IF($O19=9,1.3,IF(OR($O19=1,$O19=2,$O19=3,$O19=4,$O19=5,$O19=6,$O19=7,$O19=8),1+0.03*$O19,1)))*$F$17*($F$21+0.5)*$Q19*(1+$F$20)*(1+$F$22)*(1+$F$23)*(1+$F$24)*(1+$F$25)*(1+$F$16)</f>
        <v>118584318684.91698</v>
      </c>
      <c r="U19" s="67">
        <f>$M19*IF($O19=10,1.4,IF($O19=9,1.3,IF(OR($O19=1,$O19=2,$O19=3,$O19=4,$O19=5,$O19=6,$O19=7,$O19=8),1+0.03*$O19,1)))*$F$17*($F$21+0.5+0.775)*$Q19*(1+$F$20)*(1+$F$22)*(1+$F$23)*(1+$F$24)*(1+$F$25)*(1+$F$16)</f>
        <v>155345457477.24121</v>
      </c>
    </row>
    <row r="20" spans="2:21" ht="16.5" customHeight="1" thickTop="1" thickBot="1">
      <c r="B20" s="5" t="s">
        <v>55</v>
      </c>
      <c r="C20" s="6" t="s">
        <v>56</v>
      </c>
      <c r="E20" s="26" t="s">
        <v>32</v>
      </c>
      <c r="F20" s="27">
        <f>C7+IF(C21=2,0.0105*20,IF(C21=4,0.0105*40,IF(C21=6,0.0105*60,0)))+IF(OR(C23=4,C23=6),0.2,0)</f>
        <v>0.5</v>
      </c>
      <c r="H20" s="77" t="s">
        <v>112</v>
      </c>
      <c r="I20" s="69"/>
      <c r="J20" s="70" t="s">
        <v>113</v>
      </c>
      <c r="K20" s="71"/>
      <c r="L20" s="72">
        <f>8*(1-F$19)*(1-0.02*K20)</f>
        <v>7.9141199999999996</v>
      </c>
      <c r="M20" s="73">
        <f>4260+6393</f>
        <v>10653</v>
      </c>
      <c r="N20" s="74">
        <f>4818+7231</f>
        <v>12049</v>
      </c>
      <c r="O20" s="71"/>
      <c r="P20" s="75">
        <f>F$15</f>
        <v>0.46474000000000004</v>
      </c>
      <c r="Q20" s="73">
        <v>1.708</v>
      </c>
      <c r="R20" s="76">
        <f>$M20*IF($O20=10,1.4,IF($O20=9,1.3,IF(OR($O20=1,$O20=2,$O20=3,$O20=4,$O20=5,$O20=6,$O20=7,$O20=8),1+0.03*$O20,1)))*$F$17*IF($P20&gt;=1,$F$21,$P20*$F$21+1-$P20)*$Q20*(1+$F$20)*(1+$F$22)*((1+$F$23)/(IF(F4=1,1.04,IF(F4=2,1.088,IF(F4=3,1.18,1)))*IF(F5=1,1.03,IF(F5=2,1.08,IF(F5=3,1.16,1)))*IF(F13=1,1.2,IF(F13=2,1.25,IF(F13=3,1.3,1)))))*(1+$F$24)*(1+$F$25)</f>
        <v>3312712861.0622506</v>
      </c>
      <c r="S20" s="76">
        <f>$M20*IF($O20=10,1.4,IF($O20=9,1.3,IF(OR($O20=1,$O20=2,$O20=3,$O20=4,$O20=5,$O20=6,$O20=7,$O20=8),1+0.03*$O20,1)))*$F$17*IF($P20&gt;=1,$F$21+0.775,$P20*($F$21+0.775)+1-$P20)*$Q20*(1+$F$20)*(1+$F$22)*((1+$F$23)/(IF(F4=1,1.04,IF(F4=2,1.088,IF(F4=3,1.18,1)))*IF(F5=1,1.03,IF(F5=2,1.08,IF(F5=3,1.16,1)))*IF(F13=1,1.2,IF(F13=2,1.25,IF(F13=3,1.3,1)))))*(1+$F$24)*(1+$F$25)</f>
        <v>4127295234.4963112</v>
      </c>
      <c r="T20" s="76">
        <f>$M20*IF($O20=10,1.4,IF($O20=9,1.3,IF(OR($O20=1,$O20=2,$O20=3,$O20=4,$O20=5,$O20=6,$O20=7,$O20=8),1+0.03*$O20,1)))*$F$17*($F$21+0.5)*$Q20*(1+$F$20)*(1+$F$22)*((1+$F$23)/(IF(F4=1,1.04,IF(F4=2,1.088,IF(F4=3,1.18,1)))*IF(F5=1,1.03,IF(F5=2,1.08,IF(F5=3,1.16,1)))*IF(F13=1,1.2,IF(F13=2,1.25,IF(F13=3,1.3,1)))))*(1+$F$24)*(1+$F$25)</f>
        <v>5654097077.0618858</v>
      </c>
      <c r="U20" s="76">
        <f>$M20*IF($O20=10,1.4,IF($O20=9,1.3,IF(OR($O20=1,$O20=2,$O20=3,$O20=4,$O20=5,$O20=6,$O20=7,$O20=8),1+0.03*$O20,1)))*$F$17*($F$21+0.5+0.775)*$Q20*(1+$F$20)*(1+$F$22)*((1+$F$23)/(IF(F4=1,1.04,IF(F4=2,1.088,IF(F4=3,1.18,1)))*IF(F5=1,1.03,IF(F5=2,1.08,IF(F5=3,1.16,1)))*IF(F13=1,1.2,IF(F13=2,1.25,IF(F13=3,1.3,1)))))*(1+$F$24)*(1+$F$25)</f>
        <v>7406867170.9510717</v>
      </c>
    </row>
    <row r="21" spans="2:21" ht="16.5" customHeight="1">
      <c r="B21" s="13" t="s">
        <v>61</v>
      </c>
      <c r="C21" s="8"/>
      <c r="E21" s="26" t="s">
        <v>35</v>
      </c>
      <c r="F21" s="27">
        <f>2+C11+IF(F7=1,0.1,IF(F7=2,0.25,IF(F7=3,0.5,0)))+IF(OR(F10=1,F10=2,F10=3),-0.12,0)</f>
        <v>2</v>
      </c>
      <c r="H21" s="40" t="s">
        <v>112</v>
      </c>
      <c r="I21" s="46"/>
      <c r="J21" s="47" t="s">
        <v>114</v>
      </c>
      <c r="K21" s="10"/>
      <c r="L21" s="42">
        <f>8*(1-F$19)*(1-0.02*K21)</f>
        <v>7.9141199999999996</v>
      </c>
      <c r="M21" s="40">
        <f>4260+6393</f>
        <v>10653</v>
      </c>
      <c r="N21" s="41">
        <f>4818+7231</f>
        <v>12049</v>
      </c>
      <c r="O21" s="10"/>
      <c r="P21" s="39">
        <f>F$15</f>
        <v>0.46474000000000004</v>
      </c>
      <c r="Q21" s="40">
        <f>1.15*1.45</f>
        <v>1.6674999999999998</v>
      </c>
      <c r="R21" s="38">
        <f>$M21*IF($O21=10,1.4,IF($O21=9,1.3,IF(OR($O21=1,$O21=2,$O21=3,$O21=4,$O21=5,$O21=6,$O21=7,$O21=8),1+0.03*$O21,1)))*$F$17*IF($P21&gt;=1,$F$21,$P21*$F$21+1-$P21)*$Q21*(1+$F$20)*(1+$F$22)*((1+$F$23)/(IF(F4=1,1.04,IF(F4=2,1.088,IF(F4=3,1.18,1)))*IF(F5=1,1.03,IF(F5=2,1.08,IF(F5=3,1.16,1)))*IF(F13=1,1.2,IF(F13=2,1.25,IF(F13=3,1.3,1)))))*(1+$F$24)*(1+$F$25)</f>
        <v>3234161999.8953767</v>
      </c>
      <c r="S21" s="38">
        <f>$M21*IF($O21=10,1.4,IF($O21=9,1.3,IF(OR($O21=1,$O21=2,$O21=3,$O21=4,$O21=5,$O21=6,$O21=7,$O21=8),1+0.03*$O21,1)))*$F$17*IF($P21&gt;=1,$F$21+0.775,$P21*($F$21+0.775)+1-$P21)*$Q21*(1+$F$20)*(1+$F$22)*((1+$F$23)/(IF(F4=1,1.04,IF(F4=2,1.088,IF(F4=3,1.18,1)))*IF(F5=1,1.03,IF(F5=2,1.08,IF(F5=3,1.16,1)))*IF(F13=1,1.2,IF(F13=2,1.25,IF(F13=3,1.3,1)))))*(1+$F$24)*(1+$F$25)</f>
        <v>4029429041.8750572</v>
      </c>
      <c r="T21" s="38">
        <f>$M21*IF($O21=10,1.4,IF($O21=9,1.3,IF(OR($O21=1,$O21=2,$O21=3,$O21=4,$O21=5,$O21=6,$O21=7,$O21=8),1+0.03*$O21,1)))*$F$17*($F$21+0.5)*$Q21*(1+$F$20)*(1+$F$22)*((1+$F$23)/(IF(F4=1,1.04,IF(F4=2,1.088,IF(F4=3,1.18,1)))*IF(F5=1,1.03,IF(F5=2,1.08,IF(F5=3,1.16,1)))*IF(F13=1,1.2,IF(F13=2,1.25,IF(F13=3,1.3,1)))))*(1+$F$24)*(1+$F$25)</f>
        <v>5520027444.9652777</v>
      </c>
      <c r="U21" s="38">
        <f>$M21*IF($O21=10,1.4,IF($O21=9,1.3,IF(OR($O21=1,$O21=2,$O21=3,$O21=4,$O21=5,$O21=6,$O21=7,$O21=8),1+0.03*$O21,1)))*$F$17*($F$21+0.5+0.775)*$Q21*(1+$F$20)*(1+$F$22)*((1+$F$23)/(IF(F4=1,1.04,IF(F4=2,1.088,IF(F4=3,1.18,1)))*IF(F5=1,1.03,IF(F5=2,1.08,IF(F5=3,1.16,1)))*IF(F13=1,1.2,IF(F13=2,1.25,IF(F13=3,1.3,1)))))*(1+$F$24)*(1+$F$25)</f>
        <v>7231235952.9045134</v>
      </c>
    </row>
    <row r="22" spans="2:21" ht="16.5" customHeight="1">
      <c r="B22" s="13" t="s">
        <v>67</v>
      </c>
      <c r="C22" s="10"/>
      <c r="E22" s="26" t="s">
        <v>42</v>
      </c>
      <c r="F22" s="27">
        <f>(1+C13)*(1+C14)*(1+C15)-1</f>
        <v>0</v>
      </c>
      <c r="H22" s="37" t="s">
        <v>84</v>
      </c>
      <c r="I22" s="46"/>
      <c r="J22" s="47" t="s">
        <v>115</v>
      </c>
      <c r="K22" s="10"/>
      <c r="L22" s="42">
        <f>12*(1-F$19)*(1-0.02*K22)</f>
        <v>11.871179999999999</v>
      </c>
      <c r="M22" s="40">
        <f>6092+6865</f>
        <v>12957</v>
      </c>
      <c r="N22" s="41">
        <f>6889+7767</f>
        <v>14656</v>
      </c>
      <c r="O22" s="10"/>
      <c r="P22" s="39">
        <f>F$15+0.4</f>
        <v>0.86474000000000006</v>
      </c>
      <c r="Q22" s="40">
        <v>1.45</v>
      </c>
      <c r="R22" s="38">
        <f>$M22*IF($O22=10,1.4,IF($O22=9,1.3,IF(OR($O22=1,$O22=2,$O22=3,$O22=4,$O22=5,$O22=6,$O22=7,$O22=8),1+0.03*$O22,1)))*$F$17*IF($P22&gt;=1,$F$21,$P22*$F$21+1-$P22)*$Q22*(1+$F$20)*(1+$F$22)*((1+$F$23)/(IF(F4=1,1.04,IF(F4=2,1.088,IF(F4=3,1.18,1)))*IF(F5=1,1.03,IF(F5=2,1.08,IF(F5=3,1.16,1)))*IF(F13=1,1.2,IF(F13=2,1.25,IF(F13=3,1.3,1)))))*(1+$F$24)*(1+$F$25)</f>
        <v>4354659543.0844803</v>
      </c>
      <c r="S22" s="38">
        <f>$M22*IF($O22=10,1.4,IF($O22=9,1.3,IF(OR($O22=1,$O22=2,$O22=3,$O22=4,$O22=5,$O22=6,$O22=7,$O22=8),1+0.03*$O22,1)))*$F$17*IF($P22&gt;=1,$F$21+0.775,$P22*($F$21+0.775)+1-$P22)*$Q22*(1+$F$20)*(1+$F$22)*((1+$F$23)/(IF(F4=1,1.04,IF(F4=2,1.088,IF(F4=3,1.18,1)))*IF(F5=1,1.03,IF(F5=2,1.08,IF(F5=3,1.16,1)))*IF(F13=1,1.2,IF(F13=2,1.25,IF(F13=3,1.3,1)))))*(1+$F$24)*(1+$F$25)</f>
        <v>5919691358.4031448</v>
      </c>
      <c r="T22" s="38">
        <f>$M22*IF($O22=10,1.4,IF($O22=9,1.3,IF(OR($O22=1,$O22=2,$O22=3,$O22=4,$O22=5,$O22=6,$O22=7,$O22=8),1+0.03*$O22,1)))*$F$17*($F$21+0.5)*$Q22*(1+$F$20)*(1+$F$22)*((1+$F$23)/(IF(F4=1,1.04,IF(F4=2,1.088,IF(F4=3,1.18,1)))*IF(F5=1,1.03,IF(F5=2,1.08,IF(F5=3,1.16,1)))*IF(F13=1,1.2,IF(F13=2,1.25,IF(F13=3,1.3,1)))))*(1+$F$24)*(1+$F$25)</f>
        <v>5838159130.8767977</v>
      </c>
      <c r="U22" s="38">
        <f>$M22*IF($O22=10,1.4,IF($O22=9,1.3,IF(OR($O22=1,$O22=2,$O22=3,$O22=4,$O22=5,$O22=6,$O22=7,$O22=8),1+0.03*$O22,1)))*$F$17*($F$21+0.5+0.775)*$Q22*(1+$F$20)*(1+$F$22)*((1+$F$23)/(IF(F4=1,1.04,IF(F4=2,1.088,IF(F4=3,1.18,1)))*IF(F5=1,1.03,IF(F5=2,1.08,IF(F5=3,1.16,1)))*IF(F13=1,1.2,IF(F13=2,1.25,IF(F13=3,1.3,1)))))*(1+$F$24)*(1+$F$25)</f>
        <v>7647988461.4486055</v>
      </c>
    </row>
    <row r="23" spans="2:21" ht="16.5" customHeight="1">
      <c r="B23" s="13" t="s">
        <v>69</v>
      </c>
      <c r="C23" s="10">
        <v>6</v>
      </c>
      <c r="E23" s="26" t="s">
        <v>45</v>
      </c>
      <c r="F23" s="27">
        <f>PRODUCT(IF(F4=1,1.04,IF(F4=2,1.088,IF(F4=3,1.18,1))),IF(F5=1,1.03,IF(F5=2,1.08,IF(F5=3,1.16,1))),IF(OR(F7=1,F7=2,F7=3),0.98,1),IF(F8=1,1.04,IF(F8=2,1.1,IF(F8=3,1.2,1))),IF(F12=1,1.03,IF(F12=2,1.08,IF(F12=3,1.16,1))),IF(F13=1,1.2,IF(F13=2,1.25,IF(F13=3,1.3,1))))-1</f>
        <v>1.2864435199999993</v>
      </c>
      <c r="H23" s="37" t="s">
        <v>116</v>
      </c>
      <c r="I23" s="46"/>
      <c r="J23" s="47" t="s">
        <v>101</v>
      </c>
      <c r="K23" s="10"/>
      <c r="L23" s="42">
        <f>16*(1-F$19)*(1-0.02*K23)</f>
        <v>15.828239999999999</v>
      </c>
      <c r="M23" s="40">
        <v>46853</v>
      </c>
      <c r="N23" s="41">
        <v>53003</v>
      </c>
      <c r="O23" s="10"/>
      <c r="P23" s="39">
        <f>F$15</f>
        <v>0.46474000000000004</v>
      </c>
      <c r="Q23" s="40">
        <f>1.5*2</f>
        <v>3</v>
      </c>
      <c r="R23" s="38">
        <f>$M23*IF($O23=10,1.4,IF($O23=9,1.3,IF(OR($O23=1,$O23=2,$O23=3,$O23=4,$O23=5,$O23=6,$O23=7,$O23=8),1+0.03*$O23,1)))*$F$17*IF($P23&gt;=1,$F$21,$P23*$F$21+1-$P23)*$Q23*(1+$F$20)*(1+$F$22)*((1+$F$23)/(IF(F4=1,1.04,IF(F4=2,1.088,IF(F4=3,1.18,1)))*IF(F5=1,1.03,IF(F5=2,1.08,IF(F5=3,1.16,1)))*IF(F13=1,1.2,IF(F13=2,1.25,IF(F13=3,1.3,1)))))*(1+$F$24)*(1+$F$25)</f>
        <v>25590729081.716213</v>
      </c>
      <c r="S23" s="38">
        <f>$M23*IF($O23=10,1.4,IF($O23=9,1.3,IF(OR($O23=1,$O23=2,$O23=3,$O23=4,$O23=5,$O23=6,$O23=7,$O23=8),1+0.03*$O23,1)))*$F$17*IF($P23&gt;=1,$F$21+0.775,$P23*($F$21+0.775)+1-$P23)*$Q23*(1+$F$20)*(1+$F$22)*((1+$F$23)/(IF(F4=1,1.04,IF(F4=2,1.088,IF(F4=3,1.18,1)))*IF(F5=1,1.03,IF(F5=2,1.08,IF(F5=3,1.16,1)))*IF(F13=1,1.2,IF(F13=2,1.25,IF(F13=3,1.3,1)))))*(1+$F$24)*(1+$F$25)</f>
        <v>31883383382.761795</v>
      </c>
      <c r="T23" s="38">
        <f>$M23*IF($O23=10,1.4,IF($O23=9,1.3,IF(OR($O23=1,$O23=2,$O23=3,$O23=4,$O23=5,$O23=6,$O23=7,$O23=8),1+0.03*$O23,1)))*$F$17*($F$21+0.5)*$Q23*(1+$F$20)*(1+$F$22)*((1+$F$23)/(IF(F4=1,1.04,IF(F4=2,1.088,IF(F4=3,1.18,1)))*IF(F5=1,1.03,IF(F5=2,1.08,IF(F5=3,1.16,1)))*IF(F13=1,1.2,IF(F13=2,1.25,IF(F13=3,1.3,1)))))*(1+$F$24)*(1+$F$25)</f>
        <v>43677937862.207985</v>
      </c>
      <c r="U23" s="38">
        <f>$M23*IF($O23=10,1.4,IF($O23=9,1.3,IF(OR($O23=1,$O23=2,$O23=3,$O23=4,$O23=5,$O23=6,$O23=7,$O23=8),1+0.03*$O23,1)))*$F$17*($F$21+0.5+0.775)*$Q23*(1+$F$20)*(1+$F$22)*((1+$F$23)/(IF(F4=1,1.04,IF(F4=2,1.088,IF(F4=3,1.18,1)))*IF(F5=1,1.03,IF(F5=2,1.08,IF(F5=3,1.16,1)))*IF(F13=1,1.2,IF(F13=2,1.25,IF(F13=3,1.3,1)))))*(1+$F$24)*(1+$F$25)</f>
        <v>57218098599.492462</v>
      </c>
    </row>
    <row r="24" spans="2:21" ht="16.5" customHeight="1" thickBot="1">
      <c r="B24" s="13" t="s">
        <v>72</v>
      </c>
      <c r="C24" s="10"/>
      <c r="E24" s="26" t="s">
        <v>48</v>
      </c>
      <c r="F24" s="27">
        <f>PRODUCT(IF(C21=6,1.06,1),IF(OR(C22=2,C22=4,C22=6),1.17,1),IF(C23=6,1.2*1.17,IF(OR(C23=2,C23=4),1.17,1)),IF(C24=2,1.1,IF(C24=4,1.31,IF(C24=6,1.31*1.2,1))),IF(C25=6,1.32,IF(OR(C25=2,C25=4),1.17,1)))-1</f>
        <v>0.40399999999999991</v>
      </c>
      <c r="H24" s="37" t="s">
        <v>116</v>
      </c>
      <c r="I24" s="46"/>
      <c r="J24" s="47" t="s">
        <v>117</v>
      </c>
      <c r="K24" s="11"/>
      <c r="L24" s="42">
        <f>16*(1-F$19)*(1-0.02*K24)</f>
        <v>15.828239999999999</v>
      </c>
      <c r="M24" s="40">
        <v>46853</v>
      </c>
      <c r="N24" s="41">
        <v>53003</v>
      </c>
      <c r="O24" s="11"/>
      <c r="P24" s="39">
        <f>F$15</f>
        <v>0.46474000000000004</v>
      </c>
      <c r="Q24" s="40">
        <v>1.75</v>
      </c>
      <c r="R24" s="38">
        <f>($M24*IF($O24=10,1.4,IF($O24=9,1.3,IF(OR($O24=1,$O24=2,$O24=3,$O24=4,$O24=5,$O24=6,$O24=7,$O24=8),1+0.03*$O24,1)))*(1+$F$24)*$Q24+12443*11*IF(OR(C22=2,C22=4,C22=6,C23=2,C23=4,C23=6),(F24+1)/1.17,IF(C24=2,(F24+1)/1.1,IF(OR(C24=4,C24=6),(F24+1)/1.31,F24+1))))*$F$17*IF($P24&gt;=1,$F$21,$P24*$F$21+1-$P24)*(1+$F$20)*(1+$F$22)*((1+$F$23)/(IF(F4=1,1.04,IF(F4=2,1.088,IF(F4=3,1.18,1)))*IF(F5=1,1.03,IF(F5=2,1.08,IF(F5=3,1.16,1)))*IF(F13=1,1.2,IF(F13=2,1.25,IF(F13=3,1.3,1)))))*(1+$F$25)</f>
        <v>36226764016.316055</v>
      </c>
      <c r="S24" s="38">
        <f>($M24*IF($O24=10,1.4,IF($O24=9,1.3,IF(OR($O24=1,$O24=2,$O24=3,$O24=4,$O24=5,$O24=6,$O24=7,$O24=8),1+0.03*$O24,1)))*(1+$F$24)*$Q24+12443*11*IF(OR(C22=2,C22=4,C22=6,C23=2,C23=4,C23=6),(F24+1)/1.17,IF(C24=2,(F24+1)/1.1,IF(OR(C24=4,C24=6),(F24+1)/1.31,F24+1))))*$F$17*IF($P24&gt;=1,$F$21+0.775,$P24*($F$21+0.775)+1-$P24)*(1+$F$20)*(1+$F$22)*((1+$F$23)/(IF(F4=1,1.04,IF(F4=2,1.088,IF(F4=3,1.18,1)))*IF(F5=1,1.03,IF(F5=2,1.08,IF(F5=3,1.16,1)))*IF(F13=1,1.2,IF(F13=2,1.25,IF(F13=3,1.3,1)))))*(1+$F$25)</f>
        <v>45134775260.243729</v>
      </c>
      <c r="T24" s="38">
        <f>($M24*IF($O24=10,1.4,IF($O24=9,1.3,IF(OR($O24=1,$O24=2,$O24=3,$O24=4,$O24=5,$O24=6,$O24=7,$O24=8),1+0.03*$O24,1)))*(1+$F$24)*$Q24+12443*11*IF(OR(C22=2,C22=4,C22=6,C23=2,C23=4,C23=6),(F24+1)/1.17,IF(C24=2,(F24+1)/1.1,IF(OR(C24=4,C24=6),(F24+1)/1.31,F24+1))))*$F$17*($F$21+0.5)*(1+$F$20)*(1+$F$22)*((1+$F$23)/(IF(F4=1,1.04,IF(F4=2,1.088,IF(F4=3,1.18,1)))*IF(F5=1,1.03,IF(F5=2,1.08,IF(F5=3,1.16,1)))*IF(F13=1,1.2,IF(F13=2,1.25,IF(F13=3,1.3,1)))))*(1+$F$25)</f>
        <v>61831389899.087982</v>
      </c>
      <c r="U24" s="38">
        <f>($M24*IF($O24=10,1.4,IF($O24=9,1.3,IF(OR($O24=1,$O24=2,$O24=3,$O24=4,$O24=5,$O24=6,$O24=7,$O24=8),1+0.03*$O24,1)))*(1+$F$24)*$Q24+12443*11*IF(OR(C22=2,C22=4,C22=6,C23=2,C23=4,C23=6),(F24+1)/1.17,IF(C24=2,(F24+1)/1.1,IF(OR(C24=4,C24=6),(F24+1)/1.31,F24+1))))*$F$17*($F$21+0.5+0.775)*(1+$F$20)*(1+$F$22)*((1+$F$23)/(IF(F4=1,1.04,IF(F4=2,1.088,IF(F4=3,1.18,1)))*IF(F5=1,1.03,IF(F5=2,1.08,IF(F5=3,1.16,1)))*IF(F13=1,1.2,IF(F13=2,1.25,IF(F13=3,1.3,1)))))*(1+$F$25)</f>
        <v>80999120767.805252</v>
      </c>
    </row>
    <row r="25" spans="2:21" ht="16.5" customHeight="1" thickBot="1">
      <c r="B25" s="13" t="s">
        <v>74</v>
      </c>
      <c r="C25" s="11"/>
      <c r="E25" s="26" t="s">
        <v>52</v>
      </c>
      <c r="F25" s="27">
        <f>(C18+6500)/(C18*(1-C12)+6500)-1</f>
        <v>0</v>
      </c>
      <c r="H25" s="64" t="s">
        <v>118</v>
      </c>
      <c r="I25" s="51" t="s">
        <v>119</v>
      </c>
      <c r="J25" s="115"/>
      <c r="K25" s="116"/>
      <c r="L25" s="65">
        <f>300*IF(OR(C24=2,C24=4,C24=6),(1-F19)/0.82,1-F19)*IF(F3=1,0.9,IF(F3=2,0.75,IF(F3=3,0.5,1)))*IF(OR(C24=2,C24=4,C24=6),0.8,1)</f>
        <v>296.77949999999998</v>
      </c>
      <c r="M25" s="114">
        <v>578996</v>
      </c>
      <c r="N25" s="114"/>
      <c r="O25" s="43"/>
      <c r="P25" s="66">
        <f>F$15</f>
        <v>0.46474000000000004</v>
      </c>
      <c r="Q25" s="43">
        <v>1</v>
      </c>
      <c r="R25" s="52">
        <f>(1+C4*0.0005464)*F17*(F21*F15+1-F15)*IF(OR(C22=4,C22=6),F20+0.2+1,F20+1)*((1+F23)/(IF(F12=1,1.03,IF(F12=2,1.08,IF(F12=3,1.16,1)))*IF(F13=1,1.2,IF(F13=2,1.25,IF(F13=3,1.3,1)))))*IF(C22=6,1.2*(F24+1)/1.17,IF(OR(C22=2,C22=4,C23=2,C23=4,C23=6),(F24+1)/1.17,IF(C24=2,0.9*(F24+1)/1.1,IF(OR(C24=4,C24=6),0.9*(F24+1)/1.31,F24+1))))*(1+F25)*M25</f>
        <v>210878494900.69339</v>
      </c>
      <c r="S25" s="52">
        <f>(1+C4*0.0005464)*F17*((F21+0.775)*F15+1-F15)*IF(OR(C22=4,C22=6),F20+0.2+1,F20+1)*((1+F23)/(IF(F12=1,1.03,IF(F12=2,1.08,IF(F12=3,1.16,1)))*IF(F13=1,1.2,IF(F13=2,1.25,IF(F13=3,1.3,1)))))*IF(C22=6,1.2*(F24+1)/1.17,IF(OR(C22=2,C22=4,C23=2,C23=4,C23=6),(F24+1)/1.17,IF(C24=2,0.9*(F24+1)/1.1,IF(OR(C24=4,C24=6),0.9*(F24+1)/1.31,F24+1))))*(1+F25)*M25</f>
        <v>262732643475.26285</v>
      </c>
      <c r="T25" s="52">
        <f>(1+C4*0.0005464)*F17*(F21+0.5)*IF(OR(C22=4,C22=6),F20+0.2+1,F20+1)*((1+F23)/(IF(F12=1,1.03,IF(F12=2,1.08,IF(F12=3,1.16,1)))*IF(F13=1,1.2,IF(F13=2,1.25,IF(F13=3,1.3,1)))))*IF(C22=6,1.2*(F24+1)/1.17,IF(OR(C22=2,C22=4,C23=2,C23=4,C23=6),(F24+1)/1.17,IF(C24=2,0.9*(F24+1)/1.1,IF(OR(C24=4,C24=6),0.9*(F24+1)/1.31,F24+1))))*(1+F25)*M25</f>
        <v>359924790236.99329</v>
      </c>
      <c r="U25" s="52">
        <f>(1+C4*0.0005464)*F17*(F21+0.5+0.775)*IF(OR(C22=4,C22=6),F20+0.2+1,F20+1)*((1+F23)/(IF(F12=1,1.03,IF(F12=2,1.08,IF(F12=3,1.16,1)))*IF(F13=1,1.2,IF(F13=2,1.25,IF(F13=3,1.3,1)))))*IF(C22=6,1.2*(F24+1)/1.17,IF(OR(C22=2,C22=4,C23=2,C23=4,C23=6),(F24+1)/1.17,IF(C24=2,0.9*(F24+1)/1.1,IF(OR(C24=4,C24=6),0.9*(F24+1)/1.31,F24+1))))*(1+F25)*M25</f>
        <v>471501475210.46112</v>
      </c>
    </row>
  </sheetData>
  <mergeCells count="12">
    <mergeCell ref="E14:F14"/>
    <mergeCell ref="B2:C2"/>
    <mergeCell ref="B9:C9"/>
    <mergeCell ref="M9:N9"/>
    <mergeCell ref="M11:N11"/>
    <mergeCell ref="M13:N13"/>
    <mergeCell ref="M25:N25"/>
    <mergeCell ref="J25:K25"/>
    <mergeCell ref="M15:N15"/>
    <mergeCell ref="B17:C17"/>
    <mergeCell ref="M17:N17"/>
    <mergeCell ref="M19:N19"/>
  </mergeCells>
  <phoneticPr fontId="1" type="noConversion"/>
  <pageMargins left="0.7" right="0.7" top="0.75" bottom="0.75" header="0.3" footer="0.3"/>
  <ignoredErrors>
    <ignoredError sqref="J3:J24" twoDigitTextYear="1"/>
    <ignoredError sqref="P22 R10:U10 R12:U12 R14:U14 R16:U16 R18:U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ver.22-09-17</vt:lpstr>
      <vt:lpstr>전체스킬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임종길</cp:lastModifiedBy>
  <cp:revision/>
  <dcterms:created xsi:type="dcterms:W3CDTF">2022-07-01T00:29:40Z</dcterms:created>
  <dcterms:modified xsi:type="dcterms:W3CDTF">2022-09-17T10:24:24Z</dcterms:modified>
  <cp:category/>
  <cp:contentStatus/>
</cp:coreProperties>
</file>