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CGS-PLAN\Documents\카카오톡 받은 파일\인벤\새 폴더 (2)\"/>
    </mc:Choice>
  </mc:AlternateContent>
  <xr:revisionPtr revIDLastSave="0" documentId="13_ncr:1_{5F58E2E9-FD63-42AA-B785-B55AD2ED3A39}" xr6:coauthVersionLast="47" xr6:coauthVersionMax="47" xr10:uidLastSave="{00000000-0000-0000-0000-000000000000}"/>
  <bookViews>
    <workbookView xWindow="32055" yWindow="2415" windowWidth="22560" windowHeight="13365" activeTab="1" xr2:uid="{00000000-000D-0000-FFFF-FFFF00000000}"/>
  </bookViews>
  <sheets>
    <sheet name="아브6관 메테오" sheetId="1" r:id="rId1"/>
    <sheet name="경매입찰 계산기" sheetId="2" r:id="rId2"/>
    <sheet name="버스비 입찰금 계산기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3" l="1"/>
  <c r="F27" i="3"/>
  <c r="C27" i="3" s="1"/>
  <c r="F24" i="3"/>
  <c r="F23" i="3"/>
  <c r="C19" i="3"/>
  <c r="C18" i="3"/>
  <c r="F17" i="3"/>
  <c r="C17" i="3"/>
  <c r="G14" i="3" s="1"/>
  <c r="F13" i="3"/>
  <c r="F14" i="3" s="1"/>
  <c r="C8" i="3"/>
  <c r="F7" i="3"/>
  <c r="F4" i="3"/>
  <c r="F3" i="3"/>
  <c r="F3" i="2"/>
  <c r="L9" i="1"/>
  <c r="P9" i="1" s="1"/>
  <c r="D9" i="1"/>
  <c r="D12" i="1" s="1"/>
  <c r="L4" i="1"/>
  <c r="P4" i="1" s="1"/>
  <c r="D4" i="1"/>
  <c r="H4" i="1" s="1"/>
  <c r="H9" i="1" l="1"/>
  <c r="D18" i="1" s="1"/>
  <c r="F4" i="1"/>
  <c r="G4" i="1" s="1"/>
  <c r="N4" i="1"/>
  <c r="O4" i="1" s="1"/>
  <c r="B12" i="1"/>
  <c r="C12" i="1" s="1"/>
  <c r="H12" i="1"/>
  <c r="B18" i="1"/>
  <c r="C18" i="1" s="1"/>
  <c r="D21" i="1"/>
  <c r="H18" i="1"/>
  <c r="N9" i="1"/>
  <c r="O9" i="1" s="1"/>
  <c r="L15" i="1"/>
  <c r="C29" i="3"/>
  <c r="F28" i="3"/>
  <c r="F29" i="3" s="1"/>
  <c r="G24" i="3"/>
  <c r="C7" i="3"/>
  <c r="F18" i="3"/>
  <c r="F19" i="3" s="1"/>
  <c r="F9" i="1"/>
  <c r="G9" i="1" s="1"/>
  <c r="F4" i="2"/>
  <c r="F18" i="1" l="1"/>
  <c r="G18" i="1" s="1"/>
  <c r="C12" i="2"/>
  <c r="C8" i="2"/>
  <c r="B21" i="1"/>
  <c r="C21" i="1" s="1"/>
  <c r="C9" i="3"/>
  <c r="F8" i="3"/>
  <c r="F9" i="3" s="1"/>
  <c r="F12" i="1"/>
  <c r="G12" i="1" s="1"/>
  <c r="D15" i="1"/>
  <c r="L21" i="1"/>
  <c r="P15" i="1"/>
  <c r="J15" i="1"/>
  <c r="K15" i="1" s="1"/>
  <c r="J21" i="1" l="1"/>
  <c r="K21" i="1" s="1"/>
  <c r="B15" i="1"/>
  <c r="C15" i="1" s="1"/>
  <c r="H15" i="1"/>
  <c r="F9" i="2"/>
  <c r="F8" i="2"/>
  <c r="F13" i="2"/>
  <c r="F12" i="2"/>
  <c r="N15" i="1"/>
  <c r="O15" i="1" s="1"/>
  <c r="F15" i="1" l="1"/>
  <c r="G15" i="1" s="1"/>
  <c r="H21" i="1"/>
  <c r="L12" i="1"/>
  <c r="P12" i="1" l="1"/>
  <c r="J12" i="1"/>
  <c r="K12" i="1" s="1"/>
  <c r="G21" i="1"/>
  <c r="F21" i="1"/>
  <c r="N12" i="1" l="1"/>
  <c r="O12" i="1" s="1"/>
  <c r="P21" i="1"/>
  <c r="N21" i="1" l="1"/>
  <c r="O21" i="1" s="1"/>
</calcChain>
</file>

<file path=xl/sharedStrings.xml><?xml version="1.0" encoding="utf-8"?>
<sst xmlns="http://schemas.openxmlformats.org/spreadsheetml/2006/main" count="78" uniqueCount="37">
  <si>
    <t>■ 노메, 파메 시간계산기</t>
  </si>
  <si>
    <t>노메 받은시간</t>
  </si>
  <si>
    <t>▶</t>
  </si>
  <si>
    <t>복구시간</t>
  </si>
  <si>
    <t>파메 받은시간</t>
  </si>
  <si>
    <t>다음파메 시간</t>
  </si>
  <si>
    <t>■ 노파노파찬 계산기</t>
  </si>
  <si>
    <t>1노메(맞이하라 첫노메 받은시간)</t>
  </si>
  <si>
    <t>2노메(받은시간)</t>
  </si>
  <si>
    <t>~</t>
  </si>
  <si>
    <t>마지막파메(맞이하라)</t>
  </si>
  <si>
    <t>2nd 파메</t>
  </si>
  <si>
    <t>1st 파메</t>
  </si>
  <si>
    <t>복구</t>
  </si>
  <si>
    <t>노파노파 안정권 시간(138줄)</t>
  </si>
  <si>
    <t>찬미진입 안정권 시간(113줄)</t>
  </si>
  <si>
    <t>■ 경매 입찰 계산기</t>
  </si>
  <si>
    <t>경매장시세</t>
  </si>
  <si>
    <t>수수료제외 금액</t>
  </si>
  <si>
    <t>경매 참여인원</t>
  </si>
  <si>
    <t>N빵 적정분배금</t>
  </si>
  <si>
    <t>- N빵 입찰</t>
  </si>
  <si>
    <t>입찰 적정금액</t>
  </si>
  <si>
    <t>입찰자 이익금</t>
  </si>
  <si>
    <t>파티원 분배금</t>
  </si>
  <si>
    <t>- 극한의 이득충 입찰</t>
  </si>
  <si>
    <t>■ 6인 버스 입찰계산기</t>
  </si>
  <si>
    <t>미참골드</t>
  </si>
  <si>
    <t>기사 1인당 분배금</t>
  </si>
  <si>
    <t>독식골드</t>
  </si>
  <si>
    <t>총 입찰골드량</t>
  </si>
  <si>
    <t>- 독식 손님</t>
  </si>
  <si>
    <t>- 미참 손님</t>
  </si>
  <si>
    <t>분배받는 금액</t>
  </si>
  <si>
    <t>실제 지불금액</t>
  </si>
  <si>
    <t>■ 5인 버스 입찰계산기</t>
  </si>
  <si>
    <t>■ 4인 버스 입찰계산기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</si>
</sst>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"/>
    <numFmt numFmtId="177" formatCode="_-* #,##0_-;\-* #,##0_-;_-* &quot;-&quot;_-;_-@"/>
    <numFmt numFmtId="178" formatCode="_-* #,##0_-;\-* #,##0_-;_-* &quot;-&quot;??_-;_-@"/>
  </numFmts>
  <fonts count="17">
    <font>
      <sz val="11"/>
      <color theme="1"/>
      <name val="Calibri"/>
      <scheme val="minor"/>
    </font>
    <font>
      <b/>
      <u/>
      <sz val="11"/>
      <color theme="1"/>
      <name val="Malgun Gothic"/>
      <family val="3"/>
      <charset val="129"/>
    </font>
    <font>
      <b/>
      <sz val="11"/>
      <color theme="1"/>
      <name val="Malgun Gothic"/>
      <family val="3"/>
      <charset val="129"/>
    </font>
    <font>
      <sz val="11"/>
      <name val="Calibri"/>
      <family val="2"/>
    </font>
    <font>
      <sz val="11"/>
      <color theme="1"/>
      <name val="Malgun Gothic"/>
      <family val="3"/>
      <charset val="129"/>
    </font>
    <font>
      <b/>
      <u/>
      <sz val="11"/>
      <color theme="1"/>
      <name val="Malgun Gothic"/>
      <family val="3"/>
      <charset val="129"/>
    </font>
    <font>
      <b/>
      <sz val="11"/>
      <color rgb="FFFF0000"/>
      <name val="Malgun Gothic"/>
      <family val="3"/>
      <charset val="129"/>
    </font>
    <font>
      <b/>
      <u/>
      <sz val="11"/>
      <color theme="1"/>
      <name val="Malgun Gothic"/>
      <family val="3"/>
      <charset val="129"/>
    </font>
    <font>
      <b/>
      <u/>
      <sz val="11"/>
      <color rgb="FFFF0000"/>
      <name val="Malgun Gothic"/>
      <family val="3"/>
      <charset val="129"/>
    </font>
    <font>
      <b/>
      <u/>
      <sz val="11"/>
      <color rgb="FFFF0000"/>
      <name val="Malgun Gothic"/>
      <family val="3"/>
      <charset val="129"/>
    </font>
    <font>
      <b/>
      <u/>
      <sz val="11"/>
      <color theme="1"/>
      <name val="Malgun Gothic"/>
      <family val="3"/>
      <charset val="129"/>
    </font>
    <font>
      <b/>
      <u/>
      <sz val="11"/>
      <color theme="1"/>
      <name val="Malgun Gothic"/>
      <family val="3"/>
      <charset val="129"/>
    </font>
    <font>
      <b/>
      <u/>
      <sz val="11"/>
      <color rgb="FFFF0000"/>
      <name val="Malgun Gothic"/>
      <family val="3"/>
      <charset val="129"/>
    </font>
    <font>
      <b/>
      <u/>
      <sz val="11"/>
      <color theme="1"/>
      <name val="Malgun Gothic"/>
      <family val="3"/>
      <charset val="129"/>
    </font>
    <font>
      <sz val="11"/>
      <color theme="1"/>
      <name val="Calibri"/>
      <family val="2"/>
      <scheme val="minor"/>
    </font>
    <font>
      <sz val="11"/>
      <color rgb="FF000000"/>
      <name val="Inconsolata"/>
    </font>
    <font>
      <sz val="8"/>
      <name val="Calibri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  <fill>
      <patternFill patternType="solid">
        <fgColor rgb="FFFF7C80"/>
        <bgColor rgb="FFFF7C8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FF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>
      <alignment vertical="center"/>
    </xf>
    <xf numFmtId="176" fontId="2" fillId="3" borderId="5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2" fillId="3" borderId="8" xfId="0" applyNumberFormat="1" applyFont="1" applyFill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7" fontId="2" fillId="3" borderId="5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77" fontId="2" fillId="0" borderId="5" xfId="0" applyNumberFormat="1" applyFont="1" applyBorder="1" applyAlignment="1">
      <alignment horizontal="center" vertical="center"/>
    </xf>
    <xf numFmtId="177" fontId="2" fillId="3" borderId="5" xfId="0" applyNumberFormat="1" applyFont="1" applyFill="1" applyBorder="1" applyAlignment="1">
      <alignment horizontal="center" vertical="center"/>
    </xf>
    <xf numFmtId="177" fontId="6" fillId="0" borderId="5" xfId="0" applyNumberFormat="1" applyFont="1" applyBorder="1" applyAlignment="1">
      <alignment vertical="center"/>
    </xf>
    <xf numFmtId="178" fontId="2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77" fontId="12" fillId="0" borderId="5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177" fontId="14" fillId="0" borderId="0" xfId="0" applyNumberFormat="1" applyFont="1" applyAlignment="1">
      <alignment vertical="center"/>
    </xf>
    <xf numFmtId="0" fontId="15" fillId="5" borderId="0" xfId="0" applyFont="1" applyFill="1" applyAlignment="1">
      <alignment vertical="center"/>
    </xf>
    <xf numFmtId="176" fontId="4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77" fontId="8" fillId="0" borderId="11" xfId="0" applyNumberFormat="1" applyFont="1" applyBorder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0" fontId="10" fillId="0" borderId="7" xfId="0" quotePrefix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P1000"/>
  <sheetViews>
    <sheetView showGridLines="0" workbookViewId="0">
      <selection activeCell="W15" sqref="W15"/>
    </sheetView>
  </sheetViews>
  <sheetFormatPr defaultColWidth="14.42578125" defaultRowHeight="15" customHeight="1"/>
  <cols>
    <col min="1" max="1" width="3.85546875" customWidth="1"/>
    <col min="2" max="3" width="7.5703125" customWidth="1"/>
    <col min="4" max="4" width="7.5703125" hidden="1" customWidth="1"/>
    <col min="5" max="7" width="7.5703125" customWidth="1"/>
    <col min="8" max="8" width="9" hidden="1" customWidth="1"/>
    <col min="9" max="9" width="3.85546875" customWidth="1"/>
    <col min="10" max="11" width="7.5703125" customWidth="1"/>
    <col min="12" max="12" width="7.5703125" hidden="1" customWidth="1"/>
    <col min="13" max="15" width="7.5703125" customWidth="1"/>
    <col min="16" max="16" width="9" hidden="1" customWidth="1"/>
    <col min="17" max="17" width="4.140625" customWidth="1"/>
    <col min="18" max="25" width="8.7109375" customWidth="1"/>
  </cols>
  <sheetData>
    <row r="1" spans="2:16" ht="16.5" customHeight="1"/>
    <row r="2" spans="2:16" ht="27" customHeight="1">
      <c r="B2" s="41" t="s">
        <v>0</v>
      </c>
      <c r="C2" s="42"/>
      <c r="D2" s="42"/>
      <c r="E2" s="42"/>
      <c r="F2" s="42"/>
      <c r="G2" s="42"/>
    </row>
    <row r="3" spans="2:16" ht="16.5" customHeight="1">
      <c r="B3" s="35" t="s">
        <v>1</v>
      </c>
      <c r="C3" s="37"/>
      <c r="D3" s="36"/>
      <c r="E3" s="33" t="s">
        <v>2</v>
      </c>
      <c r="F3" s="35" t="s">
        <v>3</v>
      </c>
      <c r="G3" s="36"/>
      <c r="J3" s="35" t="s">
        <v>4</v>
      </c>
      <c r="K3" s="37"/>
      <c r="L3" s="36"/>
      <c r="M3" s="33" t="s">
        <v>2</v>
      </c>
      <c r="N3" s="35" t="s">
        <v>5</v>
      </c>
      <c r="O3" s="36"/>
    </row>
    <row r="4" spans="2:16" ht="16.5" customHeight="1">
      <c r="B4" s="1">
        <v>17</v>
      </c>
      <c r="C4" s="1">
        <v>17</v>
      </c>
      <c r="D4" s="2">
        <f>C4+B4*60</f>
        <v>1037</v>
      </c>
      <c r="E4" s="34"/>
      <c r="F4" s="3">
        <f>ROUNDDOWN(H4/60,0)</f>
        <v>15</v>
      </c>
      <c r="G4" s="3">
        <f>H4-F4*60</f>
        <v>25</v>
      </c>
      <c r="H4" s="4">
        <f>D4-12-100</f>
        <v>925</v>
      </c>
      <c r="J4" s="1">
        <v>16</v>
      </c>
      <c r="K4" s="1">
        <v>43</v>
      </c>
      <c r="L4" s="2">
        <f>K4+J4*60</f>
        <v>1003</v>
      </c>
      <c r="M4" s="34"/>
      <c r="N4" s="3">
        <f>ROUNDDOWN(P4/60,0)</f>
        <v>15</v>
      </c>
      <c r="O4" s="3">
        <f>P4-N4*60</f>
        <v>36</v>
      </c>
      <c r="P4" s="4">
        <f>L4-67</f>
        <v>936</v>
      </c>
    </row>
    <row r="5" spans="2:16" ht="16.5" customHeight="1">
      <c r="B5" s="5"/>
      <c r="C5" s="5"/>
      <c r="D5" s="6"/>
      <c r="E5" s="6"/>
      <c r="F5" s="6"/>
      <c r="G5" s="6"/>
      <c r="H5" s="7"/>
      <c r="I5" s="8"/>
      <c r="J5" s="5"/>
      <c r="K5" s="5"/>
      <c r="L5" s="6"/>
      <c r="M5" s="6"/>
      <c r="N5" s="6"/>
      <c r="O5" s="6"/>
    </row>
    <row r="6" spans="2:16" ht="16.5" customHeight="1">
      <c r="B6" s="9"/>
      <c r="C6" s="9"/>
      <c r="D6" s="4"/>
      <c r="E6" s="4"/>
      <c r="F6" s="4"/>
      <c r="G6" s="4"/>
      <c r="H6" s="10"/>
      <c r="I6" s="8"/>
      <c r="J6" s="9"/>
      <c r="K6" s="9"/>
      <c r="L6" s="4"/>
      <c r="M6" s="4"/>
      <c r="N6" s="4"/>
      <c r="O6" s="4"/>
    </row>
    <row r="7" spans="2:16" ht="27" customHeight="1">
      <c r="B7" s="39" t="s">
        <v>6</v>
      </c>
      <c r="C7" s="40"/>
      <c r="D7" s="40"/>
      <c r="E7" s="40"/>
      <c r="F7" s="40"/>
      <c r="G7" s="40"/>
    </row>
    <row r="8" spans="2:16" ht="16.5" customHeight="1">
      <c r="B8" s="35" t="s">
        <v>7</v>
      </c>
      <c r="C8" s="37"/>
      <c r="D8" s="37"/>
      <c r="E8" s="37"/>
      <c r="F8" s="37"/>
      <c r="G8" s="36"/>
      <c r="J8" s="35" t="s">
        <v>8</v>
      </c>
      <c r="K8" s="37"/>
      <c r="L8" s="37"/>
      <c r="M8" s="37"/>
      <c r="N8" s="37"/>
      <c r="O8" s="36"/>
    </row>
    <row r="9" spans="2:16" ht="16.5" customHeight="1">
      <c r="B9" s="11">
        <v>17</v>
      </c>
      <c r="C9" s="11">
        <v>20</v>
      </c>
      <c r="D9" s="2">
        <f>C9+B9*60</f>
        <v>1040</v>
      </c>
      <c r="E9" s="3" t="s">
        <v>9</v>
      </c>
      <c r="F9" s="12">
        <f>ROUNDDOWN(H9/60,0)</f>
        <v>17</v>
      </c>
      <c r="G9" s="12">
        <f>H9-F9*60</f>
        <v>8</v>
      </c>
      <c r="H9" s="4">
        <f>D9-12</f>
        <v>1028</v>
      </c>
      <c r="J9" s="11">
        <v>15</v>
      </c>
      <c r="K9" s="11">
        <v>18</v>
      </c>
      <c r="L9" s="2">
        <f>K9+J9*60</f>
        <v>918</v>
      </c>
      <c r="M9" s="3" t="s">
        <v>9</v>
      </c>
      <c r="N9" s="12">
        <f>ROUNDDOWN(P9/60,0)</f>
        <v>15</v>
      </c>
      <c r="O9" s="12">
        <f>P9-N9*60</f>
        <v>6</v>
      </c>
      <c r="P9" s="4">
        <f>L9-12</f>
        <v>906</v>
      </c>
    </row>
    <row r="10" spans="2:16" ht="16.5" customHeight="1">
      <c r="B10" s="10"/>
      <c r="C10" s="10"/>
      <c r="D10" s="10"/>
      <c r="E10" s="10"/>
      <c r="F10" s="10"/>
      <c r="G10" s="10"/>
      <c r="H10" s="10"/>
    </row>
    <row r="11" spans="2:16" ht="16.5" customHeight="1">
      <c r="B11" s="35" t="s">
        <v>10</v>
      </c>
      <c r="C11" s="37"/>
      <c r="D11" s="37"/>
      <c r="E11" s="37"/>
      <c r="F11" s="37"/>
      <c r="G11" s="36"/>
      <c r="H11" s="10"/>
      <c r="J11" s="35" t="s">
        <v>11</v>
      </c>
      <c r="K11" s="37"/>
      <c r="L11" s="37"/>
      <c r="M11" s="37"/>
      <c r="N11" s="37"/>
      <c r="O11" s="36"/>
      <c r="P11" s="10"/>
    </row>
    <row r="12" spans="2:16" ht="16.5" customHeight="1">
      <c r="B12" s="3">
        <f>ROUNDDOWN(D12/60,0)</f>
        <v>17</v>
      </c>
      <c r="C12" s="3">
        <f>D12-B12*60</f>
        <v>10</v>
      </c>
      <c r="D12" s="3">
        <f>D9-10</f>
        <v>1030</v>
      </c>
      <c r="E12" s="3" t="s">
        <v>9</v>
      </c>
      <c r="F12" s="3">
        <f>ROUNDDOWN(H12/60,0)</f>
        <v>17</v>
      </c>
      <c r="G12" s="3">
        <f>H12-F12*60</f>
        <v>0</v>
      </c>
      <c r="H12" s="4">
        <f>D12-10</f>
        <v>1020</v>
      </c>
      <c r="J12" s="3">
        <f>ROUNDDOWN(L12/60,0)</f>
        <v>14</v>
      </c>
      <c r="K12" s="3">
        <f>L12-J12*60</f>
        <v>43</v>
      </c>
      <c r="L12" s="3">
        <f>H15-57-10</f>
        <v>883</v>
      </c>
      <c r="M12" s="13" t="s">
        <v>9</v>
      </c>
      <c r="N12" s="3">
        <f>ROUNDDOWN(P12/60,0)</f>
        <v>14</v>
      </c>
      <c r="O12" s="3">
        <f>P12-N12*60</f>
        <v>29</v>
      </c>
      <c r="P12" s="4">
        <f>L12-14</f>
        <v>869</v>
      </c>
    </row>
    <row r="13" spans="2:16" ht="16.5" customHeight="1">
      <c r="B13" s="10"/>
      <c r="C13" s="10"/>
      <c r="D13" s="10"/>
      <c r="E13" s="10"/>
      <c r="F13" s="10"/>
      <c r="G13" s="10"/>
      <c r="H13" s="10"/>
    </row>
    <row r="14" spans="2:16" ht="16.5" customHeight="1">
      <c r="B14" s="35" t="s">
        <v>12</v>
      </c>
      <c r="C14" s="37"/>
      <c r="D14" s="37"/>
      <c r="E14" s="37"/>
      <c r="F14" s="37"/>
      <c r="G14" s="36"/>
      <c r="H14" s="10"/>
      <c r="J14" s="35" t="s">
        <v>13</v>
      </c>
      <c r="K14" s="37"/>
      <c r="L14" s="37"/>
      <c r="M14" s="37"/>
      <c r="N14" s="37"/>
      <c r="O14" s="36"/>
      <c r="P14" s="10"/>
    </row>
    <row r="15" spans="2:16" ht="16.5" customHeight="1">
      <c r="B15" s="3">
        <f>ROUNDDOWN(D15/60,0)</f>
        <v>16</v>
      </c>
      <c r="C15" s="3">
        <f>D15-B15*60</f>
        <v>3</v>
      </c>
      <c r="D15" s="3">
        <f>H12-57</f>
        <v>963</v>
      </c>
      <c r="E15" s="13" t="s">
        <v>9</v>
      </c>
      <c r="F15" s="3">
        <f>ROUNDDOWN(H15/60,0)</f>
        <v>15</v>
      </c>
      <c r="G15" s="3">
        <f>H15-F15*60</f>
        <v>50</v>
      </c>
      <c r="H15" s="4">
        <f>D15-13</f>
        <v>950</v>
      </c>
      <c r="J15" s="12">
        <f>ROUNDDOWN(L15/60,0)</f>
        <v>13</v>
      </c>
      <c r="K15" s="12">
        <f>L15-J15*60</f>
        <v>26</v>
      </c>
      <c r="L15" s="3">
        <f>P9-100</f>
        <v>806</v>
      </c>
      <c r="M15" s="13" t="s">
        <v>9</v>
      </c>
      <c r="N15" s="12">
        <f>ROUNDDOWN(P15/60,0)</f>
        <v>13</v>
      </c>
      <c r="O15" s="12">
        <f>P15-N15*60</f>
        <v>25</v>
      </c>
      <c r="P15" s="4">
        <f>L15-1</f>
        <v>805</v>
      </c>
    </row>
    <row r="16" spans="2:16" ht="16.5" customHeight="1">
      <c r="B16" s="10"/>
      <c r="C16" s="10"/>
      <c r="D16" s="10"/>
      <c r="E16" s="10"/>
      <c r="F16" s="10"/>
      <c r="G16" s="10"/>
      <c r="H16" s="10"/>
    </row>
    <row r="17" spans="2:16" ht="16.5" customHeight="1">
      <c r="B17" s="35" t="s">
        <v>13</v>
      </c>
      <c r="C17" s="37"/>
      <c r="D17" s="37"/>
      <c r="E17" s="37"/>
      <c r="F17" s="37"/>
      <c r="G17" s="36"/>
      <c r="H17" s="10"/>
    </row>
    <row r="18" spans="2:16" ht="16.5" customHeight="1">
      <c r="B18" s="12">
        <f>ROUNDDOWN(D18/60,0)</f>
        <v>15</v>
      </c>
      <c r="C18" s="12">
        <f>D18-B18*60</f>
        <v>28</v>
      </c>
      <c r="D18" s="3">
        <f>H9-100</f>
        <v>928</v>
      </c>
      <c r="E18" s="13" t="s">
        <v>9</v>
      </c>
      <c r="F18" s="12">
        <f>ROUNDDOWN(H18/60,0)</f>
        <v>15</v>
      </c>
      <c r="G18" s="12">
        <f>H18-F18*60</f>
        <v>27</v>
      </c>
      <c r="H18" s="4">
        <f>D18-1</f>
        <v>927</v>
      </c>
      <c r="J18" s="8"/>
      <c r="K18" s="8"/>
      <c r="L18" s="8"/>
      <c r="M18" s="8"/>
      <c r="N18" s="8"/>
      <c r="O18" s="8"/>
    </row>
    <row r="19" spans="2:16" ht="16.5" customHeight="1">
      <c r="B19" s="14"/>
      <c r="C19" s="14"/>
      <c r="D19" s="14"/>
      <c r="E19" s="14"/>
      <c r="F19" s="14"/>
      <c r="G19" s="14"/>
      <c r="H19" s="10"/>
      <c r="I19" s="8"/>
      <c r="J19" s="10"/>
      <c r="K19" s="10"/>
      <c r="L19" s="10"/>
      <c r="M19" s="10"/>
      <c r="N19" s="10"/>
      <c r="O19" s="10"/>
    </row>
    <row r="20" spans="2:16" ht="16.5" customHeight="1">
      <c r="B20" s="38" t="s">
        <v>14</v>
      </c>
      <c r="C20" s="37"/>
      <c r="D20" s="37"/>
      <c r="E20" s="37"/>
      <c r="F20" s="37"/>
      <c r="G20" s="36"/>
      <c r="H20" s="10"/>
      <c r="J20" s="38" t="s">
        <v>15</v>
      </c>
      <c r="K20" s="37"/>
      <c r="L20" s="37"/>
      <c r="M20" s="37"/>
      <c r="N20" s="37"/>
      <c r="O20" s="36"/>
      <c r="P20" s="10"/>
    </row>
    <row r="21" spans="2:16" ht="16.5" customHeight="1">
      <c r="B21" s="15">
        <f>ROUNDDOWN(D21/60,0)</f>
        <v>15</v>
      </c>
      <c r="C21" s="15">
        <f>D21-B21*60</f>
        <v>35</v>
      </c>
      <c r="D21" s="3">
        <f>D18+7</f>
        <v>935</v>
      </c>
      <c r="E21" s="16" t="s">
        <v>9</v>
      </c>
      <c r="F21" s="15">
        <f>ROUNDDOWN(H21/60,0)</f>
        <v>15</v>
      </c>
      <c r="G21" s="15">
        <f>H21-F21*60</f>
        <v>5</v>
      </c>
      <c r="H21" s="4">
        <f>H15-45</f>
        <v>905</v>
      </c>
      <c r="J21" s="15">
        <f>ROUNDDOWN(L21/60,0)</f>
        <v>14</v>
      </c>
      <c r="K21" s="15">
        <f>L21-J21*60</f>
        <v>6</v>
      </c>
      <c r="L21" s="3">
        <f>L15+40</f>
        <v>846</v>
      </c>
      <c r="M21" s="16" t="s">
        <v>9</v>
      </c>
      <c r="N21" s="15">
        <f>ROUNDDOWN(P21/60,0)</f>
        <v>13</v>
      </c>
      <c r="O21" s="15">
        <f>P21-N21*60</f>
        <v>42</v>
      </c>
      <c r="P21" s="4">
        <f>P12-47</f>
        <v>822</v>
      </c>
    </row>
    <row r="22" spans="2:16" ht="16.5" customHeight="1">
      <c r="H22" s="10"/>
    </row>
    <row r="23" spans="2:16" ht="16.5" customHeight="1"/>
    <row r="24" spans="2:16" ht="16.5" customHeight="1"/>
    <row r="25" spans="2:16" ht="16.5" customHeight="1"/>
    <row r="26" spans="2:16" ht="16.5" customHeight="1"/>
    <row r="27" spans="2:16" ht="16.5" customHeight="1"/>
    <row r="28" spans="2:16" ht="16.5" customHeight="1"/>
    <row r="29" spans="2:16" ht="16.5" customHeight="1"/>
    <row r="30" spans="2:16" ht="16.5" customHeight="1"/>
    <row r="31" spans="2:16" ht="16.5" customHeight="1"/>
    <row r="32" spans="2:16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17">
    <mergeCell ref="B2:G2"/>
    <mergeCell ref="B3:D3"/>
    <mergeCell ref="E3:E4"/>
    <mergeCell ref="F3:G3"/>
    <mergeCell ref="J3:L3"/>
    <mergeCell ref="M3:M4"/>
    <mergeCell ref="N3:O3"/>
    <mergeCell ref="B17:G17"/>
    <mergeCell ref="B20:G20"/>
    <mergeCell ref="J20:O20"/>
    <mergeCell ref="B7:G7"/>
    <mergeCell ref="B8:G8"/>
    <mergeCell ref="J8:O8"/>
    <mergeCell ref="B11:G11"/>
    <mergeCell ref="J11:O11"/>
    <mergeCell ref="B14:G14"/>
    <mergeCell ref="J14:O14"/>
  </mergeCells>
  <phoneticPr fontId="16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B1:G1000"/>
  <sheetViews>
    <sheetView showGridLines="0" tabSelected="1" workbookViewId="0">
      <selection activeCell="J16" sqref="J16"/>
    </sheetView>
  </sheetViews>
  <sheetFormatPr defaultColWidth="14.42578125" defaultRowHeight="15" customHeight="1"/>
  <cols>
    <col min="1" max="1" width="3.140625" customWidth="1"/>
    <col min="2" max="2" width="14" customWidth="1"/>
    <col min="3" max="3" width="13.7109375" customWidth="1"/>
    <col min="4" max="4" width="3.5703125" customWidth="1"/>
    <col min="5" max="5" width="16.85546875" customWidth="1"/>
    <col min="6" max="6" width="10.140625" customWidth="1"/>
    <col min="7" max="26" width="8.7109375" customWidth="1"/>
  </cols>
  <sheetData>
    <row r="1" spans="2:7" ht="16.5" customHeight="1"/>
    <row r="2" spans="2:7" ht="24" customHeight="1">
      <c r="B2" s="41" t="s">
        <v>16</v>
      </c>
      <c r="C2" s="42"/>
      <c r="D2" s="42"/>
      <c r="E2" s="42"/>
      <c r="F2" s="42"/>
      <c r="G2" s="42"/>
    </row>
    <row r="3" spans="2:7" ht="16.5" customHeight="1">
      <c r="B3" s="17" t="s">
        <v>17</v>
      </c>
      <c r="C3" s="18">
        <v>11800</v>
      </c>
      <c r="D3" s="19"/>
      <c r="E3" s="17" t="s">
        <v>18</v>
      </c>
      <c r="F3" s="20">
        <f>C3*0.95</f>
        <v>11210</v>
      </c>
    </row>
    <row r="4" spans="2:7" ht="16.5" customHeight="1">
      <c r="B4" s="17" t="s">
        <v>19</v>
      </c>
      <c r="C4" s="21">
        <v>8</v>
      </c>
      <c r="E4" s="17" t="s">
        <v>20</v>
      </c>
      <c r="F4" s="20">
        <f>F3/C4</f>
        <v>1401.25</v>
      </c>
    </row>
    <row r="5" spans="2:7" ht="16.5" customHeight="1">
      <c r="B5" s="5"/>
      <c r="C5" s="5"/>
      <c r="D5" s="5"/>
      <c r="E5" s="5"/>
      <c r="F5" s="5"/>
    </row>
    <row r="6" spans="2:7" ht="16.5" customHeight="1">
      <c r="B6" s="9"/>
      <c r="C6" s="9"/>
      <c r="D6" s="9"/>
      <c r="E6" s="9"/>
      <c r="F6" s="9"/>
      <c r="G6" s="4"/>
    </row>
    <row r="7" spans="2:7" ht="24" customHeight="1">
      <c r="B7" s="46" t="s">
        <v>21</v>
      </c>
      <c r="C7" s="42"/>
      <c r="D7" s="42"/>
      <c r="E7" s="42"/>
      <c r="F7" s="42"/>
      <c r="G7" s="42"/>
    </row>
    <row r="8" spans="2:7" ht="18.75" customHeight="1">
      <c r="B8" s="43" t="s">
        <v>22</v>
      </c>
      <c r="C8" s="45">
        <f>ROUNDDOWN((ROUNDDOWN($F$4*($C$4-1),0))/($C$4-1),0)*($C$4-1)</f>
        <v>9807</v>
      </c>
      <c r="E8" s="17" t="s">
        <v>23</v>
      </c>
      <c r="F8" s="22">
        <f>$F$3-C8</f>
        <v>1403</v>
      </c>
    </row>
    <row r="9" spans="2:7" ht="16.5" customHeight="1">
      <c r="B9" s="44"/>
      <c r="C9" s="44"/>
      <c r="E9" s="17" t="s">
        <v>24</v>
      </c>
      <c r="F9" s="23">
        <f>C8/($C$4-1)</f>
        <v>1401</v>
      </c>
    </row>
    <row r="10" spans="2:7" ht="16.5" customHeight="1">
      <c r="B10" s="24"/>
      <c r="C10" s="25"/>
      <c r="D10" s="8"/>
      <c r="E10" s="24"/>
      <c r="F10" s="26"/>
    </row>
    <row r="11" spans="2:7" ht="24" customHeight="1">
      <c r="B11" s="46" t="s">
        <v>25</v>
      </c>
      <c r="C11" s="42"/>
      <c r="D11" s="42"/>
      <c r="E11" s="42"/>
      <c r="F11" s="42"/>
      <c r="G11" s="42"/>
    </row>
    <row r="12" spans="2:7" ht="18.75" customHeight="1">
      <c r="B12" s="43" t="s">
        <v>22</v>
      </c>
      <c r="C12" s="45">
        <f>(ROUNDUP($F$4*($C$4-1)/1.1,0))</f>
        <v>8918</v>
      </c>
      <c r="E12" s="17" t="s">
        <v>23</v>
      </c>
      <c r="F12" s="22">
        <f>$F$3-C12</f>
        <v>2292</v>
      </c>
    </row>
    <row r="13" spans="2:7" ht="16.5" customHeight="1">
      <c r="B13" s="44"/>
      <c r="C13" s="44"/>
      <c r="E13" s="17" t="s">
        <v>24</v>
      </c>
      <c r="F13" s="23">
        <f>C12/($C$4-1)</f>
        <v>1274</v>
      </c>
    </row>
    <row r="14" spans="2:7" ht="16.5" customHeight="1"/>
    <row r="15" spans="2:7" ht="16.5" customHeight="1"/>
    <row r="16" spans="2:7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7">
    <mergeCell ref="B12:B13"/>
    <mergeCell ref="C12:C13"/>
    <mergeCell ref="B2:G2"/>
    <mergeCell ref="B7:G7"/>
    <mergeCell ref="B8:B9"/>
    <mergeCell ref="C8:C9"/>
    <mergeCell ref="B11:G11"/>
  </mergeCells>
  <phoneticPr fontId="16" type="noConversion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H997"/>
  <sheetViews>
    <sheetView workbookViewId="0"/>
  </sheetViews>
  <sheetFormatPr defaultColWidth="14.42578125" defaultRowHeight="15" customHeight="1"/>
  <cols>
    <col min="1" max="1" width="3.140625" customWidth="1"/>
    <col min="2" max="2" width="14" customWidth="1"/>
    <col min="3" max="3" width="11.7109375" customWidth="1"/>
    <col min="4" max="4" width="3.5703125" customWidth="1"/>
    <col min="5" max="5" width="19.5703125" customWidth="1"/>
    <col min="6" max="6" width="13" customWidth="1"/>
    <col min="7" max="7" width="15.42578125" customWidth="1"/>
    <col min="8" max="26" width="8.7109375" customWidth="1"/>
  </cols>
  <sheetData>
    <row r="1" spans="2:7" ht="16.5" customHeight="1"/>
    <row r="2" spans="2:7" ht="24" customHeight="1">
      <c r="B2" s="41" t="s">
        <v>26</v>
      </c>
      <c r="C2" s="42"/>
      <c r="D2" s="42"/>
      <c r="E2" s="42"/>
      <c r="F2" s="42"/>
      <c r="G2" s="42"/>
    </row>
    <row r="3" spans="2:7" ht="16.5" customHeight="1">
      <c r="B3" s="27" t="s">
        <v>27</v>
      </c>
      <c r="C3" s="18">
        <v>35000</v>
      </c>
      <c r="D3" s="19"/>
      <c r="E3" s="17" t="s">
        <v>28</v>
      </c>
      <c r="F3" s="20">
        <f>(C3+C4)/6</f>
        <v>14166.666666666666</v>
      </c>
    </row>
    <row r="4" spans="2:7" ht="16.5" customHeight="1">
      <c r="B4" s="27" t="s">
        <v>29</v>
      </c>
      <c r="C4" s="21">
        <v>50000</v>
      </c>
      <c r="E4" s="17" t="s">
        <v>30</v>
      </c>
      <c r="F4" s="20">
        <f>F3*7</f>
        <v>99166.666666666657</v>
      </c>
    </row>
    <row r="5" spans="2:7" ht="16.5" customHeight="1">
      <c r="B5" s="9"/>
      <c r="C5" s="9"/>
      <c r="D5" s="9"/>
      <c r="E5" s="9"/>
      <c r="F5" s="9"/>
      <c r="G5" s="4"/>
    </row>
    <row r="6" spans="2:7" ht="24" customHeight="1">
      <c r="B6" s="47" t="s">
        <v>31</v>
      </c>
      <c r="C6" s="40"/>
      <c r="D6" s="28"/>
      <c r="E6" s="47" t="s">
        <v>32</v>
      </c>
      <c r="F6" s="40"/>
      <c r="G6" s="28"/>
    </row>
    <row r="7" spans="2:7" ht="18.75" customHeight="1">
      <c r="B7" s="17" t="s">
        <v>22</v>
      </c>
      <c r="C7" s="29">
        <f>F7*1/7+C4</f>
        <v>56145.833333333336</v>
      </c>
      <c r="E7" s="17" t="s">
        <v>23</v>
      </c>
      <c r="F7" s="29">
        <f>(C4/7+C3)*49/48</f>
        <v>43020.833333333336</v>
      </c>
    </row>
    <row r="8" spans="2:7" ht="16.5" customHeight="1">
      <c r="B8" s="17" t="s">
        <v>33</v>
      </c>
      <c r="C8" s="30">
        <f>F7/7</f>
        <v>6145.8333333333339</v>
      </c>
      <c r="E8" s="17" t="s">
        <v>33</v>
      </c>
      <c r="F8" s="30">
        <f>C7/7</f>
        <v>8020.8333333333339</v>
      </c>
    </row>
    <row r="9" spans="2:7" ht="16.5" customHeight="1">
      <c r="B9" s="17" t="s">
        <v>34</v>
      </c>
      <c r="C9" s="30">
        <f>C7-C8</f>
        <v>50000</v>
      </c>
      <c r="D9" s="8"/>
      <c r="E9" s="17" t="s">
        <v>34</v>
      </c>
      <c r="F9" s="30">
        <f>F7-F8</f>
        <v>35000</v>
      </c>
    </row>
    <row r="10" spans="2:7" ht="16.5" customHeight="1">
      <c r="B10" s="5"/>
      <c r="C10" s="5"/>
      <c r="D10" s="5"/>
      <c r="E10" s="5"/>
      <c r="F10" s="5"/>
    </row>
    <row r="11" spans="2:7" ht="16.5" customHeight="1">
      <c r="B11" s="9"/>
      <c r="C11" s="9"/>
      <c r="D11" s="9"/>
      <c r="E11" s="9"/>
      <c r="F11" s="9"/>
    </row>
    <row r="12" spans="2:7" ht="16.5" customHeight="1">
      <c r="B12" s="48" t="s">
        <v>35</v>
      </c>
      <c r="C12" s="42"/>
      <c r="D12" s="42"/>
      <c r="E12" s="42"/>
      <c r="F12" s="42"/>
      <c r="G12" s="42"/>
    </row>
    <row r="13" spans="2:7" ht="16.5" customHeight="1">
      <c r="B13" s="27" t="s">
        <v>27</v>
      </c>
      <c r="C13" s="18">
        <v>35000</v>
      </c>
      <c r="D13" s="19"/>
      <c r="E13" s="17" t="s">
        <v>28</v>
      </c>
      <c r="F13" s="20">
        <f>(2*C13+C14)/5</f>
        <v>24000</v>
      </c>
    </row>
    <row r="14" spans="2:7" ht="16.5" customHeight="1">
      <c r="B14" s="27" t="s">
        <v>29</v>
      </c>
      <c r="C14" s="21">
        <v>50000</v>
      </c>
      <c r="E14" s="17" t="s">
        <v>30</v>
      </c>
      <c r="F14" s="20">
        <f>F13*7</f>
        <v>168000</v>
      </c>
      <c r="G14" s="31">
        <f>C17+F17*2</f>
        <v>168000</v>
      </c>
    </row>
    <row r="15" spans="2:7" ht="16.5" customHeight="1">
      <c r="B15" s="9"/>
      <c r="C15" s="9"/>
      <c r="D15" s="9"/>
      <c r="E15" s="9"/>
      <c r="F15" s="9"/>
      <c r="G15" s="4"/>
    </row>
    <row r="16" spans="2:7" ht="16.5" customHeight="1">
      <c r="B16" s="47" t="s">
        <v>31</v>
      </c>
      <c r="C16" s="40"/>
      <c r="D16" s="28"/>
      <c r="E16" s="47" t="s">
        <v>32</v>
      </c>
      <c r="F16" s="40"/>
      <c r="G16" s="28"/>
    </row>
    <row r="17" spans="2:8" ht="16.5" customHeight="1">
      <c r="B17" s="17" t="s">
        <v>22</v>
      </c>
      <c r="C17" s="29">
        <f>F17*2/7+C14</f>
        <v>64750</v>
      </c>
      <c r="E17" s="17" t="s">
        <v>23</v>
      </c>
      <c r="F17" s="29">
        <f>(C14/7+C13)*49/40</f>
        <v>51625</v>
      </c>
    </row>
    <row r="18" spans="2:8" ht="16.5" customHeight="1">
      <c r="B18" s="17" t="s">
        <v>33</v>
      </c>
      <c r="C18" s="30">
        <f>F17*2/7</f>
        <v>14750</v>
      </c>
      <c r="E18" s="17" t="s">
        <v>33</v>
      </c>
      <c r="F18" s="30">
        <f>C17/7+F17/7</f>
        <v>16625</v>
      </c>
    </row>
    <row r="19" spans="2:8" ht="16.5" customHeight="1">
      <c r="B19" s="17" t="s">
        <v>34</v>
      </c>
      <c r="C19" s="30">
        <f>C17-C18</f>
        <v>50000</v>
      </c>
      <c r="D19" s="8"/>
      <c r="E19" s="17" t="s">
        <v>34</v>
      </c>
      <c r="F19" s="30">
        <f>F17-F18</f>
        <v>35000</v>
      </c>
    </row>
    <row r="20" spans="2:8" ht="16.5" customHeight="1">
      <c r="B20" s="5"/>
      <c r="C20" s="5"/>
      <c r="D20" s="5"/>
      <c r="E20" s="5"/>
      <c r="F20" s="5"/>
    </row>
    <row r="21" spans="2:8" ht="16.5" customHeight="1">
      <c r="B21" s="9"/>
      <c r="C21" s="9"/>
      <c r="D21" s="9"/>
      <c r="E21" s="9"/>
      <c r="F21" s="9"/>
    </row>
    <row r="22" spans="2:8" ht="16.5" customHeight="1">
      <c r="B22" s="48" t="s">
        <v>36</v>
      </c>
      <c r="C22" s="42"/>
      <c r="D22" s="42"/>
      <c r="E22" s="42"/>
      <c r="F22" s="42"/>
      <c r="G22" s="42"/>
    </row>
    <row r="23" spans="2:8" ht="16.5" customHeight="1">
      <c r="B23" s="27" t="s">
        <v>27</v>
      </c>
      <c r="C23" s="18">
        <v>35000</v>
      </c>
      <c r="D23" s="19"/>
      <c r="E23" s="17" t="s">
        <v>28</v>
      </c>
      <c r="F23" s="20">
        <f>(3*C23+C24)/4</f>
        <v>38750</v>
      </c>
    </row>
    <row r="24" spans="2:8" ht="16.5" customHeight="1">
      <c r="B24" s="27" t="s">
        <v>29</v>
      </c>
      <c r="C24" s="21">
        <v>50000</v>
      </c>
      <c r="E24" s="17" t="s">
        <v>30</v>
      </c>
      <c r="F24" s="20">
        <f>F23*7</f>
        <v>271250</v>
      </c>
      <c r="G24" s="31">
        <f>C27+F27*3</f>
        <v>271250</v>
      </c>
    </row>
    <row r="25" spans="2:8" ht="16.5" customHeight="1">
      <c r="B25" s="9"/>
      <c r="C25" s="9"/>
      <c r="D25" s="9"/>
      <c r="E25" s="9"/>
      <c r="F25" s="9"/>
      <c r="G25" s="4"/>
    </row>
    <row r="26" spans="2:8" ht="16.5" customHeight="1">
      <c r="B26" s="47" t="s">
        <v>31</v>
      </c>
      <c r="C26" s="40"/>
      <c r="D26" s="28"/>
      <c r="E26" s="47" t="s">
        <v>32</v>
      </c>
      <c r="F26" s="40"/>
      <c r="G26" s="28"/>
      <c r="H26" s="32"/>
    </row>
    <row r="27" spans="2:8" ht="16.5" customHeight="1">
      <c r="B27" s="17" t="s">
        <v>22</v>
      </c>
      <c r="C27" s="29">
        <f>F27*3/7+C24</f>
        <v>77656.25</v>
      </c>
      <c r="E27" s="17" t="s">
        <v>23</v>
      </c>
      <c r="F27" s="29">
        <f>(C24/7+C23)*49/32</f>
        <v>64531.25</v>
      </c>
    </row>
    <row r="28" spans="2:8" ht="16.5" customHeight="1">
      <c r="B28" s="17" t="s">
        <v>33</v>
      </c>
      <c r="C28" s="30">
        <f>F27*3/7</f>
        <v>27656.25</v>
      </c>
      <c r="E28" s="17" t="s">
        <v>33</v>
      </c>
      <c r="F28" s="30">
        <f>C27/7+F27*2/7</f>
        <v>29531.25</v>
      </c>
    </row>
    <row r="29" spans="2:8" ht="16.5" customHeight="1">
      <c r="B29" s="17" t="s">
        <v>34</v>
      </c>
      <c r="C29" s="30">
        <f>C27-C28</f>
        <v>50000</v>
      </c>
      <c r="D29" s="8"/>
      <c r="E29" s="17" t="s">
        <v>34</v>
      </c>
      <c r="F29" s="30">
        <f>F27-F28</f>
        <v>35000</v>
      </c>
    </row>
    <row r="30" spans="2:8" ht="16.5" customHeight="1"/>
    <row r="31" spans="2:8" ht="16.5" customHeight="1"/>
    <row r="32" spans="2:8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</sheetData>
  <mergeCells count="9">
    <mergeCell ref="B26:C26"/>
    <mergeCell ref="E26:F26"/>
    <mergeCell ref="B2:G2"/>
    <mergeCell ref="B6:C6"/>
    <mergeCell ref="E6:F6"/>
    <mergeCell ref="B12:G12"/>
    <mergeCell ref="B16:C16"/>
    <mergeCell ref="E16:F16"/>
    <mergeCell ref="B22:G22"/>
  </mergeCells>
  <phoneticPr fontId="16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아브6관 메테오</vt:lpstr>
      <vt:lpstr>경매입찰 계산기</vt:lpstr>
      <vt:lpstr>버스비 입찰금 계산기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CGS-PLAN</cp:lastModifiedBy>
  <dcterms:modified xsi:type="dcterms:W3CDTF">2022-11-02T05:21:29Z</dcterms:modified>
</cp:coreProperties>
</file>