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40" windowWidth="27735" windowHeight="11925" tabRatio="944"/>
  </bookViews>
  <sheets>
    <sheet name="3레벨" sheetId="5" r:id="rId1"/>
    <sheet name="타대예둔 아드2" sheetId="1" r:id="rId2"/>
    <sheet name="타대저받 아드2" sheetId="6" r:id="rId3"/>
    <sheet name="저받예둔 아드2" sheetId="7" r:id="rId4"/>
    <sheet name="타대예둔 속속2" sheetId="8" r:id="rId5"/>
    <sheet name="타대저받 속속2" sheetId="9" r:id="rId6"/>
    <sheet name="저받예둔 속속2" sheetId="10" r:id="rId7"/>
    <sheet name="저받아드 타대2" sheetId="12" r:id="rId8"/>
    <sheet name="저받예둔 타대2" sheetId="13" r:id="rId9"/>
    <sheet name="예둔아드 타대2" sheetId="14" r:id="rId10"/>
    <sheet name="타대예둔 저받2" sheetId="15" r:id="rId11"/>
    <sheet name="타대아드 저받2" sheetId="16" r:id="rId12"/>
    <sheet name="예둔아드 저받2" sheetId="17" r:id="rId13"/>
    <sheet name="333331" sheetId="18" r:id="rId14"/>
  </sheets>
  <calcPr calcId="145621"/>
</workbook>
</file>

<file path=xl/calcChain.xml><?xml version="1.0" encoding="utf-8"?>
<calcChain xmlns="http://schemas.openxmlformats.org/spreadsheetml/2006/main">
  <c r="C16" i="5" l="1"/>
  <c r="D16" i="5"/>
  <c r="E16" i="5"/>
  <c r="F16" i="5"/>
  <c r="G16" i="5"/>
  <c r="H16" i="5"/>
  <c r="I16" i="5"/>
  <c r="J16" i="5"/>
  <c r="K16" i="5"/>
  <c r="L16" i="5"/>
  <c r="M16" i="5"/>
  <c r="N16" i="5"/>
  <c r="B16" i="5"/>
  <c r="C15" i="5"/>
  <c r="D15" i="5"/>
  <c r="E15" i="5"/>
  <c r="F15" i="5"/>
  <c r="G15" i="5"/>
  <c r="H15" i="5"/>
  <c r="I15" i="5"/>
  <c r="J15" i="5"/>
  <c r="K15" i="5"/>
  <c r="L15" i="5"/>
  <c r="M15" i="5"/>
  <c r="N15" i="5"/>
  <c r="B15" i="5"/>
  <c r="C14" i="5"/>
  <c r="D14" i="5"/>
  <c r="E14" i="5"/>
  <c r="F14" i="5"/>
  <c r="G14" i="5"/>
  <c r="H14" i="5"/>
  <c r="I14" i="5"/>
  <c r="J14" i="5"/>
  <c r="K14" i="5"/>
  <c r="L14" i="5"/>
  <c r="M14" i="5"/>
  <c r="N14" i="5"/>
  <c r="B14" i="5"/>
  <c r="C13" i="5"/>
  <c r="D13" i="5"/>
  <c r="E13" i="5"/>
  <c r="F13" i="5"/>
  <c r="G13" i="5"/>
  <c r="H13" i="5"/>
  <c r="I13" i="5"/>
  <c r="J13" i="5"/>
  <c r="K13" i="5"/>
  <c r="L13" i="5"/>
  <c r="M13" i="5"/>
  <c r="N13" i="5"/>
  <c r="B13" i="5"/>
  <c r="C12" i="5"/>
  <c r="D12" i="5"/>
  <c r="E12" i="5"/>
  <c r="F12" i="5"/>
  <c r="G12" i="5"/>
  <c r="H12" i="5"/>
  <c r="I12" i="5"/>
  <c r="J12" i="5"/>
  <c r="K12" i="5"/>
  <c r="L12" i="5"/>
  <c r="M12" i="5"/>
  <c r="N12" i="5"/>
  <c r="B12" i="5"/>
  <c r="I54" i="18" l="1"/>
  <c r="G54" i="18"/>
  <c r="E54" i="18"/>
  <c r="F52" i="18"/>
  <c r="F50" i="18"/>
  <c r="F49" i="18"/>
  <c r="F48" i="18"/>
  <c r="F46" i="18"/>
  <c r="F44" i="18"/>
  <c r="F43" i="18"/>
  <c r="F41" i="18"/>
  <c r="F38" i="18"/>
  <c r="F36" i="18"/>
  <c r="F34" i="18"/>
  <c r="F31" i="18"/>
  <c r="F29" i="18"/>
  <c r="F27" i="18"/>
  <c r="L24" i="18"/>
  <c r="J24" i="18"/>
  <c r="I24" i="18"/>
  <c r="H24" i="18"/>
  <c r="E24" i="18"/>
  <c r="G24" i="18" s="1"/>
  <c r="M19" i="18"/>
  <c r="E11" i="18"/>
  <c r="K24" i="18" s="1"/>
  <c r="I6" i="18"/>
  <c r="D6" i="18"/>
  <c r="D5" i="18"/>
  <c r="I54" i="17"/>
  <c r="G54" i="17"/>
  <c r="E54" i="17"/>
  <c r="F52" i="17"/>
  <c r="F50" i="17"/>
  <c r="F49" i="17"/>
  <c r="F48" i="17"/>
  <c r="F46" i="17"/>
  <c r="F44" i="17"/>
  <c r="F43" i="17"/>
  <c r="F41" i="17"/>
  <c r="F38" i="17"/>
  <c r="F36" i="17"/>
  <c r="F34" i="17"/>
  <c r="F31" i="17"/>
  <c r="F29" i="17"/>
  <c r="F27" i="17"/>
  <c r="L24" i="17"/>
  <c r="J24" i="17"/>
  <c r="I24" i="17"/>
  <c r="H24" i="17"/>
  <c r="M24" i="17" s="1"/>
  <c r="E24" i="17"/>
  <c r="G24" i="17" s="1"/>
  <c r="M19" i="17"/>
  <c r="E11" i="17"/>
  <c r="K24" i="17" s="1"/>
  <c r="I6" i="17"/>
  <c r="D6" i="17"/>
  <c r="D5" i="17"/>
  <c r="I54" i="16"/>
  <c r="G54" i="16"/>
  <c r="E54" i="16"/>
  <c r="F52" i="16"/>
  <c r="F50" i="16"/>
  <c r="F49" i="16"/>
  <c r="F48" i="16"/>
  <c r="F46" i="16"/>
  <c r="F44" i="16"/>
  <c r="F43" i="16"/>
  <c r="F41" i="16"/>
  <c r="F38" i="16"/>
  <c r="F36" i="16"/>
  <c r="F34" i="16"/>
  <c r="F31" i="16"/>
  <c r="F29" i="16"/>
  <c r="F27" i="16"/>
  <c r="L24" i="16"/>
  <c r="J24" i="16"/>
  <c r="I24" i="16"/>
  <c r="H24" i="16"/>
  <c r="E24" i="16"/>
  <c r="G24" i="16" s="1"/>
  <c r="M19" i="16"/>
  <c r="E11" i="16"/>
  <c r="K24" i="16" s="1"/>
  <c r="I6" i="16"/>
  <c r="D6" i="16"/>
  <c r="D5" i="16"/>
  <c r="I54" i="15"/>
  <c r="G54" i="15"/>
  <c r="E54" i="15"/>
  <c r="F52" i="15"/>
  <c r="F50" i="15"/>
  <c r="F49" i="15"/>
  <c r="F48" i="15"/>
  <c r="F46" i="15"/>
  <c r="F44" i="15"/>
  <c r="F43" i="15"/>
  <c r="F41" i="15"/>
  <c r="F38" i="15"/>
  <c r="F36" i="15"/>
  <c r="F34" i="15"/>
  <c r="F31" i="15"/>
  <c r="F29" i="15"/>
  <c r="F27" i="15"/>
  <c r="L24" i="15"/>
  <c r="J24" i="15"/>
  <c r="I24" i="15"/>
  <c r="H24" i="15"/>
  <c r="G24" i="15"/>
  <c r="E24" i="15"/>
  <c r="M19" i="15"/>
  <c r="E11" i="15"/>
  <c r="K24" i="15" s="1"/>
  <c r="I6" i="15"/>
  <c r="D6" i="15"/>
  <c r="D5" i="15"/>
  <c r="I54" i="14"/>
  <c r="G54" i="14"/>
  <c r="E54" i="14"/>
  <c r="F52" i="14"/>
  <c r="F50" i="14"/>
  <c r="F49" i="14"/>
  <c r="F48" i="14"/>
  <c r="F46" i="14"/>
  <c r="F44" i="14"/>
  <c r="F43" i="14"/>
  <c r="F41" i="14"/>
  <c r="F38" i="14"/>
  <c r="F36" i="14"/>
  <c r="F34" i="14"/>
  <c r="F31" i="14"/>
  <c r="F29" i="14"/>
  <c r="F27" i="14"/>
  <c r="L24" i="14"/>
  <c r="K24" i="14"/>
  <c r="J24" i="14"/>
  <c r="I24" i="14"/>
  <c r="H24" i="14"/>
  <c r="E24" i="14"/>
  <c r="G24" i="14" s="1"/>
  <c r="M19" i="14"/>
  <c r="E11" i="14"/>
  <c r="I6" i="14"/>
  <c r="D6" i="14"/>
  <c r="D5" i="14"/>
  <c r="I54" i="13"/>
  <c r="G54" i="13"/>
  <c r="E54" i="13"/>
  <c r="F52" i="13"/>
  <c r="F50" i="13"/>
  <c r="F49" i="13"/>
  <c r="F48" i="13"/>
  <c r="F46" i="13"/>
  <c r="F44" i="13"/>
  <c r="F43" i="13"/>
  <c r="F41" i="13"/>
  <c r="F38" i="13"/>
  <c r="F36" i="13"/>
  <c r="F34" i="13"/>
  <c r="F31" i="13"/>
  <c r="F29" i="13"/>
  <c r="F27" i="13"/>
  <c r="L24" i="13"/>
  <c r="K24" i="13"/>
  <c r="J24" i="13"/>
  <c r="I24" i="13"/>
  <c r="H24" i="13"/>
  <c r="E24" i="13"/>
  <c r="G24" i="13" s="1"/>
  <c r="M19" i="13"/>
  <c r="E11" i="13"/>
  <c r="I6" i="13"/>
  <c r="D6" i="13"/>
  <c r="D5" i="13"/>
  <c r="I54" i="12"/>
  <c r="G54" i="12"/>
  <c r="E54" i="12"/>
  <c r="F52" i="12"/>
  <c r="F50" i="12"/>
  <c r="F49" i="12"/>
  <c r="F48" i="12"/>
  <c r="F46" i="12"/>
  <c r="F44" i="12"/>
  <c r="F43" i="12"/>
  <c r="F41" i="12"/>
  <c r="F38" i="12"/>
  <c r="F36" i="12"/>
  <c r="F34" i="12"/>
  <c r="F31" i="12"/>
  <c r="F29" i="12"/>
  <c r="F27" i="12"/>
  <c r="L24" i="12"/>
  <c r="J24" i="12"/>
  <c r="I24" i="12"/>
  <c r="H24" i="12"/>
  <c r="E24" i="12"/>
  <c r="G24" i="12" s="1"/>
  <c r="M19" i="12"/>
  <c r="E11" i="12"/>
  <c r="K24" i="12" s="1"/>
  <c r="I6" i="12"/>
  <c r="D6" i="12"/>
  <c r="D5" i="12"/>
  <c r="D24" i="12" s="1"/>
  <c r="M24" i="13" l="1"/>
  <c r="D24" i="17"/>
  <c r="F24" i="17" s="1"/>
  <c r="K27" i="17" s="1"/>
  <c r="L27" i="17" s="1"/>
  <c r="D24" i="14"/>
  <c r="F24" i="14" s="1"/>
  <c r="K41" i="14" s="1"/>
  <c r="D24" i="15"/>
  <c r="F24" i="15" s="1"/>
  <c r="K49" i="15" s="1"/>
  <c r="D24" i="13"/>
  <c r="F24" i="13" s="1"/>
  <c r="D24" i="18"/>
  <c r="F24" i="18" s="1"/>
  <c r="D24" i="16"/>
  <c r="F24" i="16" s="1"/>
  <c r="K34" i="16" s="1"/>
  <c r="M24" i="18"/>
  <c r="M24" i="16"/>
  <c r="M24" i="15"/>
  <c r="M24" i="14"/>
  <c r="M24" i="12"/>
  <c r="F24" i="12"/>
  <c r="K38" i="12" s="1"/>
  <c r="L38" i="12" s="1"/>
  <c r="I54" i="10"/>
  <c r="G54" i="10"/>
  <c r="E54" i="10"/>
  <c r="F52" i="10"/>
  <c r="F50" i="10"/>
  <c r="F49" i="10"/>
  <c r="F48" i="10"/>
  <c r="F46" i="10"/>
  <c r="F44" i="10"/>
  <c r="F43" i="10"/>
  <c r="F41" i="10"/>
  <c r="F38" i="10"/>
  <c r="F36" i="10"/>
  <c r="F34" i="10"/>
  <c r="F31" i="10"/>
  <c r="F29" i="10"/>
  <c r="F27" i="10"/>
  <c r="L24" i="10"/>
  <c r="J24" i="10"/>
  <c r="I24" i="10"/>
  <c r="H24" i="10"/>
  <c r="E24" i="10"/>
  <c r="G24" i="10" s="1"/>
  <c r="M19" i="10"/>
  <c r="E11" i="10"/>
  <c r="K24" i="10" s="1"/>
  <c r="I6" i="10"/>
  <c r="D6" i="10"/>
  <c r="D5" i="10"/>
  <c r="I54" i="9"/>
  <c r="G54" i="9"/>
  <c r="E54" i="9"/>
  <c r="F52" i="9"/>
  <c r="F50" i="9"/>
  <c r="F49" i="9"/>
  <c r="F48" i="9"/>
  <c r="F46" i="9"/>
  <c r="F44" i="9"/>
  <c r="F43" i="9"/>
  <c r="F41" i="9"/>
  <c r="F38" i="9"/>
  <c r="F36" i="9"/>
  <c r="F34" i="9"/>
  <c r="F31" i="9"/>
  <c r="F29" i="9"/>
  <c r="F27" i="9"/>
  <c r="L24" i="9"/>
  <c r="K24" i="9"/>
  <c r="J24" i="9"/>
  <c r="I24" i="9"/>
  <c r="H24" i="9"/>
  <c r="E24" i="9"/>
  <c r="G24" i="9" s="1"/>
  <c r="M19" i="9"/>
  <c r="E11" i="9"/>
  <c r="I6" i="9"/>
  <c r="D6" i="9"/>
  <c r="D5" i="9"/>
  <c r="I54" i="8"/>
  <c r="G54" i="8"/>
  <c r="E54" i="8"/>
  <c r="F52" i="8"/>
  <c r="F50" i="8"/>
  <c r="F49" i="8"/>
  <c r="F48" i="8"/>
  <c r="F46" i="8"/>
  <c r="F44" i="8"/>
  <c r="F43" i="8"/>
  <c r="F41" i="8"/>
  <c r="F38" i="8"/>
  <c r="F36" i="8"/>
  <c r="F34" i="8"/>
  <c r="F31" i="8"/>
  <c r="F29" i="8"/>
  <c r="F27" i="8"/>
  <c r="L24" i="8"/>
  <c r="J24" i="8"/>
  <c r="I24" i="8"/>
  <c r="H24" i="8"/>
  <c r="G24" i="8"/>
  <c r="E24" i="8"/>
  <c r="M19" i="8"/>
  <c r="E11" i="8"/>
  <c r="K24" i="8" s="1"/>
  <c r="I6" i="8"/>
  <c r="D6" i="8"/>
  <c r="D5" i="8"/>
  <c r="I54" i="7"/>
  <c r="G54" i="7"/>
  <c r="E54" i="7"/>
  <c r="F52" i="7"/>
  <c r="F50" i="7"/>
  <c r="F49" i="7"/>
  <c r="F48" i="7"/>
  <c r="F46" i="7"/>
  <c r="F44" i="7"/>
  <c r="F43" i="7"/>
  <c r="F41" i="7"/>
  <c r="F38" i="7"/>
  <c r="F36" i="7"/>
  <c r="F34" i="7"/>
  <c r="F31" i="7"/>
  <c r="F29" i="7"/>
  <c r="F27" i="7"/>
  <c r="L24" i="7"/>
  <c r="J24" i="7"/>
  <c r="I24" i="7"/>
  <c r="H24" i="7"/>
  <c r="E24" i="7"/>
  <c r="G24" i="7" s="1"/>
  <c r="M19" i="7"/>
  <c r="E11" i="7"/>
  <c r="K24" i="7" s="1"/>
  <c r="I6" i="7"/>
  <c r="D6" i="7"/>
  <c r="D5" i="7"/>
  <c r="I54" i="6"/>
  <c r="G54" i="6"/>
  <c r="E54" i="6"/>
  <c r="F52" i="6"/>
  <c r="F50" i="6"/>
  <c r="F49" i="6"/>
  <c r="F48" i="6"/>
  <c r="F46" i="6"/>
  <c r="F44" i="6"/>
  <c r="F43" i="6"/>
  <c r="F41" i="6"/>
  <c r="F38" i="6"/>
  <c r="F36" i="6"/>
  <c r="F34" i="6"/>
  <c r="F31" i="6"/>
  <c r="F29" i="6"/>
  <c r="F27" i="6"/>
  <c r="L24" i="6"/>
  <c r="K24" i="6"/>
  <c r="J24" i="6"/>
  <c r="I24" i="6"/>
  <c r="H24" i="6"/>
  <c r="E24" i="6"/>
  <c r="G24" i="6" s="1"/>
  <c r="M19" i="6"/>
  <c r="E11" i="6"/>
  <c r="I6" i="6"/>
  <c r="D6" i="6"/>
  <c r="D5" i="6"/>
  <c r="M24" i="10" l="1"/>
  <c r="D24" i="7"/>
  <c r="K38" i="13"/>
  <c r="L38" i="13" s="1"/>
  <c r="K48" i="13"/>
  <c r="L48" i="13" s="1"/>
  <c r="K46" i="17"/>
  <c r="L46" i="17" s="1"/>
  <c r="K54" i="12"/>
  <c r="L54" i="12" s="1"/>
  <c r="K36" i="12"/>
  <c r="L36" i="12" s="1"/>
  <c r="M36" i="12" s="1"/>
  <c r="K52" i="12"/>
  <c r="L52" i="12" s="1"/>
  <c r="K43" i="12"/>
  <c r="L43" i="12" s="1"/>
  <c r="M43" i="12" s="1"/>
  <c r="K49" i="12"/>
  <c r="L49" i="12" s="1"/>
  <c r="M49" i="12" s="1"/>
  <c r="K34" i="12"/>
  <c r="L34" i="12" s="1"/>
  <c r="M34" i="12" s="1"/>
  <c r="K41" i="12"/>
  <c r="L41" i="12" s="1"/>
  <c r="M41" i="12" s="1"/>
  <c r="K41" i="13"/>
  <c r="L41" i="13" s="1"/>
  <c r="M41" i="13" s="1"/>
  <c r="K27" i="12"/>
  <c r="L27" i="12" s="1"/>
  <c r="K50" i="12"/>
  <c r="L50" i="12" s="1"/>
  <c r="K27" i="13"/>
  <c r="L27" i="13" s="1"/>
  <c r="K44" i="12"/>
  <c r="L44" i="12" s="1"/>
  <c r="K34" i="13"/>
  <c r="L34" i="13" s="1"/>
  <c r="M34" i="13" s="1"/>
  <c r="K31" i="12"/>
  <c r="L31" i="12" s="1"/>
  <c r="K36" i="17"/>
  <c r="L36" i="17" s="1"/>
  <c r="M36" i="17" s="1"/>
  <c r="K29" i="12"/>
  <c r="L29" i="12" s="1"/>
  <c r="M29" i="12" s="1"/>
  <c r="K43" i="17"/>
  <c r="L43" i="17" s="1"/>
  <c r="M43" i="17" s="1"/>
  <c r="K34" i="17"/>
  <c r="L34" i="17" s="1"/>
  <c r="M34" i="17" s="1"/>
  <c r="K41" i="17"/>
  <c r="L41" i="17" s="1"/>
  <c r="M41" i="17" s="1"/>
  <c r="K46" i="12"/>
  <c r="L46" i="12" s="1"/>
  <c r="K43" i="18"/>
  <c r="L43" i="18" s="1"/>
  <c r="M43" i="18" s="1"/>
  <c r="K44" i="18"/>
  <c r="L44" i="18" s="1"/>
  <c r="K38" i="16"/>
  <c r="L38" i="16" s="1"/>
  <c r="K44" i="16"/>
  <c r="L44" i="16" s="1"/>
  <c r="K29" i="17"/>
  <c r="L29" i="17" s="1"/>
  <c r="M29" i="17" s="1"/>
  <c r="K49" i="18"/>
  <c r="L49" i="18" s="1"/>
  <c r="M49" i="18" s="1"/>
  <c r="K36" i="18"/>
  <c r="L36" i="18" s="1"/>
  <c r="M36" i="18" s="1"/>
  <c r="K52" i="18"/>
  <c r="L52" i="18" s="1"/>
  <c r="K54" i="18"/>
  <c r="L54" i="18" s="1"/>
  <c r="K27" i="18"/>
  <c r="L27" i="18" s="1"/>
  <c r="K34" i="18"/>
  <c r="L34" i="18" s="1"/>
  <c r="M34" i="18" s="1"/>
  <c r="K48" i="18"/>
  <c r="L48" i="18" s="1"/>
  <c r="K41" i="18"/>
  <c r="L41" i="18" s="1"/>
  <c r="M41" i="18" s="1"/>
  <c r="K46" i="18"/>
  <c r="L46" i="18" s="1"/>
  <c r="K29" i="18"/>
  <c r="L29" i="18" s="1"/>
  <c r="M29" i="18" s="1"/>
  <c r="K31" i="18"/>
  <c r="L31" i="18" s="1"/>
  <c r="K50" i="18"/>
  <c r="L50" i="18" s="1"/>
  <c r="K38" i="18"/>
  <c r="L38" i="18" s="1"/>
  <c r="K50" i="17"/>
  <c r="L50" i="17" s="1"/>
  <c r="K48" i="17"/>
  <c r="L48" i="17" s="1"/>
  <c r="K52" i="17"/>
  <c r="L52" i="17" s="1"/>
  <c r="K54" i="17"/>
  <c r="L54" i="17" s="1"/>
  <c r="K31" i="17"/>
  <c r="L31" i="17" s="1"/>
  <c r="K38" i="17"/>
  <c r="L38" i="17" s="1"/>
  <c r="K44" i="17"/>
  <c r="L44" i="17" s="1"/>
  <c r="K49" i="17"/>
  <c r="L49" i="17" s="1"/>
  <c r="M49" i="17" s="1"/>
  <c r="L34" i="16"/>
  <c r="M34" i="16" s="1"/>
  <c r="K49" i="16"/>
  <c r="L49" i="16" s="1"/>
  <c r="M49" i="16" s="1"/>
  <c r="K29" i="16"/>
  <c r="L29" i="16" s="1"/>
  <c r="M29" i="16" s="1"/>
  <c r="K48" i="16"/>
  <c r="L48" i="16" s="1"/>
  <c r="K41" i="16"/>
  <c r="L41" i="16" s="1"/>
  <c r="M41" i="16" s="1"/>
  <c r="K46" i="16"/>
  <c r="L46" i="16" s="1"/>
  <c r="K50" i="16"/>
  <c r="L50" i="16" s="1"/>
  <c r="K43" i="16"/>
  <c r="L43" i="16" s="1"/>
  <c r="M43" i="16" s="1"/>
  <c r="K54" i="16"/>
  <c r="L54" i="16" s="1"/>
  <c r="K36" i="16"/>
  <c r="L36" i="16" s="1"/>
  <c r="M36" i="16" s="1"/>
  <c r="K31" i="16"/>
  <c r="L31" i="16" s="1"/>
  <c r="K52" i="16"/>
  <c r="L52" i="16" s="1"/>
  <c r="K27" i="16"/>
  <c r="L27" i="16" s="1"/>
  <c r="L49" i="15"/>
  <c r="M49" i="15" s="1"/>
  <c r="K36" i="15"/>
  <c r="L36" i="15" s="1"/>
  <c r="M36" i="15" s="1"/>
  <c r="K52" i="15"/>
  <c r="L52" i="15" s="1"/>
  <c r="K34" i="15"/>
  <c r="L34" i="15" s="1"/>
  <c r="M34" i="15" s="1"/>
  <c r="K41" i="15"/>
  <c r="L41" i="15" s="1"/>
  <c r="M41" i="15" s="1"/>
  <c r="K31" i="15"/>
  <c r="L31" i="15" s="1"/>
  <c r="K29" i="15"/>
  <c r="L29" i="15" s="1"/>
  <c r="M29" i="15" s="1"/>
  <c r="K43" i="15"/>
  <c r="L43" i="15" s="1"/>
  <c r="M43" i="15" s="1"/>
  <c r="K27" i="15"/>
  <c r="L27" i="15" s="1"/>
  <c r="K54" i="15"/>
  <c r="L54" i="15" s="1"/>
  <c r="K46" i="15"/>
  <c r="L46" i="15" s="1"/>
  <c r="K50" i="15"/>
  <c r="L50" i="15" s="1"/>
  <c r="K48" i="15"/>
  <c r="L48" i="15" s="1"/>
  <c r="K44" i="15"/>
  <c r="L44" i="15" s="1"/>
  <c r="K38" i="15"/>
  <c r="L38" i="15" s="1"/>
  <c r="L41" i="14"/>
  <c r="M41" i="14" s="1"/>
  <c r="K29" i="14"/>
  <c r="L29" i="14" s="1"/>
  <c r="M29" i="14" s="1"/>
  <c r="K52" i="14"/>
  <c r="L52" i="14" s="1"/>
  <c r="K38" i="14"/>
  <c r="L38" i="14" s="1"/>
  <c r="K49" i="14"/>
  <c r="L49" i="14" s="1"/>
  <c r="M49" i="14" s="1"/>
  <c r="K44" i="14"/>
  <c r="L44" i="14" s="1"/>
  <c r="K31" i="14"/>
  <c r="L31" i="14" s="1"/>
  <c r="K48" i="14"/>
  <c r="L48" i="14" s="1"/>
  <c r="K46" i="14"/>
  <c r="L46" i="14" s="1"/>
  <c r="K43" i="14"/>
  <c r="L43" i="14" s="1"/>
  <c r="M43" i="14" s="1"/>
  <c r="K50" i="14"/>
  <c r="L50" i="14" s="1"/>
  <c r="K54" i="14"/>
  <c r="L54" i="14" s="1"/>
  <c r="K27" i="14"/>
  <c r="L27" i="14" s="1"/>
  <c r="K36" i="14"/>
  <c r="L36" i="14" s="1"/>
  <c r="M36" i="14" s="1"/>
  <c r="K34" i="14"/>
  <c r="L34" i="14" s="1"/>
  <c r="M34" i="14" s="1"/>
  <c r="K46" i="13"/>
  <c r="L46" i="13" s="1"/>
  <c r="K54" i="13"/>
  <c r="L54" i="13" s="1"/>
  <c r="K50" i="13"/>
  <c r="L50" i="13" s="1"/>
  <c r="K49" i="13"/>
  <c r="L49" i="13" s="1"/>
  <c r="M49" i="13" s="1"/>
  <c r="K31" i="13"/>
  <c r="L31" i="13" s="1"/>
  <c r="K36" i="13"/>
  <c r="L36" i="13" s="1"/>
  <c r="M36" i="13" s="1"/>
  <c r="K43" i="13"/>
  <c r="L43" i="13" s="1"/>
  <c r="M43" i="13" s="1"/>
  <c r="K44" i="13"/>
  <c r="L44" i="13" s="1"/>
  <c r="K29" i="13"/>
  <c r="L29" i="13" s="1"/>
  <c r="M29" i="13" s="1"/>
  <c r="K52" i="13"/>
  <c r="L52" i="13" s="1"/>
  <c r="K48" i="12"/>
  <c r="L48" i="12" s="1"/>
  <c r="D24" i="8"/>
  <c r="F24" i="8" s="1"/>
  <c r="K50" i="8" s="1"/>
  <c r="L50" i="8" s="1"/>
  <c r="D24" i="10"/>
  <c r="F24" i="10" s="1"/>
  <c r="K44" i="10" s="1"/>
  <c r="L44" i="10" s="1"/>
  <c r="D24" i="9"/>
  <c r="F24" i="9" s="1"/>
  <c r="K36" i="9" s="1"/>
  <c r="L36" i="9" s="1"/>
  <c r="M36" i="9" s="1"/>
  <c r="D24" i="6"/>
  <c r="F24" i="6" s="1"/>
  <c r="K34" i="6" s="1"/>
  <c r="M24" i="9"/>
  <c r="M24" i="8"/>
  <c r="M24" i="7"/>
  <c r="F24" i="7"/>
  <c r="K49" i="7" s="1"/>
  <c r="L49" i="7" s="1"/>
  <c r="M49" i="7" s="1"/>
  <c r="M24" i="6"/>
  <c r="E11" i="1"/>
  <c r="L57" i="18" l="1"/>
  <c r="L57" i="17"/>
  <c r="L57" i="16"/>
  <c r="L3" i="5" s="1"/>
  <c r="L57" i="15"/>
  <c r="L57" i="14"/>
  <c r="L57" i="13"/>
  <c r="I3" i="5" s="1"/>
  <c r="L57" i="12"/>
  <c r="H3" i="5" s="1"/>
  <c r="K27" i="9"/>
  <c r="L27" i="9" s="1"/>
  <c r="K54" i="9"/>
  <c r="L54" i="9" s="1"/>
  <c r="K34" i="9"/>
  <c r="L34" i="9" s="1"/>
  <c r="M34" i="9" s="1"/>
  <c r="K41" i="9"/>
  <c r="L41" i="9" s="1"/>
  <c r="M41" i="9" s="1"/>
  <c r="K41" i="6"/>
  <c r="L41" i="6" s="1"/>
  <c r="M41" i="6" s="1"/>
  <c r="K27" i="10"/>
  <c r="L27" i="10" s="1"/>
  <c r="K49" i="10"/>
  <c r="L49" i="10" s="1"/>
  <c r="M49" i="10" s="1"/>
  <c r="K29" i="10"/>
  <c r="L29" i="10" s="1"/>
  <c r="M29" i="10" s="1"/>
  <c r="K34" i="10"/>
  <c r="L34" i="10" s="1"/>
  <c r="M34" i="10" s="1"/>
  <c r="K48" i="10"/>
  <c r="L48" i="10" s="1"/>
  <c r="K46" i="10"/>
  <c r="L46" i="10" s="1"/>
  <c r="K50" i="10"/>
  <c r="L50" i="10" s="1"/>
  <c r="K54" i="10"/>
  <c r="L54" i="10" s="1"/>
  <c r="K41" i="10"/>
  <c r="L41" i="10" s="1"/>
  <c r="M41" i="10" s="1"/>
  <c r="K43" i="10"/>
  <c r="L43" i="10" s="1"/>
  <c r="M43" i="10" s="1"/>
  <c r="K52" i="10"/>
  <c r="L52" i="10" s="1"/>
  <c r="K38" i="10"/>
  <c r="L38" i="10" s="1"/>
  <c r="K36" i="10"/>
  <c r="L36" i="10" s="1"/>
  <c r="M36" i="10" s="1"/>
  <c r="K31" i="10"/>
  <c r="L31" i="10" s="1"/>
  <c r="K46" i="9"/>
  <c r="L46" i="9" s="1"/>
  <c r="K43" i="9"/>
  <c r="L43" i="9" s="1"/>
  <c r="M43" i="9" s="1"/>
  <c r="K31" i="9"/>
  <c r="L31" i="9" s="1"/>
  <c r="K48" i="9"/>
  <c r="L48" i="9" s="1"/>
  <c r="K52" i="9"/>
  <c r="L52" i="9" s="1"/>
  <c r="K38" i="9"/>
  <c r="L38" i="9" s="1"/>
  <c r="K29" i="9"/>
  <c r="L29" i="9" s="1"/>
  <c r="M29" i="9" s="1"/>
  <c r="K50" i="9"/>
  <c r="L50" i="9" s="1"/>
  <c r="K49" i="9"/>
  <c r="L49" i="9" s="1"/>
  <c r="M49" i="9" s="1"/>
  <c r="K44" i="9"/>
  <c r="L44" i="9" s="1"/>
  <c r="K52" i="8"/>
  <c r="L52" i="8" s="1"/>
  <c r="K38" i="8"/>
  <c r="L38" i="8" s="1"/>
  <c r="K29" i="8"/>
  <c r="L29" i="8" s="1"/>
  <c r="M29" i="8" s="1"/>
  <c r="K49" i="8"/>
  <c r="L49" i="8" s="1"/>
  <c r="M49" i="8" s="1"/>
  <c r="K34" i="8"/>
  <c r="L34" i="8" s="1"/>
  <c r="M34" i="8" s="1"/>
  <c r="K48" i="8"/>
  <c r="L48" i="8" s="1"/>
  <c r="K27" i="8"/>
  <c r="L27" i="8" s="1"/>
  <c r="K54" i="8"/>
  <c r="L54" i="8" s="1"/>
  <c r="K43" i="8"/>
  <c r="L43" i="8" s="1"/>
  <c r="M43" i="8" s="1"/>
  <c r="K46" i="8"/>
  <c r="L46" i="8" s="1"/>
  <c r="K44" i="8"/>
  <c r="L44" i="8" s="1"/>
  <c r="K36" i="8"/>
  <c r="L36" i="8" s="1"/>
  <c r="M36" i="8" s="1"/>
  <c r="K41" i="8"/>
  <c r="L41" i="8" s="1"/>
  <c r="M41" i="8" s="1"/>
  <c r="K31" i="8"/>
  <c r="L31" i="8" s="1"/>
  <c r="K44" i="7"/>
  <c r="L44" i="7" s="1"/>
  <c r="K52" i="7"/>
  <c r="L52" i="7" s="1"/>
  <c r="K36" i="7"/>
  <c r="L36" i="7" s="1"/>
  <c r="M36" i="7" s="1"/>
  <c r="K31" i="7"/>
  <c r="L31" i="7" s="1"/>
  <c r="K43" i="7"/>
  <c r="L43" i="7" s="1"/>
  <c r="M43" i="7" s="1"/>
  <c r="K34" i="7"/>
  <c r="L34" i="7" s="1"/>
  <c r="M34" i="7" s="1"/>
  <c r="K29" i="7"/>
  <c r="L29" i="7" s="1"/>
  <c r="M29" i="7" s="1"/>
  <c r="K38" i="7"/>
  <c r="L38" i="7" s="1"/>
  <c r="K46" i="7"/>
  <c r="L46" i="7" s="1"/>
  <c r="K50" i="7"/>
  <c r="L50" i="7" s="1"/>
  <c r="K48" i="7"/>
  <c r="L48" i="7" s="1"/>
  <c r="K41" i="7"/>
  <c r="L41" i="7" s="1"/>
  <c r="M41" i="7" s="1"/>
  <c r="K27" i="7"/>
  <c r="L27" i="7" s="1"/>
  <c r="K54" i="7"/>
  <c r="L54" i="7" s="1"/>
  <c r="L34" i="6"/>
  <c r="M34" i="6" s="1"/>
  <c r="K43" i="6"/>
  <c r="L43" i="6" s="1"/>
  <c r="M43" i="6" s="1"/>
  <c r="K38" i="6"/>
  <c r="L38" i="6" s="1"/>
  <c r="K52" i="6"/>
  <c r="L52" i="6" s="1"/>
  <c r="K36" i="6"/>
  <c r="L36" i="6" s="1"/>
  <c r="M36" i="6" s="1"/>
  <c r="K49" i="6"/>
  <c r="L49" i="6" s="1"/>
  <c r="M49" i="6" s="1"/>
  <c r="K29" i="6"/>
  <c r="L29" i="6" s="1"/>
  <c r="M29" i="6" s="1"/>
  <c r="K50" i="6"/>
  <c r="L50" i="6" s="1"/>
  <c r="K44" i="6"/>
  <c r="L44" i="6" s="1"/>
  <c r="K54" i="6"/>
  <c r="L54" i="6" s="1"/>
  <c r="K27" i="6"/>
  <c r="L27" i="6" s="1"/>
  <c r="K46" i="6"/>
  <c r="L46" i="6" s="1"/>
  <c r="K31" i="6"/>
  <c r="L31" i="6" s="1"/>
  <c r="K48" i="6"/>
  <c r="L48" i="6" s="1"/>
  <c r="M19" i="1"/>
  <c r="I54" i="1"/>
  <c r="G54" i="1"/>
  <c r="E54" i="1"/>
  <c r="F52" i="1"/>
  <c r="F50" i="1"/>
  <c r="F49" i="1"/>
  <c r="F48" i="1"/>
  <c r="F46" i="1"/>
  <c r="F44" i="1"/>
  <c r="F43" i="1"/>
  <c r="F41" i="1"/>
  <c r="F38" i="1"/>
  <c r="F36" i="1"/>
  <c r="F34" i="1"/>
  <c r="F31" i="1"/>
  <c r="F29" i="1"/>
  <c r="F27" i="1"/>
  <c r="L24" i="1"/>
  <c r="K24" i="1"/>
  <c r="J24" i="1"/>
  <c r="I24" i="1"/>
  <c r="H24" i="1"/>
  <c r="E24" i="1"/>
  <c r="G24" i="1" s="1"/>
  <c r="I6" i="1"/>
  <c r="D6" i="1"/>
  <c r="D5" i="1"/>
  <c r="L59" i="14" l="1"/>
  <c r="J3" i="5"/>
  <c r="L59" i="15"/>
  <c r="K3" i="5"/>
  <c r="M54" i="17"/>
  <c r="M3" i="5"/>
  <c r="M48" i="18"/>
  <c r="N3" i="5"/>
  <c r="M54" i="18"/>
  <c r="M27" i="18"/>
  <c r="M50" i="18"/>
  <c r="M46" i="18"/>
  <c r="L59" i="18"/>
  <c r="M44" i="18"/>
  <c r="M52" i="18"/>
  <c r="M31" i="18"/>
  <c r="M38" i="18"/>
  <c r="M50" i="17"/>
  <c r="M52" i="17"/>
  <c r="L59" i="17"/>
  <c r="M46" i="17"/>
  <c r="M27" i="17"/>
  <c r="M38" i="17"/>
  <c r="M48" i="17"/>
  <c r="M31" i="17"/>
  <c r="M44" i="17"/>
  <c r="L59" i="16"/>
  <c r="M44" i="16"/>
  <c r="M38" i="16"/>
  <c r="M48" i="16"/>
  <c r="M31" i="16"/>
  <c r="M50" i="16"/>
  <c r="M46" i="16"/>
  <c r="M54" i="16"/>
  <c r="M27" i="16"/>
  <c r="M52" i="16"/>
  <c r="M38" i="15"/>
  <c r="M48" i="15"/>
  <c r="M46" i="15"/>
  <c r="M50" i="15"/>
  <c r="M44" i="15"/>
  <c r="M31" i="15"/>
  <c r="M52" i="15"/>
  <c r="M54" i="15"/>
  <c r="M27" i="15"/>
  <c r="M52" i="14"/>
  <c r="M54" i="14"/>
  <c r="M38" i="14"/>
  <c r="M50" i="14"/>
  <c r="M44" i="14"/>
  <c r="M31" i="14"/>
  <c r="M48" i="14"/>
  <c r="M46" i="14"/>
  <c r="M27" i="14"/>
  <c r="L59" i="13"/>
  <c r="M38" i="13"/>
  <c r="M50" i="13"/>
  <c r="M31" i="13"/>
  <c r="M27" i="13"/>
  <c r="M54" i="13"/>
  <c r="M46" i="13"/>
  <c r="M48" i="13"/>
  <c r="M44" i="13"/>
  <c r="M52" i="13"/>
  <c r="L59" i="12"/>
  <c r="M44" i="12"/>
  <c r="M50" i="12"/>
  <c r="M52" i="12"/>
  <c r="M27" i="12"/>
  <c r="M54" i="12"/>
  <c r="M31" i="12"/>
  <c r="M38" i="12"/>
  <c r="M46" i="12"/>
  <c r="M48" i="12"/>
  <c r="L57" i="10"/>
  <c r="L57" i="9"/>
  <c r="L57" i="8"/>
  <c r="L57" i="7"/>
  <c r="L57" i="6"/>
  <c r="D24" i="1"/>
  <c r="F24" i="1" s="1"/>
  <c r="M24" i="1"/>
  <c r="M57" i="18" l="1"/>
  <c r="M57" i="17"/>
  <c r="M57" i="16"/>
  <c r="M57" i="15"/>
  <c r="M57" i="14"/>
  <c r="M57" i="13"/>
  <c r="M57" i="12"/>
  <c r="L59" i="6"/>
  <c r="C3" i="5"/>
  <c r="M27" i="8"/>
  <c r="E3" i="5"/>
  <c r="L59" i="7"/>
  <c r="D3" i="5"/>
  <c r="M31" i="9"/>
  <c r="F3" i="5"/>
  <c r="M31" i="10"/>
  <c r="G3" i="5"/>
  <c r="L59" i="10"/>
  <c r="M44" i="10"/>
  <c r="M50" i="10"/>
  <c r="M38" i="10"/>
  <c r="M27" i="10"/>
  <c r="M52" i="10"/>
  <c r="M48" i="10"/>
  <c r="M46" i="10"/>
  <c r="M54" i="10"/>
  <c r="L59" i="9"/>
  <c r="M27" i="9"/>
  <c r="M54" i="9"/>
  <c r="M52" i="9"/>
  <c r="M44" i="9"/>
  <c r="M48" i="9"/>
  <c r="M46" i="9"/>
  <c r="M50" i="9"/>
  <c r="M38" i="9"/>
  <c r="M31" i="8"/>
  <c r="M52" i="8"/>
  <c r="M38" i="8"/>
  <c r="M44" i="8"/>
  <c r="M48" i="8"/>
  <c r="L59" i="8"/>
  <c r="M50" i="8"/>
  <c r="M54" i="8"/>
  <c r="M46" i="8"/>
  <c r="M44" i="7"/>
  <c r="M27" i="7"/>
  <c r="M38" i="7"/>
  <c r="M52" i="7"/>
  <c r="M54" i="7"/>
  <c r="M31" i="7"/>
  <c r="M48" i="7"/>
  <c r="M46" i="7"/>
  <c r="M50" i="7"/>
  <c r="M46" i="6"/>
  <c r="M38" i="6"/>
  <c r="M50" i="6"/>
  <c r="M31" i="6"/>
  <c r="M44" i="6"/>
  <c r="M52" i="6"/>
  <c r="M27" i="6"/>
  <c r="M48" i="6"/>
  <c r="M54" i="6"/>
  <c r="K34" i="1"/>
  <c r="L34" i="1" s="1"/>
  <c r="M34" i="1" s="1"/>
  <c r="K38" i="1"/>
  <c r="L38" i="1" s="1"/>
  <c r="K48" i="1"/>
  <c r="L48" i="1" s="1"/>
  <c r="K29" i="1"/>
  <c r="L29" i="1" s="1"/>
  <c r="M29" i="1" s="1"/>
  <c r="K50" i="1"/>
  <c r="L50" i="1" s="1"/>
  <c r="K44" i="1"/>
  <c r="L44" i="1" s="1"/>
  <c r="K31" i="1"/>
  <c r="L31" i="1" s="1"/>
  <c r="K52" i="1"/>
  <c r="L52" i="1" s="1"/>
  <c r="K46" i="1"/>
  <c r="L46" i="1" s="1"/>
  <c r="K27" i="1"/>
  <c r="L27" i="1" s="1"/>
  <c r="K41" i="1"/>
  <c r="L41" i="1" s="1"/>
  <c r="M41" i="1" s="1"/>
  <c r="K43" i="1"/>
  <c r="L43" i="1" s="1"/>
  <c r="M43" i="1" s="1"/>
  <c r="K49" i="1"/>
  <c r="L49" i="1" s="1"/>
  <c r="M49" i="1" s="1"/>
  <c r="K54" i="1"/>
  <c r="L54" i="1" s="1"/>
  <c r="K36" i="1"/>
  <c r="L36" i="1" s="1"/>
  <c r="M36" i="1" s="1"/>
  <c r="M57" i="10" l="1"/>
  <c r="M57" i="9"/>
  <c r="M57" i="8"/>
  <c r="M57" i="7"/>
  <c r="M57" i="6"/>
  <c r="L57" i="1"/>
  <c r="B3" i="5" l="1"/>
  <c r="L59" i="1"/>
  <c r="M31" i="1"/>
  <c r="M44" i="1"/>
  <c r="M46" i="1"/>
  <c r="M27" i="1"/>
  <c r="M50" i="1"/>
  <c r="M38" i="1"/>
  <c r="M48" i="1"/>
  <c r="M52" i="1"/>
  <c r="M54" i="1"/>
  <c r="M57" i="1" l="1"/>
</calcChain>
</file>

<file path=xl/sharedStrings.xml><?xml version="1.0" encoding="utf-8"?>
<sst xmlns="http://schemas.openxmlformats.org/spreadsheetml/2006/main" count="1973" uniqueCount="144">
  <si>
    <t>소서리스 DPS 시뮬레이터 (by 치즈메기)</t>
  </si>
  <si>
    <r>
      <rPr>
        <b/>
        <sz val="14"/>
        <color rgb="FFFFD966"/>
        <rFont val="Calibri"/>
        <family val="2"/>
      </rPr>
      <t>①</t>
    </r>
    <r>
      <rPr>
        <b/>
        <sz val="12"/>
        <color rgb="FFFFD966"/>
        <rFont val="Calibri"/>
        <family val="2"/>
      </rPr>
      <t xml:space="preserve"> 기본 스펙 입력</t>
    </r>
  </si>
  <si>
    <t>반영값</t>
  </si>
  <si>
    <t>수치</t>
  </si>
  <si>
    <r>
      <rPr>
        <b/>
        <sz val="14"/>
        <color rgb="FFFFD966"/>
        <rFont val="Calibri"/>
        <family val="2"/>
      </rPr>
      <t>④</t>
    </r>
    <r>
      <rPr>
        <b/>
        <sz val="12"/>
        <color rgb="FFFFD966"/>
        <rFont val="Calibri"/>
        <family val="2"/>
      </rPr>
      <t xml:space="preserve"> 직업 각인 입력</t>
    </r>
  </si>
  <si>
    <t>레벨</t>
  </si>
  <si>
    <t>계수</t>
  </si>
  <si>
    <t>사용 방법</t>
  </si>
  <si>
    <t>치명 스탯 (치명타율)</t>
  </si>
  <si>
    <t>점화</t>
  </si>
  <si>
    <t>연하늘색 : 수치를 숫자로 입력</t>
  </si>
  <si>
    <t>특화 스탯 (Z 딜증량)</t>
  </si>
  <si>
    <t>환류</t>
  </si>
  <si>
    <t>연붉은색 : 사용 여부를
영문자 V로 체크</t>
  </si>
  <si>
    <t>무기 추가 피해</t>
  </si>
  <si>
    <t>기본 공격력</t>
  </si>
  <si>
    <r>
      <rPr>
        <b/>
        <sz val="14"/>
        <color rgb="FFFFD966"/>
        <rFont val="Calibri"/>
        <family val="2"/>
      </rPr>
      <t>⑤</t>
    </r>
    <r>
      <rPr>
        <b/>
        <sz val="12"/>
        <color rgb="FFFFD966"/>
        <rFont val="Calibri"/>
        <family val="2"/>
      </rPr>
      <t xml:space="preserve"> 공용 각인 선택</t>
    </r>
  </si>
  <si>
    <t>사용여부</t>
  </si>
  <si>
    <r>
      <rPr>
        <b/>
        <sz val="11"/>
        <rFont val="Calibri"/>
        <family val="2"/>
      </rPr>
      <t xml:space="preserve">메뉴얼 : </t>
    </r>
    <r>
      <rPr>
        <u/>
        <sz val="11"/>
        <color rgb="FF1155CC"/>
        <rFont val="Calibri"/>
        <family val="2"/>
      </rPr>
      <t>https://www.inven.co.kr/board/lostark/5770/54940</t>
    </r>
  </si>
  <si>
    <t>원한</t>
  </si>
  <si>
    <t>V</t>
  </si>
  <si>
    <t>※ 특치 점화 세팅을 예시로 기입해 두었습니다.</t>
  </si>
  <si>
    <r>
      <rPr>
        <b/>
        <sz val="14"/>
        <color rgb="FFFFD966"/>
        <rFont val="Calibri"/>
        <family val="2"/>
      </rPr>
      <t>②</t>
    </r>
    <r>
      <rPr>
        <b/>
        <sz val="12"/>
        <color rgb="FFFFD966"/>
        <rFont val="Calibri"/>
        <family val="2"/>
      </rPr>
      <t xml:space="preserve"> 유물 장비 선택</t>
    </r>
  </si>
  <si>
    <t>타격의 대가</t>
  </si>
  <si>
    <t>악몽</t>
  </si>
  <si>
    <t>저주받은 인형</t>
  </si>
  <si>
    <r>
      <rPr>
        <b/>
        <sz val="14"/>
        <color rgb="FFFFD966"/>
        <rFont val="Calibri"/>
        <family val="2"/>
      </rPr>
      <t>⑥</t>
    </r>
    <r>
      <rPr>
        <b/>
        <sz val="12"/>
        <color rgb="FFFFD966"/>
        <rFont val="Calibri"/>
        <family val="2"/>
      </rPr>
      <t xml:space="preserve"> 트포 선택</t>
    </r>
  </si>
  <si>
    <t>마나 증폭
or 강화된 일격</t>
  </si>
  <si>
    <t>최후의 일격</t>
  </si>
  <si>
    <t>환각</t>
  </si>
  <si>
    <t>질량 증가</t>
  </si>
  <si>
    <t>구원</t>
  </si>
  <si>
    <t>예리한 둔기</t>
  </si>
  <si>
    <t>혹한의 부름</t>
  </si>
  <si>
    <t>지배</t>
  </si>
  <si>
    <t>돌격대장</t>
  </si>
  <si>
    <t>천벌</t>
  </si>
  <si>
    <t>2악몽 4지배</t>
  </si>
  <si>
    <t>정밀 단도</t>
  </si>
  <si>
    <t>엘리멘탈 리액트</t>
  </si>
  <si>
    <t>2악몽 4환각</t>
  </si>
  <si>
    <t>속전속결</t>
  </si>
  <si>
    <t>v</t>
  </si>
  <si>
    <t>익스플로전</t>
  </si>
  <si>
    <t>아드레날린 (3렙)</t>
  </si>
  <si>
    <t>종말의 날</t>
  </si>
  <si>
    <r>
      <rPr>
        <b/>
        <sz val="14"/>
        <color rgb="FFFFD966"/>
        <rFont val="Calibri"/>
        <family val="2"/>
      </rPr>
      <t>③</t>
    </r>
    <r>
      <rPr>
        <b/>
        <sz val="12"/>
        <color rgb="FFFFD966"/>
        <rFont val="Calibri"/>
        <family val="2"/>
      </rPr>
      <t xml:space="preserve"> 카드 세트 선택</t>
    </r>
  </si>
  <si>
    <t>아드레날린 (2렙)</t>
  </si>
  <si>
    <t>남바절 12</t>
  </si>
  <si>
    <t>아드레날린 (1렙)</t>
  </si>
  <si>
    <r>
      <rPr>
        <b/>
        <sz val="14"/>
        <color rgb="FFFFD966"/>
        <rFont val="Calibri"/>
        <family val="2"/>
      </rPr>
      <t xml:space="preserve">⑦ </t>
    </r>
    <r>
      <rPr>
        <b/>
        <sz val="12"/>
        <color rgb="FFFFD966"/>
        <rFont val="Calibri"/>
        <family val="2"/>
      </rPr>
      <t>팔찌 입력</t>
    </r>
  </si>
  <si>
    <t>치명타율</t>
  </si>
  <si>
    <t>세구빛 18</t>
  </si>
  <si>
    <t>자유 각인 (피증계열)</t>
  </si>
  <si>
    <t>치명타피해</t>
  </si>
  <si>
    <t>세구빛 30</t>
  </si>
  <si>
    <t>자유 각인 (공증계열)</t>
  </si>
  <si>
    <t>딜증가</t>
  </si>
  <si>
    <t>딜증가 요소</t>
  </si>
  <si>
    <t>치명타 피해</t>
  </si>
  <si>
    <t>치명타율
(해방 점화)</t>
  </si>
  <si>
    <t>치명타 피해
(해방 점화)</t>
  </si>
  <si>
    <t>피증계열 각인 합산</t>
  </si>
  <si>
    <t>공증계열 각인 합산</t>
  </si>
  <si>
    <t>카드</t>
  </si>
  <si>
    <t>유물셋</t>
  </si>
  <si>
    <t>팔찌</t>
  </si>
  <si>
    <t>총 딜증량</t>
  </si>
  <si>
    <r>
      <rPr>
        <b/>
        <sz val="14"/>
        <color rgb="FFFFD966"/>
        <rFont val="Calibri"/>
        <family val="2"/>
      </rPr>
      <t xml:space="preserve">⑧ </t>
    </r>
    <r>
      <rPr>
        <b/>
        <sz val="12"/>
        <color rgb="FFFFD966"/>
        <rFont val="Calibri"/>
        <family val="2"/>
      </rPr>
      <t>스킬 정보 입력</t>
    </r>
  </si>
  <si>
    <t>트포 선택</t>
  </si>
  <si>
    <t>보석(멸화)
딜증율</t>
  </si>
  <si>
    <t>스킬 기본 딜</t>
  </si>
  <si>
    <t>일반
시전횟수</t>
  </si>
  <si>
    <t>마력 강화
시전횟수</t>
  </si>
  <si>
    <t>마력 해방
시전횟수</t>
  </si>
  <si>
    <t>끝없는 마나
시전횟수</t>
  </si>
  <si>
    <t>스킬 배율
(치명옵션 &amp;
스테이터스)</t>
  </si>
  <si>
    <t>최종 스킬딜</t>
  </si>
  <si>
    <t>딜지분</t>
  </si>
  <si>
    <t>블레이즈</t>
  </si>
  <si>
    <t>불꽃 충전 (스택)</t>
  </si>
  <si>
    <t>불꽃 확장 (딜증)</t>
  </si>
  <si>
    <t>라이트닝 볼텍스</t>
  </si>
  <si>
    <t>과열 (스택)</t>
  </si>
  <si>
    <t>사나운 번개 (딜증)</t>
  </si>
  <si>
    <t>지배력 강화 (토글)</t>
  </si>
  <si>
    <t>불완전한 지배 (일반)</t>
  </si>
  <si>
    <t>통찰력 (홀딩)</t>
  </si>
  <si>
    <t>숭고한 해일</t>
  </si>
  <si>
    <t>추가 폭발</t>
  </si>
  <si>
    <t>진화된 해일</t>
  </si>
  <si>
    <t>인페르노</t>
  </si>
  <si>
    <t>화염지대 + 화력팽창</t>
  </si>
  <si>
    <t>불꽃충전 + 화력보충</t>
  </si>
  <si>
    <t>피할 수 없는 운명</t>
  </si>
  <si>
    <t>방전</t>
  </si>
  <si>
    <t>파멸</t>
  </si>
  <si>
    <t>리버스 그래비티</t>
  </si>
  <si>
    <t>용암 지대</t>
  </si>
  <si>
    <t>전격 지대</t>
  </si>
  <si>
    <t>라이트닝 볼트</t>
  </si>
  <si>
    <t>강화된 일격</t>
  </si>
  <si>
    <t>안정된 크리스탈</t>
  </si>
  <si>
    <t>충격파</t>
  </si>
  <si>
    <t>아이스 애로우</t>
  </si>
  <si>
    <t>얼음 송곳</t>
  </si>
  <si>
    <t>서리 폭격</t>
  </si>
  <si>
    <t>정신 강화</t>
  </si>
  <si>
    <t>발화</t>
  </si>
  <si>
    <t>소행성 + 정신 강화</t>
  </si>
  <si>
    <t>소행성 + 발화</t>
  </si>
  <si>
    <t>과열된 운석 + 정신 강화</t>
  </si>
  <si>
    <t>과열된 운석 + 발화</t>
  </si>
  <si>
    <t>출혈룬</t>
  </si>
  <si>
    <t>사용중 문의사항은
디스코드 : 치즈메기#7815
인벤쪽지 : 치즈메기
이메일 : aislekim95@gmail.com
위 연락처로 보내주세요</t>
  </si>
  <si>
    <r>
      <rPr>
        <b/>
        <sz val="14"/>
        <color rgb="FFFFD966"/>
        <rFont val="Calibri"/>
        <family val="2"/>
        <scheme val="minor"/>
      </rPr>
      <t>⑨</t>
    </r>
    <r>
      <rPr>
        <b/>
        <sz val="12"/>
        <color rgb="FFFFD966"/>
        <rFont val="Calibri"/>
        <family val="2"/>
        <scheme val="minor"/>
      </rPr>
      <t xml:space="preserve"> 결과 확인</t>
    </r>
  </si>
  <si>
    <t xml:space="preserve">사이클 딜량 합산 </t>
  </si>
  <si>
    <t xml:space="preserve">사이클 소요 시간 (초) </t>
  </si>
  <si>
    <t xml:space="preserve">DPS </t>
  </si>
  <si>
    <t>v</t>
    <phoneticPr fontId="35" type="noConversion"/>
  </si>
  <si>
    <t>v</t>
    <phoneticPr fontId="35" type="noConversion"/>
  </si>
  <si>
    <t>v</t>
    <phoneticPr fontId="35" type="noConversion"/>
  </si>
  <si>
    <t>v</t>
    <phoneticPr fontId="35" type="noConversion"/>
  </si>
  <si>
    <t>v</t>
    <phoneticPr fontId="35" type="noConversion"/>
  </si>
  <si>
    <t>타예아2</t>
    <phoneticPr fontId="35" type="noConversion"/>
  </si>
  <si>
    <t>타저아2</t>
    <phoneticPr fontId="35" type="noConversion"/>
  </si>
  <si>
    <t>저예아2</t>
    <phoneticPr fontId="35" type="noConversion"/>
  </si>
  <si>
    <t>타예속2</t>
    <phoneticPr fontId="35" type="noConversion"/>
  </si>
  <si>
    <t>타저속2</t>
    <phoneticPr fontId="35" type="noConversion"/>
  </si>
  <si>
    <t>저예속2</t>
    <phoneticPr fontId="35" type="noConversion"/>
  </si>
  <si>
    <t>악몽</t>
    <phoneticPr fontId="35" type="noConversion"/>
  </si>
  <si>
    <t>v</t>
    <phoneticPr fontId="35" type="noConversion"/>
  </si>
  <si>
    <t>저아타2</t>
    <phoneticPr fontId="35" type="noConversion"/>
  </si>
  <si>
    <t>저예타2</t>
    <phoneticPr fontId="35" type="noConversion"/>
  </si>
  <si>
    <t>예아타2</t>
    <phoneticPr fontId="35" type="noConversion"/>
  </si>
  <si>
    <t>타예저2</t>
    <phoneticPr fontId="35" type="noConversion"/>
  </si>
  <si>
    <t>타아저2</t>
    <phoneticPr fontId="35" type="noConversion"/>
  </si>
  <si>
    <t>예아저2</t>
    <phoneticPr fontId="35" type="noConversion"/>
  </si>
  <si>
    <t>원한3 점화3 속속3</t>
    <phoneticPr fontId="35" type="noConversion"/>
  </si>
  <si>
    <t>원한3 점화3 아드3</t>
    <phoneticPr fontId="35" type="noConversion"/>
  </si>
  <si>
    <t>원한3 점화3 아드3 *캐스팅 0.1초 느림</t>
    <phoneticPr fontId="35" type="noConversion"/>
  </si>
  <si>
    <t>v</t>
    <phoneticPr fontId="35" type="noConversion"/>
  </si>
  <si>
    <t>v</t>
    <phoneticPr fontId="35" type="noConversion"/>
  </si>
  <si>
    <t>원점속예아에1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</si>
</sst>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38">
    <font>
      <sz val="11"/>
      <color theme="1"/>
      <name val="Calibri"/>
      <scheme val="minor"/>
    </font>
    <font>
      <b/>
      <sz val="14"/>
      <color theme="1"/>
      <name val="Malgun Gothic"/>
      <family val="3"/>
      <charset val="129"/>
    </font>
    <font>
      <sz val="11"/>
      <color theme="1"/>
      <name val="Calibri"/>
      <scheme val="minor"/>
    </font>
    <font>
      <b/>
      <sz val="18"/>
      <color rgb="FFFFD966"/>
      <name val="Malgun Gothic"/>
      <family val="3"/>
      <charset val="129"/>
    </font>
    <font>
      <sz val="11"/>
      <name val="Calibri"/>
    </font>
    <font>
      <b/>
      <sz val="11"/>
      <color theme="1"/>
      <name val="Calibri"/>
      <scheme val="minor"/>
    </font>
    <font>
      <b/>
      <sz val="12"/>
      <color rgb="FFFFD966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u/>
      <sz val="11"/>
      <color rgb="FF0000FF"/>
      <name val="Calibri"/>
    </font>
    <font>
      <b/>
      <sz val="11"/>
      <color rgb="FFFF0000"/>
      <name val="Calibri"/>
      <scheme val="minor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rgb="FFFFE599"/>
      <name val="Calibri"/>
      <scheme val="minor"/>
    </font>
    <font>
      <b/>
      <sz val="11"/>
      <color rgb="FFFFE599"/>
      <name val="Calibri"/>
      <scheme val="minor"/>
    </font>
    <font>
      <sz val="12"/>
      <color rgb="FFFFE599"/>
      <name val="Calibri"/>
      <scheme val="minor"/>
    </font>
    <font>
      <sz val="9"/>
      <color rgb="FFA61D4C"/>
      <name val="Inconsolata"/>
    </font>
    <font>
      <b/>
      <sz val="12"/>
      <color rgb="FFFFD966"/>
      <name val="Calibri"/>
      <family val="2"/>
    </font>
    <font>
      <b/>
      <sz val="13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Inconsolata"/>
    </font>
    <font>
      <sz val="11"/>
      <color rgb="FFFF0000"/>
      <name val="Calibri"/>
      <family val="2"/>
    </font>
    <font>
      <b/>
      <sz val="13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color rgb="FFFFD966"/>
      <name val="Inconsolata"/>
    </font>
    <font>
      <b/>
      <sz val="12"/>
      <color rgb="FF000000"/>
      <name val="&quot;Malgun Gothic&quot;"/>
    </font>
    <font>
      <b/>
      <sz val="13"/>
      <color rgb="FF000000"/>
      <name val="Calibri"/>
      <family val="2"/>
    </font>
    <font>
      <b/>
      <sz val="14"/>
      <color rgb="FFFFD966"/>
      <name val="Calibri"/>
      <family val="2"/>
    </font>
    <font>
      <b/>
      <sz val="11"/>
      <name val="Calibri"/>
      <family val="2"/>
    </font>
    <font>
      <u/>
      <sz val="11"/>
      <color rgb="FF1155CC"/>
      <name val="Calibri"/>
      <family val="2"/>
    </font>
    <font>
      <b/>
      <sz val="14"/>
      <color rgb="FFFFD966"/>
      <name val="Calibri"/>
      <family val="2"/>
      <scheme val="minor"/>
    </font>
    <font>
      <b/>
      <sz val="12"/>
      <color rgb="FFFFD96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51C75"/>
        <bgColor rgb="FF351C75"/>
      </patternFill>
    </fill>
    <fill>
      <patternFill patternType="solid">
        <fgColor rgb="FFFFD966"/>
        <bgColor rgb="FFFFD966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4F6FF"/>
        <bgColor rgb="FFE4F6FF"/>
      </patternFill>
    </fill>
  </fills>
  <borders count="8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FFD966"/>
      </bottom>
      <diagonal/>
    </border>
    <border>
      <left style="thin">
        <color rgb="FF000000"/>
      </left>
      <right style="thin">
        <color rgb="FF000000"/>
      </right>
      <top/>
      <bottom style="thin">
        <color rgb="FFFFD966"/>
      </bottom>
      <diagonal/>
    </border>
    <border>
      <left style="thin">
        <color rgb="FF000000"/>
      </left>
      <right style="thick">
        <color rgb="FF000000"/>
      </right>
      <top/>
      <bottom style="thin">
        <color rgb="FFFFD966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15">
    <xf numFmtId="0" fontId="0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0" fontId="8" fillId="4" borderId="14" xfId="0" applyNumberFormat="1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/>
    </xf>
    <xf numFmtId="0" fontId="5" fillId="5" borderId="14" xfId="0" applyFont="1" applyFill="1" applyBorder="1" applyAlignment="1">
      <alignment horizontal="center" vertical="center"/>
    </xf>
    <xf numFmtId="9" fontId="2" fillId="4" borderId="15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10" fontId="8" fillId="4" borderId="21" xfId="0" applyNumberFormat="1" applyFont="1" applyFill="1" applyBorder="1" applyAlignment="1">
      <alignment vertical="center"/>
    </xf>
    <xf numFmtId="0" fontId="5" fillId="5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vertical="center"/>
    </xf>
    <xf numFmtId="0" fontId="5" fillId="5" borderId="24" xfId="0" applyFont="1" applyFill="1" applyBorder="1" applyAlignment="1">
      <alignment horizontal="center" vertical="center"/>
    </xf>
    <xf numFmtId="9" fontId="2" fillId="4" borderId="25" xfId="0" applyNumberFormat="1" applyFont="1" applyFill="1" applyBorder="1" applyAlignment="1">
      <alignment vertical="center"/>
    </xf>
    <xf numFmtId="10" fontId="5" fillId="5" borderId="22" xfId="0" applyNumberFormat="1" applyFont="1" applyFill="1" applyBorder="1" applyAlignment="1">
      <alignment horizontal="center" vertical="center"/>
    </xf>
    <xf numFmtId="1" fontId="9" fillId="5" borderId="25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5" fillId="6" borderId="14" xfId="0" applyFont="1" applyFill="1" applyBorder="1" applyAlignment="1">
      <alignment horizontal="center" vertical="center"/>
    </xf>
    <xf numFmtId="176" fontId="2" fillId="4" borderId="15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vertical="center"/>
    </xf>
    <xf numFmtId="0" fontId="5" fillId="6" borderId="21" xfId="0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vertical="center"/>
    </xf>
    <xf numFmtId="10" fontId="2" fillId="4" borderId="15" xfId="0" applyNumberFormat="1" applyFont="1" applyFill="1" applyBorder="1" applyAlignment="1">
      <alignment vertical="center"/>
    </xf>
    <xf numFmtId="176" fontId="2" fillId="4" borderId="22" xfId="0" applyNumberFormat="1" applyFont="1" applyFill="1" applyBorder="1" applyAlignment="1">
      <alignment vertical="center"/>
    </xf>
    <xf numFmtId="10" fontId="2" fillId="4" borderId="22" xfId="0" applyNumberFormat="1" applyFont="1" applyFill="1" applyBorder="1" applyAlignment="1">
      <alignment vertical="center"/>
    </xf>
    <xf numFmtId="0" fontId="7" fillId="4" borderId="16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10" fontId="2" fillId="4" borderId="22" xfId="0" applyNumberFormat="1" applyFont="1" applyFill="1" applyBorder="1" applyAlignment="1">
      <alignment vertical="center"/>
    </xf>
    <xf numFmtId="0" fontId="7" fillId="4" borderId="35" xfId="0" applyFont="1" applyFill="1" applyBorder="1" applyAlignment="1">
      <alignment horizontal="left" vertical="center"/>
    </xf>
    <xf numFmtId="0" fontId="9" fillId="6" borderId="2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10" fontId="2" fillId="4" borderId="44" xfId="0" applyNumberFormat="1" applyFont="1" applyFill="1" applyBorder="1" applyAlignment="1">
      <alignment vertical="center"/>
    </xf>
    <xf numFmtId="0" fontId="13" fillId="6" borderId="24" xfId="0" applyFont="1" applyFill="1" applyBorder="1" applyAlignment="1">
      <alignment horizontal="center" vertical="center"/>
    </xf>
    <xf numFmtId="10" fontId="14" fillId="4" borderId="25" xfId="0" applyNumberFormat="1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vertical="center"/>
    </xf>
    <xf numFmtId="176" fontId="2" fillId="4" borderId="44" xfId="0" applyNumberFormat="1" applyFont="1" applyFill="1" applyBorder="1" applyAlignment="1">
      <alignment vertical="center"/>
    </xf>
    <xf numFmtId="0" fontId="5" fillId="4" borderId="46" xfId="0" applyFont="1" applyFill="1" applyBorder="1" applyAlignment="1">
      <alignment horizontal="center" vertical="center"/>
    </xf>
    <xf numFmtId="9" fontId="2" fillId="7" borderId="47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4" borderId="48" xfId="0" applyFont="1" applyFill="1" applyBorder="1" applyAlignment="1">
      <alignment vertical="center"/>
    </xf>
    <xf numFmtId="0" fontId="5" fillId="6" borderId="49" xfId="0" applyFont="1" applyFill="1" applyBorder="1" applyAlignment="1">
      <alignment horizontal="center" vertical="center"/>
    </xf>
    <xf numFmtId="176" fontId="2" fillId="5" borderId="50" xfId="0" applyNumberFormat="1" applyFont="1" applyFill="1" applyBorder="1" applyAlignment="1">
      <alignment vertical="center"/>
    </xf>
    <xf numFmtId="0" fontId="5" fillId="4" borderId="21" xfId="0" applyFont="1" applyFill="1" applyBorder="1" applyAlignment="1">
      <alignment horizontal="center" vertical="center"/>
    </xf>
    <xf numFmtId="9" fontId="2" fillId="7" borderId="22" xfId="0" applyNumberFormat="1" applyFont="1" applyFill="1" applyBorder="1" applyAlignment="1">
      <alignment vertical="center"/>
    </xf>
    <xf numFmtId="0" fontId="5" fillId="6" borderId="24" xfId="0" applyFont="1" applyFill="1" applyBorder="1" applyAlignment="1">
      <alignment horizontal="center" vertical="center"/>
    </xf>
    <xf numFmtId="10" fontId="2" fillId="4" borderId="25" xfId="0" applyNumberFormat="1" applyFont="1" applyFill="1" applyBorder="1" applyAlignment="1">
      <alignment vertical="center"/>
    </xf>
    <xf numFmtId="0" fontId="7" fillId="4" borderId="23" xfId="0" applyFont="1" applyFill="1" applyBorder="1" applyAlignment="1">
      <alignment vertical="center"/>
    </xf>
    <xf numFmtId="176" fontId="2" fillId="5" borderId="25" xfId="0" applyNumberFormat="1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/>
    </xf>
    <xf numFmtId="176" fontId="2" fillId="7" borderId="25" xfId="0" applyNumberFormat="1" applyFont="1" applyFill="1" applyBorder="1" applyAlignment="1">
      <alignment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10" fontId="17" fillId="3" borderId="24" xfId="0" applyNumberFormat="1" applyFont="1" applyFill="1" applyBorder="1" applyAlignment="1">
      <alignment horizontal="center" vertical="center"/>
    </xf>
    <xf numFmtId="10" fontId="17" fillId="3" borderId="25" xfId="0" applyNumberFormat="1" applyFont="1" applyFill="1" applyBorder="1" applyAlignment="1">
      <alignment horizontal="center" vertical="center"/>
    </xf>
    <xf numFmtId="10" fontId="17" fillId="3" borderId="45" xfId="0" applyNumberFormat="1" applyFont="1" applyFill="1" applyBorder="1" applyAlignment="1">
      <alignment horizontal="center" vertical="center"/>
    </xf>
    <xf numFmtId="0" fontId="18" fillId="8" borderId="0" xfId="0" applyFont="1" applyFill="1" applyAlignment="1">
      <alignment horizontal="left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5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5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vertical="center"/>
    </xf>
    <xf numFmtId="0" fontId="13" fillId="6" borderId="14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vertical="center"/>
    </xf>
    <xf numFmtId="0" fontId="13" fillId="6" borderId="61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vertical="center"/>
    </xf>
    <xf numFmtId="0" fontId="13" fillId="6" borderId="21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vertical="center"/>
    </xf>
    <xf numFmtId="0" fontId="13" fillId="6" borderId="40" xfId="0" applyFont="1" applyFill="1" applyBorder="1" applyAlignment="1">
      <alignment horizontal="center" vertical="center"/>
    </xf>
    <xf numFmtId="9" fontId="13" fillId="5" borderId="40" xfId="0" applyNumberFormat="1" applyFont="1" applyFill="1" applyBorder="1" applyAlignment="1">
      <alignment horizontal="center" vertical="center"/>
    </xf>
    <xf numFmtId="3" fontId="13" fillId="4" borderId="62" xfId="0" applyNumberFormat="1" applyFont="1" applyFill="1" applyBorder="1" applyAlignment="1">
      <alignment horizontal="center" vertical="center"/>
    </xf>
    <xf numFmtId="0" fontId="21" fillId="5" borderId="63" xfId="0" applyFont="1" applyFill="1" applyBorder="1" applyAlignment="1">
      <alignment horizontal="center" vertical="center"/>
    </xf>
    <xf numFmtId="0" fontId="21" fillId="5" borderId="40" xfId="0" applyFont="1" applyFill="1" applyBorder="1" applyAlignment="1">
      <alignment horizontal="center" vertical="center"/>
    </xf>
    <xf numFmtId="0" fontId="21" fillId="5" borderId="62" xfId="0" applyFont="1" applyFill="1" applyBorder="1" applyAlignment="1">
      <alignment horizontal="center" vertical="center"/>
    </xf>
    <xf numFmtId="10" fontId="14" fillId="4" borderId="63" xfId="0" applyNumberFormat="1" applyFont="1" applyFill="1" applyBorder="1" applyAlignment="1">
      <alignment horizontal="center" vertical="center"/>
    </xf>
    <xf numFmtId="3" fontId="20" fillId="4" borderId="40" xfId="0" applyNumberFormat="1" applyFont="1" applyFill="1" applyBorder="1" applyAlignment="1">
      <alignment horizontal="center" vertical="center"/>
    </xf>
    <xf numFmtId="10" fontId="20" fillId="4" borderId="41" xfId="0" applyNumberFormat="1" applyFont="1" applyFill="1" applyBorder="1" applyAlignment="1">
      <alignment horizontal="center" vertical="center"/>
    </xf>
    <xf numFmtId="0" fontId="13" fillId="6" borderId="61" xfId="0" applyFont="1" applyFill="1" applyBorder="1" applyAlignment="1">
      <alignment horizontal="center" vertical="center"/>
    </xf>
    <xf numFmtId="3" fontId="13" fillId="4" borderId="57" xfId="0" applyNumberFormat="1" applyFont="1" applyFill="1" applyBorder="1" applyAlignment="1">
      <alignment horizontal="center"/>
    </xf>
    <xf numFmtId="10" fontId="14" fillId="4" borderId="64" xfId="0" applyNumberFormat="1" applyFont="1" applyFill="1" applyBorder="1" applyAlignment="1">
      <alignment horizontal="center"/>
    </xf>
    <xf numFmtId="3" fontId="20" fillId="4" borderId="65" xfId="0" applyNumberFormat="1" applyFont="1" applyFill="1" applyBorder="1" applyAlignment="1">
      <alignment horizontal="center"/>
    </xf>
    <xf numFmtId="10" fontId="20" fillId="4" borderId="66" xfId="0" applyNumberFormat="1" applyFont="1" applyFill="1" applyBorder="1" applyAlignment="1">
      <alignment horizontal="center"/>
    </xf>
    <xf numFmtId="3" fontId="23" fillId="4" borderId="62" xfId="0" applyNumberFormat="1" applyFont="1" applyFill="1" applyBorder="1" applyAlignment="1">
      <alignment horizontal="center" vertical="top"/>
    </xf>
    <xf numFmtId="10" fontId="23" fillId="4" borderId="63" xfId="0" applyNumberFormat="1" applyFont="1" applyFill="1" applyBorder="1" applyAlignment="1">
      <alignment horizontal="center" vertical="top"/>
    </xf>
    <xf numFmtId="3" fontId="24" fillId="4" borderId="40" xfId="0" applyNumberFormat="1" applyFont="1" applyFill="1" applyBorder="1" applyAlignment="1">
      <alignment horizontal="center" vertical="top"/>
    </xf>
    <xf numFmtId="10" fontId="24" fillId="4" borderId="41" xfId="0" applyNumberFormat="1" applyFont="1" applyFill="1" applyBorder="1" applyAlignment="1">
      <alignment horizontal="center" vertical="top"/>
    </xf>
    <xf numFmtId="0" fontId="13" fillId="6" borderId="68" xfId="0" applyFont="1" applyFill="1" applyBorder="1" applyAlignment="1">
      <alignment horizontal="center" vertical="center"/>
    </xf>
    <xf numFmtId="10" fontId="23" fillId="4" borderId="68" xfId="0" applyNumberFormat="1" applyFont="1" applyFill="1" applyBorder="1" applyAlignment="1">
      <alignment horizontal="center" vertical="center"/>
    </xf>
    <xf numFmtId="3" fontId="24" fillId="4" borderId="72" xfId="0" applyNumberFormat="1" applyFont="1" applyFill="1" applyBorder="1" applyAlignment="1">
      <alignment horizontal="center" vertical="center"/>
    </xf>
    <xf numFmtId="10" fontId="24" fillId="4" borderId="73" xfId="0" applyNumberFormat="1" applyFont="1" applyFill="1" applyBorder="1" applyAlignment="1">
      <alignment horizontal="center" vertical="center"/>
    </xf>
    <xf numFmtId="3" fontId="28" fillId="4" borderId="14" xfId="0" applyNumberFormat="1" applyFont="1" applyFill="1" applyBorder="1" applyAlignment="1">
      <alignment horizontal="center" vertical="center"/>
    </xf>
    <xf numFmtId="10" fontId="28" fillId="4" borderId="15" xfId="0" applyNumberFormat="1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4" fillId="6" borderId="14" xfId="0" applyFont="1" applyFill="1" applyBorder="1" applyAlignment="1">
      <alignment horizontal="center" vertical="center"/>
    </xf>
    <xf numFmtId="41" fontId="37" fillId="0" borderId="0" xfId="1" applyFont="1" applyBorder="1" applyAlignment="1">
      <alignment vertical="center"/>
    </xf>
    <xf numFmtId="41" fontId="0" fillId="0" borderId="0" xfId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9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3" fontId="13" fillId="4" borderId="57" xfId="0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3" fontId="13" fillId="4" borderId="57" xfId="0" applyNumberFormat="1" applyFont="1" applyFill="1" applyBorder="1" applyAlignment="1">
      <alignment horizontal="center"/>
    </xf>
    <xf numFmtId="0" fontId="36" fillId="6" borderId="43" xfId="0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vertical="center"/>
    </xf>
    <xf numFmtId="41" fontId="37" fillId="0" borderId="0" xfId="1" applyFont="1" applyBorder="1" applyAlignment="1">
      <alignment horizontal="center" vertical="center"/>
    </xf>
    <xf numFmtId="3" fontId="20" fillId="4" borderId="56" xfId="0" applyNumberFormat="1" applyFont="1" applyFill="1" applyBorder="1" applyAlignment="1">
      <alignment horizontal="center"/>
    </xf>
    <xf numFmtId="0" fontId="4" fillId="0" borderId="65" xfId="0" applyFont="1" applyBorder="1" applyAlignment="1">
      <alignment vertical="center"/>
    </xf>
    <xf numFmtId="10" fontId="20" fillId="4" borderId="59" xfId="0" applyNumberFormat="1" applyFont="1" applyFill="1" applyBorder="1" applyAlignment="1">
      <alignment horizontal="center"/>
    </xf>
    <xf numFmtId="0" fontId="4" fillId="0" borderId="66" xfId="0" applyFont="1" applyBorder="1" applyAlignment="1">
      <alignment vertical="center"/>
    </xf>
    <xf numFmtId="10" fontId="23" fillId="4" borderId="58" xfId="0" applyNumberFormat="1" applyFont="1" applyFill="1" applyBorder="1" applyAlignment="1">
      <alignment horizontal="center" vertical="top"/>
    </xf>
    <xf numFmtId="0" fontId="4" fillId="0" borderId="63" xfId="0" applyFont="1" applyBorder="1" applyAlignment="1">
      <alignment vertical="center"/>
    </xf>
    <xf numFmtId="3" fontId="28" fillId="4" borderId="79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3" fontId="24" fillId="4" borderId="56" xfId="0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vertical="center"/>
    </xf>
    <xf numFmtId="10" fontId="24" fillId="4" borderId="59" xfId="0" applyNumberFormat="1" applyFont="1" applyFill="1" applyBorder="1" applyAlignment="1">
      <alignment horizontal="center" vertical="top"/>
    </xf>
    <xf numFmtId="0" fontId="4" fillId="0" borderId="41" xfId="0" applyFont="1" applyBorder="1" applyAlignment="1">
      <alignment vertical="center"/>
    </xf>
    <xf numFmtId="0" fontId="26" fillId="3" borderId="74" xfId="0" applyFont="1" applyFill="1" applyBorder="1" applyAlignment="1">
      <alignment horizontal="center" vertical="center"/>
    </xf>
    <xf numFmtId="0" fontId="4" fillId="0" borderId="75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27" fillId="4" borderId="12" xfId="0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27" fillId="4" borderId="19" xfId="0" applyFont="1" applyFill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4" fontId="20" fillId="9" borderId="77" xfId="0" applyNumberFormat="1" applyFont="1" applyFill="1" applyBorder="1" applyAlignment="1">
      <alignment horizontal="center" vertical="center"/>
    </xf>
    <xf numFmtId="0" fontId="4" fillId="0" borderId="78" xfId="0" applyFont="1" applyBorder="1" applyAlignment="1">
      <alignment vertical="center"/>
    </xf>
    <xf numFmtId="0" fontId="27" fillId="4" borderId="30" xfId="0" applyFont="1" applyFill="1" applyBorder="1" applyAlignment="1">
      <alignment horizontal="right" vertical="center"/>
    </xf>
    <xf numFmtId="0" fontId="4" fillId="0" borderId="45" xfId="0" applyFont="1" applyBorder="1" applyAlignment="1">
      <alignment vertical="center"/>
    </xf>
    <xf numFmtId="0" fontId="21" fillId="5" borderId="57" xfId="0" applyFont="1" applyFill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21" fillId="5" borderId="56" xfId="0" applyFont="1" applyFill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10" fontId="14" fillId="4" borderId="58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3" fontId="20" fillId="4" borderId="56" xfId="0" applyNumberFormat="1" applyFont="1" applyFill="1" applyBorder="1" applyAlignment="1">
      <alignment horizontal="center" vertical="center"/>
    </xf>
    <xf numFmtId="10" fontId="20" fillId="4" borderId="59" xfId="0" applyNumberFormat="1" applyFont="1" applyFill="1" applyBorder="1" applyAlignment="1">
      <alignment horizontal="center" vertical="center"/>
    </xf>
    <xf numFmtId="0" fontId="4" fillId="0" borderId="59" xfId="0" applyFont="1" applyBorder="1" applyAlignment="1">
      <alignment vertical="center"/>
    </xf>
    <xf numFmtId="9" fontId="13" fillId="5" borderId="56" xfId="0" applyNumberFormat="1" applyFont="1" applyFill="1" applyBorder="1" applyAlignment="1">
      <alignment horizontal="center" vertical="center"/>
    </xf>
    <xf numFmtId="3" fontId="13" fillId="4" borderId="57" xfId="0" applyNumberFormat="1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22" fillId="5" borderId="58" xfId="0" applyFont="1" applyFill="1" applyBorder="1" applyAlignment="1">
      <alignment horizontal="center" vertical="center"/>
    </xf>
    <xf numFmtId="3" fontId="13" fillId="4" borderId="57" xfId="0" applyNumberFormat="1" applyFont="1" applyFill="1" applyBorder="1" applyAlignment="1">
      <alignment horizontal="center"/>
    </xf>
    <xf numFmtId="0" fontId="20" fillId="4" borderId="67" xfId="0" applyFont="1" applyFill="1" applyBorder="1" applyAlignment="1">
      <alignment horizontal="center" vertical="center"/>
    </xf>
    <xf numFmtId="0" fontId="4" fillId="0" borderId="68" xfId="0" applyFont="1" applyBorder="1" applyAlignment="1">
      <alignment vertical="center"/>
    </xf>
    <xf numFmtId="3" fontId="14" fillId="4" borderId="71" xfId="0" applyNumberFormat="1" applyFont="1" applyFill="1" applyBorder="1" applyAlignment="1">
      <alignment horizontal="center" vertical="center"/>
    </xf>
    <xf numFmtId="0" fontId="4" fillId="0" borderId="71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3" fontId="23" fillId="4" borderId="57" xfId="0" applyNumberFormat="1" applyFont="1" applyFill="1" applyBorder="1" applyAlignment="1">
      <alignment horizontal="center" vertical="top"/>
    </xf>
    <xf numFmtId="3" fontId="25" fillId="4" borderId="69" xfId="0" applyNumberFormat="1" applyFont="1" applyFill="1" applyBorder="1" applyAlignment="1">
      <alignment horizontal="center" vertical="center"/>
    </xf>
    <xf numFmtId="10" fontId="14" fillId="4" borderId="58" xfId="0" applyNumberFormat="1" applyFont="1" applyFill="1" applyBorder="1" applyAlignment="1">
      <alignment horizontal="center"/>
    </xf>
    <xf numFmtId="0" fontId="4" fillId="0" borderId="64" xfId="0" applyFont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0" fontId="7" fillId="4" borderId="30" xfId="0" applyFont="1" applyFill="1" applyBorder="1" applyAlignment="1">
      <alignment vertical="center"/>
    </xf>
    <xf numFmtId="0" fontId="10" fillId="4" borderId="32" xfId="0" applyFont="1" applyFill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11" fillId="4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6" fillId="3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2" fillId="6" borderId="26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4" borderId="27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4" fillId="0" borderId="42" xfId="0" applyFont="1" applyBorder="1" applyAlignment="1">
      <alignment vertical="center"/>
    </xf>
    <xf numFmtId="0" fontId="12" fillId="4" borderId="30" xfId="0" applyFont="1" applyFill="1" applyBorder="1" applyAlignment="1">
      <alignment vertical="center"/>
    </xf>
    <xf numFmtId="0" fontId="15" fillId="3" borderId="53" xfId="0" applyFont="1" applyFill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16" fillId="3" borderId="30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inven.co.kr/board/lostark/5770/54940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inven.co.kr/board/lostark/5770/54940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inven.co.kr/board/lostark/5770/54940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inven.co.kr/board/lostark/5770/54940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inven.co.kr/board/lostark/5770/5494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ven.co.kr/board/lostark/5770/5494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nven.co.kr/board/lostark/5770/5494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nven.co.kr/board/lostark/5770/5494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inven.co.kr/board/lostark/5770/5494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nven.co.kr/board/lostark/5770/5494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nven.co.kr/board/lostark/5770/54940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inven.co.kr/board/lostark/5770/54940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inven.co.kr/board/lostark/5770/54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J18" sqref="J18"/>
    </sheetView>
  </sheetViews>
  <sheetFormatPr defaultColWidth="11.42578125" defaultRowHeight="22.5" customHeight="1"/>
  <cols>
    <col min="1" max="1" width="7.140625" style="116" customWidth="1"/>
    <col min="2" max="5" width="12.85546875" style="115" customWidth="1"/>
    <col min="6" max="7" width="12.85546875" style="116" customWidth="1"/>
    <col min="8" max="13" width="13.7109375" style="116" bestFit="1" customWidth="1"/>
    <col min="14" max="14" width="15.85546875" style="116" customWidth="1"/>
    <col min="15" max="16384" width="11.42578125" style="116"/>
  </cols>
  <sheetData>
    <row r="1" spans="1:14" ht="22.5" customHeight="1">
      <c r="B1" s="126" t="s">
        <v>138</v>
      </c>
      <c r="C1" s="126"/>
      <c r="D1" s="126"/>
      <c r="E1" s="126" t="s">
        <v>139</v>
      </c>
      <c r="F1" s="126"/>
      <c r="G1" s="126"/>
      <c r="H1" s="126" t="s">
        <v>138</v>
      </c>
      <c r="I1" s="126"/>
      <c r="J1" s="126"/>
      <c r="K1" s="126" t="s">
        <v>138</v>
      </c>
      <c r="L1" s="126"/>
      <c r="M1" s="126"/>
    </row>
    <row r="2" spans="1:14" ht="23.25" customHeight="1">
      <c r="A2" s="117" t="s">
        <v>130</v>
      </c>
      <c r="B2" s="114" t="s">
        <v>124</v>
      </c>
      <c r="C2" s="114" t="s">
        <v>125</v>
      </c>
      <c r="D2" s="114" t="s">
        <v>126</v>
      </c>
      <c r="E2" s="114" t="s">
        <v>127</v>
      </c>
      <c r="F2" s="117" t="s">
        <v>128</v>
      </c>
      <c r="G2" s="117" t="s">
        <v>129</v>
      </c>
      <c r="H2" s="117" t="s">
        <v>132</v>
      </c>
      <c r="I2" s="117" t="s">
        <v>133</v>
      </c>
      <c r="J2" s="117" t="s">
        <v>134</v>
      </c>
      <c r="K2" s="117" t="s">
        <v>135</v>
      </c>
      <c r="L2" s="117" t="s">
        <v>136</v>
      </c>
      <c r="M2" s="117" t="s">
        <v>137</v>
      </c>
      <c r="N2" s="117" t="s">
        <v>143</v>
      </c>
    </row>
    <row r="3" spans="1:14" ht="23.25" customHeight="1">
      <c r="A3" s="118">
        <v>0.28000000000000003</v>
      </c>
      <c r="B3" s="115">
        <f>'타대예둔 아드2'!L57</f>
        <v>690560803.96183443</v>
      </c>
      <c r="C3" s="115">
        <f>'타대저받 아드2'!L57</f>
        <v>684031424.41793621</v>
      </c>
      <c r="D3" s="115">
        <f>'저받예둔 아드2'!L57</f>
        <v>687250966.53104937</v>
      </c>
      <c r="E3" s="115">
        <f>'타대예둔 속속2'!L57</f>
        <v>695120610.86768556</v>
      </c>
      <c r="F3" s="115">
        <f>'타대저받 속속2'!L57</f>
        <v>683819312.28654015</v>
      </c>
      <c r="G3" s="115">
        <f>'저받예둔 속속2'!L57</f>
        <v>689693514.36123669</v>
      </c>
      <c r="H3" s="115">
        <f>'저받아드 타대2'!L57</f>
        <v>670689202.30245292</v>
      </c>
      <c r="I3" s="115">
        <f>'저받예둔 타대2'!L57</f>
        <v>667492548.75982773</v>
      </c>
      <c r="J3" s="115">
        <f>'예둔아드 타대2'!L57</f>
        <v>681770240.22285295</v>
      </c>
      <c r="K3" s="115">
        <f>'타대예둔 저받2'!L57</f>
        <v>667492548.75982773</v>
      </c>
      <c r="L3" s="115">
        <f>'타대아드 저받2'!L57</f>
        <v>673132514.51484799</v>
      </c>
      <c r="M3" s="115">
        <f>'예둔아드 저받2'!L57</f>
        <v>678911664.79214919</v>
      </c>
      <c r="N3" s="115">
        <f>'333331'!L57</f>
        <v>655090202.8696177</v>
      </c>
    </row>
    <row r="4" spans="1:14" ht="23.25" customHeight="1">
      <c r="A4" s="116">
        <v>0</v>
      </c>
      <c r="B4" s="115">
        <v>549826094.94509494</v>
      </c>
      <c r="C4" s="115">
        <v>559894831.67184865</v>
      </c>
      <c r="D4" s="115">
        <v>547190794.79624343</v>
      </c>
      <c r="E4" s="115">
        <v>558424827.32081521</v>
      </c>
      <c r="F4" s="115">
        <v>563620985.28791988</v>
      </c>
      <c r="G4" s="115">
        <v>554064971.80497289</v>
      </c>
      <c r="H4" s="115">
        <v>552794514.11608088</v>
      </c>
      <c r="I4" s="115">
        <v>520780689.93928879</v>
      </c>
      <c r="J4" s="115">
        <v>547705955.43856728</v>
      </c>
      <c r="K4" s="115">
        <v>520780689.93928879</v>
      </c>
      <c r="L4" s="115">
        <v>554808337.48262405</v>
      </c>
      <c r="M4" s="115">
        <v>545409494.40947485</v>
      </c>
      <c r="N4" s="115">
        <v>526272319.16703707</v>
      </c>
    </row>
    <row r="5" spans="1:14" ht="22.5" customHeight="1">
      <c r="A5" s="116">
        <v>10</v>
      </c>
      <c r="B5" s="115">
        <v>600088491.02250183</v>
      </c>
      <c r="C5" s="115">
        <v>604229329.08116567</v>
      </c>
      <c r="D5" s="115">
        <v>597212284.70153117</v>
      </c>
      <c r="E5" s="115">
        <v>607244750.01612604</v>
      </c>
      <c r="F5" s="115">
        <v>606548959.21599841</v>
      </c>
      <c r="G5" s="115">
        <v>602503737.00363851</v>
      </c>
      <c r="H5" s="115">
        <v>594899759.89692783</v>
      </c>
      <c r="I5" s="115">
        <v>573177782.37519562</v>
      </c>
      <c r="J5" s="115">
        <v>595586057.14724088</v>
      </c>
      <c r="K5" s="115">
        <v>573177782.37519562</v>
      </c>
      <c r="L5" s="115">
        <v>597066972.13698959</v>
      </c>
      <c r="M5" s="115">
        <v>593088840.97471571</v>
      </c>
      <c r="N5" s="115">
        <v>572278706.20367312</v>
      </c>
    </row>
    <row r="6" spans="1:14" ht="22.5" customHeight="1">
      <c r="A6" s="116">
        <v>18</v>
      </c>
      <c r="B6" s="115">
        <v>640298407.88442731</v>
      </c>
      <c r="C6" s="115">
        <v>639696927.00861931</v>
      </c>
      <c r="D6" s="115">
        <v>637229476.62576139</v>
      </c>
      <c r="E6" s="115">
        <v>646300688.17237473</v>
      </c>
      <c r="F6" s="115">
        <v>640891338.35846138</v>
      </c>
      <c r="G6" s="115">
        <v>641254749.16257095</v>
      </c>
      <c r="H6" s="115">
        <v>628583956.52160573</v>
      </c>
      <c r="I6" s="115">
        <v>615095456.32392097</v>
      </c>
      <c r="J6" s="115">
        <v>633890138.51417947</v>
      </c>
      <c r="K6" s="115">
        <v>615095456.32392097</v>
      </c>
      <c r="L6" s="115">
        <v>630873879.86048222</v>
      </c>
      <c r="M6" s="115">
        <v>631232318.22690821</v>
      </c>
      <c r="N6" s="115">
        <v>609083815.83298171</v>
      </c>
    </row>
    <row r="7" spans="1:14" ht="22.5" customHeight="1">
      <c r="A7" s="116">
        <v>20</v>
      </c>
      <c r="B7" s="115">
        <v>650350887.09990907</v>
      </c>
      <c r="C7" s="115">
        <v>648563826.49048257</v>
      </c>
      <c r="D7" s="115">
        <v>647233774.60681903</v>
      </c>
      <c r="E7" s="115">
        <v>656064672.71143687</v>
      </c>
      <c r="F7" s="115">
        <v>649476933.1440773</v>
      </c>
      <c r="G7" s="115">
        <v>650942502.20230412</v>
      </c>
      <c r="H7" s="115">
        <v>637005005.67777514</v>
      </c>
      <c r="I7" s="115">
        <v>625574874.81110239</v>
      </c>
      <c r="J7" s="115">
        <v>643466158.85591424</v>
      </c>
      <c r="K7" s="115">
        <v>625574874.81110239</v>
      </c>
      <c r="L7" s="115">
        <v>639325606.79135549</v>
      </c>
      <c r="M7" s="115">
        <v>640768187.53995657</v>
      </c>
      <c r="N7" s="115">
        <v>618285093.240309</v>
      </c>
    </row>
    <row r="8" spans="1:14" ht="22.5" customHeight="1">
      <c r="A8" s="116">
        <v>28</v>
      </c>
      <c r="B8" s="115">
        <v>690560803.96183443</v>
      </c>
      <c r="C8" s="115">
        <v>684031424.41793621</v>
      </c>
      <c r="D8" s="115">
        <v>687250966.53104937</v>
      </c>
      <c r="E8" s="115">
        <v>695120610.86768556</v>
      </c>
      <c r="F8" s="115">
        <v>683819312.28654015</v>
      </c>
      <c r="G8" s="115">
        <v>689693514.36123669</v>
      </c>
      <c r="H8" s="115">
        <v>670689202.30245292</v>
      </c>
      <c r="I8" s="115">
        <v>667492548.75982773</v>
      </c>
      <c r="J8" s="115">
        <v>681770240.22285295</v>
      </c>
      <c r="K8" s="115">
        <v>667492548.75982773</v>
      </c>
      <c r="L8" s="115">
        <v>673132514.51484799</v>
      </c>
      <c r="M8" s="115">
        <v>678911664.79214919</v>
      </c>
      <c r="N8" s="115">
        <v>655090202.8696177</v>
      </c>
    </row>
    <row r="9" spans="1:14" ht="22.5" customHeight="1">
      <c r="F9" s="115"/>
      <c r="G9" s="115"/>
    </row>
    <row r="10" spans="1:14" ht="22.5" customHeight="1">
      <c r="B10" s="126" t="s">
        <v>138</v>
      </c>
      <c r="C10" s="126"/>
      <c r="D10" s="126"/>
      <c r="E10" s="126" t="s">
        <v>140</v>
      </c>
      <c r="F10" s="126"/>
      <c r="G10" s="126"/>
      <c r="H10" s="126" t="s">
        <v>138</v>
      </c>
      <c r="I10" s="126"/>
      <c r="J10" s="126"/>
      <c r="K10" s="126" t="s">
        <v>138</v>
      </c>
      <c r="L10" s="126"/>
      <c r="M10" s="126"/>
    </row>
    <row r="11" spans="1:14" ht="22.5" customHeight="1">
      <c r="A11" s="117" t="s">
        <v>130</v>
      </c>
      <c r="B11" s="114" t="s">
        <v>124</v>
      </c>
      <c r="C11" s="114" t="s">
        <v>125</v>
      </c>
      <c r="D11" s="114" t="s">
        <v>126</v>
      </c>
      <c r="E11" s="114" t="s">
        <v>127</v>
      </c>
      <c r="F11" s="117" t="s">
        <v>128</v>
      </c>
      <c r="G11" s="117" t="s">
        <v>129</v>
      </c>
      <c r="H11" s="117" t="s">
        <v>132</v>
      </c>
      <c r="I11" s="117" t="s">
        <v>133</v>
      </c>
      <c r="J11" s="117" t="s">
        <v>134</v>
      </c>
      <c r="K11" s="117" t="s">
        <v>135</v>
      </c>
      <c r="L11" s="117" t="s">
        <v>136</v>
      </c>
      <c r="M11" s="117" t="s">
        <v>137</v>
      </c>
      <c r="N11" s="117" t="s">
        <v>143</v>
      </c>
    </row>
    <row r="12" spans="1:14" ht="22.5" customHeight="1">
      <c r="A12" s="116">
        <v>0</v>
      </c>
      <c r="B12" s="125">
        <f>B4/$N$4</f>
        <v>1.0447558705260005</v>
      </c>
      <c r="C12" s="125">
        <f t="shared" ref="C12:N12" si="0">C4/$N$4</f>
        <v>1.0638880505021202</v>
      </c>
      <c r="D12" s="125">
        <f t="shared" si="0"/>
        <v>1.0397483866571497</v>
      </c>
      <c r="E12" s="125">
        <f t="shared" si="0"/>
        <v>1.0610948115315428</v>
      </c>
      <c r="F12" s="125">
        <f t="shared" si="0"/>
        <v>1.0709683271580706</v>
      </c>
      <c r="G12" s="125">
        <f t="shared" si="0"/>
        <v>1.0528104018123638</v>
      </c>
      <c r="H12" s="125">
        <f t="shared" si="0"/>
        <v>1.050396332816862</v>
      </c>
      <c r="I12" s="125">
        <f t="shared" si="0"/>
        <v>0.98956504260676259</v>
      </c>
      <c r="J12" s="125">
        <f t="shared" si="0"/>
        <v>1.0407272727272727</v>
      </c>
      <c r="K12" s="125">
        <f t="shared" si="0"/>
        <v>0.98956504260676259</v>
      </c>
      <c r="L12" s="125">
        <f t="shared" si="0"/>
        <v>1.0542229132642824</v>
      </c>
      <c r="M12" s="125">
        <f t="shared" si="0"/>
        <v>1.0363636363636366</v>
      </c>
      <c r="N12" s="125">
        <f t="shared" si="0"/>
        <v>1</v>
      </c>
    </row>
    <row r="13" spans="1:14" ht="22.5" customHeight="1">
      <c r="A13" s="116">
        <v>10</v>
      </c>
      <c r="B13" s="125">
        <f>B5/$N$5</f>
        <v>1.0485948271661383</v>
      </c>
      <c r="C13" s="125">
        <f t="shared" ref="C13:N13" si="1">C5/$N$5</f>
        <v>1.055830528955801</v>
      </c>
      <c r="D13" s="125">
        <f t="shared" si="1"/>
        <v>1.0435689432920892</v>
      </c>
      <c r="E13" s="125">
        <f t="shared" si="1"/>
        <v>1.0610996764922589</v>
      </c>
      <c r="F13" s="125">
        <f t="shared" si="1"/>
        <v>1.0598838514185929</v>
      </c>
      <c r="G13" s="125">
        <f t="shared" si="1"/>
        <v>1.0528152287903025</v>
      </c>
      <c r="H13" s="125">
        <f t="shared" si="1"/>
        <v>1.0395280366856843</v>
      </c>
      <c r="I13" s="125">
        <f t="shared" si="1"/>
        <v>1.0015710459986999</v>
      </c>
      <c r="J13" s="125">
        <f t="shared" si="1"/>
        <v>1.0407272727272727</v>
      </c>
      <c r="K13" s="125">
        <f t="shared" si="1"/>
        <v>1.0015710459986999</v>
      </c>
      <c r="L13" s="125">
        <f t="shared" si="1"/>
        <v>1.0433150240688744</v>
      </c>
      <c r="M13" s="125">
        <f t="shared" si="1"/>
        <v>1.0363636363636362</v>
      </c>
      <c r="N13" s="125">
        <f t="shared" si="1"/>
        <v>1</v>
      </c>
    </row>
    <row r="14" spans="1:14" ht="22.5" customHeight="1">
      <c r="A14" s="116">
        <v>18</v>
      </c>
      <c r="B14" s="125">
        <f>B6/$N$6</f>
        <v>1.0512484345175985</v>
      </c>
      <c r="C14" s="125">
        <f t="shared" ref="C14:N14" si="2">C6/$N$6</f>
        <v>1.0502609171018134</v>
      </c>
      <c r="D14" s="125">
        <f t="shared" si="2"/>
        <v>1.046209831982299</v>
      </c>
      <c r="E14" s="125">
        <f t="shared" si="2"/>
        <v>1.0611030393058389</v>
      </c>
      <c r="F14" s="125">
        <f t="shared" si="2"/>
        <v>1.0522219137968389</v>
      </c>
      <c r="G14" s="125">
        <f t="shared" si="2"/>
        <v>1.0528185653489945</v>
      </c>
      <c r="H14" s="125">
        <f t="shared" si="2"/>
        <v>1.0320155291960198</v>
      </c>
      <c r="I14" s="125">
        <f t="shared" si="2"/>
        <v>1.0098699724646563</v>
      </c>
      <c r="J14" s="125">
        <f t="shared" si="2"/>
        <v>1.0407272727272727</v>
      </c>
      <c r="K14" s="125">
        <f t="shared" si="2"/>
        <v>1.0098699724646563</v>
      </c>
      <c r="L14" s="125">
        <f t="shared" si="2"/>
        <v>1.0357751486102129</v>
      </c>
      <c r="M14" s="125">
        <f t="shared" si="2"/>
        <v>1.0363636363636362</v>
      </c>
      <c r="N14" s="125">
        <f t="shared" si="2"/>
        <v>1</v>
      </c>
    </row>
    <row r="15" spans="1:14" ht="22.5" customHeight="1">
      <c r="A15" s="116">
        <v>20</v>
      </c>
      <c r="B15" s="125">
        <f>B7/$N$7</f>
        <v>1.0518624728465467</v>
      </c>
      <c r="C15" s="125">
        <f t="shared" ref="C15:N15" si="3">C7/$N$7</f>
        <v>1.0489721223772173</v>
      </c>
      <c r="D15" s="125">
        <f t="shared" si="3"/>
        <v>1.0468209272437667</v>
      </c>
      <c r="E15" s="125">
        <f t="shared" si="3"/>
        <v>1.0611038174527752</v>
      </c>
      <c r="F15" s="125">
        <f t="shared" si="3"/>
        <v>1.0504489599454809</v>
      </c>
      <c r="G15" s="125">
        <f t="shared" si="3"/>
        <v>1.0528193374206132</v>
      </c>
      <c r="H15" s="125">
        <f t="shared" si="3"/>
        <v>1.0302771531161439</v>
      </c>
      <c r="I15" s="125">
        <f t="shared" si="3"/>
        <v>1.0117903239953419</v>
      </c>
      <c r="J15" s="125">
        <f t="shared" si="3"/>
        <v>1.0407272727272725</v>
      </c>
      <c r="K15" s="125">
        <f t="shared" si="3"/>
        <v>1.0117903239953419</v>
      </c>
      <c r="L15" s="125">
        <f t="shared" si="3"/>
        <v>1.0340304396484434</v>
      </c>
      <c r="M15" s="125">
        <f t="shared" si="3"/>
        <v>1.0363636363636364</v>
      </c>
      <c r="N15" s="125">
        <f t="shared" si="3"/>
        <v>1</v>
      </c>
    </row>
    <row r="16" spans="1:14" ht="22.5" customHeight="1">
      <c r="A16" s="116">
        <v>28</v>
      </c>
      <c r="B16" s="125">
        <f>B8/$N$8</f>
        <v>1.0541461327567381</v>
      </c>
      <c r="C16" s="125">
        <f t="shared" ref="C16:N16" si="4">C8/$N$8</f>
        <v>1.0441789869876572</v>
      </c>
      <c r="D16" s="125">
        <f t="shared" si="4"/>
        <v>1.0490936416398104</v>
      </c>
      <c r="E16" s="125">
        <f t="shared" si="4"/>
        <v>1.0611067114463244</v>
      </c>
      <c r="F16" s="125">
        <f t="shared" si="4"/>
        <v>1.0438551962631633</v>
      </c>
      <c r="G16" s="125">
        <f t="shared" si="4"/>
        <v>1.052822208819548</v>
      </c>
      <c r="H16" s="125">
        <f t="shared" si="4"/>
        <v>1.0238119870584295</v>
      </c>
      <c r="I16" s="125">
        <f t="shared" si="4"/>
        <v>1.018932271977022</v>
      </c>
      <c r="J16" s="125">
        <f t="shared" si="4"/>
        <v>1.0407272727272725</v>
      </c>
      <c r="K16" s="125">
        <f t="shared" si="4"/>
        <v>1.018932271977022</v>
      </c>
      <c r="L16" s="125">
        <f t="shared" si="4"/>
        <v>1.0275417210732141</v>
      </c>
      <c r="M16" s="125">
        <f t="shared" si="4"/>
        <v>1.0363636363636362</v>
      </c>
      <c r="N16" s="125">
        <f t="shared" si="4"/>
        <v>1</v>
      </c>
    </row>
  </sheetData>
  <mergeCells count="8">
    <mergeCell ref="B10:D10"/>
    <mergeCell ref="E10:G10"/>
    <mergeCell ref="H10:J10"/>
    <mergeCell ref="K10:M10"/>
    <mergeCell ref="B1:D1"/>
    <mergeCell ref="E1:G1"/>
    <mergeCell ref="H1:J1"/>
    <mergeCell ref="K1:M1"/>
  </mergeCells>
  <phoneticPr fontId="35" type="noConversion"/>
  <conditionalFormatting sqref="A3:XFD3">
    <cfRule type="top10" dxfId="93" priority="12" percent="1" rank="10"/>
  </conditionalFormatting>
  <conditionalFormatting sqref="A4:XFD4">
    <cfRule type="top10" dxfId="92" priority="11" percent="1" rank="10"/>
  </conditionalFormatting>
  <conditionalFormatting sqref="A5:XFD5">
    <cfRule type="top10" dxfId="91" priority="10" percent="1" rank="10"/>
  </conditionalFormatting>
  <conditionalFormatting sqref="A6:XFD6">
    <cfRule type="top10" dxfId="90" priority="9" percent="1" rank="10"/>
  </conditionalFormatting>
  <conditionalFormatting sqref="A7:XFD7">
    <cfRule type="top10" dxfId="89" priority="8" percent="1" rank="10"/>
  </conditionalFormatting>
  <conditionalFormatting sqref="A8:XFD9 O10:XFD11">
    <cfRule type="top10" dxfId="88" priority="7" percent="1" rank="10"/>
  </conditionalFormatting>
  <conditionalFormatting sqref="B12:N12">
    <cfRule type="top10" dxfId="5" priority="5" percent="1" rank="10"/>
  </conditionalFormatting>
  <conditionalFormatting sqref="B13:N13">
    <cfRule type="top10" dxfId="87" priority="4" percent="1" rank="10"/>
  </conditionalFormatting>
  <conditionalFormatting sqref="B14:N14">
    <cfRule type="top10" dxfId="3" priority="3" percent="1" rank="10"/>
  </conditionalFormatting>
  <conditionalFormatting sqref="B15:N15">
    <cfRule type="top10" dxfId="86" priority="2" percent="1" rank="10"/>
  </conditionalFormatting>
  <conditionalFormatting sqref="B16:N16">
    <cfRule type="top10" dxfId="85" priority="1" percent="1" rank="1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21" customWidth="1"/>
    <col min="2" max="2" width="21.140625" style="121" customWidth="1"/>
    <col min="3" max="3" width="24.140625" style="121" customWidth="1"/>
    <col min="4" max="4" width="14.85546875" style="121" customWidth="1"/>
    <col min="5" max="6" width="14.5703125" style="121" customWidth="1"/>
    <col min="7" max="7" width="23" style="121" customWidth="1"/>
    <col min="8" max="8" width="21" style="121" customWidth="1"/>
    <col min="9" max="9" width="19.7109375" style="121" customWidth="1"/>
    <col min="10" max="10" width="16.5703125" style="121" customWidth="1"/>
    <col min="11" max="11" width="19.5703125" style="121" customWidth="1"/>
    <col min="12" max="12" width="18.7109375" style="121" customWidth="1"/>
    <col min="13" max="13" width="17" style="121" customWidth="1"/>
    <col min="14" max="16384" width="14.42578125" style="121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111" t="s">
        <v>123</v>
      </c>
      <c r="I10" s="34">
        <v>1.08</v>
      </c>
    </row>
    <row r="11" spans="1:13" ht="32.25" customHeight="1" thickTop="1">
      <c r="A11" s="10"/>
      <c r="B11" s="205" t="s">
        <v>24</v>
      </c>
      <c r="C11" s="145"/>
      <c r="D11" s="113" t="s">
        <v>119</v>
      </c>
      <c r="E11" s="33">
        <f>1.17*1.2*(1+E7+0.2)/(1+E7)</f>
        <v>1.6199999999999999</v>
      </c>
      <c r="G11" s="30" t="s">
        <v>25</v>
      </c>
      <c r="H11" s="112"/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 t="s">
        <v>131</v>
      </c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1.2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2" t="s">
        <v>123</v>
      </c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0.67513312338963649</v>
      </c>
      <c r="E24" s="70">
        <f>2+IF(H13="V",0.5,0)+IF(H15="V",-0.12,0)+IF(M20&gt;0,M20,0)</f>
        <v>2.5</v>
      </c>
      <c r="F24" s="70">
        <f>MIN(1,(D24+IF(H5=1,0.1,0)+IF(H5=2,0.17,0)+IF(H5=3,0.25,0)))</f>
        <v>0.92513312338963649</v>
      </c>
      <c r="G24" s="71">
        <f>E24+IF(H5=1,0.2,0)+IF(H5=2,0.35,0)+IF(H5=3,0.5,0)</f>
        <v>3</v>
      </c>
      <c r="H24" s="72">
        <f>1*IF(H6&gt;0,I6,1)*IF(H9="V",I9,1)*IF(H10="V",I10,1)*IF(H13="V",I13,1)*IF(H14="V",I14,1)*IF(H20="v",I20,1)</f>
        <v>1.2700800000000001</v>
      </c>
      <c r="I24" s="70">
        <f>1+IF(H11="V",I11-1,0)+IF(H12="V",I12-1,0)+IF(H17="V",I17-1,0)+IF(H18="V",I18-1,0)+IF(H19="V",I19-1,0)+IF(H21="V",I21-1,0)</f>
        <v>1.06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2.5081285823999999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8.2922184816460813</v>
      </c>
      <c r="L27" s="159">
        <f>F27*K27*M24</f>
        <v>34661560.479438484</v>
      </c>
      <c r="M27" s="160">
        <f>IF(L27&gt;0,L27/L57,0)</f>
        <v>5.0840530188159171E-2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6.2795187965616259</v>
      </c>
      <c r="L31" s="159">
        <f>F31*K31*M24</f>
        <v>42509144.860215507</v>
      </c>
      <c r="M31" s="160">
        <f>IF(L31&gt;0,L31/L57,0)</f>
        <v>6.2351129973523593E-2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7.5354225558739509</v>
      </c>
      <c r="L38" s="159">
        <f>F38*K38*M24</f>
        <v>99820656.932544932</v>
      </c>
      <c r="M38" s="160">
        <f>IF(L38&gt;0,L38/L57,0)</f>
        <v>0.14641392516622045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11.796981470949396</v>
      </c>
      <c r="L44" s="159">
        <f>F44*K44*M24</f>
        <v>76993333.388716862</v>
      </c>
      <c r="M44" s="160">
        <f>IF(L44&gt;0,L44/L57,0)</f>
        <v>0.1129314963403943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12.559037593123252</v>
      </c>
      <c r="L46" s="159">
        <f>F46*K46*M24</f>
        <v>87882443.312778145</v>
      </c>
      <c r="M46" s="160">
        <f>IF(L46&gt;0,L46/L57,0)</f>
        <v>0.12890331394349461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2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7.5354225558739509</v>
      </c>
      <c r="L48" s="99">
        <f>F48*K48*M24</f>
        <v>92808729.600596577</v>
      </c>
      <c r="M48" s="100">
        <f>IF(L48&gt;0,L48/L57,0)</f>
        <v>0.13612904190458625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6.2795187965616259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15.070845111747902</v>
      </c>
      <c r="L50" s="127">
        <f>F50*K50*M24</f>
        <v>222438395.41246724</v>
      </c>
      <c r="M50" s="129">
        <f>IF(L50&gt;0,L50/L57,0)</f>
        <v>0.32626592111113256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12.559037593123252</v>
      </c>
      <c r="L52" s="137">
        <f>F52*K52*M24</f>
        <v>16530801.399352988</v>
      </c>
      <c r="M52" s="139">
        <f>IF(L52&gt;0,L52/L57,0)</f>
        <v>2.4246880289097834E-2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48.792092756942459</v>
      </c>
      <c r="L54" s="107">
        <f>E54*K54*M24/IF(D11="V",1.15,1)</f>
        <v>8125174.8367422046</v>
      </c>
      <c r="M54" s="108">
        <f>IF(L54&gt;0,L54/L57,0)</f>
        <v>1.1917761083391227E-2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681770240.22285295</v>
      </c>
      <c r="M57" s="110">
        <f>SUM(M27:M54)</f>
        <v>0.99999999999999989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37876124.456825167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36" priority="1">
      <formula>$D$11&lt;&gt;"V"</formula>
    </cfRule>
  </conditionalFormatting>
  <conditionalFormatting sqref="J27:J53">
    <cfRule type="expression" dxfId="35" priority="2">
      <formula>$D$11&lt;&gt;"V"</formula>
    </cfRule>
  </conditionalFormatting>
  <conditionalFormatting sqref="H27:I53">
    <cfRule type="expression" dxfId="34" priority="3">
      <formula>$H$6&gt;0</formula>
    </cfRule>
  </conditionalFormatting>
  <conditionalFormatting sqref="H18:H19">
    <cfRule type="expression" dxfId="33" priority="4">
      <formula>$H$17="V"</formula>
    </cfRule>
  </conditionalFormatting>
  <conditionalFormatting sqref="H17 H19">
    <cfRule type="expression" dxfId="32" priority="5">
      <formula>$H$18="V"</formula>
    </cfRule>
  </conditionalFormatting>
  <conditionalFormatting sqref="H17:H18">
    <cfRule type="expression" dxfId="31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21" customWidth="1"/>
    <col min="2" max="2" width="21.140625" style="121" customWidth="1"/>
    <col min="3" max="3" width="24.140625" style="121" customWidth="1"/>
    <col min="4" max="4" width="14.85546875" style="121" customWidth="1"/>
    <col min="5" max="6" width="14.5703125" style="121" customWidth="1"/>
    <col min="7" max="7" width="23" style="121" customWidth="1"/>
    <col min="8" max="8" width="21" style="121" customWidth="1"/>
    <col min="9" max="9" width="19.7109375" style="121" customWidth="1"/>
    <col min="10" max="10" width="16.5703125" style="121" customWidth="1"/>
    <col min="11" max="11" width="19.5703125" style="121" customWidth="1"/>
    <col min="12" max="12" width="18.7109375" style="121" customWidth="1"/>
    <col min="13" max="13" width="17" style="121" customWidth="1"/>
    <col min="14" max="16384" width="14.42578125" style="121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39" t="s">
        <v>20</v>
      </c>
      <c r="I10" s="34">
        <v>1.1599999999999999</v>
      </c>
    </row>
    <row r="11" spans="1:13" ht="32.25" customHeight="1" thickTop="1">
      <c r="A11" s="10"/>
      <c r="B11" s="205" t="s">
        <v>24</v>
      </c>
      <c r="C11" s="145"/>
      <c r="D11" s="113" t="s">
        <v>120</v>
      </c>
      <c r="E11" s="33">
        <f>1.17*1.2*(1+E7+0.2)/(1+E7)</f>
        <v>1.6199999999999999</v>
      </c>
      <c r="G11" s="30" t="s">
        <v>25</v>
      </c>
      <c r="H11" s="112" t="s">
        <v>131</v>
      </c>
      <c r="I11" s="34">
        <v>1.08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 t="s">
        <v>120</v>
      </c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1.2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2"/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0.52513312338963647</v>
      </c>
      <c r="E24" s="70">
        <f>2+IF(H13="V",0.5,0)+IF(H15="V",-0.12,0)+IF(M20&gt;0,M20,0)</f>
        <v>2.5</v>
      </c>
      <c r="F24" s="70">
        <f>MIN(1,(D24+IF(H5=1,0.1,0)+IF(H5=2,0.17,0)+IF(H5=3,0.25,0)))</f>
        <v>0.77513312338963647</v>
      </c>
      <c r="G24" s="71">
        <f>E24+IF(H5=1,0.2,0)+IF(H5=2,0.35,0)+IF(H5=3,0.5,0)</f>
        <v>3</v>
      </c>
      <c r="H24" s="72">
        <f>1*IF(H6&gt;0,I6,1)*IF(H9="V",I9,1)*IF(H10="V",I10,1)*IF(H13="V",I13,1)*IF(H14="V",I14,1)*IF(H20="v",I20,1)</f>
        <v>1.3641599999999998</v>
      </c>
      <c r="I24" s="70">
        <f>1+IF(H11="V",I11-1,0)+IF(H12="V",I12-1,0)+IF(H17="V",I17-1,0)+IF(H18="V",I18-1,0)+IF(H19="V",I19-1,0)+IF(H21="V",I21-1,0)</f>
        <v>1.08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2.7447444863999997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7.40627824804608</v>
      </c>
      <c r="L27" s="159">
        <f>F27*K27*M24</f>
        <v>33878917.302973732</v>
      </c>
      <c r="M27" s="160">
        <f>IF(L27&gt;0,L27/L57,0)</f>
        <v>5.0755498867993798E-2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5.6185785629616252</v>
      </c>
      <c r="L31" s="159">
        <f>F31*K31*M24</f>
        <v>41623115.638987221</v>
      </c>
      <c r="M31" s="160">
        <f>IF(L31&gt;0,L31/L57,0)</f>
        <v>6.2357423639141991E-2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6.7422942755539497</v>
      </c>
      <c r="L38" s="159">
        <f>F38*K38*M24</f>
        <v>97740068.879897133</v>
      </c>
      <c r="M38" s="160">
        <f>IF(L38&gt;0,L38/L57,0)</f>
        <v>0.14642870405294253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10.555309944549395</v>
      </c>
      <c r="L44" s="159">
        <f>F44*K44*M24</f>
        <v>75388541.209375232</v>
      </c>
      <c r="M44" s="160">
        <f>IF(L44&gt;0,L44/L57,0)</f>
        <v>0.11294289554159651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11.23715712592325</v>
      </c>
      <c r="L46" s="159">
        <f>F46*K46*M24</f>
        <v>86050686.568103313</v>
      </c>
      <c r="M46" s="160">
        <f>IF(L46&gt;0,L46/L57,0)</f>
        <v>0.1289163253252516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2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6.7422942755539497</v>
      </c>
      <c r="L48" s="99">
        <f>F48*K48*M24</f>
        <v>90874292.982743919</v>
      </c>
      <c r="M48" s="100">
        <f>IF(L48&gt;0,L48/L57,0)</f>
        <v>0.13614278264466687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5.6185785629616252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13.484588551107899</v>
      </c>
      <c r="L50" s="127">
        <f>F50*K50*M24</f>
        <v>217802053.77570492</v>
      </c>
      <c r="M50" s="129">
        <f>IF(L50&gt;0,L50/L57,0)</f>
        <v>0.32629885409263626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11.23715712592325</v>
      </c>
      <c r="L52" s="137">
        <f>F52*K52*M24</f>
        <v>16186245.583461801</v>
      </c>
      <c r="M52" s="139">
        <f>IF(L52&gt;0,L52/L57,0)</f>
        <v>2.4249327746856716E-2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43.617092756942455</v>
      </c>
      <c r="L54" s="107">
        <f>E54*K54*M24/IF(D11="V",1.15,1)</f>
        <v>7948626.8185804756</v>
      </c>
      <c r="M54" s="108">
        <f>IF(L54&gt;0,L54/L57,0)</f>
        <v>1.1908188088913772E-2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667492548.75982773</v>
      </c>
      <c r="M57" s="110">
        <f>SUM(M27:M54)</f>
        <v>1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37082919.375545986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30" priority="1">
      <formula>$D$11&lt;&gt;"V"</formula>
    </cfRule>
  </conditionalFormatting>
  <conditionalFormatting sqref="J27:J53">
    <cfRule type="expression" dxfId="29" priority="2">
      <formula>$D$11&lt;&gt;"V"</formula>
    </cfRule>
  </conditionalFormatting>
  <conditionalFormatting sqref="H27:I53">
    <cfRule type="expression" dxfId="28" priority="3">
      <formula>$H$6&gt;0</formula>
    </cfRule>
  </conditionalFormatting>
  <conditionalFormatting sqref="H18:H19">
    <cfRule type="expression" dxfId="27" priority="4">
      <formula>$H$17="V"</formula>
    </cfRule>
  </conditionalFormatting>
  <conditionalFormatting sqref="H17 H19">
    <cfRule type="expression" dxfId="26" priority="5">
      <formula>$H$18="V"</formula>
    </cfRule>
  </conditionalFormatting>
  <conditionalFormatting sqref="H17:H18">
    <cfRule type="expression" dxfId="25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21" customWidth="1"/>
    <col min="2" max="2" width="21.140625" style="121" customWidth="1"/>
    <col min="3" max="3" width="24.140625" style="121" customWidth="1"/>
    <col min="4" max="4" width="14.85546875" style="121" customWidth="1"/>
    <col min="5" max="6" width="14.5703125" style="121" customWidth="1"/>
    <col min="7" max="7" width="23" style="121" customWidth="1"/>
    <col min="8" max="8" width="21" style="121" customWidth="1"/>
    <col min="9" max="9" width="19.7109375" style="121" customWidth="1"/>
    <col min="10" max="10" width="16.5703125" style="121" customWidth="1"/>
    <col min="11" max="11" width="19.5703125" style="121" customWidth="1"/>
    <col min="12" max="12" width="18.7109375" style="121" customWidth="1"/>
    <col min="13" max="13" width="17" style="121" customWidth="1"/>
    <col min="14" max="16384" width="14.42578125" style="121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39" t="s">
        <v>20</v>
      </c>
      <c r="I10" s="34">
        <v>1.1599999999999999</v>
      </c>
    </row>
    <row r="11" spans="1:13" ht="32.25" customHeight="1" thickTop="1">
      <c r="A11" s="10"/>
      <c r="B11" s="205" t="s">
        <v>24</v>
      </c>
      <c r="C11" s="145"/>
      <c r="D11" s="113" t="s">
        <v>120</v>
      </c>
      <c r="E11" s="33">
        <f>1.17*1.2*(1+E7+0.2)/(1+E7)</f>
        <v>1.6199999999999999</v>
      </c>
      <c r="G11" s="30" t="s">
        <v>25</v>
      </c>
      <c r="H11" s="112" t="s">
        <v>131</v>
      </c>
      <c r="I11" s="34">
        <v>1.08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/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1.2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2" t="s">
        <v>131</v>
      </c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0.67513312338963649</v>
      </c>
      <c r="E24" s="70">
        <f>2+IF(H13="V",0.5,0)+IF(H15="V",-0.12,0)+IF(M20&gt;0,M20,0)</f>
        <v>2</v>
      </c>
      <c r="F24" s="70">
        <f>MIN(1,(D24+IF(H5=1,0.1,0)+IF(H5=2,0.17,0)+IF(H5=3,0.25,0)))</f>
        <v>0.92513312338963649</v>
      </c>
      <c r="G24" s="71">
        <f>E24+IF(H5=1,0.2,0)+IF(H5=2,0.35,0)+IF(H5=3,0.5,0)</f>
        <v>2.5</v>
      </c>
      <c r="H24" s="72">
        <f>1*IF(H6&gt;0,I6,1)*IF(H9="V",I9,1)*IF(H10="V",I10,1)*IF(H13="V",I13,1)*IF(H14="V",I14,1)*IF(H20="v",I20,1)</f>
        <v>1.3919999999999999</v>
      </c>
      <c r="I24" s="70">
        <f>1+IF(H11="V",I11-1,0)+IF(H12="V",I12-1,0)+IF(H17="V",I17-1,0)+IF(H18="V",I18-1,0)+IF(H19="V",I19-1,0)+IF(H21="V",I21-1,0)</f>
        <v>1.1400000000000001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2.9563574399999997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6.9355557488108559</v>
      </c>
      <c r="L27" s="159">
        <f>F27*K27*M24</f>
        <v>34171637.11965929</v>
      </c>
      <c r="M27" s="160">
        <f>IF(L27&gt;0,L27/L57,0)</f>
        <v>5.0765096593629974E-2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5.2604226254212199</v>
      </c>
      <c r="L31" s="159">
        <f>F31*K31*M24</f>
        <v>41974331.190421894</v>
      </c>
      <c r="M31" s="160">
        <f>IF(L31&gt;0,L31/L57,0)</f>
        <v>6.2356713255300671E-2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6.3125071505054633</v>
      </c>
      <c r="L38" s="159">
        <f>F38*K38*M24</f>
        <v>98564798.88056922</v>
      </c>
      <c r="M38" s="160">
        <f>IF(L38&gt;0,L38/L57,0)</f>
        <v>0.146427035918193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9.8824623752120466</v>
      </c>
      <c r="L44" s="159">
        <f>F44*K44*M24</f>
        <v>76024669.179764479</v>
      </c>
      <c r="M44" s="160">
        <f>IF(L44&gt;0,L44/L57,0)</f>
        <v>0.11294160888151172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10.52084525084244</v>
      </c>
      <c r="L46" s="159">
        <f>F46*K46*M24</f>
        <v>86776781.644610271</v>
      </c>
      <c r="M46" s="160">
        <f>IF(L46&gt;0,L46/L57,0)</f>
        <v>0.12891485669378722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2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6.3125071505054633</v>
      </c>
      <c r="L48" s="99">
        <f>F48*K48*M24</f>
        <v>91641089.615605205</v>
      </c>
      <c r="M48" s="100">
        <f>IF(L48&gt;0,L48/L57,0)</f>
        <v>0.13614123168846537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5.2604226254212199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12.625014301010927</v>
      </c>
      <c r="L50" s="127">
        <f>F50*K50*M24</f>
        <v>219639865.94440255</v>
      </c>
      <c r="M50" s="129">
        <f>IF(L50&gt;0,L50/L57,0)</f>
        <v>0.32629513685385603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10.52084525084244</v>
      </c>
      <c r="L52" s="137">
        <f>F52*K52*M24</f>
        <v>16322825.007682696</v>
      </c>
      <c r="M52" s="139">
        <f>IF(L52&gt;0,L52/L57,0)</f>
        <v>2.4249051495376317E-2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40.840894646435729</v>
      </c>
      <c r="L54" s="107">
        <f>E54*K54*M24/IF(D11="V",1.15,1)</f>
        <v>8016515.9321323857</v>
      </c>
      <c r="M54" s="108">
        <f>IF(L54&gt;0,L54/L57,0)</f>
        <v>1.1909268619879685E-2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673132514.51484799</v>
      </c>
      <c r="M57" s="110">
        <f>SUM(M27:M54)</f>
        <v>1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37396250.806380443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24" priority="1">
      <formula>$D$11&lt;&gt;"V"</formula>
    </cfRule>
  </conditionalFormatting>
  <conditionalFormatting sqref="J27:J53">
    <cfRule type="expression" dxfId="23" priority="2">
      <formula>$D$11&lt;&gt;"V"</formula>
    </cfRule>
  </conditionalFormatting>
  <conditionalFormatting sqref="H27:I53">
    <cfRule type="expression" dxfId="22" priority="3">
      <formula>$H$6&gt;0</formula>
    </cfRule>
  </conditionalFormatting>
  <conditionalFormatting sqref="H18:H19">
    <cfRule type="expression" dxfId="21" priority="4">
      <formula>$H$17="V"</formula>
    </cfRule>
  </conditionalFormatting>
  <conditionalFormatting sqref="H17 H19">
    <cfRule type="expression" dxfId="20" priority="5">
      <formula>$H$18="V"</formula>
    </cfRule>
  </conditionalFormatting>
  <conditionalFormatting sqref="H17:H18">
    <cfRule type="expression" dxfId="19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M19" sqref="M19"/>
    </sheetView>
  </sheetViews>
  <sheetFormatPr defaultColWidth="14.42578125" defaultRowHeight="15" customHeight="1"/>
  <cols>
    <col min="1" max="1" width="1.28515625" style="121" customWidth="1"/>
    <col min="2" max="2" width="21.140625" style="121" customWidth="1"/>
    <col min="3" max="3" width="24.140625" style="121" customWidth="1"/>
    <col min="4" max="4" width="14.85546875" style="121" customWidth="1"/>
    <col min="5" max="6" width="14.5703125" style="121" customWidth="1"/>
    <col min="7" max="7" width="23" style="121" customWidth="1"/>
    <col min="8" max="8" width="21" style="121" customWidth="1"/>
    <col min="9" max="9" width="19.7109375" style="121" customWidth="1"/>
    <col min="10" max="10" width="16.5703125" style="121" customWidth="1"/>
    <col min="11" max="11" width="19.5703125" style="121" customWidth="1"/>
    <col min="12" max="12" width="18.7109375" style="121" customWidth="1"/>
    <col min="13" max="13" width="17" style="121" customWidth="1"/>
    <col min="14" max="16384" width="14.42578125" style="121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39"/>
      <c r="I10" s="34">
        <v>1.1599999999999999</v>
      </c>
    </row>
    <row r="11" spans="1:13" ht="32.25" customHeight="1" thickTop="1">
      <c r="A11" s="10"/>
      <c r="B11" s="205" t="s">
        <v>24</v>
      </c>
      <c r="C11" s="145"/>
      <c r="D11" s="113" t="s">
        <v>120</v>
      </c>
      <c r="E11" s="33">
        <f>1.17*1.2*(1+E7+0.2)/(1+E7)</f>
        <v>1.6199999999999999</v>
      </c>
      <c r="G11" s="30" t="s">
        <v>25</v>
      </c>
      <c r="H11" s="112" t="s">
        <v>131</v>
      </c>
      <c r="I11" s="34">
        <v>1.08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 t="s">
        <v>131</v>
      </c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1.2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2" t="s">
        <v>131</v>
      </c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0.67513312338963649</v>
      </c>
      <c r="E24" s="70">
        <f>2+IF(H13="V",0.5,0)+IF(H15="V",-0.12,0)+IF(M20&gt;0,M20,0)</f>
        <v>2.5</v>
      </c>
      <c r="F24" s="70">
        <f>MIN(1,(D24+IF(H5=1,0.1,0)+IF(H5=2,0.17,0)+IF(H5=3,0.25,0)))</f>
        <v>0.92513312338963649</v>
      </c>
      <c r="G24" s="71">
        <f>E24+IF(H5=1,0.2,0)+IF(H5=2,0.35,0)+IF(H5=3,0.5,0)</f>
        <v>3</v>
      </c>
      <c r="H24" s="72">
        <f>1*IF(H6&gt;0,I6,1)*IF(H9="V",I9,1)*IF(H10="V",I10,1)*IF(H13="V",I13,1)*IF(H14="V",I14,1)*IF(H20="v",I20,1)</f>
        <v>1.1759999999999999</v>
      </c>
      <c r="I24" s="70">
        <f>1+IF(H11="V",I11-1,0)+IF(H12="V",I12-1,0)+IF(H17="V",I17-1,0)+IF(H18="V",I18-1,0)+IF(H19="V",I19-1,0)+IF(H21="V",I21-1,0)</f>
        <v>1.1400000000000001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2.49761232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8.2922184816460813</v>
      </c>
      <c r="L27" s="159">
        <f>F27*K27*M24</f>
        <v>34516228.988958657</v>
      </c>
      <c r="M27" s="160">
        <f>IF(L27&gt;0,L27/L57,0)</f>
        <v>5.0840530188159164E-2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6.2795187965616259</v>
      </c>
      <c r="L31" s="159">
        <f>F31*K31*M24</f>
        <v>42330909.451996572</v>
      </c>
      <c r="M31" s="160">
        <f>IF(L31&gt;0,L31/L57,0)</f>
        <v>6.2351129973523586E-2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7.5354225558739509</v>
      </c>
      <c r="L38" s="159">
        <f>F38*K38*M24</f>
        <v>99402121.683351874</v>
      </c>
      <c r="M38" s="160">
        <f>IF(L38&gt;0,L38/L57,0)</f>
        <v>0.14641392516622045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11.796981470949396</v>
      </c>
      <c r="L44" s="159">
        <f>F44*K44*M24</f>
        <v>76670510.187925607</v>
      </c>
      <c r="M44" s="160">
        <f>IF(L44&gt;0,L44/L57,0)</f>
        <v>0.11293149634039432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12.559037593123252</v>
      </c>
      <c r="L46" s="159">
        <f>F46*K46*M24</f>
        <v>87513963.466602981</v>
      </c>
      <c r="M46" s="160">
        <f>IF(L46&gt;0,L46/L57,0)</f>
        <v>0.12890331394349461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2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7.5354225558739509</v>
      </c>
      <c r="L48" s="99">
        <f>F48*K48*M24</f>
        <v>92419594.466002882</v>
      </c>
      <c r="M48" s="100">
        <f>IF(L48&gt;0,L48/L57,0)</f>
        <v>0.13612904190458625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6.2795187965616259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15.070845111747902</v>
      </c>
      <c r="L50" s="127">
        <f>F50*K50*M24</f>
        <v>221505739.66650304</v>
      </c>
      <c r="M50" s="129">
        <f>IF(L50&gt;0,L50/L57,0)</f>
        <v>0.32626592111113262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12.559037593123252</v>
      </c>
      <c r="L52" s="137">
        <f>F52*K52*M24</f>
        <v>16461489.863087358</v>
      </c>
      <c r="M52" s="139">
        <f>IF(L52&gt;0,L52/L57,0)</f>
        <v>2.4246880289097834E-2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48.792092756942459</v>
      </c>
      <c r="L54" s="107">
        <f>E54*K54*M24/IF(D11="V",1.15,1)</f>
        <v>8091107.0177202243</v>
      </c>
      <c r="M54" s="108">
        <f>IF(L54&gt;0,L54/L57,0)</f>
        <v>1.1917761083391225E-2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678911664.79214919</v>
      </c>
      <c r="M57" s="110">
        <f>SUM(M27:M54)</f>
        <v>1.0000000000000002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37717314.710674956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18" priority="1">
      <formula>$D$11&lt;&gt;"V"</formula>
    </cfRule>
  </conditionalFormatting>
  <conditionalFormatting sqref="J27:J53">
    <cfRule type="expression" dxfId="17" priority="2">
      <formula>$D$11&lt;&gt;"V"</formula>
    </cfRule>
  </conditionalFormatting>
  <conditionalFormatting sqref="H27:I53">
    <cfRule type="expression" dxfId="16" priority="3">
      <formula>$H$6&gt;0</formula>
    </cfRule>
  </conditionalFormatting>
  <conditionalFormatting sqref="H18:H19">
    <cfRule type="expression" dxfId="15" priority="4">
      <formula>$H$17="V"</formula>
    </cfRule>
  </conditionalFormatting>
  <conditionalFormatting sqref="H17 H19">
    <cfRule type="expression" dxfId="14" priority="5">
      <formula>$H$18="V"</formula>
    </cfRule>
  </conditionalFormatting>
  <conditionalFormatting sqref="H17:H18">
    <cfRule type="expression" dxfId="13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F11" sqref="F11"/>
    </sheetView>
  </sheetViews>
  <sheetFormatPr defaultColWidth="14.42578125" defaultRowHeight="15" customHeight="1"/>
  <cols>
    <col min="1" max="1" width="1.28515625" style="121" customWidth="1"/>
    <col min="2" max="2" width="21.140625" style="121" customWidth="1"/>
    <col min="3" max="3" width="24.140625" style="121" customWidth="1"/>
    <col min="4" max="4" width="14.85546875" style="121" customWidth="1"/>
    <col min="5" max="6" width="14.5703125" style="121" customWidth="1"/>
    <col min="7" max="7" width="23" style="121" customWidth="1"/>
    <col min="8" max="8" width="21" style="121" customWidth="1"/>
    <col min="9" max="9" width="19.7109375" style="121" customWidth="1"/>
    <col min="10" max="10" width="16.5703125" style="121" customWidth="1"/>
    <col min="11" max="11" width="19.5703125" style="121" customWidth="1"/>
    <col min="12" max="12" width="18.7109375" style="121" customWidth="1"/>
    <col min="13" max="13" width="17" style="121" customWidth="1"/>
    <col min="14" max="16384" width="14.42578125" style="121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39"/>
      <c r="I10" s="34">
        <v>1.1599999999999999</v>
      </c>
    </row>
    <row r="11" spans="1:13" ht="32.25" customHeight="1" thickTop="1">
      <c r="A11" s="10"/>
      <c r="B11" s="205" t="s">
        <v>24</v>
      </c>
      <c r="C11" s="145"/>
      <c r="D11" s="113" t="s">
        <v>120</v>
      </c>
      <c r="E11" s="33">
        <f>1.17*1.2*(1+E7+0.2)/(1+E7)</f>
        <v>1.6199999999999999</v>
      </c>
      <c r="G11" s="30" t="s">
        <v>25</v>
      </c>
      <c r="H11" s="112"/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 t="s">
        <v>120</v>
      </c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1.2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1" t="s">
        <v>141</v>
      </c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123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124" t="s">
        <v>141</v>
      </c>
      <c r="I21" s="64">
        <v>1.04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0.67513312338963649</v>
      </c>
      <c r="E24" s="70">
        <f>2+IF(H13="V",0.5,0)+IF(H15="V",-0.12,0)+IF(M20&gt;0,M20,0)</f>
        <v>2.5</v>
      </c>
      <c r="F24" s="70">
        <f>MIN(1,(D24+IF(H5=1,0.1,0)+IF(H5=2,0.17,0)+IF(H5=3,0.25,0)))</f>
        <v>0.92513312338963649</v>
      </c>
      <c r="G24" s="71">
        <f>E24+IF(H5=1,0.2,0)+IF(H5=2,0.35,0)+IF(H5=3,0.5,0)</f>
        <v>3</v>
      </c>
      <c r="H24" s="72">
        <f>1*IF(H6&gt;0,I6,1)*IF(H9="V",I9,1)*IF(H10="V",I10,1)*IF(H13="V",I13,1)*IF(H14="V",I14,1)*IF(H20="v",I20,1)</f>
        <v>1.1759999999999999</v>
      </c>
      <c r="I24" s="70">
        <f>1+IF(H11="V",I11-1,0)+IF(H12="V",I12-1,0)+IF(H17="V",I17-1,0)+IF(H18="V",I18-1,0)+IF(H19="V",I19-1,0)+IF(H21="V",I21-1,0)</f>
        <v>1.1000000000000001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2.4099767999999999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8.2922184816460813</v>
      </c>
      <c r="L27" s="159">
        <f>F27*K27*M24</f>
        <v>33305133.234960109</v>
      </c>
      <c r="M27" s="160">
        <f>IF(L27&gt;0,L27/L57,0)</f>
        <v>5.0840530188159164E-2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6.2795187965616259</v>
      </c>
      <c r="L31" s="159">
        <f>F31*K31*M24</f>
        <v>40845614.383505464</v>
      </c>
      <c r="M31" s="160">
        <f>IF(L31&gt;0,L31/L57,0)</f>
        <v>6.2351129973523579E-2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7.5354225558739509</v>
      </c>
      <c r="L38" s="159">
        <f>F38*K38*M24</f>
        <v>95914327.940076366</v>
      </c>
      <c r="M38" s="160">
        <f>IF(L38&gt;0,L38/L57,0)</f>
        <v>0.14641392516622043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11.796981470949396</v>
      </c>
      <c r="L44" s="159">
        <f>F44*K44*M24</f>
        <v>73980316.847998381</v>
      </c>
      <c r="M44" s="160">
        <f>IF(L44&gt;0,L44/L57,0)</f>
        <v>0.11293149634039429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12.559037593123252</v>
      </c>
      <c r="L46" s="159">
        <f>F46*K46*M24</f>
        <v>84443298.081809893</v>
      </c>
      <c r="M46" s="160">
        <f>IF(L46&gt;0,L46/L57,0)</f>
        <v>0.12890331394349458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2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7.5354225558739509</v>
      </c>
      <c r="L48" s="99">
        <f>F48*K48*M24</f>
        <v>89176801.677722082</v>
      </c>
      <c r="M48" s="100">
        <f>IF(L48&gt;0,L48/L57,0)</f>
        <v>0.13612904190458622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6.2795187965616259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15.070845111747902</v>
      </c>
      <c r="L50" s="127">
        <f>F50*K50*M24</f>
        <v>213733608.45013452</v>
      </c>
      <c r="M50" s="129">
        <f>IF(L50&gt;0,L50/L57,0)</f>
        <v>0.32626592111113256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12.559037593123252</v>
      </c>
      <c r="L52" s="137">
        <f>F52*K52*M24</f>
        <v>15883893.727540432</v>
      </c>
      <c r="M52" s="139">
        <f>IF(L52&gt;0,L52/L57,0)</f>
        <v>2.4246880289097827E-2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48.792092756942459</v>
      </c>
      <c r="L54" s="107">
        <f>E54*K54*M24/IF(D11="V",1.15,1)</f>
        <v>7807208.5258703912</v>
      </c>
      <c r="M54" s="108">
        <f>IF(L54&gt;0,L54/L57,0)</f>
        <v>1.1917761083391223E-2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655090202.8696177</v>
      </c>
      <c r="M57" s="110">
        <f>SUM(M27:M54)</f>
        <v>0.99999999999999989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36393900.159423202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12" priority="1">
      <formula>$D$11&lt;&gt;"V"</formula>
    </cfRule>
  </conditionalFormatting>
  <conditionalFormatting sqref="J27:J53">
    <cfRule type="expression" dxfId="11" priority="2">
      <formula>$D$11&lt;&gt;"V"</formula>
    </cfRule>
  </conditionalFormatting>
  <conditionalFormatting sqref="H27:I53">
    <cfRule type="expression" dxfId="10" priority="3">
      <formula>$H$6&gt;0</formula>
    </cfRule>
  </conditionalFormatting>
  <conditionalFormatting sqref="H18:H19">
    <cfRule type="expression" dxfId="9" priority="4">
      <formula>$H$17="V"</formula>
    </cfRule>
  </conditionalFormatting>
  <conditionalFormatting sqref="H17 H19">
    <cfRule type="expression" dxfId="8" priority="5">
      <formula>$H$18="V"</formula>
    </cfRule>
  </conditionalFormatting>
  <conditionalFormatting sqref="H17:H18">
    <cfRule type="expression" dxfId="7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customWidth="1"/>
    <col min="2" max="2" width="21.140625" customWidth="1"/>
    <col min="3" max="3" width="24.140625" customWidth="1"/>
    <col min="4" max="4" width="14.85546875" customWidth="1"/>
    <col min="5" max="6" width="14.5703125" customWidth="1"/>
    <col min="7" max="7" width="23" customWidth="1"/>
    <col min="8" max="8" width="21" customWidth="1"/>
    <col min="9" max="9" width="19.7109375" customWidth="1"/>
    <col min="10" max="10" width="16.5703125" customWidth="1"/>
    <col min="11" max="11" width="19.5703125" customWidth="1"/>
    <col min="12" max="12" width="18.7109375" customWidth="1"/>
    <col min="13" max="13" width="17" customWidth="1"/>
  </cols>
  <sheetData>
    <row r="1" spans="1:13" ht="10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>
      <c r="A3" s="3"/>
      <c r="B3" s="3"/>
      <c r="C3" s="3"/>
      <c r="D3" s="4"/>
      <c r="E3" s="4"/>
      <c r="F3" s="4"/>
      <c r="G3" s="4"/>
      <c r="H3" s="4"/>
      <c r="I3" s="4"/>
      <c r="J3" s="5"/>
      <c r="K3" s="5"/>
      <c r="L3" s="4"/>
      <c r="M3" s="4"/>
    </row>
    <row r="4" spans="1:13" ht="32.25" customHeight="1">
      <c r="A4" s="3"/>
      <c r="B4" s="194" t="s">
        <v>1</v>
      </c>
      <c r="C4" s="195"/>
      <c r="D4" s="6" t="s">
        <v>2</v>
      </c>
      <c r="E4" s="7" t="s">
        <v>3</v>
      </c>
      <c r="G4" s="8" t="s">
        <v>4</v>
      </c>
      <c r="H4" s="9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31" t="s">
        <v>20</v>
      </c>
      <c r="I10" s="32">
        <v>1.1599999999999999</v>
      </c>
    </row>
    <row r="11" spans="1:13" ht="32.25" customHeight="1">
      <c r="A11" s="10"/>
      <c r="B11" s="205" t="s">
        <v>24</v>
      </c>
      <c r="C11" s="145"/>
      <c r="D11" s="113" t="s">
        <v>142</v>
      </c>
      <c r="E11" s="33">
        <f>1.17*1.2*(1+E7+0.2)/(1+E7)</f>
        <v>1.6199999999999999</v>
      </c>
      <c r="G11" s="30" t="s">
        <v>25</v>
      </c>
      <c r="H11" s="112"/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>
      <c r="A12" s="10"/>
      <c r="B12" s="206" t="s">
        <v>29</v>
      </c>
      <c r="C12" s="147"/>
      <c r="D12" s="111"/>
      <c r="E12" s="35">
        <v>1.32</v>
      </c>
      <c r="G12" s="30" t="s">
        <v>30</v>
      </c>
      <c r="H12" s="31"/>
      <c r="I12" s="32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1"/>
      <c r="E13" s="35"/>
      <c r="G13" s="30" t="s">
        <v>32</v>
      </c>
      <c r="H13" s="112" t="s">
        <v>121</v>
      </c>
      <c r="I13" s="32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1"/>
      <c r="I14" s="32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1"/>
      <c r="I15" s="32">
        <v>1</v>
      </c>
      <c r="K15" s="41" t="s">
        <v>39</v>
      </c>
      <c r="L15" s="42" t="s">
        <v>20</v>
      </c>
      <c r="M15" s="43"/>
    </row>
    <row r="16" spans="1:13" ht="32.25" customHeight="1">
      <c r="A16" s="5"/>
      <c r="B16" s="209" t="s">
        <v>40</v>
      </c>
      <c r="C16" s="151"/>
      <c r="D16" s="46"/>
      <c r="E16" s="47"/>
      <c r="G16" s="30" t="s">
        <v>41</v>
      </c>
      <c r="H16" s="31" t="s">
        <v>42</v>
      </c>
      <c r="I16" s="32">
        <v>1.2</v>
      </c>
      <c r="K16" s="41" t="s">
        <v>43</v>
      </c>
      <c r="L16" s="42" t="s">
        <v>20</v>
      </c>
      <c r="M16" s="43"/>
    </row>
    <row r="17" spans="1:13" ht="32.25" customHeight="1">
      <c r="A17" s="5"/>
      <c r="G17" s="30" t="s">
        <v>44</v>
      </c>
      <c r="H17" s="31"/>
      <c r="I17" s="32">
        <v>1.06</v>
      </c>
      <c r="K17" s="48" t="s">
        <v>45</v>
      </c>
      <c r="L17" s="49" t="s">
        <v>20</v>
      </c>
      <c r="M17" s="50"/>
    </row>
    <row r="18" spans="1:13" ht="32.25" customHeight="1">
      <c r="A18" s="5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 t="s">
        <v>122</v>
      </c>
      <c r="I18" s="32">
        <v>1.036</v>
      </c>
    </row>
    <row r="19" spans="1:13" ht="32.25" customHeight="1">
      <c r="A19" s="5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1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>
      <c r="A22" s="5"/>
    </row>
    <row r="23" spans="1:13" ht="41.25" customHeight="1">
      <c r="A23" s="5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>
      <c r="A24" s="5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0.62513312338963645</v>
      </c>
      <c r="E24" s="70">
        <f>2+IF(H13="V",0.5,0)+IF(H15="V",-0.12,0)+IF(M20&gt;0,M20,0)</f>
        <v>2.5</v>
      </c>
      <c r="F24" s="70">
        <f>MIN(1,(D24+IF(H5=1,0.1,0)+IF(H5=2,0.17,0)+IF(H5=3,0.25,0)))</f>
        <v>0.87513312338963645</v>
      </c>
      <c r="G24" s="71">
        <f>E24+IF(H5=1,0.2,0)+IF(H5=2,0.35,0)+IF(H5=3,0.5,0)</f>
        <v>3</v>
      </c>
      <c r="H24" s="72">
        <f>1*IF(H6&gt;0,I6,1)*IF(H9="V",I9,1)*IF(H10="V",I10,1)*IF(H13="V",I13,1)*IF(H14="V",I14,1)*IF(H20="v",I20,1)</f>
        <v>1.3641599999999998</v>
      </c>
      <c r="I24" s="70">
        <f>1+IF(H11="V",I11-1,0)+IF(H12="V",I12-1,0)+IF(H17="V",I17-1,0)+IF(H18="V",I18-1,0)+IF(H19="V",I19-1,0)+IF(H21="V",I21-1,0)</f>
        <v>1.036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2.6329215628799996</v>
      </c>
    </row>
    <row r="25" spans="1:13" ht="7.5" customHeight="1">
      <c r="A25" s="5"/>
      <c r="F25" s="73"/>
    </row>
    <row r="26" spans="1:13" ht="58.5" customHeight="1">
      <c r="A26" s="5"/>
      <c r="B26" s="213" t="s">
        <v>68</v>
      </c>
      <c r="C26" s="214"/>
      <c r="D26" s="74" t="s">
        <v>69</v>
      </c>
      <c r="E26" s="74" t="s">
        <v>70</v>
      </c>
      <c r="F26" s="75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5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7.9969050704460809</v>
      </c>
      <c r="L27" s="159">
        <f>F27*K27*M24</f>
        <v>35090328.927607037</v>
      </c>
      <c r="M27" s="160">
        <f>IF(L27&gt;0,L27/L57,0)</f>
        <v>5.0814249413359977E-2</v>
      </c>
    </row>
    <row r="28" spans="1:13" ht="30" customHeight="1">
      <c r="A28" s="5"/>
      <c r="B28" s="167"/>
      <c r="C28" s="81" t="s">
        <v>81</v>
      </c>
      <c r="D28" s="82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5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5"/>
      <c r="B30" s="167"/>
      <c r="C30" s="81" t="s">
        <v>84</v>
      </c>
      <c r="D30" s="82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5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6.0592053853616266</v>
      </c>
      <c r="L31" s="159">
        <f>F31*K31*M24</f>
        <v>43058589.717137016</v>
      </c>
      <c r="M31" s="160">
        <f>IF(L31&gt;0,L31/L57,0)</f>
        <v>6.2353075167464557E-2</v>
      </c>
    </row>
    <row r="32" spans="1:13" ht="30" customHeight="1">
      <c r="A32" s="5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>
      <c r="A33" s="5"/>
      <c r="B33" s="167"/>
      <c r="C33" s="81" t="s">
        <v>87</v>
      </c>
      <c r="D33" s="82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5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5"/>
      <c r="B35" s="167"/>
      <c r="C35" s="81" t="s">
        <v>90</v>
      </c>
      <c r="D35" s="82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5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5"/>
      <c r="B37" s="167"/>
      <c r="C37" s="81" t="s">
        <v>93</v>
      </c>
      <c r="D37" s="82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5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7.2710464624339517</v>
      </c>
      <c r="L38" s="159">
        <f>F38*K38*M24</f>
        <v>101110872.17320587</v>
      </c>
      <c r="M38" s="160">
        <f>IF(L38&gt;0,L38/L57,0)</f>
        <v>0.14641849290188502</v>
      </c>
    </row>
    <row r="39" spans="1:13" ht="30" customHeight="1">
      <c r="A39" s="5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>
      <c r="A40" s="5"/>
      <c r="B40" s="167"/>
      <c r="C40" s="81" t="s">
        <v>96</v>
      </c>
      <c r="D40" s="82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5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5"/>
      <c r="B42" s="167"/>
      <c r="C42" s="81" t="s">
        <v>99</v>
      </c>
      <c r="D42" s="82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5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5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11.383090962149398</v>
      </c>
      <c r="L44" s="159">
        <f>F44*K44*M24</f>
        <v>77988497.868895963</v>
      </c>
      <c r="M44" s="160">
        <f>IF(L44&gt;0,L44/L57,0)</f>
        <v>0.11293501951090493</v>
      </c>
    </row>
    <row r="45" spans="1:13" ht="30" customHeight="1">
      <c r="A45" s="5"/>
      <c r="B45" s="167"/>
      <c r="C45" s="81" t="s">
        <v>103</v>
      </c>
      <c r="D45" s="82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5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12.118410770723253</v>
      </c>
      <c r="L46" s="159">
        <f>F46*K46*M24</f>
        <v>89018353.165838838</v>
      </c>
      <c r="M46" s="160">
        <f>IF(L46&gt;0,L46/L57,0)</f>
        <v>0.12890733539339233</v>
      </c>
    </row>
    <row r="47" spans="1:13" ht="30" customHeight="1">
      <c r="A47" s="5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5"/>
      <c r="B48" s="165" t="s">
        <v>43</v>
      </c>
      <c r="C48" s="79" t="s">
        <v>107</v>
      </c>
      <c r="D48" s="80" t="s">
        <v>20</v>
      </c>
      <c r="E48" s="162">
        <v>0.4</v>
      </c>
      <c r="F48" s="97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7.2710464624339517</v>
      </c>
      <c r="L48" s="99">
        <f>F48*K48*M24</f>
        <v>94008313.344850913</v>
      </c>
      <c r="M48" s="100">
        <f>IF(L48&gt;0,L48/L57,0)</f>
        <v>0.136133288778502</v>
      </c>
    </row>
    <row r="49" spans="1:13" ht="30" customHeight="1">
      <c r="A49" s="5"/>
      <c r="B49" s="167"/>
      <c r="C49" s="81" t="s">
        <v>108</v>
      </c>
      <c r="D49" s="82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6.0592053853616266</v>
      </c>
      <c r="L49" s="103">
        <f>F49*K49*M24</f>
        <v>0</v>
      </c>
      <c r="M49" s="104">
        <f>IF(L49&gt;0,L49/L57,0)</f>
        <v>0</v>
      </c>
    </row>
    <row r="50" spans="1:13" ht="30" customHeight="1">
      <c r="A50" s="5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14.542092924867903</v>
      </c>
      <c r="L50" s="127">
        <f>F50*K50*M24</f>
        <v>225313485.76639342</v>
      </c>
      <c r="M50" s="129">
        <f>IF(L50&gt;0,L50/L57,0)</f>
        <v>0.32627609976375943</v>
      </c>
    </row>
    <row r="51" spans="1:13" ht="30" customHeight="1">
      <c r="A51" s="5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5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12.118410770723253</v>
      </c>
      <c r="L52" s="137">
        <f>F52*K52*M24</f>
        <v>16744467.513774548</v>
      </c>
      <c r="M52" s="139">
        <f>IF(L52&gt;0,L52/L57,0)</f>
        <v>2.4247636729031571E-2</v>
      </c>
    </row>
    <row r="53" spans="1:13" ht="30" customHeight="1">
      <c r="A53" s="5"/>
      <c r="B53" s="167"/>
      <c r="C53" s="81" t="s">
        <v>112</v>
      </c>
      <c r="D53" s="82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>
      <c r="A54" s="5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47.067092756942458</v>
      </c>
      <c r="L54" s="107">
        <f>E54*K54*M24/IF(D11="V",1.15,1)</f>
        <v>8227895.484130838</v>
      </c>
      <c r="M54" s="108">
        <f>IF(L54&gt;0,L54/L57,0)</f>
        <v>1.19148023417002E-2</v>
      </c>
    </row>
    <row r="55" spans="1:13" ht="18" customHeight="1">
      <c r="A55" s="5"/>
    </row>
    <row r="56" spans="1:13" ht="41.25" customHeight="1">
      <c r="A56" s="5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5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690560803.96183443</v>
      </c>
      <c r="M57" s="110">
        <f>SUM(M27:M54)</f>
        <v>1.0000000000000002</v>
      </c>
    </row>
    <row r="58" spans="1:13" ht="30" customHeight="1">
      <c r="A58" s="5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>
      <c r="A59" s="5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38364489.108990803</v>
      </c>
      <c r="M59" s="134"/>
    </row>
    <row r="60" spans="1:13" ht="30" customHeight="1">
      <c r="A60" s="5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E29:E30"/>
    <mergeCell ref="B23:C23"/>
    <mergeCell ref="B24:C24"/>
    <mergeCell ref="B26:C26"/>
    <mergeCell ref="B27:B28"/>
    <mergeCell ref="F27:F28"/>
    <mergeCell ref="G27:G28"/>
    <mergeCell ref="B29:B30"/>
    <mergeCell ref="F29:F30"/>
    <mergeCell ref="G29:G30"/>
    <mergeCell ref="K8:M8"/>
    <mergeCell ref="K9:M9"/>
    <mergeCell ref="K11:K12"/>
    <mergeCell ref="L11:L12"/>
    <mergeCell ref="M11:M12"/>
    <mergeCell ref="K19:K21"/>
    <mergeCell ref="B2:M2"/>
    <mergeCell ref="B4:C4"/>
    <mergeCell ref="K4:M4"/>
    <mergeCell ref="B5:C5"/>
    <mergeCell ref="L5:M5"/>
    <mergeCell ref="K6:K7"/>
    <mergeCell ref="L6:M7"/>
    <mergeCell ref="B6:C6"/>
    <mergeCell ref="B7:D7"/>
    <mergeCell ref="B8:D8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1:C21"/>
    <mergeCell ref="H27:H28"/>
    <mergeCell ref="I27:I28"/>
    <mergeCell ref="J27:J28"/>
    <mergeCell ref="K27:K28"/>
    <mergeCell ref="L27:L28"/>
    <mergeCell ref="M27:M28"/>
    <mergeCell ref="E27:E28"/>
    <mergeCell ref="H29:H30"/>
    <mergeCell ref="I29:I30"/>
    <mergeCell ref="J29:J30"/>
    <mergeCell ref="K29:K30"/>
    <mergeCell ref="L29:L30"/>
    <mergeCell ref="M29:M30"/>
    <mergeCell ref="K31:K33"/>
    <mergeCell ref="L31:L33"/>
    <mergeCell ref="M31:M33"/>
    <mergeCell ref="L41:L42"/>
    <mergeCell ref="M41:M42"/>
    <mergeCell ref="E41:E42"/>
    <mergeCell ref="F41:F42"/>
    <mergeCell ref="G41:G42"/>
    <mergeCell ref="H41:H42"/>
    <mergeCell ref="I41:I42"/>
    <mergeCell ref="J41:J42"/>
    <mergeCell ref="K41:K42"/>
    <mergeCell ref="L44:L45"/>
    <mergeCell ref="M44:M45"/>
    <mergeCell ref="E44:E45"/>
    <mergeCell ref="F44:F45"/>
    <mergeCell ref="G44:G45"/>
    <mergeCell ref="H44:H45"/>
    <mergeCell ref="I44:I45"/>
    <mergeCell ref="J44:J45"/>
    <mergeCell ref="K44:K45"/>
    <mergeCell ref="B56:I59"/>
    <mergeCell ref="L46:L47"/>
    <mergeCell ref="M46:M47"/>
    <mergeCell ref="E46:E47"/>
    <mergeCell ref="F46:F47"/>
    <mergeCell ref="G46:G47"/>
    <mergeCell ref="H46:H47"/>
    <mergeCell ref="I46:I47"/>
    <mergeCell ref="J46:J47"/>
    <mergeCell ref="K46:K47"/>
    <mergeCell ref="J48:J49"/>
    <mergeCell ref="E50:E53"/>
    <mergeCell ref="F50:F51"/>
    <mergeCell ref="B50:B53"/>
    <mergeCell ref="B54:C54"/>
    <mergeCell ref="G50:G53"/>
    <mergeCell ref="H50:H53"/>
    <mergeCell ref="G54:H54"/>
    <mergeCell ref="I50:I53"/>
    <mergeCell ref="J50:J53"/>
    <mergeCell ref="I54:J54"/>
    <mergeCell ref="F52:F53"/>
    <mergeCell ref="E54:F54"/>
    <mergeCell ref="K50:K51"/>
    <mergeCell ref="B36:B37"/>
    <mergeCell ref="B38:B40"/>
    <mergeCell ref="B41:B42"/>
    <mergeCell ref="B44:B45"/>
    <mergeCell ref="B46:B47"/>
    <mergeCell ref="B48:B49"/>
    <mergeCell ref="H34:H35"/>
    <mergeCell ref="I34:I35"/>
    <mergeCell ref="F36:F37"/>
    <mergeCell ref="G36:G37"/>
    <mergeCell ref="H36:H37"/>
    <mergeCell ref="I36:I37"/>
    <mergeCell ref="E48:E49"/>
    <mergeCell ref="G48:G49"/>
    <mergeCell ref="H48:H49"/>
    <mergeCell ref="I48:I49"/>
    <mergeCell ref="B31:B33"/>
    <mergeCell ref="F31:F33"/>
    <mergeCell ref="G31:G33"/>
    <mergeCell ref="H31:H33"/>
    <mergeCell ref="I31:I33"/>
    <mergeCell ref="J31:J33"/>
    <mergeCell ref="J34:J35"/>
    <mergeCell ref="F34:F35"/>
    <mergeCell ref="G34:G35"/>
    <mergeCell ref="B34:B35"/>
    <mergeCell ref="J36:J37"/>
    <mergeCell ref="I38:I40"/>
    <mergeCell ref="J38:J40"/>
    <mergeCell ref="K38:K40"/>
    <mergeCell ref="L38:L40"/>
    <mergeCell ref="M38:M40"/>
    <mergeCell ref="E31:E33"/>
    <mergeCell ref="E34:E35"/>
    <mergeCell ref="E36:E37"/>
    <mergeCell ref="E38:E40"/>
    <mergeCell ref="F38:F40"/>
    <mergeCell ref="G38:G40"/>
    <mergeCell ref="H38:H40"/>
    <mergeCell ref="K36:K37"/>
    <mergeCell ref="L36:L37"/>
    <mergeCell ref="M36:M37"/>
    <mergeCell ref="K34:K35"/>
    <mergeCell ref="L34:L35"/>
    <mergeCell ref="M34:M35"/>
    <mergeCell ref="L50:L51"/>
    <mergeCell ref="M50:M51"/>
    <mergeCell ref="K52:K53"/>
    <mergeCell ref="L59:M59"/>
    <mergeCell ref="J60:M60"/>
    <mergeCell ref="L52:L53"/>
    <mergeCell ref="M52:M53"/>
    <mergeCell ref="J56:M56"/>
    <mergeCell ref="J57:K57"/>
    <mergeCell ref="J58:K58"/>
    <mergeCell ref="L58:M58"/>
    <mergeCell ref="J59:K59"/>
  </mergeCells>
  <phoneticPr fontId="35" type="noConversion"/>
  <conditionalFormatting sqref="J27:J53">
    <cfRule type="expression" dxfId="84" priority="1">
      <formula>$D$11&lt;&gt;"V"</formula>
    </cfRule>
  </conditionalFormatting>
  <conditionalFormatting sqref="J27:J53">
    <cfRule type="expression" dxfId="83" priority="2">
      <formula>$D$11&lt;&gt;"V"</formula>
    </cfRule>
  </conditionalFormatting>
  <conditionalFormatting sqref="H27:I53">
    <cfRule type="expression" dxfId="82" priority="3">
      <formula>$H$6&gt;0</formula>
    </cfRule>
  </conditionalFormatting>
  <conditionalFormatting sqref="H18:H19">
    <cfRule type="expression" dxfId="81" priority="4">
      <formula>$H$17="V"</formula>
    </cfRule>
  </conditionalFormatting>
  <conditionalFormatting sqref="H17 H19">
    <cfRule type="expression" dxfId="80" priority="5">
      <formula>$H$18="V"</formula>
    </cfRule>
  </conditionalFormatting>
  <conditionalFormatting sqref="H17:H18">
    <cfRule type="expression" dxfId="79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19" customWidth="1"/>
    <col min="2" max="2" width="21.140625" style="119" customWidth="1"/>
    <col min="3" max="3" width="24.140625" style="119" customWidth="1"/>
    <col min="4" max="4" width="14.85546875" style="119" customWidth="1"/>
    <col min="5" max="6" width="14.5703125" style="119" customWidth="1"/>
    <col min="7" max="7" width="23" style="119" customWidth="1"/>
    <col min="8" max="8" width="21" style="119" customWidth="1"/>
    <col min="9" max="9" width="19.7109375" style="119" customWidth="1"/>
    <col min="10" max="10" width="16.5703125" style="119" customWidth="1"/>
    <col min="11" max="11" width="19.5703125" style="119" customWidth="1"/>
    <col min="12" max="12" width="18.7109375" style="119" customWidth="1"/>
    <col min="13" max="13" width="17" style="119" customWidth="1"/>
    <col min="14" max="16384" width="14.42578125" style="119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39" t="s">
        <v>20</v>
      </c>
      <c r="I10" s="34">
        <v>1.1599999999999999</v>
      </c>
    </row>
    <row r="11" spans="1:13" ht="32.25" customHeight="1" thickTop="1">
      <c r="A11" s="10"/>
      <c r="B11" s="205" t="s">
        <v>24</v>
      </c>
      <c r="C11" s="145"/>
      <c r="D11" s="113" t="s">
        <v>119</v>
      </c>
      <c r="E11" s="33">
        <f>1.17*1.2*(1+E7+0.2)/(1+E7)</f>
        <v>1.6199999999999999</v>
      </c>
      <c r="G11" s="30" t="s">
        <v>25</v>
      </c>
      <c r="H11" s="112" t="s">
        <v>123</v>
      </c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/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1.2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39"/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 t="s">
        <v>122</v>
      </c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0.62513312338963645</v>
      </c>
      <c r="E24" s="70">
        <f>2+IF(H13="V",0.5,0)+IF(H15="V",-0.12,0)+IF(M20&gt;0,M20,0)</f>
        <v>2</v>
      </c>
      <c r="F24" s="70">
        <f>MIN(1,(D24+IF(H5=1,0.1,0)+IF(H5=2,0.17,0)+IF(H5=3,0.25,0)))</f>
        <v>0.87513312338963645</v>
      </c>
      <c r="G24" s="71">
        <f>E24+IF(H5=1,0.2,0)+IF(H5=2,0.35,0)+IF(H5=3,0.5,0)</f>
        <v>2.5</v>
      </c>
      <c r="H24" s="72">
        <f>1*IF(H6&gt;0,I6,1)*IF(H9="V",I9,1)*IF(H10="V",I10,1)*IF(H13="V",I13,1)*IF(H14="V",I14,1)*IF(H20="v",I20,1)</f>
        <v>1.3919999999999999</v>
      </c>
      <c r="I24" s="70">
        <f>1+IF(H11="V",I11-1,0)+IF(H12="V",I12-1,0)+IF(H17="V",I17-1,0)+IF(H18="V",I18-1,0)+IF(H19="V",I19-1,0)+IF(H21="V",I21-1,0)</f>
        <v>1.196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3.1015820159999992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6.7203206904108548</v>
      </c>
      <c r="L27" s="159">
        <f>F27*K27*M24</f>
        <v>34737682.784652248</v>
      </c>
      <c r="M27" s="160">
        <f>IF(L27&gt;0,L27/L57,0)</f>
        <v>5.0783752828624261E-2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5.0951875670212186</v>
      </c>
      <c r="L31" s="159">
        <f>F31*K31*M24</f>
        <v>42653006.840374336</v>
      </c>
      <c r="M31" s="160">
        <f>IF(L31&gt;0,L31/L57,0)</f>
        <v>6.2355332398170329E-2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6.1142250804254621</v>
      </c>
      <c r="L38" s="159">
        <f>F38*K38*M24</f>
        <v>100158475.94570771</v>
      </c>
      <c r="M38" s="160">
        <f>IF(L38&gt;0,L38/L57,0)</f>
        <v>0.14642379336729405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9.5720444936120455</v>
      </c>
      <c r="L44" s="159">
        <f>F44*K44*M24</f>
        <v>77253898.813797817</v>
      </c>
      <c r="M44" s="160">
        <f>IF(L44&gt;0,L44/L57,0)</f>
        <v>0.11293910784805769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10.190375134042437</v>
      </c>
      <c r="L46" s="159">
        <f>F46*K46*M24</f>
        <v>88179860.312290773</v>
      </c>
      <c r="M46" s="160">
        <f>IF(L46&gt;0,L46/L57,0)</f>
        <v>0.12891200194103039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0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6.1142250804254621</v>
      </c>
      <c r="L48" s="99">
        <f>F48*K48*M24</f>
        <v>93122818.431606278</v>
      </c>
      <c r="M48" s="100">
        <f>IF(L48&gt;0,L48/L57,0)</f>
        <v>0.13613821691137568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5.0951875670212186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12.228450160850924</v>
      </c>
      <c r="L50" s="127">
        <f>F50*K50*M24</f>
        <v>223191184.68010885</v>
      </c>
      <c r="M50" s="129">
        <f>IF(L50&gt;0,L50/L57,0)</f>
        <v>0.32628791121698719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10.190375134042437</v>
      </c>
      <c r="L52" s="137">
        <f>F52*K52*M24</f>
        <v>16586745.922131404</v>
      </c>
      <c r="M52" s="139">
        <f>IF(L52&gt;0,L52/L57,0)</f>
        <v>2.4248514512685709E-2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39.565894646435723</v>
      </c>
      <c r="L54" s="107">
        <f>E54*K54*M24/IF(D11="V",1.15,1)</f>
        <v>8147750.6872667829</v>
      </c>
      <c r="M54" s="108">
        <f>IF(L54&gt;0,L54/L57,0)</f>
        <v>1.1911368975774701E-2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684031424.41793621</v>
      </c>
      <c r="M57" s="110">
        <f>SUM(M27:M54)</f>
        <v>1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38001745.800996453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78" priority="1">
      <formula>$D$11&lt;&gt;"V"</formula>
    </cfRule>
  </conditionalFormatting>
  <conditionalFormatting sqref="J27:J53">
    <cfRule type="expression" dxfId="77" priority="2">
      <formula>$D$11&lt;&gt;"V"</formula>
    </cfRule>
  </conditionalFormatting>
  <conditionalFormatting sqref="H27:I53">
    <cfRule type="expression" dxfId="76" priority="3">
      <formula>$H$6&gt;0</formula>
    </cfRule>
  </conditionalFormatting>
  <conditionalFormatting sqref="H18:H19">
    <cfRule type="expression" dxfId="75" priority="4">
      <formula>$H$17="V"</formula>
    </cfRule>
  </conditionalFormatting>
  <conditionalFormatting sqref="H17 H19">
    <cfRule type="expression" dxfId="74" priority="5">
      <formula>$H$18="V"</formula>
    </cfRule>
  </conditionalFormatting>
  <conditionalFormatting sqref="H17:H18">
    <cfRule type="expression" dxfId="73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19" customWidth="1"/>
    <col min="2" max="2" width="21.140625" style="119" customWidth="1"/>
    <col min="3" max="3" width="24.140625" style="119" customWidth="1"/>
    <col min="4" max="4" width="14.85546875" style="119" customWidth="1"/>
    <col min="5" max="6" width="14.5703125" style="119" customWidth="1"/>
    <col min="7" max="7" width="23" style="119" customWidth="1"/>
    <col min="8" max="8" width="21" style="119" customWidth="1"/>
    <col min="9" max="9" width="19.7109375" style="119" customWidth="1"/>
    <col min="10" max="10" width="16.5703125" style="119" customWidth="1"/>
    <col min="11" max="11" width="19.5703125" style="119" customWidth="1"/>
    <col min="12" max="12" width="18.7109375" style="119" customWidth="1"/>
    <col min="13" max="13" width="17" style="119" customWidth="1"/>
    <col min="14" max="16384" width="14.42578125" style="119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39"/>
      <c r="I10" s="34">
        <v>1.1599999999999999</v>
      </c>
    </row>
    <row r="11" spans="1:13" ht="32.25" customHeight="1" thickTop="1">
      <c r="A11" s="10"/>
      <c r="B11" s="205" t="s">
        <v>24</v>
      </c>
      <c r="C11" s="145"/>
      <c r="D11" s="113" t="s">
        <v>119</v>
      </c>
      <c r="E11" s="33">
        <f>1.17*1.2*(1+E7+0.2)/(1+E7)</f>
        <v>1.6199999999999999</v>
      </c>
      <c r="G11" s="30" t="s">
        <v>25</v>
      </c>
      <c r="H11" s="112" t="s">
        <v>123</v>
      </c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 t="s">
        <v>119</v>
      </c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1.2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39"/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 t="s">
        <v>122</v>
      </c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0.62513312338963645</v>
      </c>
      <c r="E24" s="70">
        <f>2+IF(H13="V",0.5,0)+IF(H15="V",-0.12,0)+IF(M20&gt;0,M20,0)</f>
        <v>2.5</v>
      </c>
      <c r="F24" s="70">
        <f>MIN(1,(D24+IF(H5=1,0.1,0)+IF(H5=2,0.17,0)+IF(H5=3,0.25,0)))</f>
        <v>0.87513312338963645</v>
      </c>
      <c r="G24" s="71">
        <f>E24+IF(H5=1,0.2,0)+IF(H5=2,0.35,0)+IF(H5=3,0.5,0)</f>
        <v>3</v>
      </c>
      <c r="H24" s="72">
        <f>1*IF(H6&gt;0,I6,1)*IF(H9="V",I9,1)*IF(H10="V",I10,1)*IF(H13="V",I13,1)*IF(H14="V",I14,1)*IF(H20="v",I20,1)</f>
        <v>1.1759999999999999</v>
      </c>
      <c r="I24" s="70">
        <f>1+IF(H11="V",I11-1,0)+IF(H12="V",I12-1,0)+IF(H17="V",I17-1,0)+IF(H18="V",I18-1,0)+IF(H19="V",I19-1,0)+IF(H21="V",I21-1,0)</f>
        <v>1.196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2.6203020479999992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7.9969050704460809</v>
      </c>
      <c r="L27" s="159">
        <f>F27*K27*M24</f>
        <v>34922142.022881456</v>
      </c>
      <c r="M27" s="160">
        <f>IF(L27&gt;0,L27/L57,0)</f>
        <v>5.0814249413359984E-2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6.0592053853616266</v>
      </c>
      <c r="L31" s="159">
        <f>F31*K31*M24</f>
        <v>42852211.175023191</v>
      </c>
      <c r="M31" s="160">
        <f>IF(L31&gt;0,L31/L57,0)</f>
        <v>6.2353075167464557E-2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7.2710464624339517</v>
      </c>
      <c r="L38" s="159">
        <f>F38*K38*M24</f>
        <v>100626250.76484008</v>
      </c>
      <c r="M38" s="160">
        <f>IF(L38&gt;0,L38/L57,0)</f>
        <v>0.14641849290188502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11.383090962149398</v>
      </c>
      <c r="L44" s="159">
        <f>F44*K44*M24</f>
        <v>77614701.314072326</v>
      </c>
      <c r="M44" s="160">
        <f>IF(L44&gt;0,L44/L57,0)</f>
        <v>0.11293501951090493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12.118410770723253</v>
      </c>
      <c r="L46" s="159">
        <f>F46*K46*M24</f>
        <v>88591690.842051014</v>
      </c>
      <c r="M46" s="160">
        <f>IF(L46&gt;0,L46/L57,0)</f>
        <v>0.1289073353933923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0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7.2710464624339517</v>
      </c>
      <c r="L48" s="99">
        <f>F48*K48*M24</f>
        <v>93557734.290075943</v>
      </c>
      <c r="M48" s="100">
        <f>IF(L48&gt;0,L48/L57,0)</f>
        <v>0.13613328877850198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6.0592053853616266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14.542092924867903</v>
      </c>
      <c r="L50" s="127">
        <f>F50*K50*M24</f>
        <v>224233564.91862476</v>
      </c>
      <c r="M50" s="129">
        <f>IF(L50&gt;0,L50/L57,0)</f>
        <v>0.32627609976375943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12.118410770723253</v>
      </c>
      <c r="L52" s="137">
        <f>F52*K52*M24</f>
        <v>16664211.778120721</v>
      </c>
      <c r="M52" s="139">
        <f>IF(L52&gt;0,L52/L57,0)</f>
        <v>2.4247636729031574E-2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47.067092756942458</v>
      </c>
      <c r="L54" s="107">
        <f>E54*K54*M24/IF(D11="V",1.15,1)</f>
        <v>8188459.425359874</v>
      </c>
      <c r="M54" s="108">
        <f>IF(L54&gt;0,L54/L57,0)</f>
        <v>1.1914802341700201E-2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687250966.53104937</v>
      </c>
      <c r="M57" s="110">
        <f>SUM(M27:M54)</f>
        <v>1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38180609.251724966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72" priority="1">
      <formula>$D$11&lt;&gt;"V"</formula>
    </cfRule>
  </conditionalFormatting>
  <conditionalFormatting sqref="J27:J53">
    <cfRule type="expression" dxfId="71" priority="2">
      <formula>$D$11&lt;&gt;"V"</formula>
    </cfRule>
  </conditionalFormatting>
  <conditionalFormatting sqref="H27:I53">
    <cfRule type="expression" dxfId="70" priority="3">
      <formula>$H$6&gt;0</formula>
    </cfRule>
  </conditionalFormatting>
  <conditionalFormatting sqref="H18:H19">
    <cfRule type="expression" dxfId="69" priority="4">
      <formula>$H$17="V"</formula>
    </cfRule>
  </conditionalFormatting>
  <conditionalFormatting sqref="H17 H19">
    <cfRule type="expression" dxfId="68" priority="5">
      <formula>$H$18="V"</formula>
    </cfRule>
  </conditionalFormatting>
  <conditionalFormatting sqref="H17:H18">
    <cfRule type="expression" dxfId="67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19" customWidth="1"/>
    <col min="2" max="2" width="21.140625" style="119" customWidth="1"/>
    <col min="3" max="3" width="24.140625" style="119" customWidth="1"/>
    <col min="4" max="4" width="14.85546875" style="119" customWidth="1"/>
    <col min="5" max="6" width="14.5703125" style="119" customWidth="1"/>
    <col min="7" max="7" width="23" style="119" customWidth="1"/>
    <col min="8" max="8" width="21" style="119" customWidth="1"/>
    <col min="9" max="9" width="19.7109375" style="119" customWidth="1"/>
    <col min="10" max="10" width="16.5703125" style="119" customWidth="1"/>
    <col min="11" max="11" width="19.5703125" style="119" customWidth="1"/>
    <col min="12" max="12" width="18.7109375" style="119" customWidth="1"/>
    <col min="13" max="13" width="17" style="119" customWidth="1"/>
    <col min="14" max="16384" width="14.42578125" style="119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111" t="s">
        <v>123</v>
      </c>
      <c r="I10" s="34">
        <v>1.1599999999999999</v>
      </c>
    </row>
    <row r="11" spans="1:13" ht="32.25" customHeight="1" thickTop="1">
      <c r="A11" s="10"/>
      <c r="B11" s="205" t="s">
        <v>24</v>
      </c>
      <c r="C11" s="145"/>
      <c r="D11" s="113" t="s">
        <v>119</v>
      </c>
      <c r="E11" s="33">
        <f>1.17*1.2*(1+E7+0.2)/(1+E7)</f>
        <v>1.6199999999999999</v>
      </c>
      <c r="G11" s="30" t="s">
        <v>25</v>
      </c>
      <c r="H11" s="112"/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 t="s">
        <v>119</v>
      </c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1.1000000000000001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2" t="s">
        <v>123</v>
      </c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0.67513312338963649</v>
      </c>
      <c r="E24" s="70">
        <f>2+IF(H13="V",0.5,0)+IF(H15="V",-0.12,0)+IF(M20&gt;0,M20,0)</f>
        <v>2.5</v>
      </c>
      <c r="F24" s="70">
        <f>MIN(1,(D24+IF(H5=1,0.1,0)+IF(H5=2,0.17,0)+IF(H5=3,0.25,0)))</f>
        <v>0.92513312338963649</v>
      </c>
      <c r="G24" s="71">
        <f>E24+IF(H5=1,0.2,0)+IF(H5=2,0.35,0)+IF(H5=3,0.5,0)</f>
        <v>3</v>
      </c>
      <c r="H24" s="72">
        <f>1*IF(H6&gt;0,I6,1)*IF(H9="V",I9,1)*IF(H10="V",I10,1)*IF(H13="V",I13,1)*IF(H14="V",I14,1)*IF(H20="v",I20,1)</f>
        <v>1.3641599999999998</v>
      </c>
      <c r="I24" s="70">
        <f>1+IF(H11="V",I11-1,0)+IF(H12="V",I12-1,0)+IF(H17="V",I17-1,0)+IF(H18="V",I18-1,0)+IF(H19="V",I19-1,0)+IF(H21="V",I21-1,0)</f>
        <v>1.06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2.6939158847999991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8.2922184816460813</v>
      </c>
      <c r="L27" s="159">
        <f>F27*K27*M24</f>
        <v>37229083.477915399</v>
      </c>
      <c r="M27" s="160">
        <f>IF(L27&gt;0,L27/L57,0)</f>
        <v>5.3557732134347343E-2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6.2795187965616259</v>
      </c>
      <c r="L31" s="159">
        <f>F31*K31*M24</f>
        <v>45657970.405416645</v>
      </c>
      <c r="M31" s="160">
        <f>IF(L31&gt;0,L31/L57,0)</f>
        <v>6.5683522674466518E-2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4841438.8918896001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7.5354225558739509</v>
      </c>
      <c r="L38" s="159">
        <f>F38*K38*M24</f>
        <v>98280214.695931554</v>
      </c>
      <c r="M38" s="160">
        <f>IF(L38&gt;0,L38/L57,0)</f>
        <v>0.14138584464249032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11.796981470949396</v>
      </c>
      <c r="L44" s="159">
        <f>F44*K44*M24</f>
        <v>82696543.269362539</v>
      </c>
      <c r="M44" s="160">
        <f>IF(L44&gt;0,L44/L57,0)</f>
        <v>0.11896718637954992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12.559037593123252</v>
      </c>
      <c r="L46" s="159">
        <f>F46*K46*M24</f>
        <v>94392253.92853947</v>
      </c>
      <c r="M46" s="160">
        <f>IF(L46&gt;0,L46/L57,0)</f>
        <v>0.13579262713950341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0">
        <f>((IF(OR(D48="V",D49="V"),24.98252187,0)*(1+E48)))*((1+E7)*E8)*IF(L16="V",1.8,1)*IF(H16="V",I16,1)</f>
        <v>4501350.7905366002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7.5354225558739509</v>
      </c>
      <c r="L48" s="99">
        <f>F48*K48*M24</f>
        <v>91376496.11910589</v>
      </c>
      <c r="M48" s="100">
        <f>IF(L48&gt;0,L48/L57,0)</f>
        <v>0.13145416017091627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6.2795187965616259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5394283.7669720994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15.070845111747902</v>
      </c>
      <c r="L50" s="127">
        <f>F50*K50*M24</f>
        <v>219005704.12523776</v>
      </c>
      <c r="M50" s="129">
        <f>IF(L50&gt;0,L50/L57,0)</f>
        <v>0.31506144502299177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12.559037593123252</v>
      </c>
      <c r="L52" s="137">
        <f>F52*K52*M24</f>
        <v>17755305.206712462</v>
      </c>
      <c r="M52" s="139">
        <f>IF(L52&gt;0,L52/L57,0)</f>
        <v>2.5542769023276939E-2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48.792092756942459</v>
      </c>
      <c r="L54" s="107">
        <f>E54*K54*M24/IF(D11="V",1.15,1)</f>
        <v>8727039.6394638456</v>
      </c>
      <c r="M54" s="108">
        <f>IF(L54&gt;0,L54/L57,0)</f>
        <v>1.2554712812457543E-2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695120610.86768556</v>
      </c>
      <c r="M57" s="110">
        <f>SUM(M27:M54)</f>
        <v>1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38617811.714871421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66" priority="1">
      <formula>$D$11&lt;&gt;"V"</formula>
    </cfRule>
  </conditionalFormatting>
  <conditionalFormatting sqref="J27:J53">
    <cfRule type="expression" dxfId="65" priority="2">
      <formula>$D$11&lt;&gt;"V"</formula>
    </cfRule>
  </conditionalFormatting>
  <conditionalFormatting sqref="H27:I53">
    <cfRule type="expression" dxfId="64" priority="3">
      <formula>$H$6&gt;0</formula>
    </cfRule>
  </conditionalFormatting>
  <conditionalFormatting sqref="H18:H19">
    <cfRule type="expression" dxfId="63" priority="4">
      <formula>$H$17="V"</formula>
    </cfRule>
  </conditionalFormatting>
  <conditionalFormatting sqref="H17 H19">
    <cfRule type="expression" dxfId="62" priority="5">
      <formula>$H$18="V"</formula>
    </cfRule>
  </conditionalFormatting>
  <conditionalFormatting sqref="H17:H18">
    <cfRule type="expression" dxfId="61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19" customWidth="1"/>
    <col min="2" max="2" width="21.140625" style="119" customWidth="1"/>
    <col min="3" max="3" width="24.140625" style="119" customWidth="1"/>
    <col min="4" max="4" width="14.85546875" style="119" customWidth="1"/>
    <col min="5" max="6" width="14.5703125" style="119" customWidth="1"/>
    <col min="7" max="7" width="23" style="119" customWidth="1"/>
    <col min="8" max="8" width="21" style="119" customWidth="1"/>
    <col min="9" max="9" width="19.7109375" style="119" customWidth="1"/>
    <col min="10" max="10" width="16.5703125" style="119" customWidth="1"/>
    <col min="11" max="11" width="19.5703125" style="119" customWidth="1"/>
    <col min="12" max="12" width="18.7109375" style="119" customWidth="1"/>
    <col min="13" max="13" width="17" style="119" customWidth="1"/>
    <col min="14" max="16384" width="14.42578125" style="119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111" t="s">
        <v>123</v>
      </c>
      <c r="I10" s="34">
        <v>1.1599999999999999</v>
      </c>
    </row>
    <row r="11" spans="1:13" ht="32.25" customHeight="1" thickTop="1">
      <c r="A11" s="10"/>
      <c r="B11" s="205" t="s">
        <v>24</v>
      </c>
      <c r="C11" s="145"/>
      <c r="D11" s="113" t="s">
        <v>119</v>
      </c>
      <c r="E11" s="33">
        <f>1.17*1.2*(1+E7+0.2)/(1+E7)</f>
        <v>1.6199999999999999</v>
      </c>
      <c r="G11" s="30" t="s">
        <v>25</v>
      </c>
      <c r="H11" s="112" t="s">
        <v>123</v>
      </c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/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1.1000000000000001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2" t="s">
        <v>123</v>
      </c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0.67513312338963649</v>
      </c>
      <c r="E24" s="70">
        <f>2+IF(H13="V",0.5,0)+IF(H15="V",-0.12,0)+IF(M20&gt;0,M20,0)</f>
        <v>2</v>
      </c>
      <c r="F24" s="70">
        <f>MIN(1,(D24+IF(H5=1,0.1,0)+IF(H5=2,0.17,0)+IF(H5=3,0.25,0)))</f>
        <v>0.92513312338963649</v>
      </c>
      <c r="G24" s="71">
        <f>E24+IF(H5=1,0.2,0)+IF(H5=2,0.35,0)+IF(H5=3,0.5,0)</f>
        <v>2.5</v>
      </c>
      <c r="H24" s="72">
        <f>1*IF(H6&gt;0,I6,1)*IF(H9="V",I9,1)*IF(H10="V",I10,1)*IF(H13="V",I13,1)*IF(H14="V",I14,1)*IF(H20="v",I20,1)</f>
        <v>1.3919999999999999</v>
      </c>
      <c r="I24" s="70">
        <f>1+IF(H11="V",I11-1,0)+IF(H12="V",I12-1,0)+IF(H17="V",I17-1,0)+IF(H18="V",I18-1,0)+IF(H19="V",I19-1,0)+IF(H21="V",I21-1,0)</f>
        <v>1.22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3.1638211199999993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6.9355557488108559</v>
      </c>
      <c r="L27" s="159">
        <f>F27*K27*M24</f>
        <v>36569646.742091514</v>
      </c>
      <c r="M27" s="160">
        <f>IF(L27&gt;0,L27/L57,0)</f>
        <v>5.3478522886127221E-2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5.2604226254212199</v>
      </c>
      <c r="L31" s="159">
        <f>F31*K31*M24</f>
        <v>44919898.29150413</v>
      </c>
      <c r="M31" s="160">
        <f>IF(L31&gt;0,L31/L57,0)</f>
        <v>6.5689718737691027E-2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4841438.8918896001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6.3125071505054633</v>
      </c>
      <c r="L38" s="159">
        <f>F38*K38*M24</f>
        <v>96691491.299505755</v>
      </c>
      <c r="M38" s="160">
        <f>IF(L38&gt;0,L38/L57,0)</f>
        <v>0.14139918186310188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9.8824623752120466</v>
      </c>
      <c r="L44" s="159">
        <f>F44*K44*M24</f>
        <v>81359733.683607593</v>
      </c>
      <c r="M44" s="160">
        <f>IF(L44&gt;0,L44/L57,0)</f>
        <v>0.11897840880152782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10.52084525084244</v>
      </c>
      <c r="L46" s="159">
        <f>F46*K46*M24</f>
        <v>92866380.35651274</v>
      </c>
      <c r="M46" s="160">
        <f>IF(L46&gt;0,L46/L57,0)</f>
        <v>0.13580543674028181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0">
        <f>((IF(OR(D48="V",D49="V"),24.98252187,0)*(1+E48)))*((1+E7)*E8)*IF(L16="V",1.8,1)*IF(H16="V",I16,1)</f>
        <v>4501350.7905366002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6.3125071505054633</v>
      </c>
      <c r="L48" s="99">
        <f>F48*K48*M24</f>
        <v>89899373.000103951</v>
      </c>
      <c r="M48" s="100">
        <f>IF(L48&gt;0,L48/L57,0)</f>
        <v>0.13146656051508751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5.2604226254212199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5394283.7669720994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12.625014301010927</v>
      </c>
      <c r="L50" s="127">
        <f>F50*K50*M24</f>
        <v>215465424.0477984</v>
      </c>
      <c r="M50" s="129">
        <f>IF(L50&gt;0,L50/L57,0)</f>
        <v>0.31509116542399163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10.52084525084244</v>
      </c>
      <c r="L52" s="137">
        <f>F52*K52*M24</f>
        <v>17468286.411730602</v>
      </c>
      <c r="M52" s="139">
        <f>IF(L52&gt;0,L52/L57,0)</f>
        <v>2.5545178525772438E-2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40.840894646435729</v>
      </c>
      <c r="L54" s="107">
        <f>E54*K54*M24/IF(D11="V",1.15,1)</f>
        <v>8579078.4536855333</v>
      </c>
      <c r="M54" s="108">
        <f>IF(L54&gt;0,L54/L57,0)</f>
        <v>1.2545826506418774E-2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683819312.28654015</v>
      </c>
      <c r="M57" s="110">
        <f>SUM(M27:M54)</f>
        <v>1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37989961.793696672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60" priority="1">
      <formula>$D$11&lt;&gt;"V"</formula>
    </cfRule>
  </conditionalFormatting>
  <conditionalFormatting sqref="J27:J53">
    <cfRule type="expression" dxfId="59" priority="2">
      <formula>$D$11&lt;&gt;"V"</formula>
    </cfRule>
  </conditionalFormatting>
  <conditionalFormatting sqref="H27:I53">
    <cfRule type="expression" dxfId="58" priority="3">
      <formula>$H$6&gt;0</formula>
    </cfRule>
  </conditionalFormatting>
  <conditionalFormatting sqref="H18:H19">
    <cfRule type="expression" dxfId="57" priority="4">
      <formula>$H$17="V"</formula>
    </cfRule>
  </conditionalFormatting>
  <conditionalFormatting sqref="H17 H19">
    <cfRule type="expression" dxfId="56" priority="5">
      <formula>$H$18="V"</formula>
    </cfRule>
  </conditionalFormatting>
  <conditionalFormatting sqref="H17:H18">
    <cfRule type="expression" dxfId="55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19" customWidth="1"/>
    <col min="2" max="2" width="21.140625" style="119" customWidth="1"/>
    <col min="3" max="3" width="24.140625" style="119" customWidth="1"/>
    <col min="4" max="4" width="14.85546875" style="119" customWidth="1"/>
    <col min="5" max="6" width="14.5703125" style="119" customWidth="1"/>
    <col min="7" max="7" width="23" style="119" customWidth="1"/>
    <col min="8" max="8" width="21" style="119" customWidth="1"/>
    <col min="9" max="9" width="19.7109375" style="119" customWidth="1"/>
    <col min="10" max="10" width="16.5703125" style="119" customWidth="1"/>
    <col min="11" max="11" width="19.5703125" style="119" customWidth="1"/>
    <col min="12" max="12" width="18.7109375" style="119" customWidth="1"/>
    <col min="13" max="13" width="17" style="119" customWidth="1"/>
    <col min="14" max="16384" width="14.42578125" style="119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111"/>
      <c r="I10" s="34">
        <v>1.1599999999999999</v>
      </c>
    </row>
    <row r="11" spans="1:13" ht="32.25" customHeight="1" thickTop="1">
      <c r="A11" s="10"/>
      <c r="B11" s="205" t="s">
        <v>24</v>
      </c>
      <c r="C11" s="145"/>
      <c r="D11" s="113" t="s">
        <v>119</v>
      </c>
      <c r="E11" s="33">
        <f>1.17*1.2*(1+E7+0.2)/(1+E7)</f>
        <v>1.6199999999999999</v>
      </c>
      <c r="G11" s="30" t="s">
        <v>25</v>
      </c>
      <c r="H11" s="112" t="s">
        <v>123</v>
      </c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 t="s">
        <v>119</v>
      </c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1.1000000000000001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2" t="s">
        <v>123</v>
      </c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0.67513312338963649</v>
      </c>
      <c r="E24" s="70">
        <f>2+IF(H13="V",0.5,0)+IF(H15="V",-0.12,0)+IF(M20&gt;0,M20,0)</f>
        <v>2.5</v>
      </c>
      <c r="F24" s="70">
        <f>MIN(1,(D24+IF(H5=1,0.1,0)+IF(H5=2,0.17,0)+IF(H5=3,0.25,0)))</f>
        <v>0.92513312338963649</v>
      </c>
      <c r="G24" s="71">
        <f>E24+IF(H5=1,0.2,0)+IF(H5=2,0.35,0)+IF(H5=3,0.5,0)</f>
        <v>3</v>
      </c>
      <c r="H24" s="72">
        <f>1*IF(H6&gt;0,I6,1)*IF(H9="V",I9,1)*IF(H10="V",I10,1)*IF(H13="V",I13,1)*IF(H14="V",I14,1)*IF(H20="v",I20,1)</f>
        <v>1.1759999999999999</v>
      </c>
      <c r="I24" s="70">
        <f>1+IF(H11="V",I11-1,0)+IF(H12="V",I12-1,0)+IF(H17="V",I17-1,0)+IF(H18="V",I18-1,0)+IF(H19="V",I19-1,0)+IF(H21="V",I21-1,0)</f>
        <v>1.22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2.6728833599999997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8.2922184816460813</v>
      </c>
      <c r="L27" s="159">
        <f>F27*K27*M24</f>
        <v>36938420.496955752</v>
      </c>
      <c r="M27" s="160">
        <f>IF(L27&gt;0,L27/L57,0)</f>
        <v>5.3557732134347336E-2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6.2795187965616259</v>
      </c>
      <c r="L31" s="159">
        <f>F31*K31*M24</f>
        <v>45301499.58897879</v>
      </c>
      <c r="M31" s="160">
        <f>IF(L31&gt;0,L31/L57,0)</f>
        <v>6.5683522674466518E-2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4841438.8918896001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7.5354225558739509</v>
      </c>
      <c r="L38" s="159">
        <f>F38*K38*M24</f>
        <v>97512900.072410971</v>
      </c>
      <c r="M38" s="160">
        <f>IF(L38&gt;0,L38/L57,0)</f>
        <v>0.14138584464249032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11.796981470949396</v>
      </c>
      <c r="L44" s="159">
        <f>F44*K44*M24</f>
        <v>82050896.867780015</v>
      </c>
      <c r="M44" s="160">
        <f>IF(L44&gt;0,L44/L57,0)</f>
        <v>0.11896718637954989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12.559037593123252</v>
      </c>
      <c r="L46" s="159">
        <f>F46*K46*M24</f>
        <v>93655294.236189142</v>
      </c>
      <c r="M46" s="160">
        <f>IF(L46&gt;0,L46/L57,0)</f>
        <v>0.13579262713950338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0">
        <f>((IF(OR(D48="V",D49="V"),24.98252187,0)*(1+E48)))*((1+E7)*E8)*IF(L16="V",1.8,1)*IF(H16="V",I16,1)</f>
        <v>4501350.7905366002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7.5354225558739509</v>
      </c>
      <c r="L48" s="99">
        <f>F48*K48*M24</f>
        <v>90663081.705684125</v>
      </c>
      <c r="M48" s="100">
        <f>IF(L48&gt;0,L48/L57,0)</f>
        <v>0.13145416017091624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6.2795187965616259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5394283.7669720994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15.070845111747902</v>
      </c>
      <c r="L50" s="127">
        <f>F50*K50*M24</f>
        <v>217295835.25763676</v>
      </c>
      <c r="M50" s="129">
        <f>IF(L50&gt;0,L50/L57,0)</f>
        <v>0.31506144502299177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12.559037593123252</v>
      </c>
      <c r="L52" s="137">
        <f>F52*K52*M24</f>
        <v>17616682.134181205</v>
      </c>
      <c r="M52" s="139">
        <f>IF(L52&gt;0,L52/L57,0)</f>
        <v>2.5542769023276939E-2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48.792092756942459</v>
      </c>
      <c r="L54" s="107">
        <f>E54*K54*M24/IF(D11="V",1.15,1)</f>
        <v>8658904.0014198888</v>
      </c>
      <c r="M54" s="108">
        <f>IF(L54&gt;0,L54/L57,0)</f>
        <v>1.2554712812457543E-2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689693514.36123669</v>
      </c>
      <c r="M57" s="110">
        <f>SUM(M27:M54)</f>
        <v>1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38316306.353402041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54" priority="1">
      <formula>$D$11&lt;&gt;"V"</formula>
    </cfRule>
  </conditionalFormatting>
  <conditionalFormatting sqref="J27:J53">
    <cfRule type="expression" dxfId="53" priority="2">
      <formula>$D$11&lt;&gt;"V"</formula>
    </cfRule>
  </conditionalFormatting>
  <conditionalFormatting sqref="H27:I53">
    <cfRule type="expression" dxfId="52" priority="3">
      <formula>$H$6&gt;0</formula>
    </cfRule>
  </conditionalFormatting>
  <conditionalFormatting sqref="H18:H19">
    <cfRule type="expression" dxfId="51" priority="4">
      <formula>$H$17="V"</formula>
    </cfRule>
  </conditionalFormatting>
  <conditionalFormatting sqref="H17 H19">
    <cfRule type="expression" dxfId="50" priority="5">
      <formula>$H$18="V"</formula>
    </cfRule>
  </conditionalFormatting>
  <conditionalFormatting sqref="H17:H18">
    <cfRule type="expression" dxfId="49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21" customWidth="1"/>
    <col min="2" max="2" width="21.140625" style="121" customWidth="1"/>
    <col min="3" max="3" width="24.140625" style="121" customWidth="1"/>
    <col min="4" max="4" width="14.85546875" style="121" customWidth="1"/>
    <col min="5" max="6" width="14.5703125" style="121" customWidth="1"/>
    <col min="7" max="7" width="23" style="121" customWidth="1"/>
    <col min="8" max="8" width="21" style="121" customWidth="1"/>
    <col min="9" max="9" width="19.7109375" style="121" customWidth="1"/>
    <col min="10" max="10" width="16.5703125" style="121" customWidth="1"/>
    <col min="11" max="11" width="19.5703125" style="121" customWidth="1"/>
    <col min="12" max="12" width="18.7109375" style="121" customWidth="1"/>
    <col min="13" max="13" width="17" style="121" customWidth="1"/>
    <col min="14" max="16384" width="14.42578125" style="121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111" t="s">
        <v>123</v>
      </c>
      <c r="I10" s="34">
        <v>1.08</v>
      </c>
    </row>
    <row r="11" spans="1:13" ht="32.25" customHeight="1" thickTop="1">
      <c r="A11" s="10"/>
      <c r="B11" s="205" t="s">
        <v>24</v>
      </c>
      <c r="C11" s="145"/>
      <c r="D11" s="113" t="s">
        <v>119</v>
      </c>
      <c r="E11" s="33">
        <f>1.17*1.2*(1+E7+0.2)/(1+E7)</f>
        <v>1.6199999999999999</v>
      </c>
      <c r="G11" s="30" t="s">
        <v>25</v>
      </c>
      <c r="H11" s="112" t="s">
        <v>131</v>
      </c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/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1.2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2" t="s">
        <v>123</v>
      </c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0.67513312338963649</v>
      </c>
      <c r="E24" s="70">
        <f>2+IF(H13="V",0.5,0)+IF(H15="V",-0.12,0)+IF(M20&gt;0,M20,0)</f>
        <v>2</v>
      </c>
      <c r="F24" s="70">
        <f>MIN(1,(D24+IF(H5=1,0.1,0)+IF(H5=2,0.17,0)+IF(H5=3,0.25,0)))</f>
        <v>0.92513312338963649</v>
      </c>
      <c r="G24" s="71">
        <f>E24+IF(H5=1,0.2,0)+IF(H5=2,0.35,0)+IF(H5=3,0.5,0)</f>
        <v>2.5</v>
      </c>
      <c r="H24" s="72">
        <f>1*IF(H6&gt;0,I6,1)*IF(H9="V",I9,1)*IF(H10="V",I10,1)*IF(H13="V",I13,1)*IF(H14="V",I14,1)*IF(H20="v",I20,1)</f>
        <v>1.296</v>
      </c>
      <c r="I24" s="70">
        <f>1+IF(H11="V",I11-1,0)+IF(H12="V",I12-1,0)+IF(H17="V",I17-1,0)+IF(H18="V",I18-1,0)+IF(H19="V",I19-1,0)+IF(H21="V",I21-1,0)</f>
        <v>1.22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2.9456265599999996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6.9355557488108559</v>
      </c>
      <c r="L27" s="159">
        <f>F27*K27*M24</f>
        <v>34047602.139188655</v>
      </c>
      <c r="M27" s="160">
        <f>IF(L27&gt;0,L27/L57,0)</f>
        <v>5.0765096593629967E-2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5.2604226254212199</v>
      </c>
      <c r="L31" s="159">
        <f>F31*K31*M24</f>
        <v>41821974.2714004</v>
      </c>
      <c r="M31" s="160">
        <f>IF(L31&gt;0,L31/L57,0)</f>
        <v>6.2356713255300671E-2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6.3125071505054633</v>
      </c>
      <c r="L38" s="159">
        <f>F38*K38*M24</f>
        <v>98207031.915485486</v>
      </c>
      <c r="M38" s="160">
        <f>IF(L38&gt;0,L38/L57,0)</f>
        <v>0.146427035918193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9.8824623752120466</v>
      </c>
      <c r="L44" s="159">
        <f>F44*K44*M24</f>
        <v>75748717.567496732</v>
      </c>
      <c r="M44" s="160">
        <f>IF(L44&gt;0,L44/L57,0)</f>
        <v>0.11294160888151172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10.52084525084244</v>
      </c>
      <c r="L46" s="159">
        <f>F46*K46*M24</f>
        <v>86461802.400891185</v>
      </c>
      <c r="M46" s="160">
        <f>IF(L46&gt;0,L46/L57,0)</f>
        <v>0.12891485669378722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2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6.3125071505054633</v>
      </c>
      <c r="L48" s="99">
        <f>F48*K48*M24</f>
        <v>91308454.081610262</v>
      </c>
      <c r="M48" s="100">
        <f>IF(L48&gt;0,L48/L57,0)</f>
        <v>0.13614123168846537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5.2604226254212199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12.625014301010927</v>
      </c>
      <c r="L50" s="127">
        <f>F50*K50*M24</f>
        <v>218842625.05168238</v>
      </c>
      <c r="M50" s="129">
        <f>IF(L50&gt;0,L50/L57,0)</f>
        <v>0.32629513685385597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10.52084525084244</v>
      </c>
      <c r="L52" s="137">
        <f>F52*K52*M24</f>
        <v>16263577.004025044</v>
      </c>
      <c r="M52" s="139">
        <f>IF(L52&gt;0,L52/L57,0)</f>
        <v>2.4249051495376314E-2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40.840894646435729</v>
      </c>
      <c r="L54" s="107">
        <f>E54*K54*M24/IF(D11="V",1.15,1)</f>
        <v>7987417.8706727391</v>
      </c>
      <c r="M54" s="108">
        <f>IF(L54&gt;0,L54/L57,0)</f>
        <v>1.1909268619879683E-2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670689202.30245292</v>
      </c>
      <c r="M57" s="110">
        <f>SUM(M27:M54)</f>
        <v>1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37260511.239025161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48" priority="1">
      <formula>$D$11&lt;&gt;"V"</formula>
    </cfRule>
  </conditionalFormatting>
  <conditionalFormatting sqref="J27:J53">
    <cfRule type="expression" dxfId="47" priority="2">
      <formula>$D$11&lt;&gt;"V"</formula>
    </cfRule>
  </conditionalFormatting>
  <conditionalFormatting sqref="H27:I53">
    <cfRule type="expression" dxfId="46" priority="3">
      <formula>$H$6&gt;0</formula>
    </cfRule>
  </conditionalFormatting>
  <conditionalFormatting sqref="H18:H19">
    <cfRule type="expression" dxfId="45" priority="4">
      <formula>$H$17="V"</formula>
    </cfRule>
  </conditionalFormatting>
  <conditionalFormatting sqref="H17 H19">
    <cfRule type="expression" dxfId="44" priority="5">
      <formula>$H$18="V"</formula>
    </cfRule>
  </conditionalFormatting>
  <conditionalFormatting sqref="H17:H18">
    <cfRule type="expression" dxfId="43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E5" sqref="E5:E8"/>
    </sheetView>
  </sheetViews>
  <sheetFormatPr defaultColWidth="14.42578125" defaultRowHeight="15" customHeight="1"/>
  <cols>
    <col min="1" max="1" width="1.28515625" style="121" customWidth="1"/>
    <col min="2" max="2" width="21.140625" style="121" customWidth="1"/>
    <col min="3" max="3" width="24.140625" style="121" customWidth="1"/>
    <col min="4" max="4" width="14.85546875" style="121" customWidth="1"/>
    <col min="5" max="6" width="14.5703125" style="121" customWidth="1"/>
    <col min="7" max="7" width="23" style="121" customWidth="1"/>
    <col min="8" max="8" width="21" style="121" customWidth="1"/>
    <col min="9" max="9" width="19.7109375" style="121" customWidth="1"/>
    <col min="10" max="10" width="16.5703125" style="121" customWidth="1"/>
    <col min="11" max="11" width="19.5703125" style="121" customWidth="1"/>
    <col min="12" max="12" width="18.7109375" style="121" customWidth="1"/>
    <col min="13" max="13" width="17" style="121" customWidth="1"/>
    <col min="14" max="16384" width="14.42578125" style="121"/>
  </cols>
  <sheetData>
    <row r="1" spans="1:13" ht="10.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9.25" customHeight="1" thickTop="1" thickBot="1">
      <c r="A2" s="1"/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3"/>
    </row>
    <row r="3" spans="1:13" ht="30" customHeight="1" thickTop="1" thickBot="1">
      <c r="A3" s="4"/>
      <c r="B3" s="4"/>
      <c r="C3" s="4"/>
      <c r="D3" s="4"/>
      <c r="E3" s="4"/>
      <c r="F3" s="4"/>
      <c r="G3" s="4"/>
      <c r="H3" s="4"/>
      <c r="I3" s="4"/>
      <c r="J3" s="10"/>
      <c r="K3" s="10"/>
      <c r="L3" s="4"/>
      <c r="M3" s="4"/>
    </row>
    <row r="4" spans="1:13" ht="32.25" customHeight="1" thickTop="1" thickBot="1">
      <c r="A4" s="4"/>
      <c r="B4" s="194" t="s">
        <v>1</v>
      </c>
      <c r="C4" s="195"/>
      <c r="D4" s="6" t="s">
        <v>2</v>
      </c>
      <c r="E4" s="7" t="s">
        <v>3</v>
      </c>
      <c r="G4" s="8" t="s">
        <v>4</v>
      </c>
      <c r="H4" s="24" t="s">
        <v>5</v>
      </c>
      <c r="I4" s="7" t="s">
        <v>6</v>
      </c>
      <c r="K4" s="194" t="s">
        <v>7</v>
      </c>
      <c r="L4" s="196"/>
      <c r="M4" s="197"/>
    </row>
    <row r="5" spans="1:13" ht="32.25" customHeight="1">
      <c r="A5" s="10"/>
      <c r="B5" s="179" t="s">
        <v>8</v>
      </c>
      <c r="C5" s="145"/>
      <c r="D5" s="11">
        <f>E5/2794.4</f>
        <v>0.24513312338963641</v>
      </c>
      <c r="E5" s="12">
        <v>685</v>
      </c>
      <c r="G5" s="13" t="s">
        <v>9</v>
      </c>
      <c r="H5" s="14">
        <v>3</v>
      </c>
      <c r="I5" s="15">
        <v>1</v>
      </c>
      <c r="K5" s="16"/>
      <c r="L5" s="198" t="s">
        <v>10</v>
      </c>
      <c r="M5" s="199"/>
    </row>
    <row r="6" spans="1:13" ht="32.25" customHeight="1" thickBot="1">
      <c r="A6" s="10"/>
      <c r="B6" s="180" t="s">
        <v>11</v>
      </c>
      <c r="C6" s="147"/>
      <c r="D6" s="17">
        <f>E6*0.0030758</f>
        <v>5.6840783999999998</v>
      </c>
      <c r="E6" s="18">
        <v>1848</v>
      </c>
      <c r="G6" s="19" t="s">
        <v>12</v>
      </c>
      <c r="H6" s="20"/>
      <c r="I6" s="21">
        <f>MAX(1,IF(H6=1,1.08,0)+IF(H6=2,1.12,0)+IF(H6=3,1.16,0))</f>
        <v>1</v>
      </c>
      <c r="K6" s="200"/>
      <c r="L6" s="202" t="s">
        <v>13</v>
      </c>
      <c r="M6" s="184"/>
    </row>
    <row r="7" spans="1:13" ht="32.25" customHeight="1" thickTop="1" thickBot="1">
      <c r="A7" s="10"/>
      <c r="B7" s="180" t="s">
        <v>14</v>
      </c>
      <c r="C7" s="204"/>
      <c r="D7" s="204"/>
      <c r="E7" s="22">
        <v>0.3</v>
      </c>
      <c r="K7" s="201"/>
      <c r="L7" s="203"/>
      <c r="M7" s="199"/>
    </row>
    <row r="8" spans="1:13" ht="32.25" customHeight="1" thickTop="1" thickBot="1">
      <c r="A8" s="10"/>
      <c r="B8" s="181" t="s">
        <v>15</v>
      </c>
      <c r="C8" s="186"/>
      <c r="D8" s="186"/>
      <c r="E8" s="23">
        <v>50000</v>
      </c>
      <c r="G8" s="8" t="s">
        <v>16</v>
      </c>
      <c r="H8" s="24" t="s">
        <v>17</v>
      </c>
      <c r="I8" s="7" t="s">
        <v>6</v>
      </c>
      <c r="K8" s="182" t="s">
        <v>18</v>
      </c>
      <c r="L8" s="183"/>
      <c r="M8" s="184"/>
    </row>
    <row r="9" spans="1:13" ht="32.25" customHeight="1" thickTop="1" thickBot="1">
      <c r="A9" s="10"/>
      <c r="G9" s="25" t="s">
        <v>19</v>
      </c>
      <c r="H9" s="26" t="s">
        <v>20</v>
      </c>
      <c r="I9" s="27">
        <v>1.2</v>
      </c>
      <c r="K9" s="185" t="s">
        <v>21</v>
      </c>
      <c r="L9" s="186"/>
      <c r="M9" s="134"/>
    </row>
    <row r="10" spans="1:13" ht="32.25" customHeight="1" thickTop="1" thickBot="1">
      <c r="A10" s="10"/>
      <c r="B10" s="194" t="s">
        <v>22</v>
      </c>
      <c r="C10" s="195"/>
      <c r="D10" s="28" t="s">
        <v>17</v>
      </c>
      <c r="E10" s="29" t="s">
        <v>6</v>
      </c>
      <c r="G10" s="30" t="s">
        <v>23</v>
      </c>
      <c r="H10" s="111" t="s">
        <v>123</v>
      </c>
      <c r="I10" s="34">
        <v>1.08</v>
      </c>
    </row>
    <row r="11" spans="1:13" ht="32.25" customHeight="1" thickTop="1">
      <c r="A11" s="10"/>
      <c r="B11" s="205" t="s">
        <v>24</v>
      </c>
      <c r="C11" s="145"/>
      <c r="D11" s="113" t="s">
        <v>119</v>
      </c>
      <c r="E11" s="33">
        <f>1.17*1.2*(1+E7+0.2)/(1+E7)</f>
        <v>1.6199999999999999</v>
      </c>
      <c r="G11" s="30" t="s">
        <v>25</v>
      </c>
      <c r="H11" s="112" t="s">
        <v>131</v>
      </c>
      <c r="I11" s="34">
        <v>1.1599999999999999</v>
      </c>
      <c r="K11" s="187" t="s">
        <v>26</v>
      </c>
      <c r="L11" s="188" t="s">
        <v>27</v>
      </c>
      <c r="M11" s="189" t="s">
        <v>28</v>
      </c>
    </row>
    <row r="12" spans="1:13" ht="32.25" customHeight="1" thickBot="1">
      <c r="A12" s="10"/>
      <c r="B12" s="206" t="s">
        <v>29</v>
      </c>
      <c r="C12" s="147"/>
      <c r="D12" s="111"/>
      <c r="E12" s="40">
        <v>1.32</v>
      </c>
      <c r="G12" s="30" t="s">
        <v>30</v>
      </c>
      <c r="H12" s="39"/>
      <c r="I12" s="34">
        <v>1.18</v>
      </c>
      <c r="K12" s="167"/>
      <c r="L12" s="138"/>
      <c r="M12" s="140"/>
    </row>
    <row r="13" spans="1:13" ht="32.25" customHeight="1">
      <c r="A13" s="10"/>
      <c r="B13" s="206" t="s">
        <v>31</v>
      </c>
      <c r="C13" s="147"/>
      <c r="D13" s="39"/>
      <c r="E13" s="40"/>
      <c r="G13" s="30" t="s">
        <v>32</v>
      </c>
      <c r="H13" s="112" t="s">
        <v>131</v>
      </c>
      <c r="I13" s="34">
        <v>0.98</v>
      </c>
      <c r="K13" s="36" t="s">
        <v>33</v>
      </c>
      <c r="L13" s="37" t="s">
        <v>20</v>
      </c>
      <c r="M13" s="38"/>
    </row>
    <row r="14" spans="1:13" ht="32.25" customHeight="1">
      <c r="A14" s="10"/>
      <c r="B14" s="206" t="s">
        <v>34</v>
      </c>
      <c r="C14" s="147"/>
      <c r="D14" s="39"/>
      <c r="E14" s="40"/>
      <c r="G14" s="30" t="s">
        <v>35</v>
      </c>
      <c r="H14" s="39"/>
      <c r="I14" s="34">
        <v>1.18</v>
      </c>
      <c r="K14" s="41" t="s">
        <v>36</v>
      </c>
      <c r="L14" s="42" t="s">
        <v>20</v>
      </c>
      <c r="M14" s="43"/>
    </row>
    <row r="15" spans="1:13" ht="32.25" customHeight="1">
      <c r="A15" s="10"/>
      <c r="B15" s="207" t="s">
        <v>37</v>
      </c>
      <c r="C15" s="208"/>
      <c r="D15" s="44"/>
      <c r="E15" s="45"/>
      <c r="G15" s="30" t="s">
        <v>38</v>
      </c>
      <c r="H15" s="39"/>
      <c r="I15" s="34">
        <v>1</v>
      </c>
      <c r="K15" s="41" t="s">
        <v>39</v>
      </c>
      <c r="L15" s="42" t="s">
        <v>20</v>
      </c>
      <c r="M15" s="43"/>
    </row>
    <row r="16" spans="1:13" ht="32.25" customHeight="1" thickBot="1">
      <c r="A16" s="10"/>
      <c r="B16" s="209" t="s">
        <v>40</v>
      </c>
      <c r="C16" s="151"/>
      <c r="D16" s="46"/>
      <c r="E16" s="47"/>
      <c r="G16" s="30" t="s">
        <v>41</v>
      </c>
      <c r="H16" s="39" t="s">
        <v>42</v>
      </c>
      <c r="I16" s="34">
        <v>1.2</v>
      </c>
      <c r="K16" s="41" t="s">
        <v>43</v>
      </c>
      <c r="L16" s="42" t="s">
        <v>20</v>
      </c>
      <c r="M16" s="43"/>
    </row>
    <row r="17" spans="1:13" ht="32.25" customHeight="1" thickTop="1" thickBot="1">
      <c r="A17" s="10"/>
      <c r="G17" s="30" t="s">
        <v>44</v>
      </c>
      <c r="H17" s="112"/>
      <c r="I17" s="34">
        <v>1.06</v>
      </c>
      <c r="K17" s="48" t="s">
        <v>45</v>
      </c>
      <c r="L17" s="49" t="s">
        <v>20</v>
      </c>
      <c r="M17" s="50"/>
    </row>
    <row r="18" spans="1:13" ht="32.25" customHeight="1" thickTop="1" thickBot="1">
      <c r="A18" s="10"/>
      <c r="B18" s="194" t="s">
        <v>46</v>
      </c>
      <c r="C18" s="195"/>
      <c r="D18" s="6" t="s">
        <v>17</v>
      </c>
      <c r="E18" s="7" t="s">
        <v>6</v>
      </c>
      <c r="G18" s="30" t="s">
        <v>47</v>
      </c>
      <c r="H18" s="111"/>
      <c r="I18" s="34">
        <v>1.036</v>
      </c>
    </row>
    <row r="19" spans="1:13" ht="32.25" customHeight="1" thickTop="1" thickBot="1">
      <c r="A19" s="10"/>
      <c r="B19" s="179" t="s">
        <v>48</v>
      </c>
      <c r="C19" s="145"/>
      <c r="D19" s="26"/>
      <c r="E19" s="33">
        <v>1</v>
      </c>
      <c r="G19" s="51" t="s">
        <v>49</v>
      </c>
      <c r="H19" s="44"/>
      <c r="I19" s="52">
        <v>1.018</v>
      </c>
      <c r="K19" s="187" t="s">
        <v>50</v>
      </c>
      <c r="L19" s="53" t="s">
        <v>51</v>
      </c>
      <c r="M19" s="54">
        <f>'3레벨'!A3</f>
        <v>0.28000000000000003</v>
      </c>
    </row>
    <row r="20" spans="1:13" ht="32.25" customHeight="1">
      <c r="A20" s="55"/>
      <c r="B20" s="180" t="s">
        <v>52</v>
      </c>
      <c r="C20" s="147"/>
      <c r="D20" s="39"/>
      <c r="E20" s="40">
        <v>1.07</v>
      </c>
      <c r="G20" s="56" t="s">
        <v>53</v>
      </c>
      <c r="H20" s="57"/>
      <c r="I20" s="58">
        <v>1.06</v>
      </c>
      <c r="K20" s="166"/>
      <c r="L20" s="59" t="s">
        <v>54</v>
      </c>
      <c r="M20" s="60"/>
    </row>
    <row r="21" spans="1:13" ht="32.25" customHeight="1" thickBot="1">
      <c r="A21" s="55"/>
      <c r="B21" s="181" t="s">
        <v>55</v>
      </c>
      <c r="C21" s="151"/>
      <c r="D21" s="61" t="s">
        <v>20</v>
      </c>
      <c r="E21" s="62">
        <v>1.1499999999999999</v>
      </c>
      <c r="G21" s="63" t="s">
        <v>56</v>
      </c>
      <c r="H21" s="61"/>
      <c r="I21" s="64">
        <v>1.08</v>
      </c>
      <c r="K21" s="190"/>
      <c r="L21" s="65" t="s">
        <v>57</v>
      </c>
      <c r="M21" s="66"/>
    </row>
    <row r="22" spans="1:13" ht="28.5" customHeight="1" thickTop="1" thickBot="1">
      <c r="A22" s="10"/>
    </row>
    <row r="23" spans="1:13" ht="41.25" customHeight="1" thickTop="1">
      <c r="A23" s="10"/>
      <c r="B23" s="210" t="s">
        <v>58</v>
      </c>
      <c r="C23" s="211"/>
      <c r="D23" s="67" t="s">
        <v>51</v>
      </c>
      <c r="E23" s="67" t="s">
        <v>59</v>
      </c>
      <c r="F23" s="67" t="s">
        <v>60</v>
      </c>
      <c r="G23" s="68" t="s">
        <v>61</v>
      </c>
      <c r="H23" s="69" t="s">
        <v>62</v>
      </c>
      <c r="I23" s="67" t="s">
        <v>63</v>
      </c>
      <c r="J23" s="67" t="s">
        <v>64</v>
      </c>
      <c r="K23" s="67" t="s">
        <v>65</v>
      </c>
      <c r="L23" s="67" t="s">
        <v>66</v>
      </c>
      <c r="M23" s="68" t="s">
        <v>67</v>
      </c>
    </row>
    <row r="24" spans="1:13" ht="41.25" customHeight="1" thickBot="1">
      <c r="A24" s="10"/>
      <c r="B24" s="212" t="s">
        <v>3</v>
      </c>
      <c r="C24" s="151"/>
      <c r="D24" s="70">
        <f>MIN(1,(D5+IF(D12="V",0.28,0)+IF(D16="V",0.18,0)+IF(D19="V",0.07,0)+IF(H15="V",0.2,0)+IF(H17="V",0.15,0)+IF(H18="V",0.1,0)+IF(H19="V",0.05,0)+IF(M19&gt;0,M19,0)))</f>
        <v>0.52513312338963647</v>
      </c>
      <c r="E24" s="70">
        <f>2+IF(H13="V",0.5,0)+IF(H15="V",-0.12,0)+IF(M20&gt;0,M20,0)</f>
        <v>2.5</v>
      </c>
      <c r="F24" s="70">
        <f>MIN(1,(D24+IF(H5=1,0.1,0)+IF(H5=2,0.17,0)+IF(H5=3,0.25,0)))</f>
        <v>0.77513312338963647</v>
      </c>
      <c r="G24" s="71">
        <f>E24+IF(H5=1,0.2,0)+IF(H5=2,0.35,0)+IF(H5=3,0.5,0)</f>
        <v>3</v>
      </c>
      <c r="H24" s="72">
        <f>1*IF(H6&gt;0,I6,1)*IF(H9="V",I9,1)*IF(H10="V",I10,1)*IF(H13="V",I13,1)*IF(H14="V",I14,1)*IF(H20="v",I20,1)</f>
        <v>1.2700800000000001</v>
      </c>
      <c r="I24" s="70">
        <f>1+IF(H11="V",I11-1,0)+IF(H12="V",I12-1,0)+IF(H17="V",I17-1,0)+IF(H18="V",I18-1,0)+IF(H19="V",I19-1,0)+IF(H21="V",I21-1,0)</f>
        <v>1.1599999999999999</v>
      </c>
      <c r="J24" s="70">
        <f>MAX(1,(IF(D20="V",E20,0)+IF(D21="V",E21,0)))</f>
        <v>1.1499999999999999</v>
      </c>
      <c r="K24" s="70">
        <f>1*IF(D11="V",E11,1)*IF(D12="V",E12,1)*IF(D13="V",E13,1)*IF(D14="V",E14,1)*IF(D15="V",E15,1)*IF(D16="V",E16,1)</f>
        <v>1.6199999999999999</v>
      </c>
      <c r="L24" s="70">
        <f>1+IF(M21&gt;0,M21,0)</f>
        <v>1</v>
      </c>
      <c r="M24" s="71">
        <f>1*H24*I24*J24*K24*L24</f>
        <v>2.7447444863999997</v>
      </c>
    </row>
    <row r="25" spans="1:13" ht="7.5" customHeight="1" thickTop="1" thickBot="1">
      <c r="A25" s="10"/>
      <c r="F25" s="73"/>
    </row>
    <row r="26" spans="1:13" ht="58.5" customHeight="1" thickTop="1" thickBot="1">
      <c r="A26" s="10"/>
      <c r="B26" s="213" t="s">
        <v>68</v>
      </c>
      <c r="C26" s="214"/>
      <c r="D26" s="74" t="s">
        <v>69</v>
      </c>
      <c r="E26" s="74" t="s">
        <v>70</v>
      </c>
      <c r="F26" s="77" t="s">
        <v>71</v>
      </c>
      <c r="G26" s="76" t="s">
        <v>72</v>
      </c>
      <c r="H26" s="74" t="s">
        <v>73</v>
      </c>
      <c r="I26" s="74" t="s">
        <v>74</v>
      </c>
      <c r="J26" s="77" t="s">
        <v>75</v>
      </c>
      <c r="K26" s="76" t="s">
        <v>76</v>
      </c>
      <c r="L26" s="74" t="s">
        <v>77</v>
      </c>
      <c r="M26" s="78" t="s">
        <v>78</v>
      </c>
    </row>
    <row r="27" spans="1:13" ht="29.25" customHeight="1">
      <c r="A27" s="10"/>
      <c r="B27" s="165" t="s">
        <v>79</v>
      </c>
      <c r="C27" s="79" t="s">
        <v>80</v>
      </c>
      <c r="D27" s="80"/>
      <c r="E27" s="162">
        <v>0.4</v>
      </c>
      <c r="F27" s="163">
        <f>((IF(D27="V",10.77301498,0)+IF(D28="V",18.31412546,0))*(1+E7)*E8)*(1+E27)</f>
        <v>1666585.4168599998</v>
      </c>
      <c r="G27" s="164">
        <v>1</v>
      </c>
      <c r="H27" s="154"/>
      <c r="I27" s="154">
        <v>1</v>
      </c>
      <c r="J27" s="152"/>
      <c r="K27" s="157">
        <f>(G27*((D24*E24)+(1-D24)))+((H27*(1+((D6+1)*0.08)))*((D24*E24)+(1-D24)))+((I27*(1+((D6+1)*0.18)))*((F24*G24)+(1-F24)))+((J27/E11*1.15)*((D24*E24)+(1-D24)))</f>
        <v>7.40627824804608</v>
      </c>
      <c r="L27" s="159">
        <f>F27*K27*M24</f>
        <v>33878917.302973732</v>
      </c>
      <c r="M27" s="160">
        <f>IF(L27&gt;0,L27/L57,0)</f>
        <v>5.0755498867993798E-2</v>
      </c>
    </row>
    <row r="28" spans="1:13" ht="30" customHeight="1" thickBot="1">
      <c r="A28" s="10"/>
      <c r="B28" s="167"/>
      <c r="C28" s="81" t="s">
        <v>81</v>
      </c>
      <c r="D28" s="96" t="s">
        <v>20</v>
      </c>
      <c r="E28" s="138"/>
      <c r="F28" s="153"/>
      <c r="G28" s="132"/>
      <c r="H28" s="138"/>
      <c r="I28" s="138"/>
      <c r="J28" s="153"/>
      <c r="K28" s="132"/>
      <c r="L28" s="138"/>
      <c r="M28" s="140"/>
    </row>
    <row r="29" spans="1:13" ht="30" hidden="1" customHeight="1">
      <c r="A29" s="10"/>
      <c r="B29" s="165" t="s">
        <v>82</v>
      </c>
      <c r="C29" s="79" t="s">
        <v>83</v>
      </c>
      <c r="D29" s="80"/>
      <c r="E29" s="162"/>
      <c r="F29" s="163">
        <f>((IF(D29="V",7.28755864,0)+IF(D30="V",15.48606211))*(1+E7)*E8)*(1+E29)</f>
        <v>0</v>
      </c>
      <c r="G29" s="164"/>
      <c r="H29" s="154"/>
      <c r="I29" s="154"/>
      <c r="J29" s="152"/>
      <c r="K29" s="157">
        <f>(G29*((D24*E24)+(1-D24)))+((H29*(1+((D6+0.09)*0.1)))*((D24*E24)+(1-D24)))+((I29*(1+((D6+1)*0.18)))*((F24*G24)+(1-F24)))+((J29/E11*1.15)*((D24*E24)+(1-D24)))</f>
        <v>0</v>
      </c>
      <c r="L29" s="159">
        <f>F29*K29*M24</f>
        <v>0</v>
      </c>
      <c r="M29" s="160">
        <f>IF(L29&gt;0,L29/L57,0)</f>
        <v>0</v>
      </c>
    </row>
    <row r="30" spans="1:13" ht="30" hidden="1" customHeight="1">
      <c r="A30" s="10"/>
      <c r="B30" s="167"/>
      <c r="C30" s="81" t="s">
        <v>84</v>
      </c>
      <c r="D30" s="96"/>
      <c r="E30" s="138"/>
      <c r="F30" s="153"/>
      <c r="G30" s="132"/>
      <c r="H30" s="138"/>
      <c r="I30" s="138"/>
      <c r="J30" s="153"/>
      <c r="K30" s="132"/>
      <c r="L30" s="138"/>
      <c r="M30" s="140"/>
    </row>
    <row r="31" spans="1:13" ht="30" customHeight="1">
      <c r="A31" s="10"/>
      <c r="B31" s="165" t="s">
        <v>33</v>
      </c>
      <c r="C31" s="79" t="s">
        <v>85</v>
      </c>
      <c r="D31" s="80"/>
      <c r="E31" s="162">
        <v>0.4</v>
      </c>
      <c r="F31" s="163">
        <f>(((IF(D31="V",15.85507886,0)+IF(D32="V",16.47753751,0)+IF(D33="V",20.55288,0)*IF(H16="V",I16,1)))*(1+E7)*E8)*IF(L13="V",1.8,1)*(E31+1)</f>
        <v>2699020.6441380004</v>
      </c>
      <c r="G31" s="164"/>
      <c r="H31" s="154"/>
      <c r="I31" s="154">
        <v>1</v>
      </c>
      <c r="J31" s="152"/>
      <c r="K31" s="157">
        <f>(G31*((D24*IF(M13="V",E24+2,E24)+(1-D24))))+((H31*(1+((D6+1)*0.09)))*((D24*IF(M13="V",E24+2,E24)+(1-D24))))+((I31*(1+((D6+1)*0.18)))*((F24*IF(M13="V",G24+2,G24)+(1-F24))))+((J31/E11*1.15)*((D24*IF(M13="V",E24+2,E24))+(1-D24)))</f>
        <v>5.6185785629616252</v>
      </c>
      <c r="L31" s="159">
        <f>F31*K31*M24</f>
        <v>41623115.638987221</v>
      </c>
      <c r="M31" s="160">
        <f>IF(L31&gt;0,L31/L57,0)</f>
        <v>6.2357423639141991E-2</v>
      </c>
    </row>
    <row r="32" spans="1:13" ht="30" customHeight="1">
      <c r="A32" s="10"/>
      <c r="B32" s="166"/>
      <c r="C32" s="83" t="s">
        <v>86</v>
      </c>
      <c r="D32" s="84" t="s">
        <v>20</v>
      </c>
      <c r="E32" s="155"/>
      <c r="F32" s="156"/>
      <c r="G32" s="158"/>
      <c r="H32" s="155"/>
      <c r="I32" s="155"/>
      <c r="J32" s="156"/>
      <c r="K32" s="158"/>
      <c r="L32" s="155"/>
      <c r="M32" s="161"/>
    </row>
    <row r="33" spans="1:13" ht="30" customHeight="1" thickBot="1">
      <c r="A33" s="10"/>
      <c r="B33" s="167"/>
      <c r="C33" s="81" t="s">
        <v>87</v>
      </c>
      <c r="D33" s="96"/>
      <c r="E33" s="138"/>
      <c r="F33" s="153"/>
      <c r="G33" s="132"/>
      <c r="H33" s="138"/>
      <c r="I33" s="138"/>
      <c r="J33" s="153"/>
      <c r="K33" s="132"/>
      <c r="L33" s="138"/>
      <c r="M33" s="140"/>
    </row>
    <row r="34" spans="1:13" ht="30" hidden="1" customHeight="1">
      <c r="A34" s="10"/>
      <c r="B34" s="165" t="s">
        <v>88</v>
      </c>
      <c r="C34" s="79" t="s">
        <v>89</v>
      </c>
      <c r="D34" s="80"/>
      <c r="E34" s="162"/>
      <c r="F34" s="163">
        <f>((IF(D34="V",21.42479702,0)+IF(D35="V",22.96478874,0))*(1+E7)*E8)*(E34+1)</f>
        <v>0</v>
      </c>
      <c r="G34" s="164"/>
      <c r="H34" s="154"/>
      <c r="I34" s="154"/>
      <c r="J34" s="152"/>
      <c r="K34" s="157">
        <f>(G34*((D24*E24)+(1-D24)))+((H34*(1+((D6+1)*0.09)))*((D24*E24)+(1-D24)))+((I34*(1+((D6+1)*0.18)))*((F24*G24)+(1-F24)))+((J34/E11*1.15)*((D24*E24)+(1-D24)))</f>
        <v>0</v>
      </c>
      <c r="L34" s="159">
        <f>F34*K34*M24</f>
        <v>0</v>
      </c>
      <c r="M34" s="160">
        <f>IF(L34&gt;0,L34/L57,0)</f>
        <v>0</v>
      </c>
    </row>
    <row r="35" spans="1:13" ht="30" hidden="1" customHeight="1">
      <c r="A35" s="10"/>
      <c r="B35" s="167"/>
      <c r="C35" s="81" t="s">
        <v>90</v>
      </c>
      <c r="D35" s="96"/>
      <c r="E35" s="138"/>
      <c r="F35" s="153"/>
      <c r="G35" s="132"/>
      <c r="H35" s="138"/>
      <c r="I35" s="138"/>
      <c r="J35" s="153"/>
      <c r="K35" s="132"/>
      <c r="L35" s="138"/>
      <c r="M35" s="140"/>
    </row>
    <row r="36" spans="1:13" ht="30" hidden="1" customHeight="1">
      <c r="A36" s="10"/>
      <c r="B36" s="165" t="s">
        <v>91</v>
      </c>
      <c r="C36" s="79" t="s">
        <v>92</v>
      </c>
      <c r="D36" s="80"/>
      <c r="E36" s="162"/>
      <c r="F36" s="163">
        <f>((IF(D36="V",23.07197944,0)+IF(D37="V",10.9791989,0))*(1+E7)*E8)*(E36+1)</f>
        <v>0</v>
      </c>
      <c r="G36" s="164"/>
      <c r="H36" s="154"/>
      <c r="I36" s="154"/>
      <c r="J36" s="152"/>
      <c r="K36" s="157">
        <f>(G36*((D24*E24)+(1-D24)))+((H36*(1+((D6+1)*0.09)))*((D24*E24)+(1-D24)))+((I36*(1+((D6+1)*0.18)))*((F24*G24)+(1-F24)))+((J36/E11*1.15)*((D24*E24)+(1-D24)))</f>
        <v>0</v>
      </c>
      <c r="L36" s="159">
        <f>F36*K36*M24</f>
        <v>0</v>
      </c>
      <c r="M36" s="160">
        <f>IF(L36&gt;0,L36/L57,0)</f>
        <v>0</v>
      </c>
    </row>
    <row r="37" spans="1:13" ht="30" hidden="1" customHeight="1">
      <c r="A37" s="10"/>
      <c r="B37" s="167"/>
      <c r="C37" s="81" t="s">
        <v>93</v>
      </c>
      <c r="D37" s="96"/>
      <c r="E37" s="138"/>
      <c r="F37" s="153"/>
      <c r="G37" s="132"/>
      <c r="H37" s="138"/>
      <c r="I37" s="138"/>
      <c r="J37" s="153"/>
      <c r="K37" s="132"/>
      <c r="L37" s="138"/>
      <c r="M37" s="140"/>
    </row>
    <row r="38" spans="1:13" ht="30" customHeight="1">
      <c r="A38" s="10"/>
      <c r="B38" s="165" t="s">
        <v>36</v>
      </c>
      <c r="C38" s="79" t="s">
        <v>94</v>
      </c>
      <c r="D38" s="80"/>
      <c r="E38" s="162">
        <v>0.4</v>
      </c>
      <c r="F38" s="163">
        <f>(((IF(D38="V",21.89213656,0)/IF(H16="V",I16,1)+IF(D39="V",26.87001272,0)+IF(D40="V",27.56787566,0))*(1+E7)*E8)*IF(L14="V",1.8,1))*(E38+1)*IF(H16="V",I16,1)</f>
        <v>5281569.7002432002</v>
      </c>
      <c r="G38" s="164"/>
      <c r="H38" s="154"/>
      <c r="I38" s="154">
        <v>1</v>
      </c>
      <c r="J38" s="152"/>
      <c r="K38" s="157">
        <f>(G38*((D24*IF(M14="V",E24+2.4,E24)+(1-D24))))+((H38*(1+((D6+1)*0.09)))*((D24*IF(M14="V",E24+2.4,E24)+(1-D24)))*IF(L14="V",1.2,1))+((I38*(1+((D6+1)*0.18)))*((F24*IF(M14="V",G24+2.4,G24)+(1-F24)))*IF(L14="V",1.2,1))+((J38/E11*1.15)*((D24*IF(M14="V",E24+2.4,E24))+(1-D24)))</f>
        <v>6.7422942755539497</v>
      </c>
      <c r="L38" s="159">
        <f>F38*K38*M24</f>
        <v>97740068.879897133</v>
      </c>
      <c r="M38" s="160">
        <f>IF(L38&gt;0,L38/L57,0)</f>
        <v>0.14642870405294253</v>
      </c>
    </row>
    <row r="39" spans="1:13" ht="30" customHeight="1">
      <c r="A39" s="10"/>
      <c r="B39" s="166"/>
      <c r="C39" s="83" t="s">
        <v>95</v>
      </c>
      <c r="D39" s="84" t="s">
        <v>42</v>
      </c>
      <c r="E39" s="155"/>
      <c r="F39" s="156"/>
      <c r="G39" s="158"/>
      <c r="H39" s="155"/>
      <c r="I39" s="155"/>
      <c r="J39" s="156"/>
      <c r="K39" s="158"/>
      <c r="L39" s="155"/>
      <c r="M39" s="161"/>
    </row>
    <row r="40" spans="1:13" ht="30" customHeight="1" thickBot="1">
      <c r="A40" s="10"/>
      <c r="B40" s="167"/>
      <c r="C40" s="81" t="s">
        <v>96</v>
      </c>
      <c r="D40" s="96"/>
      <c r="E40" s="138"/>
      <c r="F40" s="153"/>
      <c r="G40" s="132"/>
      <c r="H40" s="138"/>
      <c r="I40" s="138"/>
      <c r="J40" s="153"/>
      <c r="K40" s="132"/>
      <c r="L40" s="138"/>
      <c r="M40" s="140"/>
    </row>
    <row r="41" spans="1:13" ht="30" hidden="1" customHeight="1">
      <c r="A41" s="10"/>
      <c r="B41" s="165" t="s">
        <v>97</v>
      </c>
      <c r="C41" s="79" t="s">
        <v>98</v>
      </c>
      <c r="D41" s="80"/>
      <c r="E41" s="162"/>
      <c r="F41" s="163">
        <f>((IF(D41="V",25.08772316,0)+IF(D42="V",26.78114447,0))*(1+E7)*E8)*(E41+1)</f>
        <v>0</v>
      </c>
      <c r="G41" s="164"/>
      <c r="H41" s="154"/>
      <c r="I41" s="154"/>
      <c r="J41" s="152"/>
      <c r="K41" s="157">
        <f>(G41*((D24*E24)+(1-D24)))+((H41*(1+((D6+1)*0.09)))*((D24*E24)+(1-D24)))+((I41*(1+((D6+1)*0.18)))*((F24*G24)+(1-F24)))+((J41/E11*1.15)*((D24*E24)+(1-D24)))</f>
        <v>0</v>
      </c>
      <c r="L41" s="159">
        <f>F41*K41*M24</f>
        <v>0</v>
      </c>
      <c r="M41" s="160">
        <f>IF(L41&gt;0,L41/L57,0)</f>
        <v>0</v>
      </c>
    </row>
    <row r="42" spans="1:13" ht="30" hidden="1" customHeight="1">
      <c r="A42" s="10"/>
      <c r="B42" s="167"/>
      <c r="C42" s="81" t="s">
        <v>99</v>
      </c>
      <c r="D42" s="96"/>
      <c r="E42" s="138"/>
      <c r="F42" s="153"/>
      <c r="G42" s="132"/>
      <c r="H42" s="138"/>
      <c r="I42" s="138"/>
      <c r="J42" s="153"/>
      <c r="K42" s="132"/>
      <c r="L42" s="138"/>
      <c r="M42" s="140"/>
    </row>
    <row r="43" spans="1:13" ht="52.5" hidden="1" customHeight="1">
      <c r="A43" s="10"/>
      <c r="B43" s="85" t="s">
        <v>100</v>
      </c>
      <c r="C43" s="86" t="s">
        <v>101</v>
      </c>
      <c r="D43" s="87"/>
      <c r="E43" s="88"/>
      <c r="F43" s="89">
        <f>((IF(D43="V",35.16908832,0))*(1+E7)*E8)*(E43+1)*IF(H16="V",I16,1)</f>
        <v>0</v>
      </c>
      <c r="G43" s="90"/>
      <c r="H43" s="91"/>
      <c r="I43" s="91"/>
      <c r="J43" s="92"/>
      <c r="K43" s="93">
        <f>(G43*((D24*E24)+(1-D24)))+((H43*(1+((D6+1)*0.09)))*((D24*E24)+(1-D24)))+((I43*(1+((D6+1)*0.18)))*((F24*G24)+(1-F24)))+((J43/E11*1.15)*((D24*E24)+(1-D24)))</f>
        <v>0</v>
      </c>
      <c r="L43" s="94">
        <f>F43*K43*M24</f>
        <v>0</v>
      </c>
      <c r="M43" s="95">
        <f>IF(L43&gt;0,L43/L57,0)</f>
        <v>0</v>
      </c>
    </row>
    <row r="44" spans="1:13" ht="30" customHeight="1">
      <c r="A44" s="10"/>
      <c r="B44" s="165" t="s">
        <v>39</v>
      </c>
      <c r="C44" s="79" t="s">
        <v>102</v>
      </c>
      <c r="D44" s="80" t="s">
        <v>42</v>
      </c>
      <c r="E44" s="162">
        <v>0.4</v>
      </c>
      <c r="F44" s="163">
        <f>(((IF(D44="V",17.33034033,0)+IF(D45="V",20.89835158,0))*(1+E7)*E8)*IF(L15="V",1.65,1))*(E44+1)</f>
        <v>2602150.6005494995</v>
      </c>
      <c r="G44" s="164"/>
      <c r="H44" s="154"/>
      <c r="I44" s="154">
        <v>2</v>
      </c>
      <c r="J44" s="152"/>
      <c r="K44" s="157">
        <f>(G44*((D24*IF(M15="V",E24+1.6,E24)+(1-D24))))+(IF(OR(D20="V",D21="V"),(H44*(1+((D6+1)*0.08))),H44))*((D24*IF(M15="V",E24+1.6,E24)+(1-D24)))+(IF(OR(D20="V",D21="V"),(I44*(1+((D6+1)*0.16))),I44))*((F24*IF(M15="V",G24+1.6,G24)+(1-F24)))+((J44/E11*1.15)*((D24*IF(M15="V",E24+1.6,E24))+(1-D24)))</f>
        <v>10.555309944549395</v>
      </c>
      <c r="L44" s="159">
        <f>F44*K44*M24</f>
        <v>75388541.209375232</v>
      </c>
      <c r="M44" s="160">
        <f>IF(L44&gt;0,L44/L57,0)</f>
        <v>0.11294289554159651</v>
      </c>
    </row>
    <row r="45" spans="1:13" ht="30" customHeight="1" thickBot="1">
      <c r="A45" s="10"/>
      <c r="B45" s="167"/>
      <c r="C45" s="81" t="s">
        <v>103</v>
      </c>
      <c r="D45" s="96"/>
      <c r="E45" s="138"/>
      <c r="F45" s="153"/>
      <c r="G45" s="132"/>
      <c r="H45" s="138"/>
      <c r="I45" s="138"/>
      <c r="J45" s="153"/>
      <c r="K45" s="132"/>
      <c r="L45" s="138"/>
      <c r="M45" s="140"/>
    </row>
    <row r="46" spans="1:13" ht="30" customHeight="1">
      <c r="A46" s="10"/>
      <c r="B46" s="165" t="s">
        <v>104</v>
      </c>
      <c r="C46" s="79" t="s">
        <v>105</v>
      </c>
      <c r="D46" s="80" t="s">
        <v>20</v>
      </c>
      <c r="E46" s="162">
        <v>0.4</v>
      </c>
      <c r="F46" s="163">
        <f>((IF(D46="V",30.65875907,0)+IF(D47="V",25.15590488,0))*(1+E7)*E8)*(E46+1)</f>
        <v>2789947.0753699997</v>
      </c>
      <c r="G46" s="164"/>
      <c r="H46" s="154"/>
      <c r="I46" s="154">
        <v>2</v>
      </c>
      <c r="J46" s="152"/>
      <c r="K46" s="157">
        <f>(G46*((D24*E24)+(1-D24)))+((H46*(1+((D6+1)*0.09)))*((D24*E24)+(1-D24)))+((I46*(1+((D6+1)*0.18)))*((F24*G24)+(1-F24)))+((J46/E11*1.15)*((D24*E24)+(1-D24)))</f>
        <v>11.23715712592325</v>
      </c>
      <c r="L46" s="159">
        <f>F46*K46*M24</f>
        <v>86050686.568103313</v>
      </c>
      <c r="M46" s="160">
        <f>IF(L46&gt;0,L46/L57,0)</f>
        <v>0.1289163253252516</v>
      </c>
    </row>
    <row r="47" spans="1:13" ht="30" customHeight="1" thickBot="1">
      <c r="A47" s="10"/>
      <c r="B47" s="167"/>
      <c r="C47" s="81" t="s">
        <v>106</v>
      </c>
      <c r="D47" s="96"/>
      <c r="E47" s="138"/>
      <c r="F47" s="153"/>
      <c r="G47" s="132"/>
      <c r="H47" s="138"/>
      <c r="I47" s="138"/>
      <c r="J47" s="153"/>
      <c r="K47" s="132"/>
      <c r="L47" s="138"/>
      <c r="M47" s="140"/>
    </row>
    <row r="48" spans="1:13" ht="30" customHeight="1">
      <c r="A48" s="10"/>
      <c r="B48" s="165" t="s">
        <v>43</v>
      </c>
      <c r="C48" s="79" t="s">
        <v>107</v>
      </c>
      <c r="D48" s="80" t="s">
        <v>20</v>
      </c>
      <c r="E48" s="162">
        <v>0.4</v>
      </c>
      <c r="F48" s="122">
        <f>((IF(OR(D48="V",D49="V"),24.98252187,0)*(1+E48)))*((1+E7)*E8)*IF(L16="V",1.8,1)*IF(H16="V",I16,1)</f>
        <v>4910564.498767199</v>
      </c>
      <c r="G48" s="164"/>
      <c r="H48" s="168"/>
      <c r="I48" s="154">
        <v>1</v>
      </c>
      <c r="J48" s="152"/>
      <c r="K48" s="98">
        <f>(G48*((D24*IF(M16="V",E24+2.1,E24)+(1-D24))))+((H48*(1+((D6+1)*0.09)))*((D24*IF(M16="V",E24+2.1,E24)+(1-D24)))*IF(L16="V",1.2,1))+((I48*(1+((D6+1)*0.18)))*((F24*IF(M16="V",G24+2.1,G24)+(1-F24)))*IF(L16="V",1.2,1))+((J48/E11*1.15)*((D24*IF(M16="V",E24+2.1,E24))+(1-D24)))</f>
        <v>6.7422942755539497</v>
      </c>
      <c r="L48" s="99">
        <f>F48*K48*M24</f>
        <v>90874292.982743919</v>
      </c>
      <c r="M48" s="100">
        <f>IF(L48&gt;0,L48/L57,0)</f>
        <v>0.13614278264466687</v>
      </c>
    </row>
    <row r="49" spans="1:13" ht="30" customHeight="1" thickBot="1">
      <c r="A49" s="10"/>
      <c r="B49" s="167"/>
      <c r="C49" s="81" t="s">
        <v>108</v>
      </c>
      <c r="D49" s="96"/>
      <c r="E49" s="138"/>
      <c r="F49" s="101">
        <f>IF(D49="V",6.66399952,0)*((1+E7)*E8)</f>
        <v>0</v>
      </c>
      <c r="G49" s="132"/>
      <c r="H49" s="132"/>
      <c r="I49" s="138"/>
      <c r="J49" s="153"/>
      <c r="K49" s="102">
        <f>(G48*((D24*E24)+(1-D24)))+((H48*(1+((D6+1)*0.09)))*((D24*E24)+(1-D24)))+((I48*(1+((D6+1)*0.18)))*((F24*G24)+(1-F24)))+((J49/E11*1.15)*((D24*E24)+(1-D24)))+((J48/E11*1.15)*((D24*E24)+(1-D24)))</f>
        <v>5.6185785629616252</v>
      </c>
      <c r="L49" s="103">
        <f>F49*K49*M24</f>
        <v>0</v>
      </c>
      <c r="M49" s="104">
        <f>IF(L49&gt;0,L49/L57,0)</f>
        <v>0</v>
      </c>
    </row>
    <row r="50" spans="1:13" ht="30" customHeight="1">
      <c r="A50" s="10"/>
      <c r="B50" s="165" t="s">
        <v>45</v>
      </c>
      <c r="C50" s="79" t="s">
        <v>109</v>
      </c>
      <c r="D50" s="80"/>
      <c r="E50" s="162">
        <v>0.4</v>
      </c>
      <c r="F50" s="169">
        <f>((((IF(OR(D50="V",D51="V"),28.36260459,0)+IF(OR(D52="V",D53="V"),32.29555243,0)))*IF(L17="V",1.9,1))*(1+E50))*(1+E7)*E8*IF(H16="V",I16,1)</f>
        <v>5884673.2003331995</v>
      </c>
      <c r="G50" s="164"/>
      <c r="H50" s="154"/>
      <c r="I50" s="154">
        <v>2</v>
      </c>
      <c r="J50" s="152"/>
      <c r="K50" s="177">
        <f>(G50*((D24*IF(M17="V",E24+2.4,E24)+(1-D24))))+((H50*(1+((D6+1)*0.09)))*((D24*IF(M17="V",E24+2.4,E24)+(1-D24)))*IF(L17="V",1.2,1))+((I50*(1+((D6+1)*0.18)))*((F24*IF(M17="V",G24+2.4,G24)+(1-F24)))*IF(L17="V",1.2,1))+((J50/E11*1.15)*((D24*IF(M17="V",E24+2.4,E24))+(1-D24)))</f>
        <v>13.484588551107899</v>
      </c>
      <c r="L50" s="127">
        <f>F50*K50*M24</f>
        <v>217802053.77570492</v>
      </c>
      <c r="M50" s="129">
        <f>IF(L50&gt;0,L50/L57,0)</f>
        <v>0.32629885409263626</v>
      </c>
    </row>
    <row r="51" spans="1:13" ht="30" customHeight="1">
      <c r="A51" s="10"/>
      <c r="B51" s="166"/>
      <c r="C51" s="83" t="s">
        <v>110</v>
      </c>
      <c r="D51" s="84" t="s">
        <v>42</v>
      </c>
      <c r="E51" s="155"/>
      <c r="F51" s="156"/>
      <c r="G51" s="158"/>
      <c r="H51" s="155"/>
      <c r="I51" s="155"/>
      <c r="J51" s="156"/>
      <c r="K51" s="178"/>
      <c r="L51" s="128"/>
      <c r="M51" s="130"/>
    </row>
    <row r="52" spans="1:13" ht="30" customHeight="1">
      <c r="A52" s="10"/>
      <c r="B52" s="166"/>
      <c r="C52" s="83" t="s">
        <v>111</v>
      </c>
      <c r="D52" s="84"/>
      <c r="E52" s="155"/>
      <c r="F52" s="175">
        <f>((IF(D51="V",8.0737332,0))+(IF(D53="V",11.30322668,0)))*(1+E7)*E8</f>
        <v>524792.65799999994</v>
      </c>
      <c r="G52" s="158"/>
      <c r="H52" s="155"/>
      <c r="I52" s="155"/>
      <c r="J52" s="156"/>
      <c r="K52" s="131">
        <f>(G50*((D24*E24)+(1-D24)))+((H50*(1+((D6+1)*0.09)))*((D24*E24)+(1-D24)))+((I50*(1+((D6+1)*0.18)))*((F24*G24)+(1-F24)))+((J50/E11*1.15)*((D24*E24)+(1-D24)))</f>
        <v>11.23715712592325</v>
      </c>
      <c r="L52" s="137">
        <f>F52*K52*M24</f>
        <v>16186245.583461801</v>
      </c>
      <c r="M52" s="139">
        <f>IF(L52&gt;0,L52/L57,0)</f>
        <v>2.4249327746856716E-2</v>
      </c>
    </row>
    <row r="53" spans="1:13" ht="30" customHeight="1" thickBot="1">
      <c r="A53" s="10"/>
      <c r="B53" s="167"/>
      <c r="C53" s="81" t="s">
        <v>112</v>
      </c>
      <c r="D53" s="96"/>
      <c r="E53" s="138"/>
      <c r="F53" s="153"/>
      <c r="G53" s="132"/>
      <c r="H53" s="138"/>
      <c r="I53" s="138"/>
      <c r="J53" s="153"/>
      <c r="K53" s="132"/>
      <c r="L53" s="138"/>
      <c r="M53" s="140"/>
    </row>
    <row r="54" spans="1:13" ht="30" customHeight="1" thickBot="1">
      <c r="A54" s="10"/>
      <c r="B54" s="170" t="s">
        <v>113</v>
      </c>
      <c r="C54" s="171"/>
      <c r="D54" s="105" t="s">
        <v>20</v>
      </c>
      <c r="E54" s="176">
        <f>IF(D54="V",1.17467562,0)*(1+E7)*E8</f>
        <v>76353.915299999993</v>
      </c>
      <c r="F54" s="174"/>
      <c r="G54" s="172">
        <f>L58-IF(H5&gt;0,15,0)</f>
        <v>3</v>
      </c>
      <c r="H54" s="173"/>
      <c r="I54" s="172">
        <f>IF(H5&gt;0,15,0)</f>
        <v>15</v>
      </c>
      <c r="J54" s="174"/>
      <c r="K54" s="106">
        <f>(G54*((D24*E24)+(1-D24)))+((I54*((F24*G24)+(1-F24))))</f>
        <v>43.617092756942455</v>
      </c>
      <c r="L54" s="107">
        <f>E54*K54*M24/IF(D11="V",1.15,1)</f>
        <v>7948626.8185804756</v>
      </c>
      <c r="M54" s="108">
        <f>IF(L54&gt;0,L54/L57,0)</f>
        <v>1.1908188088913772E-2</v>
      </c>
    </row>
    <row r="55" spans="1:13" ht="18" customHeight="1" thickTop="1" thickBot="1">
      <c r="A55" s="10"/>
    </row>
    <row r="56" spans="1:13" ht="41.25" customHeight="1" thickTop="1">
      <c r="A56" s="10"/>
      <c r="B56" s="135" t="s">
        <v>114</v>
      </c>
      <c r="C56" s="136"/>
      <c r="D56" s="136"/>
      <c r="E56" s="136"/>
      <c r="F56" s="136"/>
      <c r="G56" s="136"/>
      <c r="H56" s="136"/>
      <c r="I56" s="136"/>
      <c r="J56" s="141" t="s">
        <v>115</v>
      </c>
      <c r="K56" s="142"/>
      <c r="L56" s="142"/>
      <c r="M56" s="143"/>
    </row>
    <row r="57" spans="1:13" ht="28.5" customHeight="1">
      <c r="A57" s="10"/>
      <c r="B57" s="136"/>
      <c r="C57" s="136"/>
      <c r="D57" s="136"/>
      <c r="E57" s="136"/>
      <c r="F57" s="136"/>
      <c r="G57" s="136"/>
      <c r="H57" s="136"/>
      <c r="I57" s="136"/>
      <c r="J57" s="144" t="s">
        <v>116</v>
      </c>
      <c r="K57" s="145"/>
      <c r="L57" s="109">
        <f>SUM(L27:L54)</f>
        <v>667492548.75982773</v>
      </c>
      <c r="M57" s="110">
        <f>SUM(M27:M54)</f>
        <v>1</v>
      </c>
    </row>
    <row r="58" spans="1:13" ht="30" customHeight="1">
      <c r="A58" s="10"/>
      <c r="B58" s="136"/>
      <c r="C58" s="136"/>
      <c r="D58" s="136"/>
      <c r="E58" s="136"/>
      <c r="F58" s="136"/>
      <c r="G58" s="136"/>
      <c r="H58" s="136"/>
      <c r="I58" s="136"/>
      <c r="J58" s="146" t="s">
        <v>117</v>
      </c>
      <c r="K58" s="147"/>
      <c r="L58" s="148">
        <v>18</v>
      </c>
      <c r="M58" s="149"/>
    </row>
    <row r="59" spans="1:13" ht="30" customHeight="1" thickBot="1">
      <c r="A59" s="10"/>
      <c r="B59" s="136"/>
      <c r="C59" s="136"/>
      <c r="D59" s="136"/>
      <c r="E59" s="136"/>
      <c r="F59" s="136"/>
      <c r="G59" s="136"/>
      <c r="H59" s="136"/>
      <c r="I59" s="136"/>
      <c r="J59" s="150" t="s">
        <v>118</v>
      </c>
      <c r="K59" s="151"/>
      <c r="L59" s="133">
        <f>L57/L58</f>
        <v>37082919.375545986</v>
      </c>
      <c r="M59" s="134"/>
    </row>
    <row r="60" spans="1:13" ht="30" customHeight="1" thickTop="1">
      <c r="A60" s="10"/>
      <c r="D60" s="2"/>
      <c r="E60" s="2"/>
      <c r="F60" s="2"/>
      <c r="G60" s="2"/>
      <c r="H60" s="2"/>
      <c r="I60" s="2"/>
      <c r="J60" s="135"/>
      <c r="K60" s="136"/>
      <c r="L60" s="136"/>
      <c r="M60" s="136"/>
    </row>
  </sheetData>
  <mergeCells count="152">
    <mergeCell ref="L59:M59"/>
    <mergeCell ref="J60:M60"/>
    <mergeCell ref="B54:C54"/>
    <mergeCell ref="E54:F54"/>
    <mergeCell ref="G54:H54"/>
    <mergeCell ref="I54:J54"/>
    <mergeCell ref="B56:I59"/>
    <mergeCell ref="J56:M56"/>
    <mergeCell ref="J57:K57"/>
    <mergeCell ref="J58:K58"/>
    <mergeCell ref="L58:M58"/>
    <mergeCell ref="J59:K59"/>
    <mergeCell ref="M46:M47"/>
    <mergeCell ref="B48:B49"/>
    <mergeCell ref="E48:E49"/>
    <mergeCell ref="G48:G49"/>
    <mergeCell ref="H48:H49"/>
    <mergeCell ref="I48:I49"/>
    <mergeCell ref="J48:J49"/>
    <mergeCell ref="J50:J53"/>
    <mergeCell ref="K50:K51"/>
    <mergeCell ref="L50:L51"/>
    <mergeCell ref="M50:M51"/>
    <mergeCell ref="F52:F53"/>
    <mergeCell ref="K52:K53"/>
    <mergeCell ref="L52:L53"/>
    <mergeCell ref="M52:M53"/>
    <mergeCell ref="B50:B53"/>
    <mergeCell ref="E50:E53"/>
    <mergeCell ref="F50:F51"/>
    <mergeCell ref="G50:G53"/>
    <mergeCell ref="H50:H53"/>
    <mergeCell ref="I50:I53"/>
    <mergeCell ref="B46:B47"/>
    <mergeCell ref="E46:E47"/>
    <mergeCell ref="F46:F47"/>
    <mergeCell ref="G46:G47"/>
    <mergeCell ref="H46:H47"/>
    <mergeCell ref="I46:I47"/>
    <mergeCell ref="J46:J47"/>
    <mergeCell ref="K46:K47"/>
    <mergeCell ref="L46:L47"/>
    <mergeCell ref="M41:M42"/>
    <mergeCell ref="B44:B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M36:M37"/>
    <mergeCell ref="B38:B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B36:B37"/>
    <mergeCell ref="E36:E37"/>
    <mergeCell ref="F36:F37"/>
    <mergeCell ref="G36:G37"/>
    <mergeCell ref="H36:H37"/>
    <mergeCell ref="I36:I37"/>
    <mergeCell ref="J36:J37"/>
    <mergeCell ref="K36:K37"/>
    <mergeCell ref="L36:L37"/>
    <mergeCell ref="M31:M33"/>
    <mergeCell ref="B34:B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B31:B33"/>
    <mergeCell ref="E31:E33"/>
    <mergeCell ref="F31:F33"/>
    <mergeCell ref="G31:G33"/>
    <mergeCell ref="H31:H33"/>
    <mergeCell ref="I31:I33"/>
    <mergeCell ref="J31:J33"/>
    <mergeCell ref="K31:K33"/>
    <mergeCell ref="L31:L33"/>
    <mergeCell ref="J27:J28"/>
    <mergeCell ref="K27:K28"/>
    <mergeCell ref="L27:L28"/>
    <mergeCell ref="M27:M28"/>
    <mergeCell ref="B29:B30"/>
    <mergeCell ref="E29:E30"/>
    <mergeCell ref="F29:F30"/>
    <mergeCell ref="G29:G30"/>
    <mergeCell ref="H29:H30"/>
    <mergeCell ref="I29:I30"/>
    <mergeCell ref="B27:B28"/>
    <mergeCell ref="E27:E28"/>
    <mergeCell ref="F27:F28"/>
    <mergeCell ref="G27:G28"/>
    <mergeCell ref="H27:H28"/>
    <mergeCell ref="I27:I28"/>
    <mergeCell ref="J29:J30"/>
    <mergeCell ref="K29:K30"/>
    <mergeCell ref="L29:L30"/>
    <mergeCell ref="M29:M30"/>
    <mergeCell ref="K19:K21"/>
    <mergeCell ref="B20:C20"/>
    <mergeCell ref="B21:C21"/>
    <mergeCell ref="B23:C23"/>
    <mergeCell ref="B24:C24"/>
    <mergeCell ref="B26:C26"/>
    <mergeCell ref="B13:C13"/>
    <mergeCell ref="B14:C14"/>
    <mergeCell ref="B15:C15"/>
    <mergeCell ref="B16:C16"/>
    <mergeCell ref="B18:C18"/>
    <mergeCell ref="B19:C19"/>
    <mergeCell ref="B8:D8"/>
    <mergeCell ref="K8:M8"/>
    <mergeCell ref="K9:M9"/>
    <mergeCell ref="B10:C10"/>
    <mergeCell ref="B11:C11"/>
    <mergeCell ref="K11:K12"/>
    <mergeCell ref="L11:L12"/>
    <mergeCell ref="M11:M12"/>
    <mergeCell ref="B12:C12"/>
    <mergeCell ref="B2:M2"/>
    <mergeCell ref="B4:C4"/>
    <mergeCell ref="K4:M4"/>
    <mergeCell ref="B5:C5"/>
    <mergeCell ref="L5:M5"/>
    <mergeCell ref="B6:C6"/>
    <mergeCell ref="K6:K7"/>
    <mergeCell ref="L6:M7"/>
    <mergeCell ref="B7:D7"/>
  </mergeCells>
  <phoneticPr fontId="35" type="noConversion"/>
  <conditionalFormatting sqref="J27:J53">
    <cfRule type="expression" dxfId="42" priority="1">
      <formula>$D$11&lt;&gt;"V"</formula>
    </cfRule>
  </conditionalFormatting>
  <conditionalFormatting sqref="J27:J53">
    <cfRule type="expression" dxfId="41" priority="2">
      <formula>$D$11&lt;&gt;"V"</formula>
    </cfRule>
  </conditionalFormatting>
  <conditionalFormatting sqref="H27:I53">
    <cfRule type="expression" dxfId="40" priority="3">
      <formula>$H$6&gt;0</formula>
    </cfRule>
  </conditionalFormatting>
  <conditionalFormatting sqref="H18:H19">
    <cfRule type="expression" dxfId="39" priority="4">
      <formula>$H$17="V"</formula>
    </cfRule>
  </conditionalFormatting>
  <conditionalFormatting sqref="H17 H19">
    <cfRule type="expression" dxfId="38" priority="5">
      <formula>$H$18="V"</formula>
    </cfRule>
  </conditionalFormatting>
  <conditionalFormatting sqref="H17:H18">
    <cfRule type="expression" dxfId="37" priority="6">
      <formula>$H$19="V"</formula>
    </cfRule>
  </conditionalFormatting>
  <hyperlinks>
    <hyperlink ref="K8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3레벨</vt:lpstr>
      <vt:lpstr>타대예둔 아드2</vt:lpstr>
      <vt:lpstr>타대저받 아드2</vt:lpstr>
      <vt:lpstr>저받예둔 아드2</vt:lpstr>
      <vt:lpstr>타대예둔 속속2</vt:lpstr>
      <vt:lpstr>타대저받 속속2</vt:lpstr>
      <vt:lpstr>저받예둔 속속2</vt:lpstr>
      <vt:lpstr>저받아드 타대2</vt:lpstr>
      <vt:lpstr>저받예둔 타대2</vt:lpstr>
      <vt:lpstr>예둔아드 타대2</vt:lpstr>
      <vt:lpstr>타대예둔 저받2</vt:lpstr>
      <vt:lpstr>타대아드 저받2</vt:lpstr>
      <vt:lpstr>예둔아드 저받2</vt:lpstr>
      <vt:lpstr>333331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2022-11-10T01:11:22Z</dcterms:modified>
</cp:coreProperties>
</file>