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8_{87C528C6-2067-46CC-902E-42AF991584C8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시간표" sheetId="1" r:id="rId1"/>
    <sheet name="데이터" sheetId="3" r:id="rId2"/>
    <sheet name="숙제경험치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27" i="3"/>
  <c r="M27" i="3" s="1"/>
  <c r="G32" i="3"/>
  <c r="M34" i="3" l="1"/>
  <c r="M25" i="3"/>
  <c r="M32" i="3"/>
  <c r="M31" i="3"/>
  <c r="M38" i="3"/>
  <c r="M30" i="3"/>
  <c r="M26" i="3"/>
  <c r="M24" i="3"/>
  <c r="M39" i="3"/>
  <c r="M37" i="3"/>
  <c r="M29" i="3"/>
  <c r="M35" i="3"/>
  <c r="M33" i="3"/>
  <c r="M36" i="3"/>
  <c r="M28" i="3"/>
  <c r="D33" i="3"/>
  <c r="J41" i="3"/>
  <c r="K41" i="3" s="1"/>
  <c r="J42" i="3"/>
  <c r="K42" i="3" s="1"/>
  <c r="G38" i="3"/>
  <c r="O25" i="3" s="1"/>
  <c r="N25" i="3"/>
  <c r="L25" i="3"/>
  <c r="C30" i="3"/>
  <c r="D30" i="3" s="1"/>
  <c r="C31" i="3"/>
  <c r="D31" i="3" s="1"/>
  <c r="C14" i="1"/>
  <c r="C24" i="3"/>
  <c r="D24" i="3" s="1"/>
  <c r="C25" i="3"/>
  <c r="D25" i="3" s="1"/>
  <c r="C26" i="3"/>
  <c r="D26" i="3" s="1"/>
  <c r="C27" i="3"/>
  <c r="D27" i="3" s="1"/>
  <c r="C28" i="3"/>
  <c r="D28" i="3" s="1"/>
  <c r="C29" i="3"/>
  <c r="D29" i="3" s="1"/>
  <c r="C23" i="3"/>
  <c r="D23" i="3" s="1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4" i="3"/>
  <c r="N19" i="3"/>
  <c r="N18" i="3"/>
  <c r="N17" i="3"/>
  <c r="N15" i="3"/>
  <c r="N16" i="3" s="1"/>
  <c r="N14" i="3"/>
  <c r="N12" i="3"/>
  <c r="N13" i="3" s="1"/>
  <c r="N10" i="3"/>
  <c r="N11" i="3" s="1"/>
  <c r="N7" i="3"/>
  <c r="N8" i="3" s="1"/>
  <c r="N9" i="3" s="1"/>
  <c r="N4" i="3"/>
  <c r="N5" i="3" s="1"/>
  <c r="N6" i="3" s="1"/>
  <c r="M15" i="3"/>
  <c r="M16" i="3" s="1"/>
  <c r="M17" i="3" s="1"/>
  <c r="M18" i="3" s="1"/>
  <c r="M19" i="3" s="1"/>
  <c r="M14" i="3"/>
  <c r="M12" i="3"/>
  <c r="M13" i="3" s="1"/>
  <c r="M10" i="3"/>
  <c r="M11" i="3" s="1"/>
  <c r="M7" i="3"/>
  <c r="M8" i="3" s="1"/>
  <c r="M9" i="3" s="1"/>
  <c r="M5" i="3"/>
  <c r="M6" i="3" s="1"/>
  <c r="M4" i="3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4" i="3"/>
  <c r="K5" i="3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4" i="3"/>
  <c r="L28" i="3" l="1"/>
  <c r="O28" i="3"/>
  <c r="O26" i="3"/>
  <c r="O39" i="3"/>
  <c r="O36" i="3"/>
  <c r="O34" i="3"/>
  <c r="O32" i="3"/>
  <c r="O24" i="3"/>
  <c r="O31" i="3"/>
  <c r="N24" i="3"/>
  <c r="L31" i="3"/>
  <c r="N39" i="3"/>
  <c r="N31" i="3"/>
  <c r="L24" i="3"/>
  <c r="L32" i="3"/>
  <c r="N32" i="3"/>
  <c r="L39" i="3"/>
  <c r="L38" i="3"/>
  <c r="L30" i="3"/>
  <c r="N38" i="3"/>
  <c r="N30" i="3"/>
  <c r="O38" i="3"/>
  <c r="O30" i="3"/>
  <c r="L37" i="3"/>
  <c r="L29" i="3"/>
  <c r="N37" i="3"/>
  <c r="N29" i="3"/>
  <c r="O37" i="3"/>
  <c r="O29" i="3"/>
  <c r="L36" i="3"/>
  <c r="N36" i="3"/>
  <c r="N28" i="3"/>
  <c r="L35" i="3"/>
  <c r="L27" i="3"/>
  <c r="N35" i="3"/>
  <c r="N27" i="3"/>
  <c r="O35" i="3"/>
  <c r="O27" i="3"/>
  <c r="L34" i="3"/>
  <c r="L26" i="3"/>
  <c r="N34" i="3"/>
  <c r="N26" i="3"/>
  <c r="L33" i="3"/>
  <c r="N33" i="3"/>
  <c r="O33" i="3"/>
  <c r="C26" i="1"/>
  <c r="D35" i="3" s="1"/>
  <c r="K32" i="3" l="1"/>
  <c r="P32" i="3" s="1"/>
  <c r="J11" i="1" s="1"/>
  <c r="K34" i="3"/>
  <c r="P34" i="3" s="1"/>
  <c r="J13" i="1" s="1"/>
  <c r="K27" i="3"/>
  <c r="P27" i="3" s="1"/>
  <c r="J6" i="1" s="1"/>
  <c r="K35" i="3"/>
  <c r="P35" i="3" s="1"/>
  <c r="J14" i="1" s="1"/>
  <c r="K28" i="3"/>
  <c r="P28" i="3" s="1"/>
  <c r="J7" i="1" s="1"/>
  <c r="K36" i="3"/>
  <c r="P36" i="3" s="1"/>
  <c r="J15" i="1" s="1"/>
  <c r="K29" i="3"/>
  <c r="P29" i="3" s="1"/>
  <c r="J8" i="1" s="1"/>
  <c r="K37" i="3"/>
  <c r="P37" i="3" s="1"/>
  <c r="J16" i="1" s="1"/>
  <c r="K30" i="3"/>
  <c r="P30" i="3" s="1"/>
  <c r="J9" i="1" s="1"/>
  <c r="K38" i="3"/>
  <c r="P38" i="3" s="1"/>
  <c r="J17" i="1" s="1"/>
  <c r="K31" i="3"/>
  <c r="P31" i="3" s="1"/>
  <c r="J10" i="1" s="1"/>
  <c r="K39" i="3"/>
  <c r="P39" i="3" s="1"/>
  <c r="J18" i="1" s="1"/>
  <c r="K24" i="3"/>
  <c r="P24" i="3" s="1"/>
  <c r="J3" i="1" s="1"/>
  <c r="K25" i="3"/>
  <c r="P25" i="3" s="1"/>
  <c r="J4" i="1" s="1"/>
  <c r="K33" i="3"/>
  <c r="P33" i="3" s="1"/>
  <c r="J12" i="1" s="1"/>
  <c r="K26" i="3"/>
  <c r="P26" i="3" s="1"/>
  <c r="J5" i="1" s="1"/>
  <c r="K6" i="1" l="1"/>
  <c r="K14" i="1"/>
  <c r="K16" i="1"/>
  <c r="K9" i="1"/>
  <c r="K18" i="1"/>
  <c r="K11" i="1"/>
  <c r="K12" i="1"/>
  <c r="K13" i="1"/>
  <c r="K7" i="1"/>
  <c r="K15" i="1"/>
  <c r="K8" i="1"/>
  <c r="K17" i="1"/>
  <c r="K10" i="1"/>
  <c r="K3" i="1"/>
  <c r="K4" i="1"/>
  <c r="K5" i="1"/>
  <c r="L10" i="1" l="1"/>
  <c r="L18" i="1"/>
  <c r="G21" i="1"/>
  <c r="G24" i="1" s="1"/>
  <c r="L17" i="1"/>
  <c r="L9" i="1"/>
  <c r="L8" i="1"/>
  <c r="L16" i="1"/>
  <c r="L15" i="1"/>
  <c r="L14" i="1"/>
  <c r="L7" i="1"/>
  <c r="L6" i="1"/>
  <c r="L5" i="1"/>
  <c r="L13" i="1"/>
  <c r="L4" i="1"/>
  <c r="L12" i="1"/>
  <c r="L3" i="1"/>
  <c r="L11" i="1"/>
</calcChain>
</file>

<file path=xl/sharedStrings.xml><?xml version="1.0" encoding="utf-8"?>
<sst xmlns="http://schemas.openxmlformats.org/spreadsheetml/2006/main" count="151" uniqueCount="106">
  <si>
    <t>from</t>
    <phoneticPr fontId="6" type="noConversion"/>
  </si>
  <si>
    <t>to</t>
    <phoneticPr fontId="6" type="noConversion"/>
  </si>
  <si>
    <t>exp</t>
    <phoneticPr fontId="6" type="noConversion"/>
  </si>
  <si>
    <t>Lv</t>
    <phoneticPr fontId="6" type="noConversion"/>
  </si>
  <si>
    <t>수요</t>
    <phoneticPr fontId="6" type="noConversion"/>
  </si>
  <si>
    <t>총 요구량</t>
    <phoneticPr fontId="6" type="noConversion"/>
  </si>
  <si>
    <t>사냥터 분류</t>
    <phoneticPr fontId="6" type="noConversion"/>
  </si>
  <si>
    <t>몹 경험치</t>
    <phoneticPr fontId="6" type="noConversion"/>
  </si>
  <si>
    <t>소멸의 여로</t>
    <phoneticPr fontId="6" type="noConversion"/>
  </si>
  <si>
    <t>츄츄 아일랜드</t>
    <phoneticPr fontId="6" type="noConversion"/>
  </si>
  <si>
    <t>레헬른</t>
    <phoneticPr fontId="6" type="noConversion"/>
  </si>
  <si>
    <t>아르카나</t>
    <phoneticPr fontId="6" type="noConversion"/>
  </si>
  <si>
    <t>모라스</t>
    <phoneticPr fontId="6" type="noConversion"/>
  </si>
  <si>
    <t>셀라스</t>
    <phoneticPr fontId="6" type="noConversion"/>
  </si>
  <si>
    <t>에스페라</t>
    <phoneticPr fontId="6" type="noConversion"/>
  </si>
  <si>
    <t>기준 몬스터</t>
    <phoneticPr fontId="6" type="noConversion"/>
  </si>
  <si>
    <t>슬픔의 에르다스</t>
    <phoneticPr fontId="6" type="noConversion"/>
  </si>
  <si>
    <t>화염의 에르다스</t>
    <phoneticPr fontId="6" type="noConversion"/>
  </si>
  <si>
    <t>안식의 에르다스</t>
    <phoneticPr fontId="6" type="noConversion"/>
  </si>
  <si>
    <t>사냥터</t>
    <phoneticPr fontId="6" type="noConversion"/>
  </si>
  <si>
    <t>큰뿔 파인디어</t>
    <phoneticPr fontId="6" type="noConversion"/>
  </si>
  <si>
    <t>그린 캣피쉬</t>
    <phoneticPr fontId="6" type="noConversion"/>
  </si>
  <si>
    <t>대장 라이터틀</t>
    <phoneticPr fontId="6" type="noConversion"/>
  </si>
  <si>
    <t>종이봉투 뒷골목주민</t>
    <phoneticPr fontId="6" type="noConversion"/>
  </si>
  <si>
    <t>성난 무도회주민</t>
    <phoneticPr fontId="6" type="noConversion"/>
  </si>
  <si>
    <t>클리너</t>
    <phoneticPr fontId="6" type="noConversion"/>
  </si>
  <si>
    <t>물의 정령</t>
    <phoneticPr fontId="6" type="noConversion"/>
  </si>
  <si>
    <t>흙의 정령</t>
    <phoneticPr fontId="6" type="noConversion"/>
  </si>
  <si>
    <t>맹독의 정령</t>
    <phoneticPr fontId="6" type="noConversion"/>
  </si>
  <si>
    <t>절망의 정령</t>
    <phoneticPr fontId="6" type="noConversion"/>
  </si>
  <si>
    <t>실험의 부산물 A</t>
    <phoneticPr fontId="6" type="noConversion"/>
  </si>
  <si>
    <t>아라냐</t>
    <phoneticPr fontId="6" type="noConversion"/>
  </si>
  <si>
    <t>히아데스</t>
    <phoneticPr fontId="6" type="noConversion"/>
  </si>
  <si>
    <t>일퀘</t>
    <phoneticPr fontId="6" type="noConversion"/>
  </si>
  <si>
    <t>지역 분류</t>
    <phoneticPr fontId="6" type="noConversion"/>
  </si>
  <si>
    <t>문브릿지</t>
    <phoneticPr fontId="6" type="noConversion"/>
  </si>
  <si>
    <t>누적 일일경험치</t>
    <phoneticPr fontId="6" type="noConversion"/>
  </si>
  <si>
    <t>지역</t>
    <phoneticPr fontId="6" type="noConversion"/>
  </si>
  <si>
    <t>주간퀘</t>
    <phoneticPr fontId="6" type="noConversion"/>
  </si>
  <si>
    <t>주간퀘(스킵 x)</t>
    <phoneticPr fontId="6" type="noConversion"/>
  </si>
  <si>
    <t>주간퀘(스킵 o)</t>
    <phoneticPr fontId="6" type="noConversion"/>
  </si>
  <si>
    <t>몬파 (1회당)</t>
    <phoneticPr fontId="6" type="noConversion"/>
  </si>
  <si>
    <t>일일경험치</t>
    <phoneticPr fontId="6" type="noConversion"/>
  </si>
  <si>
    <t>쿠폰</t>
    <phoneticPr fontId="6" type="noConversion"/>
  </si>
  <si>
    <t>몬스터파크</t>
    <phoneticPr fontId="6" type="noConversion"/>
  </si>
  <si>
    <t>쿠폰 (1개당)</t>
    <phoneticPr fontId="6" type="noConversion"/>
  </si>
  <si>
    <t>사냥</t>
    <phoneticPr fontId="6" type="noConversion"/>
  </si>
  <si>
    <t>하루당 사냥시간 (시간)</t>
    <phoneticPr fontId="6" type="noConversion"/>
  </si>
  <si>
    <t>시간당 마릿수</t>
    <phoneticPr fontId="6" type="noConversion"/>
  </si>
  <si>
    <t>경험치 쿠폰</t>
    <phoneticPr fontId="6" type="noConversion"/>
  </si>
  <si>
    <t>경험치 뿌리기</t>
    <phoneticPr fontId="6" type="noConversion"/>
  </si>
  <si>
    <t>값</t>
    <phoneticPr fontId="6" type="noConversion"/>
  </si>
  <si>
    <t>홀리심볼 (%)</t>
    <phoneticPr fontId="6" type="noConversion"/>
  </si>
  <si>
    <t>경험 축적의 비약</t>
    <phoneticPr fontId="6" type="noConversion"/>
  </si>
  <si>
    <t>익스트림 골드</t>
    <phoneticPr fontId="6" type="noConversion"/>
  </si>
  <si>
    <t>혈맹의 반지</t>
    <phoneticPr fontId="6" type="noConversion"/>
  </si>
  <si>
    <t>Eternal Flame</t>
    <phoneticPr fontId="6" type="noConversion"/>
  </si>
  <si>
    <t>유니온 경험치 (%)</t>
    <phoneticPr fontId="6" type="noConversion"/>
  </si>
  <si>
    <t>도핑 (수치)</t>
    <phoneticPr fontId="6" type="noConversion"/>
  </si>
  <si>
    <t>도핑 (선택)</t>
    <phoneticPr fontId="6" type="noConversion"/>
  </si>
  <si>
    <t>엘프의 축복</t>
    <phoneticPr fontId="6" type="noConversion"/>
  </si>
  <si>
    <t>하이퍼 스텟 (%)</t>
    <phoneticPr fontId="6" type="noConversion"/>
  </si>
  <si>
    <t>마약버프 (%)</t>
    <phoneticPr fontId="6" type="noConversion"/>
  </si>
  <si>
    <t>총계</t>
    <phoneticPr fontId="6" type="noConversion"/>
  </si>
  <si>
    <t>함</t>
  </si>
  <si>
    <t>함</t>
    <phoneticPr fontId="6" type="noConversion"/>
  </si>
  <si>
    <t>안함 ㅅㄱ</t>
    <phoneticPr fontId="6" type="noConversion"/>
  </si>
  <si>
    <t>도핑 범주</t>
    <phoneticPr fontId="6" type="noConversion"/>
  </si>
  <si>
    <t>도핑값</t>
    <phoneticPr fontId="6" type="noConversion"/>
  </si>
  <si>
    <t>value</t>
    <phoneticPr fontId="6" type="noConversion"/>
  </si>
  <si>
    <t>총계 (%)</t>
    <phoneticPr fontId="6" type="noConversion"/>
  </si>
  <si>
    <t>제로 (%)</t>
    <phoneticPr fontId="6" type="noConversion"/>
  </si>
  <si>
    <t>쓸래</t>
  </si>
  <si>
    <t>쓸래</t>
    <phoneticPr fontId="6" type="noConversion"/>
  </si>
  <si>
    <t>할거임?</t>
    <phoneticPr fontId="6" type="noConversion"/>
  </si>
  <si>
    <t>정령의 펜던트 (%)</t>
    <phoneticPr fontId="6" type="noConversion"/>
  </si>
  <si>
    <t>럭키 다이스</t>
    <phoneticPr fontId="6" type="noConversion"/>
  </si>
  <si>
    <t>버닝 없음. 시골섭은 몰?루</t>
    <phoneticPr fontId="6" type="noConversion"/>
  </si>
  <si>
    <t>프리미엄 PC방</t>
    <phoneticPr fontId="6" type="noConversion"/>
  </si>
  <si>
    <t>룬 기대 증가량 (%)</t>
    <phoneticPr fontId="6" type="noConversion"/>
  </si>
  <si>
    <t>마릿수 추정치</t>
    <phoneticPr fontId="6" type="noConversion"/>
  </si>
  <si>
    <t>숙제</t>
    <phoneticPr fontId="6" type="noConversion"/>
  </si>
  <si>
    <t>일퀘 범주</t>
    <phoneticPr fontId="6" type="noConversion"/>
  </si>
  <si>
    <t>주간퀘 범주</t>
    <phoneticPr fontId="6" type="noConversion"/>
  </si>
  <si>
    <t>함 (스킵 x)</t>
  </si>
  <si>
    <t>함 (스킵 x)</t>
    <phoneticPr fontId="6" type="noConversion"/>
  </si>
  <si>
    <t>함 (스킵 o)</t>
    <phoneticPr fontId="6" type="noConversion"/>
  </si>
  <si>
    <t>몬파 범주</t>
    <phoneticPr fontId="6" type="noConversion"/>
  </si>
  <si>
    <t>매일 2판</t>
    <phoneticPr fontId="6" type="noConversion"/>
  </si>
  <si>
    <t>매일 7판</t>
    <phoneticPr fontId="6" type="noConversion"/>
  </si>
  <si>
    <t>일요일만 7판</t>
    <phoneticPr fontId="6" type="noConversion"/>
  </si>
  <si>
    <t>어떻게 할거임?</t>
    <phoneticPr fontId="6" type="noConversion"/>
  </si>
  <si>
    <t>기대 소요일</t>
    <phoneticPr fontId="6" type="noConversion"/>
  </si>
  <si>
    <t>이벤트</t>
    <phoneticPr fontId="6" type="noConversion"/>
  </si>
  <si>
    <t>exp 쿠폰</t>
    <phoneticPr fontId="6" type="noConversion"/>
  </si>
  <si>
    <t>이벤트 범주</t>
    <phoneticPr fontId="6" type="noConversion"/>
  </si>
  <si>
    <t>기대 경험치 (하루)</t>
    <phoneticPr fontId="6" type="noConversion"/>
  </si>
  <si>
    <t>From</t>
    <phoneticPr fontId="6" type="noConversion"/>
  </si>
  <si>
    <t>To</t>
    <phoneticPr fontId="6" type="noConversion"/>
  </si>
  <si>
    <t>기대 소요일 (누적)</t>
    <phoneticPr fontId="6" type="noConversion"/>
  </si>
  <si>
    <t>비중 (%)</t>
    <phoneticPr fontId="6" type="noConversion"/>
  </si>
  <si>
    <t>현재 내 레벨</t>
    <phoneticPr fontId="6" type="noConversion"/>
  </si>
  <si>
    <t>며칠남음?</t>
    <phoneticPr fontId="6" type="noConversion"/>
  </si>
  <si>
    <t>현재 내 경험치(%)</t>
    <phoneticPr fontId="6" type="noConversion"/>
  </si>
  <si>
    <t>도달률(%)</t>
    <phoneticPr fontId="6" type="noConversion"/>
  </si>
  <si>
    <t>매일 2판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</si>
</sst>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scheme val="minor"/>
    </font>
    <font>
      <b/>
      <sz val="2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</cellStyleXfs>
  <cellXfs count="87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0" fontId="0" fillId="0" borderId="0" xfId="0" applyAlignment="1"/>
    <xf numFmtId="0" fontId="0" fillId="0" borderId="0" xfId="0" applyFill="1" applyBorder="1"/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/>
    <xf numFmtId="3" fontId="0" fillId="0" borderId="0" xfId="1" applyNumberFormat="1" applyFont="1" applyBorder="1" applyAlignment="1">
      <alignment horizontal="right"/>
    </xf>
    <xf numFmtId="3" fontId="0" fillId="0" borderId="0" xfId="0" applyNumberFormat="1" applyBorder="1"/>
    <xf numFmtId="0" fontId="0" fillId="0" borderId="7" xfId="0" applyBorder="1" applyAlignment="1">
      <alignment vertical="center"/>
    </xf>
    <xf numFmtId="3" fontId="0" fillId="0" borderId="8" xfId="0" applyNumberFormat="1" applyBorder="1"/>
    <xf numFmtId="3" fontId="0" fillId="0" borderId="8" xfId="1" applyNumberFormat="1" applyFont="1" applyBorder="1" applyAlignment="1">
      <alignment horizontal="right"/>
    </xf>
    <xf numFmtId="0" fontId="0" fillId="0" borderId="0" xfId="0" applyProtection="1"/>
    <xf numFmtId="3" fontId="0" fillId="0" borderId="0" xfId="0" applyNumberFormat="1" applyProtection="1"/>
    <xf numFmtId="0" fontId="0" fillId="0" borderId="2" xfId="0" applyBorder="1"/>
    <xf numFmtId="0" fontId="0" fillId="0" borderId="4" xfId="0" applyBorder="1"/>
    <xf numFmtId="0" fontId="2" fillId="2" borderId="6" xfId="2" applyBorder="1" applyAlignment="1" applyProtection="1">
      <protection locked="0"/>
    </xf>
    <xf numFmtId="3" fontId="2" fillId="2" borderId="9" xfId="2" applyNumberFormat="1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Fill="1" applyBorder="1"/>
    <xf numFmtId="0" fontId="0" fillId="0" borderId="3" xfId="0" applyBorder="1"/>
    <xf numFmtId="0" fontId="3" fillId="3" borderId="6" xfId="3" applyBorder="1" applyAlignment="1"/>
    <xf numFmtId="0" fontId="0" fillId="0" borderId="4" xfId="0" applyFill="1" applyBorder="1"/>
    <xf numFmtId="0" fontId="4" fillId="4" borderId="2" xfId="4" applyBorder="1" applyAlignment="1"/>
    <xf numFmtId="0" fontId="4" fillId="4" borderId="4" xfId="4" applyBorder="1" applyAlignment="1"/>
    <xf numFmtId="0" fontId="4" fillId="4" borderId="5" xfId="4" applyBorder="1" applyAlignment="1"/>
    <xf numFmtId="0" fontId="4" fillId="4" borderId="6" xfId="4" applyBorder="1" applyAlignment="1"/>
    <xf numFmtId="0" fontId="4" fillId="4" borderId="7" xfId="4" applyBorder="1" applyAlignment="1"/>
    <xf numFmtId="0" fontId="4" fillId="4" borderId="9" xfId="4" applyBorder="1" applyAlignment="1"/>
    <xf numFmtId="0" fontId="4" fillId="4" borderId="2" xfId="4" applyBorder="1" applyAlignment="1" applyProtection="1">
      <protection hidden="1"/>
    </xf>
    <xf numFmtId="0" fontId="4" fillId="4" borderId="3" xfId="4" applyBorder="1" applyAlignment="1"/>
    <xf numFmtId="0" fontId="4" fillId="4" borderId="5" xfId="4" applyBorder="1" applyAlignment="1" applyProtection="1">
      <protection hidden="1"/>
    </xf>
    <xf numFmtId="0" fontId="4" fillId="4" borderId="0" xfId="4" applyBorder="1" applyAlignment="1"/>
    <xf numFmtId="0" fontId="4" fillId="4" borderId="8" xfId="4" applyBorder="1" applyAlignment="1"/>
    <xf numFmtId="0" fontId="4" fillId="4" borderId="13" xfId="4" applyBorder="1" applyAlignment="1"/>
    <xf numFmtId="0" fontId="0" fillId="0" borderId="6" xfId="0" applyFill="1" applyBorder="1"/>
    <xf numFmtId="0" fontId="7" fillId="0" borderId="2" xfId="0" applyFont="1" applyBorder="1"/>
    <xf numFmtId="0" fontId="7" fillId="0" borderId="7" xfId="0" applyFont="1" applyBorder="1"/>
    <xf numFmtId="2" fontId="5" fillId="5" borderId="1" xfId="5" applyNumberFormat="1" applyBorder="1" applyAlignment="1"/>
    <xf numFmtId="2" fontId="5" fillId="5" borderId="15" xfId="5" applyNumberFormat="1" applyBorder="1" applyAlignment="1"/>
    <xf numFmtId="2" fontId="5" fillId="5" borderId="16" xfId="5" applyNumberFormat="1" applyBorder="1" applyAlignment="1"/>
    <xf numFmtId="2" fontId="5" fillId="5" borderId="17" xfId="5" applyNumberFormat="1" applyBorder="1" applyAlignment="1"/>
    <xf numFmtId="3" fontId="0" fillId="0" borderId="4" xfId="0" applyNumberFormat="1" applyFill="1" applyBorder="1"/>
    <xf numFmtId="0" fontId="2" fillId="2" borderId="9" xfId="2" applyBorder="1" applyAlignment="1" applyProtection="1">
      <protection locked="0"/>
    </xf>
    <xf numFmtId="0" fontId="2" fillId="2" borderId="4" xfId="2" applyBorder="1" applyAlignment="1" applyProtection="1"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23" xfId="0" applyNumberFormat="1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4" fillId="4" borderId="12" xfId="4" applyBorder="1" applyAlignment="1">
      <alignment horizontal="left"/>
    </xf>
    <xf numFmtId="0" fontId="4" fillId="4" borderId="14" xfId="4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6">
    <cellStyle name="나쁨" xfId="3" builtinId="27"/>
    <cellStyle name="보통" xfId="4" builtinId="28"/>
    <cellStyle name="쉼표 [0]" xfId="1" builtinId="6"/>
    <cellStyle name="좋음" xfId="2" builtinId="26"/>
    <cellStyle name="출력" xfId="5" builtinId="2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tabSelected="1" workbookViewId="0">
      <selection activeCell="F14" sqref="F14"/>
    </sheetView>
  </sheetViews>
  <sheetFormatPr defaultRowHeight="17" x14ac:dyDescent="0.45"/>
  <cols>
    <col min="2" max="2" width="24.58203125" customWidth="1"/>
    <col min="5" max="5" width="15.83203125" customWidth="1"/>
    <col min="6" max="6" width="13.6640625" customWidth="1"/>
    <col min="9" max="9" width="8.6640625" customWidth="1"/>
    <col min="10" max="10" width="13.58203125" customWidth="1"/>
    <col min="11" max="11" width="16" customWidth="1"/>
    <col min="12" max="12" width="14.6640625" customWidth="1"/>
  </cols>
  <sheetData>
    <row r="1" spans="2:12" ht="17.5" thickBot="1" x14ac:dyDescent="0.5"/>
    <row r="2" spans="2:12" x14ac:dyDescent="0.45">
      <c r="B2" s="20" t="s">
        <v>46</v>
      </c>
      <c r="C2" s="21" t="s">
        <v>51</v>
      </c>
      <c r="E2" s="20" t="s">
        <v>81</v>
      </c>
      <c r="F2" s="30" t="s">
        <v>91</v>
      </c>
      <c r="H2" s="20" t="s">
        <v>97</v>
      </c>
      <c r="I2" s="28" t="s">
        <v>98</v>
      </c>
      <c r="J2" s="28" t="s">
        <v>92</v>
      </c>
      <c r="K2" s="28" t="s">
        <v>99</v>
      </c>
      <c r="L2" s="21" t="s">
        <v>100</v>
      </c>
    </row>
    <row r="3" spans="2:12" x14ac:dyDescent="0.45">
      <c r="B3" s="1" t="s">
        <v>47</v>
      </c>
      <c r="C3" s="22">
        <v>6</v>
      </c>
      <c r="E3" s="1" t="s">
        <v>33</v>
      </c>
      <c r="F3" s="22" t="s">
        <v>64</v>
      </c>
      <c r="H3" s="1">
        <v>202</v>
      </c>
      <c r="I3" s="2">
        <v>205</v>
      </c>
      <c r="J3" s="46">
        <f>데이터!D4/데이터!P24</f>
        <v>5.9656067531044292E-2</v>
      </c>
      <c r="K3" s="46">
        <f>SUM($J$3:J3)</f>
        <v>5.9656067531044292E-2</v>
      </c>
      <c r="L3" s="47">
        <f>K3/$K$18*100</f>
        <v>0.60840592108734504</v>
      </c>
    </row>
    <row r="4" spans="2:12" ht="17.5" thickBot="1" x14ac:dyDescent="0.5">
      <c r="B4" s="5" t="s">
        <v>48</v>
      </c>
      <c r="C4" s="23">
        <v>12000</v>
      </c>
      <c r="E4" s="1" t="s">
        <v>38</v>
      </c>
      <c r="F4" s="22" t="s">
        <v>84</v>
      </c>
      <c r="H4" s="1">
        <v>205</v>
      </c>
      <c r="I4" s="2">
        <v>208</v>
      </c>
      <c r="J4" s="46">
        <f>데이터!D5/데이터!P25</f>
        <v>7.7574444694194222E-2</v>
      </c>
      <c r="K4" s="46">
        <f>SUM($J$3:J4)</f>
        <v>0.13723051222523852</v>
      </c>
      <c r="L4" s="47">
        <f t="shared" ref="L4:L18" si="0">K4/$K$18*100</f>
        <v>1.3995534678553236</v>
      </c>
    </row>
    <row r="5" spans="2:12" ht="17.5" thickBot="1" x14ac:dyDescent="0.5">
      <c r="E5" s="5" t="s">
        <v>44</v>
      </c>
      <c r="F5" s="51" t="s">
        <v>105</v>
      </c>
      <c r="H5" s="1">
        <v>208</v>
      </c>
      <c r="I5" s="2">
        <v>211</v>
      </c>
      <c r="J5" s="46">
        <f>데이터!D6/데이터!P26</f>
        <v>0.10124829740676616</v>
      </c>
      <c r="K5" s="46">
        <f>SUM($J$3:J5)</f>
        <v>0.23847880963200468</v>
      </c>
      <c r="L5" s="47">
        <f t="shared" si="0"/>
        <v>2.4321401969459244</v>
      </c>
    </row>
    <row r="6" spans="2:12" ht="17.5" thickBot="1" x14ac:dyDescent="0.5">
      <c r="B6" s="20" t="s">
        <v>58</v>
      </c>
      <c r="C6" s="21" t="s">
        <v>51</v>
      </c>
      <c r="H6" s="1">
        <v>211</v>
      </c>
      <c r="I6" s="2">
        <v>214</v>
      </c>
      <c r="J6" s="46">
        <f>데이터!D7/데이터!P27</f>
        <v>9.4946529353061554E-2</v>
      </c>
      <c r="K6" s="46">
        <f>SUM($J$3:J6)</f>
        <v>0.33342533898506621</v>
      </c>
      <c r="L6" s="47">
        <f t="shared" si="0"/>
        <v>3.4004579730889009</v>
      </c>
    </row>
    <row r="7" spans="2:12" x14ac:dyDescent="0.45">
      <c r="B7" s="1" t="s">
        <v>52</v>
      </c>
      <c r="C7" s="22">
        <v>23</v>
      </c>
      <c r="E7" s="20" t="s">
        <v>93</v>
      </c>
      <c r="F7" s="21" t="s">
        <v>91</v>
      </c>
      <c r="H7" s="1">
        <v>214</v>
      </c>
      <c r="I7" s="2">
        <v>217</v>
      </c>
      <c r="J7" s="46">
        <f>데이터!D8/데이터!P28</f>
        <v>0.12154538484601854</v>
      </c>
      <c r="K7" s="46">
        <f>SUM($J$3:J7)</f>
        <v>0.45497072383108472</v>
      </c>
      <c r="L7" s="47">
        <f t="shared" si="0"/>
        <v>4.6400457448218537</v>
      </c>
    </row>
    <row r="8" spans="2:12" ht="17.5" thickBot="1" x14ac:dyDescent="0.5">
      <c r="B8" s="1" t="s">
        <v>57</v>
      </c>
      <c r="C8" s="22">
        <v>10</v>
      </c>
      <c r="E8" s="5" t="s">
        <v>94</v>
      </c>
      <c r="F8" s="51" t="s">
        <v>72</v>
      </c>
      <c r="H8" s="1">
        <v>217</v>
      </c>
      <c r="I8" s="2">
        <v>220</v>
      </c>
      <c r="J8" s="46">
        <f>데이터!D9/데이터!P29</f>
        <v>0.17977141830503562</v>
      </c>
      <c r="K8" s="46">
        <f>SUM($J$3:J8)</f>
        <v>0.63474214213612035</v>
      </c>
      <c r="L8" s="47">
        <f t="shared" si="0"/>
        <v>6.4734551508665401</v>
      </c>
    </row>
    <row r="9" spans="2:12" ht="17.5" thickBot="1" x14ac:dyDescent="0.5">
      <c r="B9" s="1" t="s">
        <v>61</v>
      </c>
      <c r="C9" s="22">
        <v>5</v>
      </c>
      <c r="H9" s="1">
        <v>220</v>
      </c>
      <c r="I9" s="2">
        <v>223</v>
      </c>
      <c r="J9" s="46">
        <f>데이터!D10/데이터!P30</f>
        <v>0.24682285328642251</v>
      </c>
      <c r="K9" s="46">
        <f>SUM($J$3:J9)</f>
        <v>0.88156499542254285</v>
      </c>
      <c r="L9" s="47">
        <f t="shared" si="0"/>
        <v>8.9906925688540174</v>
      </c>
    </row>
    <row r="10" spans="2:12" x14ac:dyDescent="0.45">
      <c r="B10" s="1" t="s">
        <v>62</v>
      </c>
      <c r="C10" s="22">
        <v>5</v>
      </c>
      <c r="E10" s="44" t="s">
        <v>101</v>
      </c>
      <c r="F10" s="52">
        <v>241</v>
      </c>
      <c r="H10" s="1">
        <v>223</v>
      </c>
      <c r="I10" s="2">
        <v>226</v>
      </c>
      <c r="J10" s="46">
        <f>데이터!D11/데이터!P31</f>
        <v>0.28511416333251544</v>
      </c>
      <c r="K10" s="46">
        <f>SUM($J$3:J10)</f>
        <v>1.1666791587550582</v>
      </c>
      <c r="L10" s="47">
        <f t="shared" si="0"/>
        <v>11.898446169392599</v>
      </c>
    </row>
    <row r="11" spans="2:12" ht="17.5" thickBot="1" x14ac:dyDescent="0.5">
      <c r="B11" s="27" t="s">
        <v>71</v>
      </c>
      <c r="C11" s="22">
        <v>8</v>
      </c>
      <c r="E11" s="45" t="s">
        <v>103</v>
      </c>
      <c r="F11" s="51">
        <v>25</v>
      </c>
      <c r="H11" s="1">
        <v>226</v>
      </c>
      <c r="I11" s="2">
        <v>229</v>
      </c>
      <c r="J11" s="46">
        <f>데이터!D12/데이터!P32</f>
        <v>0.4063102859472002</v>
      </c>
      <c r="K11" s="46">
        <f>SUM($J$3:J11)</f>
        <v>1.5729894447022583</v>
      </c>
      <c r="L11" s="47">
        <f t="shared" si="0"/>
        <v>16.042225570210931</v>
      </c>
    </row>
    <row r="12" spans="2:12" x14ac:dyDescent="0.45">
      <c r="B12" s="27" t="s">
        <v>75</v>
      </c>
      <c r="C12" s="22">
        <v>30</v>
      </c>
      <c r="H12" s="1">
        <v>229</v>
      </c>
      <c r="I12" s="2">
        <v>232</v>
      </c>
      <c r="J12" s="46">
        <f>데이터!D13/데이터!P33</f>
        <v>0.42205152997748069</v>
      </c>
      <c r="K12" s="46">
        <f>SUM($J$3:J12)</f>
        <v>1.9950409746797391</v>
      </c>
      <c r="L12" s="47">
        <f t="shared" si="0"/>
        <v>20.346542976125225</v>
      </c>
    </row>
    <row r="13" spans="2:12" x14ac:dyDescent="0.45">
      <c r="B13" s="27" t="s">
        <v>77</v>
      </c>
      <c r="C13" s="29">
        <v>0</v>
      </c>
      <c r="H13" s="1">
        <v>232</v>
      </c>
      <c r="I13" s="2">
        <v>235</v>
      </c>
      <c r="J13" s="46">
        <f>데이터!D14/데이터!P34</f>
        <v>0.67483546297014441</v>
      </c>
      <c r="K13" s="46">
        <f>SUM($J$3:J13)</f>
        <v>2.6698764376498834</v>
      </c>
      <c r="L13" s="47">
        <f t="shared" si="0"/>
        <v>27.228892222781447</v>
      </c>
    </row>
    <row r="14" spans="2:12" ht="17.5" thickBot="1" x14ac:dyDescent="0.5">
      <c r="B14" s="25" t="s">
        <v>70</v>
      </c>
      <c r="C14" s="26">
        <f>SUM(C7:C13)</f>
        <v>81</v>
      </c>
      <c r="H14" s="1">
        <v>235</v>
      </c>
      <c r="I14" s="2">
        <v>238</v>
      </c>
      <c r="J14" s="46">
        <f>데이터!D15/데이터!P35</f>
        <v>0.91878630733344124</v>
      </c>
      <c r="K14" s="46">
        <f>SUM($J$3:J14)</f>
        <v>3.5886627449833246</v>
      </c>
      <c r="L14" s="47">
        <f t="shared" si="0"/>
        <v>36.599188535134736</v>
      </c>
    </row>
    <row r="15" spans="2:12" ht="17.5" thickBot="1" x14ac:dyDescent="0.5">
      <c r="H15" s="1">
        <v>238</v>
      </c>
      <c r="I15" s="2">
        <v>241</v>
      </c>
      <c r="J15" s="46">
        <f>데이터!D16/데이터!P36</f>
        <v>0.95822252713324074</v>
      </c>
      <c r="K15" s="46">
        <f>SUM($J$3:J15)</f>
        <v>4.5468852721165653</v>
      </c>
      <c r="L15" s="47">
        <f t="shared" si="0"/>
        <v>46.371677459647955</v>
      </c>
    </row>
    <row r="16" spans="2:12" x14ac:dyDescent="0.45">
      <c r="B16" s="20" t="s">
        <v>59</v>
      </c>
      <c r="C16" s="21" t="s">
        <v>74</v>
      </c>
      <c r="H16" s="1">
        <v>241</v>
      </c>
      <c r="I16" s="2">
        <v>244</v>
      </c>
      <c r="J16" s="46">
        <f>데이터!D17/데이터!P37</f>
        <v>1.5258854649082105</v>
      </c>
      <c r="K16" s="46">
        <f>SUM($J$3:J16)</f>
        <v>6.0727707370247757</v>
      </c>
      <c r="L16" s="47">
        <f t="shared" si="0"/>
        <v>61.933510315428549</v>
      </c>
    </row>
    <row r="17" spans="2:12" x14ac:dyDescent="0.45">
      <c r="B17" s="1" t="s">
        <v>49</v>
      </c>
      <c r="C17" s="22" t="s">
        <v>72</v>
      </c>
      <c r="G17" s="2"/>
      <c r="H17" s="1">
        <v>244</v>
      </c>
      <c r="I17" s="2">
        <v>247</v>
      </c>
      <c r="J17" s="46">
        <f>데이터!D18/데이터!P38</f>
        <v>1.5954800259441282</v>
      </c>
      <c r="K17" s="46">
        <f>SUM($J$3:J17)</f>
        <v>7.6682507629689036</v>
      </c>
      <c r="L17" s="47">
        <f t="shared" si="0"/>
        <v>78.205107404121293</v>
      </c>
    </row>
    <row r="18" spans="2:12" ht="17.5" thickBot="1" x14ac:dyDescent="0.5">
      <c r="B18" s="1" t="s">
        <v>50</v>
      </c>
      <c r="C18" s="22" t="s">
        <v>72</v>
      </c>
      <c r="H18" s="5">
        <v>247</v>
      </c>
      <c r="I18" s="6">
        <v>250</v>
      </c>
      <c r="J18" s="48">
        <f>데이터!D19/데이터!P39</f>
        <v>2.1370560993355863</v>
      </c>
      <c r="K18" s="48">
        <f>SUM($J$3:J18)</f>
        <v>9.8053068623044908</v>
      </c>
      <c r="L18" s="49">
        <f t="shared" si="0"/>
        <v>100</v>
      </c>
    </row>
    <row r="19" spans="2:12" x14ac:dyDescent="0.45">
      <c r="B19" s="1" t="s">
        <v>53</v>
      </c>
      <c r="C19" s="22" t="s">
        <v>72</v>
      </c>
      <c r="H19" s="8"/>
      <c r="I19" s="8"/>
    </row>
    <row r="20" spans="2:12" ht="17.5" thickBot="1" x14ac:dyDescent="0.5">
      <c r="B20" s="1" t="s">
        <v>54</v>
      </c>
      <c r="C20" s="22" t="s">
        <v>72</v>
      </c>
    </row>
    <row r="21" spans="2:12" x14ac:dyDescent="0.45">
      <c r="B21" s="1" t="s">
        <v>55</v>
      </c>
      <c r="C21" s="22" t="s">
        <v>72</v>
      </c>
      <c r="E21" s="53" t="s">
        <v>102</v>
      </c>
      <c r="F21" s="54"/>
      <c r="G21" s="59">
        <f>K18-IF(데이터!J41=0,0,INDEX(K3:K18,데이터!J41)*데이터!J42)-INDEX(K3:K18,데이터!K41)*데이터!K42</f>
        <v>4.8769502239608729</v>
      </c>
      <c r="H21" s="60"/>
      <c r="I21" s="61"/>
    </row>
    <row r="22" spans="2:12" x14ac:dyDescent="0.45">
      <c r="B22" s="1" t="s">
        <v>56</v>
      </c>
      <c r="C22" s="22" t="s">
        <v>72</v>
      </c>
      <c r="E22" s="55"/>
      <c r="F22" s="56"/>
      <c r="G22" s="62"/>
      <c r="H22" s="63"/>
      <c r="I22" s="64"/>
    </row>
    <row r="23" spans="2:12" ht="17.5" thickBot="1" x14ac:dyDescent="0.5">
      <c r="B23" s="1" t="s">
        <v>60</v>
      </c>
      <c r="C23" s="22" t="s">
        <v>72</v>
      </c>
      <c r="E23" s="57"/>
      <c r="F23" s="58"/>
      <c r="G23" s="65"/>
      <c r="H23" s="66"/>
      <c r="I23" s="67"/>
    </row>
    <row r="24" spans="2:12" x14ac:dyDescent="0.45">
      <c r="B24" s="27" t="s">
        <v>76</v>
      </c>
      <c r="C24" s="22" t="s">
        <v>72</v>
      </c>
      <c r="E24" s="68" t="s">
        <v>104</v>
      </c>
      <c r="F24" s="69"/>
      <c r="G24" s="70">
        <f>(1-G21/K18)*100</f>
        <v>50.2621356735931</v>
      </c>
      <c r="H24" s="71"/>
      <c r="I24" s="72"/>
    </row>
    <row r="25" spans="2:12" x14ac:dyDescent="0.45">
      <c r="B25" s="27" t="s">
        <v>78</v>
      </c>
      <c r="C25" s="22" t="s">
        <v>72</v>
      </c>
      <c r="E25" s="55"/>
      <c r="F25" s="56"/>
      <c r="G25" s="62"/>
      <c r="H25" s="63"/>
      <c r="I25" s="64"/>
    </row>
    <row r="26" spans="2:12" ht="17.5" thickBot="1" x14ac:dyDescent="0.5">
      <c r="B26" s="25" t="s">
        <v>70</v>
      </c>
      <c r="C26" s="26">
        <f>SUM(데이터!D23:D31)</f>
        <v>265</v>
      </c>
      <c r="E26" s="57"/>
      <c r="F26" s="58"/>
      <c r="G26" s="65"/>
      <c r="H26" s="66"/>
      <c r="I26" s="67"/>
    </row>
  </sheetData>
  <mergeCells count="4">
    <mergeCell ref="E21:F23"/>
    <mergeCell ref="G21:I23"/>
    <mergeCell ref="E24:F26"/>
    <mergeCell ref="G24:I26"/>
  </mergeCells>
  <phoneticPr fontId="6" type="noConversion"/>
  <dataValidations count="2">
    <dataValidation type="custom" allowBlank="1" showInputMessage="1" showErrorMessage="1" sqref="F10" xr:uid="{3FCA69C5-4B35-4AEE-8FB6-20C11E309B6F}">
      <formula1>MOD(F10,3)=1</formula1>
    </dataValidation>
    <dataValidation type="decimal" allowBlank="1" showInputMessage="1" showErrorMessage="1" sqref="F11" xr:uid="{D18B7B22-ECB9-4B9E-B5E2-DD965395E9FE}">
      <formula1>0</formula1>
      <formula2>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6F48EFB-2FDB-4B71-A158-67655B15D8FC}">
          <x14:formula1>
            <xm:f>데이터!$B$23:$B$24</xm:f>
          </x14:formula1>
          <xm:sqref>C17:C25 F8</xm:sqref>
        </x14:dataValidation>
        <x14:dataValidation type="list" allowBlank="1" showInputMessage="1" showErrorMessage="1" xr:uid="{BD4CEC90-5E70-4A93-9236-06BD5C254088}">
          <x14:formula1>
            <xm:f>데이터!$F$23:$F$24</xm:f>
          </x14:formula1>
          <xm:sqref>F3</xm:sqref>
        </x14:dataValidation>
        <x14:dataValidation type="list" allowBlank="1" showInputMessage="1" showErrorMessage="1" xr:uid="{594A10EA-C131-45ED-8F9E-9879325537A0}">
          <x14:formula1>
            <xm:f>데이터!$F$27:$F$29</xm:f>
          </x14:formula1>
          <xm:sqref>F4</xm:sqref>
        </x14:dataValidation>
        <x14:dataValidation type="list" allowBlank="1" showInputMessage="1" showErrorMessage="1" xr:uid="{9EC376A6-0CAB-4D7A-A236-7EC78D19D3C4}">
          <x14:formula1>
            <xm:f>데이터!$F$32:$F$35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363D-8EF9-46F8-813A-22DFBB1A6B37}">
  <dimension ref="A1:P42"/>
  <sheetViews>
    <sheetView topLeftCell="A20" workbookViewId="0">
      <selection activeCell="I31" sqref="I31"/>
    </sheetView>
  </sheetViews>
  <sheetFormatPr defaultRowHeight="17" x14ac:dyDescent="0.45"/>
  <cols>
    <col min="2" max="3" width="8.6640625" customWidth="1"/>
    <col min="4" max="4" width="15" bestFit="1" customWidth="1"/>
    <col min="6" max="6" width="12.58203125" customWidth="1"/>
    <col min="7" max="7" width="18.33203125" customWidth="1"/>
    <col min="10" max="10" width="12.9140625" customWidth="1"/>
    <col min="11" max="11" width="13.75" customWidth="1"/>
    <col min="12" max="13" width="14.9140625" customWidth="1"/>
    <col min="14" max="14" width="13.9140625" customWidth="1"/>
    <col min="15" max="15" width="14.25" customWidth="1"/>
    <col min="16" max="16" width="15.58203125" customWidth="1"/>
  </cols>
  <sheetData>
    <row r="1" spans="1:15" ht="17.5" thickBot="1" x14ac:dyDescent="0.5">
      <c r="B1" s="84" t="s">
        <v>4</v>
      </c>
      <c r="C1" s="84"/>
      <c r="D1" s="84"/>
      <c r="F1" s="82" t="s">
        <v>19</v>
      </c>
      <c r="G1" s="82"/>
      <c r="H1" s="82"/>
      <c r="J1" t="s">
        <v>33</v>
      </c>
    </row>
    <row r="2" spans="1:15" x14ac:dyDescent="0.45">
      <c r="A2" t="s">
        <v>3</v>
      </c>
      <c r="B2" s="83" t="s">
        <v>5</v>
      </c>
      <c r="C2" s="77"/>
      <c r="D2" s="78"/>
      <c r="F2" s="75" t="s">
        <v>6</v>
      </c>
      <c r="G2" s="79" t="s">
        <v>15</v>
      </c>
      <c r="H2" s="85" t="s">
        <v>7</v>
      </c>
      <c r="J2" s="75" t="s">
        <v>34</v>
      </c>
      <c r="K2" s="79" t="s">
        <v>36</v>
      </c>
      <c r="L2" s="79"/>
      <c r="M2" s="79"/>
      <c r="N2" s="77" t="s">
        <v>42</v>
      </c>
      <c r="O2" s="78"/>
    </row>
    <row r="3" spans="1:15" x14ac:dyDescent="0.45">
      <c r="B3" s="1" t="s">
        <v>0</v>
      </c>
      <c r="C3" s="2" t="s">
        <v>1</v>
      </c>
      <c r="D3" s="3" t="s">
        <v>2</v>
      </c>
      <c r="F3" s="76"/>
      <c r="G3" s="81"/>
      <c r="H3" s="86"/>
      <c r="J3" s="76"/>
      <c r="K3" s="11" t="s">
        <v>33</v>
      </c>
      <c r="L3" s="2" t="s">
        <v>39</v>
      </c>
      <c r="M3" s="2" t="s">
        <v>40</v>
      </c>
      <c r="N3" s="2" t="s">
        <v>41</v>
      </c>
      <c r="O3" s="3" t="s">
        <v>45</v>
      </c>
    </row>
    <row r="4" spans="1:15" x14ac:dyDescent="0.45">
      <c r="A4">
        <v>202</v>
      </c>
      <c r="B4" s="1">
        <v>202</v>
      </c>
      <c r="C4" s="2">
        <v>205</v>
      </c>
      <c r="D4" s="4">
        <v>2768494003</v>
      </c>
      <c r="F4" s="76" t="s">
        <v>8</v>
      </c>
      <c r="G4" s="2" t="s">
        <v>16</v>
      </c>
      <c r="H4" s="4">
        <v>104101</v>
      </c>
      <c r="J4" s="80" t="s">
        <v>8</v>
      </c>
      <c r="K4" s="12">
        <f>숙제경험치!B2</f>
        <v>563178660</v>
      </c>
      <c r="L4" s="13">
        <f>숙제경험치!C2*3</f>
        <v>563178660</v>
      </c>
      <c r="M4" s="14">
        <f>숙제경험치!C2*3</f>
        <v>563178660</v>
      </c>
      <c r="N4" s="14">
        <f>숙제경험치!D2</f>
        <v>179957540</v>
      </c>
      <c r="O4" s="4">
        <f>H4*75</f>
        <v>7807575</v>
      </c>
    </row>
    <row r="5" spans="1:15" x14ac:dyDescent="0.45">
      <c r="A5">
        <v>205</v>
      </c>
      <c r="B5" s="1">
        <v>205</v>
      </c>
      <c r="C5" s="2">
        <v>208</v>
      </c>
      <c r="D5" s="4">
        <v>3889534741</v>
      </c>
      <c r="F5" s="76"/>
      <c r="G5" s="2" t="s">
        <v>17</v>
      </c>
      <c r="H5" s="4">
        <v>112662</v>
      </c>
      <c r="J5" s="80"/>
      <c r="K5" s="12">
        <f t="shared" ref="K5:N6" si="0">K4</f>
        <v>563178660</v>
      </c>
      <c r="L5" s="13">
        <f t="shared" si="0"/>
        <v>563178660</v>
      </c>
      <c r="M5" s="14">
        <f t="shared" si="0"/>
        <v>563178660</v>
      </c>
      <c r="N5" s="14">
        <f t="shared" si="0"/>
        <v>179957540</v>
      </c>
      <c r="O5" s="4">
        <f t="shared" ref="O5:O19" si="1">H5*75</f>
        <v>8449650</v>
      </c>
    </row>
    <row r="6" spans="1:15" x14ac:dyDescent="0.45">
      <c r="A6">
        <v>208</v>
      </c>
      <c r="B6" s="1">
        <v>208</v>
      </c>
      <c r="C6" s="2">
        <v>211</v>
      </c>
      <c r="D6" s="4">
        <v>5464516263</v>
      </c>
      <c r="F6" s="76"/>
      <c r="G6" s="2" t="s">
        <v>18</v>
      </c>
      <c r="H6" s="4">
        <v>121453</v>
      </c>
      <c r="J6" s="80"/>
      <c r="K6" s="12">
        <f t="shared" si="0"/>
        <v>563178660</v>
      </c>
      <c r="L6" s="13">
        <f t="shared" si="0"/>
        <v>563178660</v>
      </c>
      <c r="M6" s="14">
        <f t="shared" si="0"/>
        <v>563178660</v>
      </c>
      <c r="N6" s="14">
        <f t="shared" si="0"/>
        <v>179957540</v>
      </c>
      <c r="O6" s="4">
        <f t="shared" si="1"/>
        <v>9108975</v>
      </c>
    </row>
    <row r="7" spans="1:15" x14ac:dyDescent="0.45">
      <c r="A7">
        <v>211</v>
      </c>
      <c r="B7" s="1">
        <v>211</v>
      </c>
      <c r="C7" s="2">
        <v>214</v>
      </c>
      <c r="D7" s="4">
        <v>10869578587</v>
      </c>
      <c r="F7" s="76" t="s">
        <v>9</v>
      </c>
      <c r="G7" s="9" t="s">
        <v>20</v>
      </c>
      <c r="H7" s="4">
        <v>253673</v>
      </c>
      <c r="J7" s="80" t="s">
        <v>9</v>
      </c>
      <c r="K7" s="12">
        <f>K6+숙제경험치!B3</f>
        <v>2210608080</v>
      </c>
      <c r="L7" s="13">
        <f>L6+3*숙제경험치!C3</f>
        <v>2210608080</v>
      </c>
      <c r="M7" s="14">
        <f>숙제경험치!C2*3+숙제경험치!C3*2</f>
        <v>1661464940</v>
      </c>
      <c r="N7" s="14">
        <f>숙제경험치!D3</f>
        <v>642539340</v>
      </c>
      <c r="O7" s="4">
        <f t="shared" si="1"/>
        <v>19025475</v>
      </c>
    </row>
    <row r="8" spans="1:15" x14ac:dyDescent="0.45">
      <c r="A8">
        <v>214</v>
      </c>
      <c r="B8" s="1">
        <v>214</v>
      </c>
      <c r="C8" s="2">
        <v>217</v>
      </c>
      <c r="D8" s="4">
        <v>14865572631</v>
      </c>
      <c r="F8" s="76"/>
      <c r="G8" s="9" t="s">
        <v>21</v>
      </c>
      <c r="H8" s="4">
        <v>271621</v>
      </c>
      <c r="J8" s="80"/>
      <c r="K8" s="12">
        <f t="shared" ref="K8:N9" si="2">K7</f>
        <v>2210608080</v>
      </c>
      <c r="L8" s="13">
        <f t="shared" si="2"/>
        <v>2210608080</v>
      </c>
      <c r="M8" s="14">
        <f t="shared" si="2"/>
        <v>1661464940</v>
      </c>
      <c r="N8" s="14">
        <f t="shared" si="2"/>
        <v>642539340</v>
      </c>
      <c r="O8" s="4">
        <f t="shared" si="1"/>
        <v>20371575</v>
      </c>
    </row>
    <row r="9" spans="1:15" x14ac:dyDescent="0.45">
      <c r="A9">
        <v>217</v>
      </c>
      <c r="B9" s="1">
        <v>217</v>
      </c>
      <c r="C9" s="2">
        <v>220</v>
      </c>
      <c r="D9" s="4">
        <v>22960322894</v>
      </c>
      <c r="F9" s="76"/>
      <c r="G9" s="9" t="s">
        <v>22</v>
      </c>
      <c r="H9" s="4">
        <v>284043</v>
      </c>
      <c r="J9" s="80"/>
      <c r="K9" s="12">
        <f t="shared" si="2"/>
        <v>2210608080</v>
      </c>
      <c r="L9" s="13">
        <f t="shared" si="2"/>
        <v>2210608080</v>
      </c>
      <c r="M9" s="14">
        <f t="shared" si="2"/>
        <v>1661464940</v>
      </c>
      <c r="N9" s="14">
        <f t="shared" si="2"/>
        <v>642539340</v>
      </c>
      <c r="O9" s="4">
        <f t="shared" si="1"/>
        <v>21303225</v>
      </c>
    </row>
    <row r="10" spans="1:15" x14ac:dyDescent="0.45">
      <c r="A10">
        <v>220</v>
      </c>
      <c r="B10" s="1">
        <v>220</v>
      </c>
      <c r="C10" s="2">
        <v>223</v>
      </c>
      <c r="D10" s="4">
        <v>35462907517</v>
      </c>
      <c r="F10" s="76" t="s">
        <v>10</v>
      </c>
      <c r="G10" s="9" t="s">
        <v>23</v>
      </c>
      <c r="H10" s="4">
        <v>309470</v>
      </c>
      <c r="J10" s="80" t="s">
        <v>10</v>
      </c>
      <c r="K10" s="14">
        <f>K9+숙제경험치!B4</f>
        <v>4663761580</v>
      </c>
      <c r="L10" s="13">
        <f>L9+숙제경험치!C4*3</f>
        <v>4663760580</v>
      </c>
      <c r="M10" s="14">
        <f>숙제경험치!C2+숙제경험치!C3*2+숙제경험치!C4*3</f>
        <v>3739165000</v>
      </c>
      <c r="N10" s="14">
        <f>숙제경험치!D4</f>
        <v>1608830495</v>
      </c>
      <c r="O10" s="4">
        <f t="shared" si="1"/>
        <v>23210250</v>
      </c>
    </row>
    <row r="11" spans="1:15" x14ac:dyDescent="0.45">
      <c r="A11">
        <v>223</v>
      </c>
      <c r="B11" s="1">
        <v>223</v>
      </c>
      <c r="C11" s="2">
        <v>226</v>
      </c>
      <c r="D11" s="4">
        <v>43443586613</v>
      </c>
      <c r="F11" s="76"/>
      <c r="G11" s="9" t="s">
        <v>24</v>
      </c>
      <c r="H11" s="4">
        <v>329417</v>
      </c>
      <c r="J11" s="80"/>
      <c r="K11" s="14">
        <f>K10</f>
        <v>4663761580</v>
      </c>
      <c r="L11" s="13">
        <f>L10</f>
        <v>4663760580</v>
      </c>
      <c r="M11" s="14">
        <f>M10</f>
        <v>3739165000</v>
      </c>
      <c r="N11" s="14">
        <f>N10</f>
        <v>1608830495</v>
      </c>
      <c r="O11" s="4">
        <f t="shared" si="1"/>
        <v>24706275</v>
      </c>
    </row>
    <row r="12" spans="1:15" x14ac:dyDescent="0.45">
      <c r="A12">
        <v>226</v>
      </c>
      <c r="B12" s="1">
        <v>226</v>
      </c>
      <c r="C12" s="2">
        <v>229</v>
      </c>
      <c r="D12" s="4">
        <v>67356239990</v>
      </c>
      <c r="F12" s="76"/>
      <c r="G12" s="9" t="s">
        <v>25</v>
      </c>
      <c r="H12" s="4">
        <v>349836</v>
      </c>
      <c r="J12" s="80" t="s">
        <v>11</v>
      </c>
      <c r="K12" s="14">
        <f>K11+숙제경험치!B5</f>
        <v>7206213580</v>
      </c>
      <c r="L12" s="13">
        <f>L11+숙제경험치!C5*3</f>
        <v>7206212610</v>
      </c>
      <c r="M12" s="14">
        <f>숙제경험치!C2+숙제경험치!C3+숙제경험치!C4*2+숙제경험치!C5*3</f>
        <v>4914756390</v>
      </c>
      <c r="N12" s="14">
        <f>숙제경험치!D5</f>
        <v>2353786685</v>
      </c>
      <c r="O12" s="4">
        <f t="shared" si="1"/>
        <v>26237700</v>
      </c>
    </row>
    <row r="13" spans="1:15" x14ac:dyDescent="0.45">
      <c r="A13">
        <v>229</v>
      </c>
      <c r="B13" s="1">
        <v>229</v>
      </c>
      <c r="C13" s="2">
        <v>232</v>
      </c>
      <c r="D13" s="4">
        <v>77973267317</v>
      </c>
      <c r="F13" s="76" t="s">
        <v>11</v>
      </c>
      <c r="G13" s="9" t="s">
        <v>26</v>
      </c>
      <c r="H13" s="4">
        <v>393361</v>
      </c>
      <c r="J13" s="80"/>
      <c r="K13" s="14">
        <f>K12</f>
        <v>7206213580</v>
      </c>
      <c r="L13" s="13">
        <f>L12</f>
        <v>7206212610</v>
      </c>
      <c r="M13" s="14">
        <f>M12</f>
        <v>4914756390</v>
      </c>
      <c r="N13" s="14">
        <f>N12</f>
        <v>2353786685</v>
      </c>
      <c r="O13" s="4">
        <f t="shared" si="1"/>
        <v>29502075</v>
      </c>
    </row>
    <row r="14" spans="1:15" x14ac:dyDescent="0.45">
      <c r="A14">
        <v>232</v>
      </c>
      <c r="B14" s="1">
        <v>232</v>
      </c>
      <c r="C14" s="2">
        <v>235</v>
      </c>
      <c r="D14" s="4">
        <v>132354942874</v>
      </c>
      <c r="F14" s="76"/>
      <c r="G14" s="9" t="s">
        <v>27</v>
      </c>
      <c r="H14" s="4">
        <v>408778</v>
      </c>
      <c r="J14" s="10" t="s">
        <v>12</v>
      </c>
      <c r="K14" s="14">
        <f>K13+숙제경험치!B6</f>
        <v>10589495247</v>
      </c>
      <c r="L14" s="13">
        <f>L13+숙제경험치!C6*3</f>
        <v>10589494275</v>
      </c>
      <c r="M14" s="14">
        <f>숙제경험치!C2+숙제경험치!C3+숙제경험치!C4+숙제경험치!C5*2+숙제경험치!C6*3</f>
        <v>6632836545</v>
      </c>
      <c r="N14" s="14">
        <f>숙제경험치!D6</f>
        <v>2724323200</v>
      </c>
      <c r="O14" s="4">
        <f t="shared" si="1"/>
        <v>30658350</v>
      </c>
    </row>
    <row r="15" spans="1:15" x14ac:dyDescent="0.45">
      <c r="A15">
        <v>235</v>
      </c>
      <c r="B15" s="1">
        <v>235</v>
      </c>
      <c r="C15" s="2">
        <v>238</v>
      </c>
      <c r="D15" s="4">
        <v>193773195273</v>
      </c>
      <c r="F15" s="76"/>
      <c r="G15" s="9" t="s">
        <v>28</v>
      </c>
      <c r="H15" s="4">
        <v>431459</v>
      </c>
      <c r="J15" s="76" t="s">
        <v>14</v>
      </c>
      <c r="K15" s="14">
        <f>K14+숙제경험치!B7</f>
        <v>14074759827</v>
      </c>
      <c r="L15" s="13">
        <f>L14+숙제경험치!C7*3</f>
        <v>14074758855</v>
      </c>
      <c r="M15" s="14">
        <f>숙제경험치!C2+숙제경험치!C3+숙제경험치!C4+숙제경험치!C5+숙제경험치!C6*2+숙제경험치!C7*3</f>
        <v>8142856560</v>
      </c>
      <c r="N15" s="14">
        <f>숙제경험치!D7</f>
        <v>3145303350</v>
      </c>
      <c r="O15" s="4">
        <f t="shared" si="1"/>
        <v>32359425</v>
      </c>
    </row>
    <row r="16" spans="1:15" x14ac:dyDescent="0.45">
      <c r="A16">
        <v>238</v>
      </c>
      <c r="B16" s="1">
        <v>238</v>
      </c>
      <c r="C16" s="2">
        <v>241</v>
      </c>
      <c r="D16" s="4">
        <v>211741202349</v>
      </c>
      <c r="F16" s="76"/>
      <c r="G16" s="9" t="s">
        <v>29</v>
      </c>
      <c r="H16" s="4">
        <v>454564</v>
      </c>
      <c r="J16" s="76"/>
      <c r="K16" s="14">
        <f>K15</f>
        <v>14074759827</v>
      </c>
      <c r="L16" s="13">
        <f>L15</f>
        <v>14074758855</v>
      </c>
      <c r="M16" s="14">
        <f>M15</f>
        <v>8142856560</v>
      </c>
      <c r="N16" s="14">
        <f>N15</f>
        <v>3145303350</v>
      </c>
      <c r="O16" s="4">
        <f t="shared" si="1"/>
        <v>34092300</v>
      </c>
    </row>
    <row r="17" spans="1:16" x14ac:dyDescent="0.45">
      <c r="A17">
        <v>241</v>
      </c>
      <c r="B17" s="1">
        <v>241</v>
      </c>
      <c r="C17" s="2">
        <v>244</v>
      </c>
      <c r="D17" s="4">
        <v>359417986514</v>
      </c>
      <c r="F17" s="10" t="s">
        <v>12</v>
      </c>
      <c r="G17" s="9" t="s">
        <v>30</v>
      </c>
      <c r="H17" s="4">
        <v>485614</v>
      </c>
      <c r="J17" s="80" t="s">
        <v>13</v>
      </c>
      <c r="K17" s="14">
        <f t="shared" ref="K17:M18" si="3">K16</f>
        <v>14074759827</v>
      </c>
      <c r="L17" s="13">
        <f t="shared" si="3"/>
        <v>14074758855</v>
      </c>
      <c r="M17" s="14">
        <f t="shared" si="3"/>
        <v>8142856560</v>
      </c>
      <c r="N17" s="14">
        <f>숙제경험치!D8</f>
        <v>3630339550</v>
      </c>
      <c r="O17" s="4">
        <f t="shared" si="1"/>
        <v>36421050</v>
      </c>
    </row>
    <row r="18" spans="1:16" x14ac:dyDescent="0.45">
      <c r="A18">
        <v>244</v>
      </c>
      <c r="B18" s="1">
        <v>244</v>
      </c>
      <c r="C18" s="2">
        <v>247</v>
      </c>
      <c r="D18" s="4">
        <v>392745738148</v>
      </c>
      <c r="F18" s="1" t="s">
        <v>14</v>
      </c>
      <c r="G18" s="9" t="s">
        <v>31</v>
      </c>
      <c r="H18" s="4">
        <v>509964</v>
      </c>
      <c r="J18" s="80"/>
      <c r="K18" s="14">
        <f t="shared" si="3"/>
        <v>14074759827</v>
      </c>
      <c r="L18" s="13">
        <f t="shared" si="3"/>
        <v>14074758855</v>
      </c>
      <c r="M18" s="14">
        <f t="shared" si="3"/>
        <v>8142856560</v>
      </c>
      <c r="N18" s="14">
        <f>N17</f>
        <v>3630339550</v>
      </c>
      <c r="O18" s="4">
        <f t="shared" si="1"/>
        <v>38247300</v>
      </c>
    </row>
    <row r="19" spans="1:16" ht="17.5" thickBot="1" x14ac:dyDescent="0.5">
      <c r="A19">
        <v>247</v>
      </c>
      <c r="B19" s="5">
        <v>247</v>
      </c>
      <c r="C19" s="6">
        <v>250</v>
      </c>
      <c r="D19" s="7">
        <v>574996255969</v>
      </c>
      <c r="F19" s="5" t="s">
        <v>13</v>
      </c>
      <c r="G19" s="6" t="s">
        <v>32</v>
      </c>
      <c r="H19" s="7">
        <v>544459</v>
      </c>
      <c r="J19" s="15" t="s">
        <v>35</v>
      </c>
      <c r="K19" s="16">
        <f>K18+숙제경험치!B9</f>
        <v>19673125627</v>
      </c>
      <c r="L19" s="17">
        <f>L18</f>
        <v>14074758855</v>
      </c>
      <c r="M19" s="16">
        <f>M18</f>
        <v>8142856560</v>
      </c>
      <c r="N19" s="16">
        <f>숙제경험치!D9</f>
        <v>4686646600</v>
      </c>
      <c r="O19" s="7">
        <f t="shared" si="1"/>
        <v>40834425</v>
      </c>
    </row>
    <row r="21" spans="1:16" ht="17.5" thickBot="1" x14ac:dyDescent="0.5"/>
    <row r="22" spans="1:16" x14ac:dyDescent="0.45">
      <c r="B22" s="37" t="s">
        <v>67</v>
      </c>
      <c r="C22" s="38" t="s">
        <v>69</v>
      </c>
      <c r="D22" s="32" t="s">
        <v>68</v>
      </c>
      <c r="F22" s="31" t="s">
        <v>82</v>
      </c>
      <c r="G22" s="32" t="s">
        <v>69</v>
      </c>
      <c r="J22" s="75" t="s">
        <v>3</v>
      </c>
      <c r="K22" s="77" t="s">
        <v>96</v>
      </c>
      <c r="L22" s="77"/>
      <c r="M22" s="77"/>
      <c r="N22" s="77"/>
      <c r="O22" s="77"/>
      <c r="P22" s="78"/>
    </row>
    <row r="23" spans="1:16" x14ac:dyDescent="0.45">
      <c r="B23" s="39" t="s">
        <v>73</v>
      </c>
      <c r="C23" s="40">
        <f>IF(시간표!C17=$B$23, 1, 0)</f>
        <v>1</v>
      </c>
      <c r="D23" s="34">
        <f xml:space="preserve"> 100 * C23</f>
        <v>100</v>
      </c>
      <c r="F23" s="33" t="s">
        <v>65</v>
      </c>
      <c r="G23" s="34">
        <f>IF(시간표!F3=F23,1,0)</f>
        <v>1</v>
      </c>
      <c r="J23" s="76"/>
      <c r="K23" s="2" t="s">
        <v>46</v>
      </c>
      <c r="L23" s="2" t="s">
        <v>33</v>
      </c>
      <c r="M23" s="2" t="s">
        <v>38</v>
      </c>
      <c r="N23" s="2" t="s">
        <v>44</v>
      </c>
      <c r="O23" s="9" t="s">
        <v>43</v>
      </c>
      <c r="P23" s="43" t="s">
        <v>63</v>
      </c>
    </row>
    <row r="24" spans="1:16" ht="17.5" thickBot="1" x14ac:dyDescent="0.5">
      <c r="B24" s="39" t="s">
        <v>66</v>
      </c>
      <c r="C24" s="40">
        <f>IF(시간표!C18=$B$23, 1, 0)</f>
        <v>1</v>
      </c>
      <c r="D24" s="34">
        <f xml:space="preserve"> 50 * C24</f>
        <v>50</v>
      </c>
      <c r="F24" s="35" t="s">
        <v>66</v>
      </c>
      <c r="G24" s="36"/>
      <c r="J24" s="1">
        <v>202</v>
      </c>
      <c r="K24" s="14">
        <f>H4*$D$35</f>
        <v>42812993664</v>
      </c>
      <c r="L24" s="14">
        <f>K4*$G$23</f>
        <v>563178660</v>
      </c>
      <c r="M24" s="14">
        <f>CHOOSE($G$27,0,M4,L4)/7</f>
        <v>80454094.285714284</v>
      </c>
      <c r="N24" s="14">
        <f>$G$32*N4</f>
        <v>385623300</v>
      </c>
      <c r="O24" s="14">
        <f>$G$38*328.57*O4</f>
        <v>2565334917.75</v>
      </c>
      <c r="P24" s="4">
        <f>SUM(K24:O24)</f>
        <v>46407584636.035713</v>
      </c>
    </row>
    <row r="25" spans="1:16" ht="17.5" thickBot="1" x14ac:dyDescent="0.5">
      <c r="B25" s="33"/>
      <c r="C25" s="40">
        <f>IF(시간표!C19=$B$23, 1, 0)</f>
        <v>1</v>
      </c>
      <c r="D25" s="34">
        <f xml:space="preserve"> 10 * C25</f>
        <v>10</v>
      </c>
      <c r="F25" s="2"/>
      <c r="J25" s="1">
        <v>205</v>
      </c>
      <c r="K25" s="14">
        <f t="shared" ref="K25:K39" si="4">H5*$D$35</f>
        <v>46333824768</v>
      </c>
      <c r="L25" s="14">
        <f t="shared" ref="L25:L39" si="5">K5*$G$23</f>
        <v>563178660</v>
      </c>
      <c r="M25" s="14">
        <f t="shared" ref="M25:M39" si="6">CHOOSE($G$27,0,M5,L5)/7</f>
        <v>80454094.285714284</v>
      </c>
      <c r="N25" s="14">
        <f t="shared" ref="N25:N39" si="7">$G$32*N5</f>
        <v>385623300</v>
      </c>
      <c r="O25" s="14">
        <f t="shared" ref="O25:O39" si="8">$G$38*328.57*O5</f>
        <v>2776301500.5</v>
      </c>
      <c r="P25" s="4">
        <f t="shared" ref="P25:P39" si="9">SUM(K25:O25)</f>
        <v>50139382322.785713</v>
      </c>
    </row>
    <row r="26" spans="1:16" x14ac:dyDescent="0.45">
      <c r="B26" s="33"/>
      <c r="C26" s="40">
        <f>IF(시간표!C20=$B$23, 1, 0)</f>
        <v>1</v>
      </c>
      <c r="D26" s="34">
        <f t="shared" ref="D26:D28" si="10" xml:space="preserve"> 10 * C26</f>
        <v>10</v>
      </c>
      <c r="F26" s="31" t="s">
        <v>83</v>
      </c>
      <c r="G26" s="32" t="s">
        <v>69</v>
      </c>
      <c r="J26" s="1">
        <v>208</v>
      </c>
      <c r="K26" s="14">
        <f t="shared" si="4"/>
        <v>49949246592</v>
      </c>
      <c r="L26" s="14">
        <f t="shared" si="5"/>
        <v>563178660</v>
      </c>
      <c r="M26" s="14">
        <f t="shared" si="6"/>
        <v>80454094.285714284</v>
      </c>
      <c r="N26" s="14">
        <f t="shared" si="7"/>
        <v>385623300</v>
      </c>
      <c r="O26" s="14">
        <f t="shared" si="8"/>
        <v>2992935915.75</v>
      </c>
      <c r="P26" s="4">
        <f t="shared" si="9"/>
        <v>53971438562.035713</v>
      </c>
    </row>
    <row r="27" spans="1:16" x14ac:dyDescent="0.45">
      <c r="B27" s="33"/>
      <c r="C27" s="40">
        <f>IF(시간표!C21=$B$23, 1, 0)</f>
        <v>1</v>
      </c>
      <c r="D27" s="34">
        <f t="shared" si="10"/>
        <v>10</v>
      </c>
      <c r="F27" s="33" t="s">
        <v>85</v>
      </c>
      <c r="G27" s="34">
        <f>IF(시간표!F4=데이터!F27,3,IF(시간표!F4=데이터!F28,2,1))</f>
        <v>3</v>
      </c>
      <c r="J27" s="1">
        <v>211</v>
      </c>
      <c r="K27" s="14">
        <f t="shared" si="4"/>
        <v>104326572672</v>
      </c>
      <c r="L27" s="14">
        <f t="shared" si="5"/>
        <v>2210608080</v>
      </c>
      <c r="M27" s="14">
        <f t="shared" si="6"/>
        <v>315801154.28571427</v>
      </c>
      <c r="N27" s="14">
        <f t="shared" si="7"/>
        <v>1376870014.2857141</v>
      </c>
      <c r="O27" s="14">
        <f t="shared" si="8"/>
        <v>6251200320.75</v>
      </c>
      <c r="P27" s="4">
        <f t="shared" si="9"/>
        <v>114481052241.32144</v>
      </c>
    </row>
    <row r="28" spans="1:16" x14ac:dyDescent="0.45">
      <c r="B28" s="33"/>
      <c r="C28" s="40">
        <f>IF(시간표!C22=$B$23, 1, 0)</f>
        <v>1</v>
      </c>
      <c r="D28" s="34">
        <f t="shared" si="10"/>
        <v>10</v>
      </c>
      <c r="F28" s="33" t="s">
        <v>86</v>
      </c>
      <c r="G28" s="34"/>
      <c r="J28" s="1">
        <v>214</v>
      </c>
      <c r="K28" s="14">
        <f t="shared" si="4"/>
        <v>111707938944</v>
      </c>
      <c r="L28" s="14">
        <f t="shared" si="5"/>
        <v>2210608080</v>
      </c>
      <c r="M28" s="14">
        <f t="shared" si="6"/>
        <v>315801154.28571427</v>
      </c>
      <c r="N28" s="14">
        <f t="shared" si="7"/>
        <v>1376870014.2857141</v>
      </c>
      <c r="O28" s="14">
        <f t="shared" si="8"/>
        <v>6693488397.75</v>
      </c>
      <c r="P28" s="4">
        <f t="shared" si="9"/>
        <v>122304706590.32144</v>
      </c>
    </row>
    <row r="29" spans="1:16" ht="17.5" thickBot="1" x14ac:dyDescent="0.5">
      <c r="B29" s="33"/>
      <c r="C29" s="40">
        <f>IF(시간표!C23=$B$23, 1, 0)</f>
        <v>1</v>
      </c>
      <c r="D29" s="34">
        <f>15 * C29</f>
        <v>15</v>
      </c>
      <c r="F29" s="35" t="s">
        <v>66</v>
      </c>
      <c r="G29" s="36"/>
      <c r="J29" s="1">
        <v>217</v>
      </c>
      <c r="K29" s="14">
        <f t="shared" si="4"/>
        <v>116816660352</v>
      </c>
      <c r="L29" s="14">
        <f t="shared" si="5"/>
        <v>2210608080</v>
      </c>
      <c r="M29" s="14">
        <f t="shared" si="6"/>
        <v>315801154.28571427</v>
      </c>
      <c r="N29" s="14">
        <f t="shared" si="7"/>
        <v>1376870014.2857141</v>
      </c>
      <c r="O29" s="14">
        <f t="shared" si="8"/>
        <v>6999600638.25</v>
      </c>
      <c r="P29" s="4">
        <f t="shared" si="9"/>
        <v>127719540238.82144</v>
      </c>
    </row>
    <row r="30" spans="1:16" ht="17.5" thickBot="1" x14ac:dyDescent="0.5">
      <c r="B30" s="33"/>
      <c r="C30" s="40">
        <f>IF(시간표!C24=$B$23, 1, 0)</f>
        <v>1</v>
      </c>
      <c r="D30" s="34">
        <f>30*C30</f>
        <v>30</v>
      </c>
      <c r="F30" s="9"/>
      <c r="J30" s="1">
        <v>220</v>
      </c>
      <c r="K30" s="14">
        <f t="shared" si="4"/>
        <v>127273870080</v>
      </c>
      <c r="L30" s="14">
        <f t="shared" si="5"/>
        <v>4663761580</v>
      </c>
      <c r="M30" s="14">
        <f t="shared" si="6"/>
        <v>666251511.42857146</v>
      </c>
      <c r="N30" s="14">
        <f t="shared" si="7"/>
        <v>3447493917.8571429</v>
      </c>
      <c r="O30" s="14">
        <f t="shared" si="8"/>
        <v>7626191842.5</v>
      </c>
      <c r="P30" s="4">
        <f t="shared" si="9"/>
        <v>143677568931.78571</v>
      </c>
    </row>
    <row r="31" spans="1:16" ht="17.5" thickBot="1" x14ac:dyDescent="0.5">
      <c r="B31" s="35"/>
      <c r="C31" s="41">
        <f>IF(시간표!C25=$B$23, 1, 0)</f>
        <v>1</v>
      </c>
      <c r="D31" s="36">
        <f>30*C31</f>
        <v>30</v>
      </c>
      <c r="F31" s="31" t="s">
        <v>87</v>
      </c>
      <c r="G31" s="32" t="s">
        <v>69</v>
      </c>
      <c r="J31" s="1">
        <v>223</v>
      </c>
      <c r="K31" s="14">
        <f t="shared" si="4"/>
        <v>135477353088</v>
      </c>
      <c r="L31" s="14">
        <f t="shared" si="5"/>
        <v>4663761580</v>
      </c>
      <c r="M31" s="14">
        <f t="shared" si="6"/>
        <v>666251511.42857146</v>
      </c>
      <c r="N31" s="14">
        <f t="shared" si="7"/>
        <v>3447493917.8571429</v>
      </c>
      <c r="O31" s="14">
        <f t="shared" si="8"/>
        <v>8117740776.75</v>
      </c>
      <c r="P31" s="4">
        <f t="shared" si="9"/>
        <v>152372600874.03571</v>
      </c>
    </row>
    <row r="32" spans="1:16" ht="17.5" thickBot="1" x14ac:dyDescent="0.5">
      <c r="F32" s="33" t="s">
        <v>88</v>
      </c>
      <c r="G32" s="34">
        <f>IF(시간표!F5=F32,(2*6+2*1.5)/7,IF(시간표!F5=데이터!F33,(7*6+7*1.5)/7,IF(시간표!F5=데이터!F34,(2*6+7*1.5)/7,0)))</f>
        <v>2.1428571428571428</v>
      </c>
      <c r="J32" s="1">
        <v>226</v>
      </c>
      <c r="K32" s="14">
        <f t="shared" si="4"/>
        <v>143874952704</v>
      </c>
      <c r="L32" s="14">
        <f t="shared" si="5"/>
        <v>7206213580</v>
      </c>
      <c r="M32" s="14">
        <f t="shared" si="6"/>
        <v>1029458944.2857143</v>
      </c>
      <c r="N32" s="14">
        <f t="shared" si="7"/>
        <v>5043828610.7142859</v>
      </c>
      <c r="O32" s="14">
        <f t="shared" si="8"/>
        <v>8620921089</v>
      </c>
      <c r="P32" s="4">
        <f t="shared" si="9"/>
        <v>165775374928</v>
      </c>
    </row>
    <row r="33" spans="2:16" ht="17.5" thickBot="1" x14ac:dyDescent="0.5">
      <c r="B33" s="73" t="s">
        <v>79</v>
      </c>
      <c r="C33" s="74"/>
      <c r="D33" s="42">
        <f>30</f>
        <v>30</v>
      </c>
      <c r="F33" s="33" t="s">
        <v>89</v>
      </c>
      <c r="G33" s="34"/>
      <c r="J33" s="1">
        <v>229</v>
      </c>
      <c r="K33" s="14">
        <f t="shared" si="4"/>
        <v>161775218304</v>
      </c>
      <c r="L33" s="14">
        <f t="shared" si="5"/>
        <v>7206213580</v>
      </c>
      <c r="M33" s="14">
        <f t="shared" si="6"/>
        <v>1029458944.2857143</v>
      </c>
      <c r="N33" s="14">
        <f t="shared" si="7"/>
        <v>5043828610.7142859</v>
      </c>
      <c r="O33" s="14">
        <f t="shared" si="8"/>
        <v>9693496782.75</v>
      </c>
      <c r="P33" s="4">
        <f t="shared" si="9"/>
        <v>184748216221.75</v>
      </c>
    </row>
    <row r="34" spans="2:16" ht="17.5" thickBot="1" x14ac:dyDescent="0.5">
      <c r="F34" s="33" t="s">
        <v>90</v>
      </c>
      <c r="G34" s="34"/>
      <c r="J34" s="1">
        <v>232</v>
      </c>
      <c r="K34" s="14">
        <f t="shared" si="4"/>
        <v>168115675392</v>
      </c>
      <c r="L34" s="14">
        <f t="shared" si="5"/>
        <v>10589495247</v>
      </c>
      <c r="M34" s="14">
        <f t="shared" si="6"/>
        <v>1512784896.4285715</v>
      </c>
      <c r="N34" s="14">
        <f t="shared" si="7"/>
        <v>5837835428.5714283</v>
      </c>
      <c r="O34" s="14">
        <f t="shared" si="8"/>
        <v>10073414059.5</v>
      </c>
      <c r="P34" s="4">
        <f t="shared" si="9"/>
        <v>196129205023.5</v>
      </c>
    </row>
    <row r="35" spans="2:16" ht="17.5" thickBot="1" x14ac:dyDescent="0.5">
      <c r="B35" s="73" t="s">
        <v>80</v>
      </c>
      <c r="C35" s="74"/>
      <c r="D35" s="42">
        <f>시간표!C3*시간표!C4*(100+시간표!C14+시간표!C26+데이터!D33)/100 * 1.2</f>
        <v>411264</v>
      </c>
      <c r="F35" s="35" t="s">
        <v>66</v>
      </c>
      <c r="G35" s="36"/>
      <c r="J35" s="1">
        <v>235</v>
      </c>
      <c r="K35" s="14">
        <f t="shared" si="4"/>
        <v>177443554176</v>
      </c>
      <c r="L35" s="14">
        <f t="shared" si="5"/>
        <v>14074759827</v>
      </c>
      <c r="M35" s="14">
        <f t="shared" si="6"/>
        <v>2010679836.4285715</v>
      </c>
      <c r="N35" s="14">
        <f t="shared" si="7"/>
        <v>6739935750</v>
      </c>
      <c r="O35" s="14">
        <f t="shared" si="8"/>
        <v>10632336272.25</v>
      </c>
      <c r="P35" s="4">
        <f t="shared" si="9"/>
        <v>210901265861.67856</v>
      </c>
    </row>
    <row r="36" spans="2:16" ht="17.5" thickBot="1" x14ac:dyDescent="0.5">
      <c r="J36" s="1">
        <v>238</v>
      </c>
      <c r="K36" s="14">
        <f t="shared" si="4"/>
        <v>186945808896</v>
      </c>
      <c r="L36" s="14">
        <f t="shared" si="5"/>
        <v>14074759827</v>
      </c>
      <c r="M36" s="14">
        <f t="shared" si="6"/>
        <v>2010679836.4285715</v>
      </c>
      <c r="N36" s="14">
        <f t="shared" si="7"/>
        <v>6739935750</v>
      </c>
      <c r="O36" s="14">
        <f t="shared" si="8"/>
        <v>11201707011</v>
      </c>
      <c r="P36" s="4">
        <f t="shared" si="9"/>
        <v>220972891320.42856</v>
      </c>
    </row>
    <row r="37" spans="2:16" x14ac:dyDescent="0.45">
      <c r="F37" s="31" t="s">
        <v>95</v>
      </c>
      <c r="G37" s="32" t="s">
        <v>69</v>
      </c>
      <c r="J37" s="1">
        <v>241</v>
      </c>
      <c r="K37" s="14">
        <f t="shared" si="4"/>
        <v>199715556096</v>
      </c>
      <c r="L37" s="14">
        <f t="shared" si="5"/>
        <v>14074759827</v>
      </c>
      <c r="M37" s="14">
        <f t="shared" si="6"/>
        <v>2010679836.4285715</v>
      </c>
      <c r="N37" s="14">
        <f t="shared" si="7"/>
        <v>7779299035.7142859</v>
      </c>
      <c r="O37" s="14">
        <f t="shared" si="8"/>
        <v>11966864398.5</v>
      </c>
      <c r="P37" s="4">
        <f t="shared" si="9"/>
        <v>235547159193.64285</v>
      </c>
    </row>
    <row r="38" spans="2:16" ht="17.5" thickBot="1" x14ac:dyDescent="0.5">
      <c r="F38" s="35" t="s">
        <v>94</v>
      </c>
      <c r="G38" s="36">
        <f>IF(시간표!F8=데이터!B23,1,0)</f>
        <v>1</v>
      </c>
      <c r="J38" s="1">
        <v>244</v>
      </c>
      <c r="K38" s="14">
        <f t="shared" si="4"/>
        <v>209729834496</v>
      </c>
      <c r="L38" s="14">
        <f t="shared" si="5"/>
        <v>14074759827</v>
      </c>
      <c r="M38" s="14">
        <f t="shared" si="6"/>
        <v>2010679836.4285715</v>
      </c>
      <c r="N38" s="14">
        <f t="shared" si="7"/>
        <v>7779299035.7142859</v>
      </c>
      <c r="O38" s="14">
        <f t="shared" si="8"/>
        <v>12566915361</v>
      </c>
      <c r="P38" s="4">
        <f t="shared" si="9"/>
        <v>246161488556.14285</v>
      </c>
    </row>
    <row r="39" spans="2:16" ht="17.5" thickBot="1" x14ac:dyDescent="0.5">
      <c r="J39" s="5">
        <v>247</v>
      </c>
      <c r="K39" s="16">
        <f t="shared" si="4"/>
        <v>223916386176</v>
      </c>
      <c r="L39" s="16">
        <f t="shared" si="5"/>
        <v>19673125627</v>
      </c>
      <c r="M39" s="16">
        <f t="shared" si="6"/>
        <v>2010679836.4285715</v>
      </c>
      <c r="N39" s="16">
        <f t="shared" si="7"/>
        <v>10042814142.857143</v>
      </c>
      <c r="O39" s="16">
        <f t="shared" si="8"/>
        <v>13416967022.25</v>
      </c>
      <c r="P39" s="7">
        <f t="shared" si="9"/>
        <v>269059972804.53571</v>
      </c>
    </row>
    <row r="40" spans="2:16" ht="17.5" thickBot="1" x14ac:dyDescent="0.5"/>
    <row r="41" spans="2:16" x14ac:dyDescent="0.45">
      <c r="J41" s="20">
        <f>QUOTIENT(시간표!F10-202,3)</f>
        <v>13</v>
      </c>
      <c r="K41" s="50">
        <f>J41+1</f>
        <v>14</v>
      </c>
    </row>
    <row r="42" spans="2:16" ht="17.5" thickBot="1" x14ac:dyDescent="0.5">
      <c r="J42" s="5">
        <f>1-시간표!F11/100</f>
        <v>0.75</v>
      </c>
      <c r="K42" s="24">
        <f>1-J42</f>
        <v>0.25</v>
      </c>
    </row>
  </sheetData>
  <mergeCells count="23">
    <mergeCell ref="F1:H1"/>
    <mergeCell ref="F13:F16"/>
    <mergeCell ref="F10:F12"/>
    <mergeCell ref="B2:D2"/>
    <mergeCell ref="B1:D1"/>
    <mergeCell ref="H2:H3"/>
    <mergeCell ref="F2:F3"/>
    <mergeCell ref="B33:C33"/>
    <mergeCell ref="B35:C35"/>
    <mergeCell ref="J22:J23"/>
    <mergeCell ref="K22:P22"/>
    <mergeCell ref="K2:M2"/>
    <mergeCell ref="N2:O2"/>
    <mergeCell ref="J15:J16"/>
    <mergeCell ref="J17:J18"/>
    <mergeCell ref="J2:J3"/>
    <mergeCell ref="J4:J6"/>
    <mergeCell ref="J7:J9"/>
    <mergeCell ref="J10:J11"/>
    <mergeCell ref="J12:J13"/>
    <mergeCell ref="G2:G3"/>
    <mergeCell ref="F4:F6"/>
    <mergeCell ref="F7:F9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DB68-8307-45B7-8C6B-0970AC5E830D}">
  <dimension ref="A1:D9"/>
  <sheetViews>
    <sheetView workbookViewId="0">
      <selection activeCell="I9" sqref="I9"/>
    </sheetView>
  </sheetViews>
  <sheetFormatPr defaultRowHeight="17" x14ac:dyDescent="0.45"/>
  <cols>
    <col min="1" max="1" width="13.33203125" customWidth="1"/>
    <col min="2" max="2" width="14" customWidth="1"/>
    <col min="3" max="3" width="13.58203125" customWidth="1"/>
    <col min="4" max="4" width="14.4140625" customWidth="1"/>
  </cols>
  <sheetData>
    <row r="1" spans="1:4" x14ac:dyDescent="0.45">
      <c r="A1" s="18" t="s">
        <v>37</v>
      </c>
      <c r="B1" s="18" t="s">
        <v>33</v>
      </c>
      <c r="C1" s="18" t="s">
        <v>38</v>
      </c>
      <c r="D1" s="18" t="s">
        <v>44</v>
      </c>
    </row>
    <row r="2" spans="1:4" x14ac:dyDescent="0.45">
      <c r="A2" s="18" t="s">
        <v>8</v>
      </c>
      <c r="B2" s="19">
        <v>563178660</v>
      </c>
      <c r="C2" s="19">
        <v>187726220</v>
      </c>
      <c r="D2" s="19">
        <v>179957540</v>
      </c>
    </row>
    <row r="3" spans="1:4" x14ac:dyDescent="0.45">
      <c r="A3" s="18" t="s">
        <v>9</v>
      </c>
      <c r="B3" s="19">
        <v>1647429420</v>
      </c>
      <c r="C3" s="19">
        <v>549143140</v>
      </c>
      <c r="D3" s="19">
        <v>642539340</v>
      </c>
    </row>
    <row r="4" spans="1:4" x14ac:dyDescent="0.45">
      <c r="A4" s="18" t="s">
        <v>10</v>
      </c>
      <c r="B4" s="19">
        <v>2453153500</v>
      </c>
      <c r="C4" s="19">
        <v>817717500</v>
      </c>
      <c r="D4" s="19">
        <v>1608830495</v>
      </c>
    </row>
    <row r="5" spans="1:4" x14ac:dyDescent="0.45">
      <c r="A5" s="18" t="s">
        <v>11</v>
      </c>
      <c r="B5" s="19">
        <v>2542452000</v>
      </c>
      <c r="C5" s="19">
        <v>847484010</v>
      </c>
      <c r="D5" s="19">
        <v>2353786685</v>
      </c>
    </row>
    <row r="6" spans="1:4" x14ac:dyDescent="0.45">
      <c r="A6" s="18" t="s">
        <v>12</v>
      </c>
      <c r="B6" s="19">
        <v>3383281667</v>
      </c>
      <c r="C6" s="19">
        <v>1127760555</v>
      </c>
      <c r="D6" s="19">
        <v>2724323200</v>
      </c>
    </row>
    <row r="7" spans="1:4" x14ac:dyDescent="0.45">
      <c r="A7" s="18" t="s">
        <v>14</v>
      </c>
      <c r="B7" s="19">
        <v>3485264580</v>
      </c>
      <c r="C7" s="19">
        <v>1161754860</v>
      </c>
      <c r="D7" s="19">
        <v>3145303350</v>
      </c>
    </row>
    <row r="8" spans="1:4" x14ac:dyDescent="0.45">
      <c r="A8" s="18" t="s">
        <v>13</v>
      </c>
      <c r="B8" s="19">
        <v>0</v>
      </c>
      <c r="C8" s="19">
        <v>0</v>
      </c>
      <c r="D8" s="19">
        <v>3630339550</v>
      </c>
    </row>
    <row r="9" spans="1:4" x14ac:dyDescent="0.45">
      <c r="A9" s="18" t="s">
        <v>35</v>
      </c>
      <c r="B9" s="19">
        <v>5598365800</v>
      </c>
      <c r="C9" s="18">
        <v>0</v>
      </c>
      <c r="D9" s="19">
        <v>4686646600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시간표</vt:lpstr>
      <vt:lpstr>데이터</vt:lpstr>
      <vt:lpstr>숙제경험치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2023-01-10T06:37:35Z</dcterms:modified>
</cp:coreProperties>
</file>