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 Jin Won\OneDrive\문서\"/>
    </mc:Choice>
  </mc:AlternateContent>
  <xr:revisionPtr revIDLastSave="0" documentId="13_ncr:1_{A72C9149-0D8E-4327-8904-F65BAF5E5ABA}" xr6:coauthVersionLast="47" xr6:coauthVersionMax="47" xr10:uidLastSave="{00000000-0000-0000-0000-000000000000}"/>
  <bookViews>
    <workbookView xWindow="-108" yWindow="-108" windowWidth="23256" windowHeight="12576" xr2:uid="{AA5573E3-514A-4CBA-827C-010367FA231A}"/>
  </bookViews>
  <sheets>
    <sheet name="332 운부치피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2" l="1"/>
  <c r="M52" i="2" s="1"/>
  <c r="M50" i="2"/>
  <c r="E9" i="2"/>
  <c r="E23" i="2"/>
  <c r="G16" i="2"/>
  <c r="G15" i="2"/>
  <c r="G14" i="2"/>
  <c r="G56" i="2"/>
  <c r="G54" i="2"/>
  <c r="G52" i="2"/>
  <c r="O56" i="2"/>
  <c r="O54" i="2"/>
  <c r="O52" i="2"/>
  <c r="O42" i="2"/>
  <c r="O40" i="2"/>
  <c r="O38" i="2"/>
  <c r="E17" i="2"/>
  <c r="G17" i="2"/>
  <c r="E27" i="2"/>
  <c r="E6" i="2"/>
  <c r="E5" i="2"/>
  <c r="F17" i="2"/>
  <c r="E36" i="2"/>
  <c r="D36" i="2"/>
  <c r="E20" i="2"/>
  <c r="D12" i="2"/>
  <c r="D50" i="2" s="1"/>
  <c r="F12" i="2"/>
  <c r="F16" i="2"/>
  <c r="E16" i="2"/>
  <c r="F15" i="2"/>
  <c r="E15" i="2"/>
  <c r="E14" i="2"/>
  <c r="F14" i="2"/>
  <c r="G13" i="2"/>
  <c r="E38" i="2" l="1"/>
  <c r="H38" i="2" s="1"/>
  <c r="P52" i="2"/>
  <c r="M53" i="2"/>
  <c r="M54" i="2"/>
  <c r="M55" i="2" s="1"/>
  <c r="M56" i="2"/>
  <c r="M57" i="2" s="1"/>
  <c r="M36" i="2"/>
  <c r="L36" i="2"/>
  <c r="E50" i="2"/>
  <c r="E52" i="2" s="1"/>
  <c r="E40" i="2"/>
  <c r="H40" i="2" s="1"/>
  <c r="E44" i="2"/>
  <c r="H44" i="2" s="1"/>
  <c r="E42" i="2"/>
  <c r="H42" i="2" s="1"/>
  <c r="M58" i="2" l="1"/>
  <c r="P58" i="2" s="1"/>
  <c r="M38" i="2"/>
  <c r="O39" i="2" s="1"/>
  <c r="E58" i="2"/>
  <c r="H58" i="2" s="1"/>
  <c r="E56" i="2"/>
  <c r="H56" i="2" s="1"/>
  <c r="E54" i="2"/>
  <c r="H54" i="2" s="1"/>
  <c r="H52" i="2"/>
  <c r="P56" i="2"/>
  <c r="O55" i="2"/>
  <c r="O53" i="2"/>
  <c r="L53" i="2"/>
  <c r="M44" i="2"/>
  <c r="M40" i="2"/>
  <c r="M41" i="2" s="1"/>
  <c r="M42" i="2"/>
  <c r="O43" i="2" s="1"/>
  <c r="D47" i="2"/>
  <c r="M39" i="2" l="1"/>
  <c r="D61" i="2"/>
  <c r="J9" i="2" s="1"/>
  <c r="L39" i="2"/>
  <c r="L57" i="2"/>
  <c r="O57" i="2"/>
  <c r="P54" i="2"/>
  <c r="L55" i="2"/>
  <c r="O41" i="2"/>
  <c r="L41" i="2"/>
  <c r="M43" i="2"/>
  <c r="L43" i="2"/>
  <c r="P38" i="2"/>
  <c r="P40" i="2"/>
  <c r="P42" i="2"/>
  <c r="P44" i="2"/>
  <c r="Q42" i="2" l="1"/>
  <c r="Q40" i="2"/>
  <c r="Q56" i="2"/>
  <c r="Q52" i="2"/>
  <c r="Q54" i="2"/>
  <c r="Q38" i="2"/>
  <c r="E25" i="2" l="1"/>
  <c r="L61" i="2" s="1"/>
  <c r="L47" i="2" l="1"/>
  <c r="J7" i="2" s="1"/>
  <c r="L62" i="2" l="1"/>
  <c r="D62" i="2"/>
  <c r="J8" i="2"/>
</calcChain>
</file>

<file path=xl/sharedStrings.xml><?xml version="1.0" encoding="utf-8"?>
<sst xmlns="http://schemas.openxmlformats.org/spreadsheetml/2006/main" count="124" uniqueCount="57">
  <si>
    <t>레인</t>
    <phoneticPr fontId="1" type="noConversion"/>
  </si>
  <si>
    <t>시가</t>
    <phoneticPr fontId="1" type="noConversion"/>
  </si>
  <si>
    <t>포카</t>
    <phoneticPr fontId="1" type="noConversion"/>
  </si>
  <si>
    <t>세렌</t>
    <phoneticPr fontId="1" type="noConversion"/>
  </si>
  <si>
    <t>치</t>
    <phoneticPr fontId="1" type="noConversion"/>
  </si>
  <si>
    <t>특</t>
    <phoneticPr fontId="1" type="noConversion"/>
  </si>
  <si>
    <t>노팔찌</t>
    <phoneticPr fontId="1" type="noConversion"/>
  </si>
  <si>
    <t>팔찌옵</t>
    <phoneticPr fontId="1" type="noConversion"/>
  </si>
  <si>
    <t>신</t>
    <phoneticPr fontId="1" type="noConversion"/>
  </si>
  <si>
    <t>정밀</t>
    <phoneticPr fontId="1" type="noConversion"/>
  </si>
  <si>
    <t>순환</t>
    <phoneticPr fontId="1" type="noConversion"/>
  </si>
  <si>
    <t>우월</t>
    <phoneticPr fontId="1" type="noConversion"/>
  </si>
  <si>
    <t>쐐기</t>
    <phoneticPr fontId="1" type="noConversion"/>
  </si>
  <si>
    <t>망치</t>
    <phoneticPr fontId="1" type="noConversion"/>
  </si>
  <si>
    <t>열정</t>
    <phoneticPr fontId="1" type="noConversion"/>
  </si>
  <si>
    <t>비수</t>
    <phoneticPr fontId="1" type="noConversion"/>
  </si>
  <si>
    <t>약점 노출</t>
    <phoneticPr fontId="1" type="noConversion"/>
  </si>
  <si>
    <t>습격</t>
    <phoneticPr fontId="1" type="noConversion"/>
  </si>
  <si>
    <t>치적 종합</t>
    <phoneticPr fontId="1" type="noConversion"/>
  </si>
  <si>
    <t>치피 종합</t>
    <phoneticPr fontId="1" type="noConversion"/>
  </si>
  <si>
    <t>각인</t>
    <phoneticPr fontId="1" type="noConversion"/>
  </si>
  <si>
    <t>원한</t>
    <phoneticPr fontId="1" type="noConversion"/>
  </si>
  <si>
    <t>아드3</t>
  </si>
  <si>
    <t>치적</t>
    <phoneticPr fontId="1" type="noConversion"/>
  </si>
  <si>
    <t>치피</t>
    <phoneticPr fontId="1" type="noConversion"/>
  </si>
  <si>
    <t>공증</t>
    <phoneticPr fontId="1" type="noConversion"/>
  </si>
  <si>
    <t>피증</t>
    <phoneticPr fontId="1" type="noConversion"/>
  </si>
  <si>
    <t>타대</t>
  </si>
  <si>
    <t>스킬 사용 횟수
배율 (레인 기준)</t>
    <phoneticPr fontId="1" type="noConversion"/>
  </si>
  <si>
    <t>딜 기대값</t>
    <phoneticPr fontId="1" type="noConversion"/>
  </si>
  <si>
    <t>97용 2각인</t>
    <phoneticPr fontId="1" type="noConversion"/>
  </si>
  <si>
    <t>X</t>
  </si>
  <si>
    <t>97이면 여기 X 선택</t>
    <phoneticPr fontId="1" type="noConversion"/>
  </si>
  <si>
    <t>무품</t>
    <phoneticPr fontId="1" type="noConversion"/>
  </si>
  <si>
    <t>갈망</t>
    <phoneticPr fontId="1" type="noConversion"/>
  </si>
  <si>
    <t>지능</t>
    <phoneticPr fontId="1" type="noConversion"/>
  </si>
  <si>
    <t>무기 공격력</t>
    <phoneticPr fontId="1" type="noConversion"/>
  </si>
  <si>
    <t>아드2면 여기서 선택</t>
    <phoneticPr fontId="1" type="noConversion"/>
  </si>
  <si>
    <t>각인 O 팔찌 O</t>
    <phoneticPr fontId="1" type="noConversion"/>
  </si>
  <si>
    <t>각인 X, 팔찌 X</t>
    <phoneticPr fontId="1" type="noConversion"/>
  </si>
  <si>
    <t>각인 O, 팔찌 X</t>
    <phoneticPr fontId="1" type="noConversion"/>
  </si>
  <si>
    <t>각인 X 팔찌 O</t>
    <phoneticPr fontId="1" type="noConversion"/>
  </si>
  <si>
    <t>각인 기준 팔찌 효율</t>
    <phoneticPr fontId="1" type="noConversion"/>
  </si>
  <si>
    <t>팔찌 기준 각인 효율</t>
    <phoneticPr fontId="1" type="noConversion"/>
  </si>
  <si>
    <t>각인 배율
원저바타아황1 기준</t>
    <phoneticPr fontId="1" type="noConversion"/>
  </si>
  <si>
    <t>각인 셀 누르면 선택 가능</t>
    <phoneticPr fontId="1" type="noConversion"/>
  </si>
  <si>
    <t>악몽 세트 레벨</t>
    <phoneticPr fontId="1" type="noConversion"/>
  </si>
  <si>
    <t>끝마 가동률 70%</t>
    <phoneticPr fontId="1" type="noConversion"/>
  </si>
  <si>
    <t>돌대</t>
  </si>
  <si>
    <t>저받</t>
  </si>
  <si>
    <t>황후1</t>
  </si>
  <si>
    <t>하</t>
    <phoneticPr fontId="1" type="noConversion"/>
  </si>
  <si>
    <t>중</t>
    <phoneticPr fontId="1" type="noConversion"/>
  </si>
  <si>
    <t>상</t>
    <phoneticPr fontId="1" type="noConversion"/>
  </si>
  <si>
    <t>약노</t>
    <phoneticPr fontId="1" type="noConversion"/>
  </si>
  <si>
    <t>도태</t>
    <phoneticPr fontId="1" type="noConversion"/>
  </si>
  <si>
    <t>쐐망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</si>
</sst>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10" fontId="0" fillId="0" borderId="7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CF1E-2170-43E1-8563-939D412CE31F}">
  <dimension ref="B2:AE73"/>
  <sheetViews>
    <sheetView tabSelected="1" zoomScale="58" zoomScaleNormal="58" workbookViewId="0">
      <selection activeCell="D21" sqref="D21"/>
    </sheetView>
  </sheetViews>
  <sheetFormatPr defaultRowHeight="17.399999999999999" x14ac:dyDescent="0.4"/>
  <cols>
    <col min="2" max="2" width="21.796875" customWidth="1"/>
    <col min="3" max="8" width="14.69921875" customWidth="1"/>
    <col min="9" max="9" width="17.796875" customWidth="1"/>
    <col min="10" max="12" width="14.69921875" customWidth="1"/>
    <col min="13" max="13" width="16.296875" customWidth="1"/>
    <col min="14" max="14" width="15.796875" customWidth="1"/>
    <col min="15" max="28" width="14.796875" customWidth="1"/>
  </cols>
  <sheetData>
    <row r="2" spans="2:31" x14ac:dyDescent="0.4">
      <c r="B2" s="6" t="s">
        <v>6</v>
      </c>
      <c r="C2" s="16" t="s">
        <v>4</v>
      </c>
      <c r="D2" s="10">
        <v>550</v>
      </c>
      <c r="E2" s="10"/>
      <c r="F2" s="10"/>
      <c r="G2" s="7"/>
      <c r="H2" s="3"/>
      <c r="I2" s="3" t="s">
        <v>47</v>
      </c>
      <c r="J2" s="3"/>
      <c r="O2" s="3"/>
      <c r="P2" s="3"/>
      <c r="R2" s="3"/>
      <c r="S2" s="3"/>
      <c r="T2" s="3"/>
      <c r="U2" s="3"/>
      <c r="V2" s="3"/>
      <c r="W2" s="3"/>
      <c r="X2" s="3"/>
      <c r="Y2" s="3"/>
      <c r="Z2" s="3"/>
      <c r="AE2" s="3"/>
    </row>
    <row r="3" spans="2:31" x14ac:dyDescent="0.4">
      <c r="B3" s="11"/>
      <c r="C3" s="17" t="s">
        <v>5</v>
      </c>
      <c r="D3" s="3">
        <v>1660</v>
      </c>
      <c r="E3" s="3"/>
      <c r="F3" s="3"/>
      <c r="G3" s="12"/>
      <c r="H3" s="3"/>
      <c r="I3" s="3"/>
      <c r="J3" s="3"/>
      <c r="O3" s="3"/>
      <c r="P3" s="3"/>
      <c r="R3" s="3"/>
      <c r="S3" s="3"/>
      <c r="T3" s="3"/>
      <c r="U3" s="3"/>
      <c r="V3" s="3"/>
      <c r="W3" s="3"/>
      <c r="X3" s="3"/>
      <c r="Y3" s="3"/>
      <c r="Z3" s="3"/>
      <c r="AE3" s="3"/>
    </row>
    <row r="4" spans="2:31" x14ac:dyDescent="0.4">
      <c r="B4" s="11"/>
      <c r="C4" s="17" t="s">
        <v>8</v>
      </c>
      <c r="D4" s="3">
        <v>56</v>
      </c>
      <c r="E4" s="3"/>
      <c r="F4" s="3"/>
      <c r="G4" s="12"/>
      <c r="H4" s="3"/>
      <c r="I4" s="3"/>
      <c r="J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E4" s="3"/>
    </row>
    <row r="5" spans="2:31" x14ac:dyDescent="0.4">
      <c r="B5" s="13"/>
      <c r="C5" s="17" t="s">
        <v>33</v>
      </c>
      <c r="D5" s="3">
        <v>90</v>
      </c>
      <c r="E5" s="5">
        <f>10+0.002*D5^2</f>
        <v>26.2</v>
      </c>
      <c r="F5" s="3"/>
      <c r="G5" s="12"/>
      <c r="H5" s="3"/>
      <c r="I5" s="3"/>
      <c r="J5" s="3"/>
      <c r="O5" s="3"/>
      <c r="P5" s="3"/>
      <c r="S5" s="3"/>
      <c r="T5" s="3"/>
      <c r="U5" s="5"/>
      <c r="V5" s="3"/>
      <c r="W5" s="3"/>
      <c r="X5" s="3"/>
      <c r="Y5" s="3"/>
      <c r="Z5" s="3"/>
      <c r="AE5" s="3"/>
    </row>
    <row r="6" spans="2:31" x14ac:dyDescent="0.4">
      <c r="B6" s="13"/>
      <c r="C6" s="17" t="s">
        <v>34</v>
      </c>
      <c r="D6" s="3">
        <v>3</v>
      </c>
      <c r="E6" s="3">
        <f>6+D6*2</f>
        <v>12</v>
      </c>
      <c r="G6" s="14"/>
      <c r="O6" s="3"/>
      <c r="S6" s="3"/>
      <c r="T6" s="3"/>
      <c r="U6" s="3"/>
    </row>
    <row r="7" spans="2:31" x14ac:dyDescent="0.4">
      <c r="B7" s="13"/>
      <c r="C7" s="17" t="s">
        <v>35</v>
      </c>
      <c r="D7" s="3">
        <v>232639</v>
      </c>
      <c r="G7" s="14"/>
      <c r="I7" s="22" t="s">
        <v>42</v>
      </c>
      <c r="J7" s="25">
        <f>L47/D61-1</f>
        <v>2.4061137162153079E-2</v>
      </c>
      <c r="P7" s="41" t="s">
        <v>13</v>
      </c>
      <c r="Q7" s="39" t="s">
        <v>51</v>
      </c>
      <c r="R7" s="37" t="s">
        <v>52</v>
      </c>
      <c r="S7" s="35" t="s">
        <v>53</v>
      </c>
    </row>
    <row r="8" spans="2:31" x14ac:dyDescent="0.4">
      <c r="B8" s="13"/>
      <c r="C8" s="17" t="s">
        <v>36</v>
      </c>
      <c r="D8" s="3">
        <v>61381</v>
      </c>
      <c r="G8" s="14"/>
      <c r="I8" s="23" t="s">
        <v>43</v>
      </c>
      <c r="J8" s="24">
        <f>L47/L61-1</f>
        <v>1.6501711674604742</v>
      </c>
      <c r="P8" s="11"/>
      <c r="Q8" s="34">
        <v>2.7799999999999998E-2</v>
      </c>
      <c r="R8" s="31">
        <v>3.4799999999999998E-2</v>
      </c>
      <c r="S8" s="24">
        <v>4.1751692518962713E-2</v>
      </c>
    </row>
    <row r="9" spans="2:31" x14ac:dyDescent="0.4">
      <c r="B9" s="13"/>
      <c r="C9" s="18" t="s">
        <v>46</v>
      </c>
      <c r="D9" s="3">
        <v>3</v>
      </c>
      <c r="E9" s="3">
        <f>IF(D9=1,15,IF(D9=2,18,20))*0.7</f>
        <v>14</v>
      </c>
      <c r="G9" s="14"/>
      <c r="I9" s="26" t="s">
        <v>44</v>
      </c>
      <c r="J9" s="28">
        <f>D61/37828563.1016796</f>
        <v>1.0229183620726734</v>
      </c>
      <c r="P9" s="11"/>
      <c r="Q9" s="13"/>
      <c r="R9" s="32"/>
      <c r="S9" s="14"/>
    </row>
    <row r="10" spans="2:31" x14ac:dyDescent="0.4">
      <c r="B10" s="11" t="s">
        <v>20</v>
      </c>
      <c r="C10" s="3"/>
      <c r="D10" s="19" t="s">
        <v>23</v>
      </c>
      <c r="E10" s="20" t="s">
        <v>24</v>
      </c>
      <c r="F10" s="20" t="s">
        <v>25</v>
      </c>
      <c r="G10" s="21" t="s">
        <v>26</v>
      </c>
      <c r="H10" s="3"/>
      <c r="I10" s="27"/>
      <c r="J10" s="29"/>
      <c r="P10" s="42" t="s">
        <v>10</v>
      </c>
      <c r="Q10" s="40" t="s">
        <v>51</v>
      </c>
      <c r="R10" s="38" t="s">
        <v>52</v>
      </c>
      <c r="S10" s="36" t="s">
        <v>53</v>
      </c>
      <c r="W10" s="3"/>
      <c r="X10" s="3"/>
      <c r="Y10" s="3"/>
      <c r="Z10" s="3"/>
      <c r="AE10" s="3"/>
    </row>
    <row r="11" spans="2:31" x14ac:dyDescent="0.4">
      <c r="B11" s="11" t="s">
        <v>45</v>
      </c>
      <c r="C11" s="16" t="s">
        <v>21</v>
      </c>
      <c r="D11" s="3"/>
      <c r="E11" s="3"/>
      <c r="F11" s="3"/>
      <c r="G11" s="12">
        <v>20</v>
      </c>
      <c r="H11" s="3"/>
      <c r="I11" s="3"/>
      <c r="J11" s="3"/>
      <c r="P11" s="11"/>
      <c r="Q11" s="34">
        <v>3.0591497470525475E-2</v>
      </c>
      <c r="R11" s="31">
        <v>3.6840371325952415E-2</v>
      </c>
      <c r="S11" s="24">
        <v>4.3089245181379354E-2</v>
      </c>
      <c r="W11" s="3"/>
      <c r="X11" s="3"/>
      <c r="Y11" s="3"/>
      <c r="Z11" s="3"/>
      <c r="AE11" s="3"/>
    </row>
    <row r="12" spans="2:31" x14ac:dyDescent="0.4">
      <c r="B12" s="11" t="s">
        <v>37</v>
      </c>
      <c r="C12" s="17" t="s">
        <v>22</v>
      </c>
      <c r="D12" s="3">
        <f>IF(C12="아드1",5,IF(C12="아드2",10,15))</f>
        <v>15</v>
      </c>
      <c r="E12" s="3"/>
      <c r="F12" s="3">
        <f>IF(C12="아드1",1.8,IF(C12="아드2",3.6,6))</f>
        <v>6</v>
      </c>
      <c r="G12" s="12"/>
      <c r="H12" s="3"/>
      <c r="I12" s="3"/>
      <c r="J12" s="3"/>
      <c r="P12" s="11"/>
      <c r="Q12" s="13"/>
      <c r="R12" s="32"/>
      <c r="S12" s="12"/>
      <c r="W12" s="3"/>
      <c r="X12" s="3"/>
      <c r="Y12" s="3"/>
      <c r="Z12" s="3"/>
      <c r="AE12" s="3"/>
    </row>
    <row r="13" spans="2:31" x14ac:dyDescent="0.4">
      <c r="B13" s="11"/>
      <c r="C13" s="17" t="s">
        <v>50</v>
      </c>
      <c r="D13" s="3"/>
      <c r="E13" s="3"/>
      <c r="F13" s="3"/>
      <c r="G13" s="12">
        <f>IF(C13="황후1",20,IF(C13="황후2",25,30))</f>
        <v>20</v>
      </c>
      <c r="H13" s="3"/>
      <c r="I13" s="3"/>
      <c r="J13" s="3"/>
      <c r="K13" s="3"/>
      <c r="P13" s="42" t="s">
        <v>15</v>
      </c>
      <c r="Q13" s="40" t="s">
        <v>51</v>
      </c>
      <c r="R13" s="38" t="s">
        <v>52</v>
      </c>
      <c r="S13" s="36" t="s">
        <v>53</v>
      </c>
      <c r="W13" s="3"/>
      <c r="X13" s="3"/>
      <c r="Y13" s="3"/>
      <c r="Z13" s="3"/>
      <c r="AE13" s="3"/>
    </row>
    <row r="14" spans="2:31" ht="16.2" customHeight="1" x14ac:dyDescent="0.4">
      <c r="B14" s="11"/>
      <c r="C14" s="17" t="s">
        <v>27</v>
      </c>
      <c r="D14" s="3"/>
      <c r="E14" s="3">
        <f>IF(C14="예둔",50,0)</f>
        <v>0</v>
      </c>
      <c r="F14" s="3">
        <f>IF(C14="저받",16,0)</f>
        <v>0</v>
      </c>
      <c r="G14" s="12">
        <f>IF(C14="바리",15.5,IF(C14="돌대",18,IF(C14="타대",14.5,)))</f>
        <v>14.5</v>
      </c>
      <c r="H14" s="3"/>
      <c r="I14" s="3"/>
      <c r="J14" s="3"/>
      <c r="K14" s="3"/>
      <c r="P14" s="11"/>
      <c r="Q14" s="34">
        <v>9.079999999999977E-3</v>
      </c>
      <c r="R14" s="31">
        <v>1.0599999999999943E-2</v>
      </c>
      <c r="S14" s="24">
        <v>1.2659999999999894E-2</v>
      </c>
      <c r="W14" s="3"/>
      <c r="X14" s="3"/>
      <c r="Y14" s="3"/>
      <c r="Z14" s="3"/>
      <c r="AE14" s="3"/>
    </row>
    <row r="15" spans="2:31" x14ac:dyDescent="0.4">
      <c r="B15" s="11"/>
      <c r="C15" s="17" t="s">
        <v>48</v>
      </c>
      <c r="D15" s="3"/>
      <c r="E15" s="3">
        <f>IF(C15="예둔",50,0)</f>
        <v>0</v>
      </c>
      <c r="F15" s="3">
        <f>IF(C15="저받",16,0)</f>
        <v>0</v>
      </c>
      <c r="G15" s="12">
        <f>IF(C15="바리",15.5,IF(C15="돌대",18,IF(C15="타대",14.5,)))</f>
        <v>18</v>
      </c>
      <c r="H15" s="3"/>
      <c r="I15" s="3"/>
      <c r="J15" s="3"/>
      <c r="K15" s="3"/>
      <c r="P15" s="11"/>
      <c r="Q15" s="13"/>
      <c r="R15" s="32"/>
      <c r="S15" s="12"/>
      <c r="W15" s="3"/>
      <c r="X15" s="3"/>
      <c r="Y15" s="3"/>
      <c r="Z15" s="3"/>
      <c r="AE15" s="3"/>
    </row>
    <row r="16" spans="2:31" x14ac:dyDescent="0.4">
      <c r="B16" s="11" t="s">
        <v>32</v>
      </c>
      <c r="C16" s="17" t="s">
        <v>49</v>
      </c>
      <c r="D16" s="3"/>
      <c r="E16" s="3">
        <f>IF(C16="예둔",50,0)</f>
        <v>0</v>
      </c>
      <c r="F16" s="3">
        <f>IF(C16="저받",16,0)</f>
        <v>16</v>
      </c>
      <c r="G16" s="12">
        <f>IF(C16="바리",15.5,IF(C16="돌대",18,IF(C16="타대",14.5,)))</f>
        <v>0</v>
      </c>
      <c r="H16" s="3"/>
      <c r="I16" s="3"/>
      <c r="J16" s="3"/>
      <c r="K16" s="3"/>
      <c r="P16" s="42" t="s">
        <v>12</v>
      </c>
      <c r="Q16" s="40" t="s">
        <v>51</v>
      </c>
      <c r="R16" s="38" t="s">
        <v>52</v>
      </c>
      <c r="S16" s="36" t="s">
        <v>53</v>
      </c>
      <c r="W16" s="3"/>
      <c r="X16" s="3"/>
      <c r="Y16" s="3"/>
      <c r="Z16" s="3"/>
      <c r="AE16" s="3"/>
    </row>
    <row r="17" spans="2:31" x14ac:dyDescent="0.4">
      <c r="B17" s="11" t="s">
        <v>30</v>
      </c>
      <c r="C17" s="18" t="s">
        <v>31</v>
      </c>
      <c r="D17" s="3"/>
      <c r="E17" s="3">
        <f>IF(C17="예둔",25,0)</f>
        <v>0</v>
      </c>
      <c r="F17" s="3">
        <f>IF(C17="저받2",8,0)</f>
        <v>0</v>
      </c>
      <c r="G17" s="12">
        <f>IF(C17="바리2",7.75,IF(C17="타대2",7,IF(C17="돌대2",8.8,0)))</f>
        <v>0</v>
      </c>
      <c r="H17" s="3"/>
      <c r="I17" s="3"/>
      <c r="J17" s="3"/>
      <c r="K17" s="3"/>
      <c r="P17" s="11"/>
      <c r="Q17" s="34">
        <v>1.2483574244415152E-2</v>
      </c>
      <c r="R17" s="31">
        <v>1.6050309742819513E-2</v>
      </c>
      <c r="S17" s="24">
        <v>1.7833677492021804E-2</v>
      </c>
      <c r="W17" s="3"/>
      <c r="X17" s="3"/>
      <c r="Y17" s="3"/>
      <c r="Z17" s="3"/>
      <c r="AE17" s="3"/>
    </row>
    <row r="18" spans="2:31" x14ac:dyDescent="0.4">
      <c r="B18" s="13"/>
      <c r="G18" s="14"/>
      <c r="I18" s="3"/>
      <c r="J18" s="3"/>
      <c r="P18" s="11"/>
      <c r="Q18" s="13"/>
      <c r="R18" s="32"/>
      <c r="S18" s="14"/>
    </row>
    <row r="19" spans="2:31" x14ac:dyDescent="0.4">
      <c r="B19" s="11" t="s">
        <v>7</v>
      </c>
      <c r="C19" s="16" t="s">
        <v>4</v>
      </c>
      <c r="D19" s="3"/>
      <c r="E19" s="3"/>
      <c r="F19" s="3"/>
      <c r="G19" s="12"/>
      <c r="H19" s="3"/>
      <c r="I19" s="3"/>
      <c r="J19" s="3"/>
      <c r="P19" s="42" t="s">
        <v>54</v>
      </c>
      <c r="Q19" s="40" t="s">
        <v>51</v>
      </c>
      <c r="R19" s="38" t="s">
        <v>52</v>
      </c>
      <c r="S19" s="36" t="s">
        <v>53</v>
      </c>
      <c r="W19" s="3"/>
      <c r="X19" s="3"/>
      <c r="Y19" s="3"/>
      <c r="Z19" s="3"/>
      <c r="AE19" s="3"/>
    </row>
    <row r="20" spans="2:31" x14ac:dyDescent="0.4">
      <c r="B20" s="11"/>
      <c r="C20" s="17" t="s">
        <v>5</v>
      </c>
      <c r="D20" s="3">
        <v>88</v>
      </c>
      <c r="E20" s="3">
        <f>D20*1.1</f>
        <v>96.800000000000011</v>
      </c>
      <c r="F20" s="3"/>
      <c r="G20" s="12"/>
      <c r="H20" s="3"/>
      <c r="I20" s="3"/>
      <c r="J20" s="3"/>
      <c r="P20" s="11"/>
      <c r="Q20" s="34">
        <v>1.2218411063616541E-2</v>
      </c>
      <c r="R20" s="31">
        <v>1.4254812907552594E-2</v>
      </c>
      <c r="S20" s="24">
        <v>1.6970015366134295E-2</v>
      </c>
      <c r="W20" s="3"/>
      <c r="X20" s="3"/>
      <c r="Z20" s="3"/>
      <c r="AE20" s="3"/>
    </row>
    <row r="21" spans="2:31" x14ac:dyDescent="0.4">
      <c r="B21" s="11"/>
      <c r="C21" s="17" t="s">
        <v>8</v>
      </c>
      <c r="D21" s="3"/>
      <c r="E21" s="3"/>
      <c r="F21" s="3"/>
      <c r="G21" s="12"/>
      <c r="H21" s="3"/>
      <c r="I21" s="3"/>
      <c r="J21" s="3"/>
      <c r="P21" s="11"/>
      <c r="Q21" s="13"/>
      <c r="R21" s="32"/>
      <c r="S21" s="12"/>
      <c r="W21" s="3"/>
      <c r="X21" s="3"/>
      <c r="Y21" s="3"/>
      <c r="Z21" s="3"/>
      <c r="AE21" s="3"/>
    </row>
    <row r="22" spans="2:31" x14ac:dyDescent="0.4">
      <c r="B22" s="11"/>
      <c r="C22" s="17" t="s">
        <v>35</v>
      </c>
      <c r="D22" s="3"/>
      <c r="E22" s="3"/>
      <c r="F22" s="3"/>
      <c r="G22" s="12"/>
      <c r="H22" s="3"/>
      <c r="I22" s="3"/>
      <c r="J22" s="3"/>
      <c r="P22" s="42" t="s">
        <v>17</v>
      </c>
      <c r="Q22" s="40" t="s">
        <v>51</v>
      </c>
      <c r="R22" s="38" t="s">
        <v>52</v>
      </c>
      <c r="S22" s="36" t="s">
        <v>53</v>
      </c>
      <c r="W22" s="3"/>
      <c r="X22" s="3"/>
      <c r="Y22" s="3"/>
      <c r="Z22" s="3"/>
      <c r="AE22" s="3"/>
    </row>
    <row r="23" spans="2:31" x14ac:dyDescent="0.4">
      <c r="B23" s="11"/>
      <c r="C23" s="17" t="s">
        <v>12</v>
      </c>
      <c r="D23" s="3">
        <v>0</v>
      </c>
      <c r="E23" s="3">
        <f>(1*2+2*2+3*2+8*8)/14</f>
        <v>5.4285714285714288</v>
      </c>
      <c r="F23" s="3"/>
      <c r="G23" s="12"/>
      <c r="H23" s="3"/>
      <c r="I23" s="3"/>
      <c r="J23" s="3"/>
      <c r="P23" s="11"/>
      <c r="Q23" s="34">
        <v>2.0875846259481801E-2</v>
      </c>
      <c r="R23" s="31">
        <v>2.7834461679308475E-2</v>
      </c>
      <c r="S23" s="24">
        <v>3.4793077099135372E-2</v>
      </c>
      <c r="W23" s="3"/>
      <c r="X23" s="3"/>
      <c r="Y23" s="3"/>
      <c r="Z23" s="3"/>
      <c r="AE23" s="3"/>
    </row>
    <row r="24" spans="2:31" x14ac:dyDescent="0.4">
      <c r="B24" s="11"/>
      <c r="C24" s="17" t="s">
        <v>13</v>
      </c>
      <c r="D24" s="3">
        <v>0</v>
      </c>
      <c r="E24" s="3"/>
      <c r="F24" s="3"/>
      <c r="G24" s="12"/>
      <c r="H24" s="3"/>
      <c r="I24" s="3"/>
      <c r="J24" s="3"/>
      <c r="P24" s="11"/>
      <c r="Q24" s="13"/>
      <c r="R24" s="32"/>
      <c r="S24" s="12"/>
      <c r="W24" s="3"/>
      <c r="X24" s="3"/>
      <c r="Y24" s="3"/>
      <c r="Z24" s="3"/>
      <c r="AE24" s="3"/>
    </row>
    <row r="25" spans="2:31" x14ac:dyDescent="0.4">
      <c r="B25" s="11"/>
      <c r="C25" s="17" t="s">
        <v>10</v>
      </c>
      <c r="D25" s="3">
        <v>0</v>
      </c>
      <c r="E25" s="3">
        <f>IF(D25=3,Q38*L39+Q40*L41+Q42*L43,IF(D25=3.5,Q38*M39+Q40*M41+Q42*M43,IF(D25=4,Q38*O39+Q40*O41+Q42*O43,0)))+1</f>
        <v>1</v>
      </c>
      <c r="F25" s="3"/>
      <c r="G25" s="12"/>
      <c r="H25" s="3"/>
      <c r="I25" s="3"/>
      <c r="J25" s="3"/>
      <c r="P25" s="42" t="s">
        <v>9</v>
      </c>
      <c r="Q25" s="40" t="s">
        <v>51</v>
      </c>
      <c r="R25" s="38" t="s">
        <v>52</v>
      </c>
      <c r="S25" s="36" t="s">
        <v>53</v>
      </c>
      <c r="W25" s="3"/>
      <c r="X25" s="3"/>
      <c r="Y25" s="3"/>
      <c r="Z25" s="3"/>
      <c r="AE25" s="3"/>
    </row>
    <row r="26" spans="2:31" x14ac:dyDescent="0.4">
      <c r="B26" s="11"/>
      <c r="C26" s="17" t="s">
        <v>14</v>
      </c>
      <c r="D26" s="3">
        <v>0</v>
      </c>
      <c r="E26" s="3"/>
      <c r="F26" s="3"/>
      <c r="G26" s="12"/>
      <c r="H26" s="3"/>
      <c r="I26" s="3"/>
      <c r="J26" s="3"/>
      <c r="P26" s="43"/>
      <c r="Q26" s="34">
        <v>2.0364018439361198E-2</v>
      </c>
      <c r="R26" s="31">
        <v>2.7152024585814338E-2</v>
      </c>
      <c r="S26" s="24">
        <v>3.3940030732268145E-2</v>
      </c>
      <c r="W26" s="3"/>
      <c r="X26" s="3"/>
      <c r="Y26" s="3"/>
      <c r="Z26" s="3"/>
      <c r="AE26" s="3"/>
    </row>
    <row r="27" spans="2:31" x14ac:dyDescent="0.4">
      <c r="B27" s="11"/>
      <c r="C27" s="17" t="s">
        <v>15</v>
      </c>
      <c r="D27" s="3">
        <v>0</v>
      </c>
      <c r="E27" s="3">
        <f>IF(D27=1.8,1.00908,IF(D27=2.1,1.0106,IF(D27=2.5,1.01266,1)))</f>
        <v>1</v>
      </c>
      <c r="F27" s="3"/>
      <c r="G27" s="12"/>
      <c r="H27" s="3"/>
      <c r="I27" s="3"/>
      <c r="J27" s="3"/>
      <c r="L27" s="3"/>
      <c r="O27" s="3"/>
      <c r="P27" s="11"/>
      <c r="Q27" s="13"/>
      <c r="R27" s="33"/>
      <c r="S27" s="33"/>
      <c r="T27" s="11"/>
      <c r="U27" s="3"/>
      <c r="V27" s="3"/>
      <c r="W27" s="3"/>
      <c r="X27" s="3"/>
      <c r="Y27" s="3"/>
      <c r="Z27" s="3"/>
      <c r="AE27" s="3"/>
    </row>
    <row r="28" spans="2:31" x14ac:dyDescent="0.4">
      <c r="B28" s="11"/>
      <c r="C28" s="17" t="s">
        <v>16</v>
      </c>
      <c r="D28" s="3">
        <v>0</v>
      </c>
      <c r="E28" s="3"/>
      <c r="F28" s="3"/>
      <c r="G28" s="12"/>
      <c r="H28" s="3"/>
      <c r="I28" s="3"/>
      <c r="J28" s="3"/>
      <c r="O28" s="3"/>
      <c r="P28" s="42" t="s">
        <v>56</v>
      </c>
      <c r="Q28" s="40" t="s">
        <v>51</v>
      </c>
      <c r="R28" s="38" t="s">
        <v>52</v>
      </c>
      <c r="S28" s="36" t="s">
        <v>53</v>
      </c>
      <c r="T28" s="3"/>
      <c r="U28" s="3"/>
      <c r="V28" s="3"/>
      <c r="W28" s="3"/>
      <c r="X28" s="3"/>
      <c r="Y28" s="3"/>
      <c r="Z28" s="3"/>
      <c r="AE28" s="3"/>
    </row>
    <row r="29" spans="2:31" x14ac:dyDescent="0.4">
      <c r="B29" s="11"/>
      <c r="C29" s="17" t="s">
        <v>11</v>
      </c>
      <c r="D29" s="3">
        <v>0</v>
      </c>
      <c r="E29" s="3"/>
      <c r="F29" s="3"/>
      <c r="G29" s="12"/>
      <c r="H29" s="3"/>
      <c r="I29" s="3"/>
      <c r="J29" s="3"/>
      <c r="O29" s="3"/>
      <c r="P29" s="11"/>
      <c r="Q29" s="34">
        <v>5.6769472491642547E-2</v>
      </c>
      <c r="R29" s="31">
        <v>6.7562519883893835E-2</v>
      </c>
      <c r="S29" s="24">
        <v>7.6519014797005624E-2</v>
      </c>
      <c r="T29" s="3"/>
      <c r="U29" s="3"/>
      <c r="V29" s="3"/>
      <c r="W29" s="3"/>
      <c r="X29" s="3"/>
      <c r="Y29" s="3"/>
      <c r="Z29" s="3"/>
      <c r="AE29" s="3"/>
    </row>
    <row r="30" spans="2:31" x14ac:dyDescent="0.4">
      <c r="B30" s="11"/>
      <c r="C30" s="17" t="s">
        <v>17</v>
      </c>
      <c r="D30" s="3">
        <v>0</v>
      </c>
      <c r="E30" s="3"/>
      <c r="F30" s="3"/>
      <c r="G30" s="12"/>
      <c r="H30" s="3"/>
      <c r="I30" s="3"/>
      <c r="J30" s="3"/>
      <c r="O30" s="3"/>
      <c r="P30" s="11"/>
      <c r="Q30" s="44"/>
      <c r="R30" s="32"/>
      <c r="S30" s="9"/>
      <c r="T30" s="3"/>
      <c r="U30" s="3"/>
      <c r="V30" s="3"/>
      <c r="W30" s="3"/>
      <c r="X30" s="3"/>
      <c r="Y30" s="3"/>
      <c r="Z30" s="3"/>
      <c r="AE30" s="3"/>
    </row>
    <row r="31" spans="2:31" x14ac:dyDescent="0.4">
      <c r="B31" s="11"/>
      <c r="C31" s="17" t="s">
        <v>9</v>
      </c>
      <c r="D31" s="3">
        <v>0</v>
      </c>
      <c r="E31" s="3"/>
      <c r="F31" s="3"/>
      <c r="G31" s="12"/>
      <c r="H31" s="3"/>
      <c r="I31" s="3"/>
      <c r="J31" s="3"/>
      <c r="O31" s="3"/>
      <c r="P31" s="10"/>
      <c r="R31" s="10"/>
      <c r="S31" s="3"/>
      <c r="T31" s="3"/>
      <c r="U31" s="3"/>
      <c r="V31" s="3"/>
      <c r="W31" s="3"/>
      <c r="X31" s="3"/>
      <c r="Y31" s="3"/>
      <c r="Z31" s="3"/>
      <c r="AE31" s="3"/>
    </row>
    <row r="32" spans="2:31" x14ac:dyDescent="0.4">
      <c r="B32" s="8"/>
      <c r="C32" s="18" t="s">
        <v>36</v>
      </c>
      <c r="D32" s="15"/>
      <c r="E32" s="15"/>
      <c r="F32" s="15"/>
      <c r="G32" s="9"/>
      <c r="H32" s="3"/>
      <c r="I32" s="3"/>
      <c r="J32" s="3"/>
      <c r="O32" s="3"/>
      <c r="P32" s="3"/>
      <c r="R32" s="3"/>
      <c r="S32" s="3"/>
      <c r="T32" s="3"/>
      <c r="U32" s="3"/>
      <c r="V32" s="3"/>
      <c r="W32" s="3"/>
      <c r="X32" s="3"/>
      <c r="Y32" s="3"/>
      <c r="Z32" s="3"/>
      <c r="AE32" s="3"/>
    </row>
    <row r="33" spans="2:31" x14ac:dyDescent="0.4">
      <c r="B33" s="3"/>
      <c r="C33" s="3"/>
      <c r="D33" s="3"/>
      <c r="E33" s="3"/>
      <c r="F33" s="3"/>
      <c r="G33" s="3"/>
      <c r="H33" s="3"/>
      <c r="I33" s="3"/>
      <c r="J33" s="3"/>
      <c r="O33" s="3"/>
      <c r="P33" s="3"/>
      <c r="R33" s="3"/>
      <c r="S33" s="3"/>
      <c r="T33" s="3"/>
      <c r="U33" s="3"/>
      <c r="V33" s="3"/>
      <c r="W33" s="3"/>
      <c r="X33" s="3"/>
      <c r="Y33" s="3"/>
      <c r="Z33" s="3"/>
      <c r="AE33" s="3"/>
    </row>
    <row r="34" spans="2:31" x14ac:dyDescent="0.4">
      <c r="B34" s="3"/>
      <c r="C34" s="3"/>
      <c r="D34" s="3"/>
      <c r="E34" s="3"/>
      <c r="F34" s="3"/>
      <c r="G34" s="3"/>
      <c r="H34" s="3"/>
      <c r="I34" s="3"/>
      <c r="J34" s="3"/>
      <c r="O34" s="3"/>
      <c r="P34" s="3"/>
      <c r="R34" s="3"/>
      <c r="S34" s="3"/>
      <c r="T34" s="3"/>
      <c r="U34" s="3"/>
      <c r="V34" s="3"/>
      <c r="W34" s="3"/>
      <c r="X34" s="3"/>
      <c r="Y34" s="3"/>
      <c r="Z34" s="3"/>
      <c r="AE34" s="3"/>
    </row>
    <row r="35" spans="2:31" ht="34.799999999999997" x14ac:dyDescent="0.4">
      <c r="B35" s="3" t="s">
        <v>39</v>
      </c>
      <c r="D35" s="3" t="s">
        <v>18</v>
      </c>
      <c r="E35" s="3" t="s">
        <v>19</v>
      </c>
      <c r="F35" s="3" t="s">
        <v>55</v>
      </c>
      <c r="G35" s="4" t="s">
        <v>28</v>
      </c>
      <c r="H35" s="3" t="s">
        <v>29</v>
      </c>
      <c r="I35" s="3"/>
      <c r="J35" s="3" t="s">
        <v>38</v>
      </c>
      <c r="L35" s="3" t="s">
        <v>18</v>
      </c>
      <c r="M35" s="3" t="s">
        <v>19</v>
      </c>
      <c r="N35" s="3" t="s">
        <v>55</v>
      </c>
      <c r="O35" s="4" t="s">
        <v>28</v>
      </c>
      <c r="P35" s="3" t="s">
        <v>29</v>
      </c>
      <c r="R35" s="3"/>
      <c r="T35" s="3"/>
      <c r="U35" s="3"/>
      <c r="V35" s="4"/>
      <c r="W35" s="3"/>
      <c r="X35" s="3"/>
      <c r="Y35" s="3"/>
      <c r="AA35" s="3"/>
      <c r="AB35" s="3"/>
      <c r="AC35" s="4"/>
      <c r="AD35" s="3"/>
    </row>
    <row r="36" spans="2:31" x14ac:dyDescent="0.4">
      <c r="B36" s="3"/>
      <c r="D36" s="3">
        <f>D2/27.944</f>
        <v>19.6822215860292</v>
      </c>
      <c r="E36" s="3">
        <f>77.5</f>
        <v>77.5</v>
      </c>
      <c r="F36" s="30">
        <v>8.2000000000000003E-2</v>
      </c>
      <c r="G36" s="3"/>
      <c r="H36" s="3"/>
      <c r="I36" s="3"/>
      <c r="J36" s="3"/>
      <c r="L36" s="3">
        <f>(D2+D19)/27.944+D28+D31+D12</f>
        <v>34.6822215860292</v>
      </c>
      <c r="M36" s="3">
        <f>77.5+D24+D30+SUM(E14:E16)</f>
        <v>77.5</v>
      </c>
      <c r="N36" s="30">
        <v>8.2000000000000003E-2</v>
      </c>
      <c r="R36" s="3"/>
      <c r="T36" s="3"/>
      <c r="U36" s="3"/>
      <c r="V36" s="3"/>
      <c r="W36" s="3"/>
      <c r="X36" s="3"/>
      <c r="Y36" s="3"/>
      <c r="AA36" s="3"/>
      <c r="AB36" s="3"/>
    </row>
    <row r="37" spans="2:31" x14ac:dyDescent="0.4">
      <c r="B37" s="3"/>
      <c r="D37" s="3"/>
      <c r="E37" s="3"/>
      <c r="F37" s="3"/>
      <c r="G37" s="3"/>
      <c r="H37" s="3"/>
      <c r="I37" s="3"/>
      <c r="J37" s="3"/>
      <c r="L37" s="3"/>
      <c r="M37" s="3"/>
      <c r="N37" s="3"/>
      <c r="R37" s="3"/>
      <c r="T37" s="3"/>
      <c r="U37" s="3"/>
      <c r="V37" s="3"/>
      <c r="W37" s="3"/>
      <c r="X37" s="3"/>
      <c r="Y37" s="3"/>
      <c r="AA37" s="3"/>
      <c r="AB37" s="3"/>
    </row>
    <row r="38" spans="2:31" x14ac:dyDescent="0.4">
      <c r="B38" s="3" t="s">
        <v>0</v>
      </c>
      <c r="C38">
        <v>45</v>
      </c>
      <c r="D38" s="3">
        <v>2181151.9648217186</v>
      </c>
      <c r="E38" s="3">
        <f>1+(10+45+D36)/100+(10+45+D36)/100*E36/100</f>
        <v>2.3256094331520183</v>
      </c>
      <c r="F38" s="3"/>
      <c r="G38" s="3">
        <v>1</v>
      </c>
      <c r="H38" s="3">
        <f>D38*E38*G38</f>
        <v>5072507.5845274478</v>
      </c>
      <c r="I38" s="3"/>
      <c r="J38" s="3" t="s">
        <v>0</v>
      </c>
      <c r="K38">
        <v>45</v>
      </c>
      <c r="L38" s="3">
        <v>2181151.9648217186</v>
      </c>
      <c r="M38" s="3">
        <f>IF(AND($D$23&lt;&gt;0,$D$24&lt;&gt;0),((10+$K38+$L$36)/100+(10+$K38+$L$36)/100*$M$36/100)*6/14+((10+$K38+$L$36)/100+(10+$K38+$L$36)/100*($M$36+8)/100)*8/14+1,1+(10+$K38+$L$36)/100+(10+$K38+$L$36)/100*M36/100)</f>
        <v>2.5918594331520186</v>
      </c>
      <c r="N38" s="3"/>
      <c r="O38" s="3">
        <f>G38</f>
        <v>1</v>
      </c>
      <c r="P38" s="3">
        <f>L38*M38*O38</f>
        <v>5653239.2951612314</v>
      </c>
      <c r="Q38">
        <f>P38/(P$38+P$40+P$42)</f>
        <v>0.34677387069296967</v>
      </c>
      <c r="R38" s="3"/>
      <c r="T38" s="3"/>
      <c r="U38" s="3"/>
      <c r="V38" s="3"/>
      <c r="W38" s="3"/>
      <c r="X38" s="3"/>
      <c r="Y38" s="3"/>
      <c r="AA38" s="3"/>
      <c r="AB38" s="3"/>
      <c r="AC38" s="3"/>
      <c r="AD38" s="3"/>
    </row>
    <row r="39" spans="2:31" x14ac:dyDescent="0.4">
      <c r="B39" s="3"/>
      <c r="C39">
        <v>45</v>
      </c>
      <c r="D39" s="3"/>
      <c r="E39" s="3"/>
      <c r="F39" s="3"/>
      <c r="G39" s="3"/>
      <c r="H39" s="3"/>
      <c r="I39" s="3"/>
      <c r="J39" s="3" t="s">
        <v>10</v>
      </c>
      <c r="K39">
        <v>45</v>
      </c>
      <c r="L39" s="3">
        <f>(IF(AND($D$23&lt;&gt;0,$D$24&lt;&gt;0),((10+$K38+$L$36+5)/100+(10+$K38+$L$36+5)/100*$M$36/100)*6/14+((10+$K38+$L$36+5)/100+(10+$K38+$L$36+5)/100*($M$36+8)/100)*8/14+1,1+(10+$K38+$L$36+5)/100+(10+$K38+$L$36+5)/100*$M$36/100)/M38-1)/3+(IF(AND($D$23&lt;&gt;0,$D$24&lt;&gt;0),((10+$K38+$L$36)/100+(10+$K38+$L$36)/100*($M$36+8)/100)*6/14+((10+$K38+$L$36)/100+(10+$K38+$L$36)/100*($M$36+8+8)/100)*8/14+1,1+(10+$K38+$L$36)/100+(10+$K38+$L$36)/100*($M$36+8)/100)/$M$38-1)/3+0.03/3</f>
        <v>3.0641008435353362E-2</v>
      </c>
      <c r="M39" s="3">
        <f>(IF(AND($D$23&lt;&gt;0,$D$24&lt;&gt;0),((10+$K38+$L$36+6)/100+(10+$K38+$L$36+6)/100*$M$36/100)*6/14+((10+$K38+$L$36+6)/100+(10+$K38+$L$36+6)/100*($M$36+8)/100)*8/14+1,1+(10+$K38+$L$36+6)/100+(10+$K38+$L$36+6)/100*$M$36/100)/$M38-1)/3+(IF(AND($D$23&lt;&gt;0,$D$24&lt;&gt;0),((10+$K38+$L$36)/100+(10+$K38+$L$36)/100*($M$36+10)/100)*6/14+((10+$K38+$L$36)/100+(10+$K38+$L$36)/100*($M$36+10+8)/100)*8/14+1,1+(10+$K38+$L$36)/100+(10+$K38+$L$36)/100*($M$36+10)/100)/$M38-1)/3+0.035/3</f>
        <v>3.6897230109099316E-2</v>
      </c>
      <c r="N39" s="3"/>
      <c r="O39" s="3">
        <f>(IF(AND($D$23&lt;&gt;0,$D$24&lt;&gt;0),((10+$K38+$L$36+7)/100+(10+$K38+$L$36+7)/100*$M$36/100)*6/14+((10+$K38+$L$36+7)/100+(10+$K38+$L$36+7)/100*($M$36+8)/100)*8/14+1,1+(10+$K38+$L$36+7)/100+(10+$K38+$L$36+7)/100*$M$36/100)/$M38-1)/3+(IF(AND($D$23&lt;&gt;0,$D$24&lt;&gt;0),((10+$K38+$L$36)/100+(10+$K38+$L$36)/100*($M$36+12)/100)*6/14+((10+$K38+$L$36)/100+(10+$K38+$L$36)/100*($M$36+12+8)/100)*8/14+1,1+(10+$K38+$L$36)/100+(10+$K38+$L$36)/100*($M$36+12)/100)/$M38-1)/3+0.04/3</f>
        <v>4.315345178284527E-2</v>
      </c>
      <c r="P39" s="3"/>
      <c r="R39" s="3"/>
      <c r="T39" s="3"/>
      <c r="U39" s="3"/>
      <c r="V39" s="3"/>
      <c r="W39" s="3"/>
      <c r="X39" s="3"/>
      <c r="Y39" s="3"/>
      <c r="AA39" s="3"/>
      <c r="AB39" s="3"/>
      <c r="AC39" s="3"/>
      <c r="AD39" s="3"/>
    </row>
    <row r="40" spans="2:31" x14ac:dyDescent="0.4">
      <c r="B40" s="3" t="s">
        <v>1</v>
      </c>
      <c r="C40">
        <v>40</v>
      </c>
      <c r="D40" s="3">
        <v>1618898.9558678013</v>
      </c>
      <c r="E40" s="3">
        <f>1+(10+40+D36)/100+(10+40+D36)/100*E36/100</f>
        <v>2.2368594331520182</v>
      </c>
      <c r="F40" s="3"/>
      <c r="G40" s="3">
        <v>1.6</v>
      </c>
      <c r="H40" s="3">
        <f>D40*E40*G40</f>
        <v>5793999.0412045512</v>
      </c>
      <c r="J40" s="3" t="s">
        <v>1</v>
      </c>
      <c r="K40">
        <v>40</v>
      </c>
      <c r="L40" s="3">
        <v>1618898.9558678013</v>
      </c>
      <c r="M40" s="3">
        <f>IF(AND($D$23&lt;&gt;0,$D$24&lt;&gt;0),((10+$K40+$L$36)/100+(10+40+$L$36)/100*$M$36/100)*6/14+((10+$K40+$L$36)/100+(10+40+$L$36)/100*($M$36+8)/100)*8/14+1,1+(10+$K40+$L$36)/100+(10+$K40+$L$36)/100*$M$36/100)</f>
        <v>2.5031094331520185</v>
      </c>
      <c r="N40" s="3"/>
      <c r="O40" s="3">
        <f>G40</f>
        <v>1.6</v>
      </c>
      <c r="P40" s="3">
        <f>L40*M40*O40</f>
        <v>6483649.9964042353</v>
      </c>
      <c r="Q40">
        <f>P40/(P$38+P$40+P$42)</f>
        <v>0.39771187598515267</v>
      </c>
      <c r="R40" s="3"/>
      <c r="T40" s="3"/>
      <c r="U40" s="3"/>
      <c r="V40" s="3"/>
      <c r="W40" s="3"/>
      <c r="X40" s="3"/>
      <c r="Y40" s="3"/>
      <c r="AA40" s="3"/>
      <c r="AB40" s="3"/>
      <c r="AC40" s="3"/>
      <c r="AD40" s="3"/>
    </row>
    <row r="41" spans="2:31" x14ac:dyDescent="0.4">
      <c r="B41" s="3"/>
      <c r="C41">
        <v>40</v>
      </c>
      <c r="D41" s="3"/>
      <c r="E41" s="3"/>
      <c r="F41" s="3"/>
      <c r="G41" s="3"/>
      <c r="H41" s="3"/>
      <c r="I41" s="3"/>
      <c r="J41" s="3" t="s">
        <v>10</v>
      </c>
      <c r="K41">
        <v>40</v>
      </c>
      <c r="L41" s="3">
        <f>(IF(AND($D$23&lt;&gt;0,$D$24&lt;&gt;0),((10+$K40+$L$36+5)/100+(10+$K40+$L$36+5)/100*$M$36/100)*6/14+((10+$K40+$L$36+5)/100+(10+$K40+$L$36+5)/100*($M$36+8)/100)*8/14+1,1+(10+$K40+$L$36+5)/100+(10+$K40+$L$36+5)/100*$M$36/100)/M40-1)/3+(IF(AND($D$23&lt;&gt;0,$D$24&lt;&gt;0),((10+$K40+$L$36)/100+(10+$K40+$L$36)/100*($M$36+8)/100)*6/14+((10+$K40+$L$36)/100+(10+$K40+$L$36)/100*($M$36+8+8)/100)*8/14+1,1+(10+$K40+$L$36)/100+(10+$K40+$L$36)/100*($M$36+8)/100)/M40-1)/3+0.03/3</f>
        <v>3.0840183173261863E-2</v>
      </c>
      <c r="M41" s="3">
        <f>(IF(AND($D$23&lt;&gt;0,$D$24&lt;&gt;0),((10+$K40+$L$36+6)/100+(10+$K40+$L$36+6)/100*$M$36/100)*6/14+((10+$K40+$L$36+6)/100+(10+$K40+$L$36+6)/100*($M$36+8)/100)*8/14+1,1+(10+$K40+$L$36+6)/100+(10+$K40+$L$36+6)/100*$M$36/100)/$M40-1)/3+(IF(AND($D$23&lt;&gt;0,$D$24&lt;&gt;0),((10+$K40+$L$36)/100+(10+$K40+$L$36)/100*($M$36+10)/100)*6/14+((10+$K40+$L$36)/100+(10+$K40+$L$36)/100*($M$36+10+8)/100)*8/14+1,1+(10+$K40+$L$36)/100+(10+$K40+$L$36)/100*($M$36+10)/100)/$M40-1)/3+0.035/3</f>
        <v>3.7125963951601899E-2</v>
      </c>
      <c r="N41" s="3"/>
      <c r="O41" s="3">
        <f>(IF(AND($D$23&lt;&gt;0,$D$24&lt;&gt;0),((10+$K40+$L$36+7)/100+(10+$K40+$L$36+7)/100*$M$36/100)*6/14+((10+$K40+$L$36+7)/100+(10+$K40+$L$36+7)/100*($M$36+8)/100)*8/14+1,1+(10+$K40+$L$36+7)/100+(10+$K40+$L$36+7)/100*$M$36/100)/$M40-1)/3+(IF(AND($D$23&lt;&gt;0,$D$24&lt;&gt;0),((10+$K40+$L$36)/100+(10+$K40+$L$36)/100*($M$36+12)/100)*6/14+((10+$K40+$L$36)/100+(10+$K40+$L$36)/100*($M$36+12+8)/100)*8/14+1,1+(10+$K40+$L$36)/100+(10+$K40+$L$36)/100*($M$36+12)/100)/$M40-1)/3+0.04/3</f>
        <v>4.3411744729942019E-2</v>
      </c>
      <c r="P41" s="3"/>
      <c r="R41" s="3"/>
      <c r="T41" s="3"/>
      <c r="U41" s="3"/>
      <c r="V41" s="3"/>
      <c r="W41" s="3"/>
      <c r="X41" s="3"/>
      <c r="Y41" s="3"/>
      <c r="AA41" s="3"/>
      <c r="AB41" s="3"/>
      <c r="AC41" s="3"/>
      <c r="AD41" s="3"/>
    </row>
    <row r="42" spans="2:31" x14ac:dyDescent="0.4">
      <c r="B42" s="3" t="s">
        <v>2</v>
      </c>
      <c r="C42">
        <v>44</v>
      </c>
      <c r="D42" s="3">
        <v>1348521.5222329162</v>
      </c>
      <c r="E42" s="3">
        <f>1+(10+44+D36)/100+(10+44+D36)/100*E36/100</f>
        <v>2.3078594331520184</v>
      </c>
      <c r="F42" s="3"/>
      <c r="G42" s="3">
        <v>1.2</v>
      </c>
      <c r="H42" s="3">
        <f>D42*E42*G42</f>
        <v>3734637.7390725059</v>
      </c>
      <c r="I42" s="3"/>
      <c r="J42" s="3" t="s">
        <v>2</v>
      </c>
      <c r="K42">
        <v>44</v>
      </c>
      <c r="L42" s="3">
        <v>1348521.5222329162</v>
      </c>
      <c r="M42" s="3">
        <f>IF(AND($D$23&lt;&gt;0,$D$24&lt;&gt;0),((10+44+$L$36)/100+(10+44+$L$36)/100*$M$36/100)*6/14+((10+44+$L$36)/100+(10+44+$L$36)/100*($M$36+8)/100)*8/14+1,1+(10+44+$L$36)/100+(10+44+$L$36)/100*$M$36/100)</f>
        <v>2.5741094331520182</v>
      </c>
      <c r="N42" s="3"/>
      <c r="O42" s="3">
        <f>G42</f>
        <v>1.2</v>
      </c>
      <c r="P42" s="3">
        <f>L42*M42*O42</f>
        <v>4165490.365425922</v>
      </c>
      <c r="Q42">
        <f>P42/(P$38+P$40+P$42)</f>
        <v>0.2555142533218776</v>
      </c>
      <c r="R42" s="3"/>
      <c r="T42" s="3"/>
      <c r="U42" s="3"/>
      <c r="V42" s="3"/>
      <c r="W42" s="3"/>
      <c r="X42" s="3"/>
      <c r="Y42" s="3"/>
      <c r="AA42" s="3"/>
      <c r="AB42" s="3"/>
      <c r="AC42" s="3"/>
      <c r="AD42" s="3"/>
    </row>
    <row r="43" spans="2:31" x14ac:dyDescent="0.4">
      <c r="B43" s="3"/>
      <c r="C43">
        <v>44</v>
      </c>
      <c r="D43" s="3"/>
      <c r="E43" s="3"/>
      <c r="F43" s="3"/>
      <c r="G43" s="3"/>
      <c r="H43" s="3"/>
      <c r="I43" s="3"/>
      <c r="J43" s="3" t="s">
        <v>10</v>
      </c>
      <c r="K43">
        <v>44</v>
      </c>
      <c r="L43" s="3">
        <f>(IF(AND($D$23&lt;&gt;0,$D$24&lt;&gt;0),((10+$K42+$L$36+5)/100+(10+$K42+$L$36+5)/100*$M$36/100)*6/14+((10+$K42+$L$36+5)/100+(10+$K42+$L$36+5)/100*($M$36+8)/100)*8/14+1,1+(10+$K42+$L$36+5)/100+(10+$K42+$L$36+5)/100*$M$36/100)/M42-1)/3+(IF(AND($D$23&lt;&gt;0,$D$24&lt;&gt;0),((10+$K42+$L$36)/100+(10+$K42+$L$36)/100*($M$36+8)/100)*6/14+((10+$K42+$L$36)/100+(10+$K42+$L$36)/100*($M$36+8+8)/100)*8/14+1,1+(10+$K42+$L$36)/100+(10+$K42+$L$36)/100*($M$36+8)/100)/M42-1)/3+0.03/3</f>
        <v>3.0679744641272606E-2</v>
      </c>
      <c r="M43" s="3">
        <f>(IF(AND($D$23&lt;&gt;0,$D$24&lt;&gt;0),((10+$K42+$L$36+6)/100+(10+$K42+$L$36+6)/100*$M$36/100)*6/14+((10+$K42+$L$36+6)/100+(10+$K42+$L$36+6)/100*($M$36+8)/100)*8/14+1,1+(10+$K42+$L$36+6)/100+(10+$K42+$L$36+6)/100*$M$36/100)/$M42-1)/3+(IF(AND($D$23&lt;&gt;0,$D$24&lt;&gt;0),((10+$K42+$L$36)/100+(10+$K42+$L$36)/100*($M$36+10)/100)*6/14+((10+$K42+$L$36)/100+(10+$K42+$L$36)/100*($M$36+10+8)/100)*8/14+1,1+(10+$K42+$L$36)/100+(10+$K42+$L$36)/100*($M$36+10)/100)/$M42-1)/3+0.035/3</f>
        <v>3.6941715073994449E-2</v>
      </c>
      <c r="N43" s="3"/>
      <c r="O43" s="3">
        <f>(IF(AND($D$23&lt;&gt;0,$D$24&lt;&gt;0),((10+$K42+$L$36+7)/100+(10+$K42+$L$36+7)/100*$M$36/100)*6/14+((10+$K42+$L$36+7)/100+(10+$K42+$L$36+7)/100*($M$36+8)/100)*8/14+1,1+(10+$K42+$L$36+7)/100+(10+$K42+$L$36+7)/100*$M$36/100)/$M42-1)/3+(IF(AND($D$23&lt;&gt;0,$D$24&lt;&gt;0),((10+$K42+$L$36)/100+(10+$K42+$L$36)/100*($M$36+12)/100)*6/14+((10+$K42+$L$36)/100+(10+$K42+$L$36)/100*($M$36+12+8)/100)*8/14+1,1+(10+$K42+$L$36)/100+(10+$K42+$L$36)/100*($M$36+12)/100)/$M42-1)/3+0.04/3</f>
        <v>4.3203685506716445E-2</v>
      </c>
      <c r="R43" s="3"/>
      <c r="T43" s="3"/>
      <c r="U43" s="3"/>
      <c r="V43" s="3"/>
      <c r="W43" s="3"/>
      <c r="X43" s="3"/>
      <c r="Y43" s="3"/>
      <c r="AA43" s="3"/>
      <c r="AB43" s="3"/>
      <c r="AC43" s="3"/>
    </row>
    <row r="44" spans="2:31" x14ac:dyDescent="0.4">
      <c r="B44" s="3" t="s">
        <v>3</v>
      </c>
      <c r="C44">
        <v>0</v>
      </c>
      <c r="D44" s="3">
        <v>726201.7383733585</v>
      </c>
      <c r="E44" s="3">
        <f>1+(10+D36)/100+(10+D36)/100*(E36+504)/100</f>
        <v>3.02284340108789</v>
      </c>
      <c r="F44" s="3"/>
      <c r="G44" s="3"/>
      <c r="H44" s="3">
        <f>D44*E44*G44</f>
        <v>0</v>
      </c>
      <c r="I44" s="3"/>
      <c r="J44" s="3" t="s">
        <v>3</v>
      </c>
      <c r="K44">
        <v>0</v>
      </c>
      <c r="L44" s="3">
        <v>726201.7383733585</v>
      </c>
      <c r="M44" s="3">
        <f>IF(AND($D$23&lt;&gt;0,$D$24&lt;&gt;0),((10+$L$36)/100+(10+$L$36)/100*(504+$M$36)/100)*6/14+((10+$L$36)/100+(10+45+$L$36)/100*($M$36+8+504)/100)*8/14+1,1+(10+$L$36)/100+(10+$L$36)/100*($M$36+504)/100)</f>
        <v>4.0450934010878896</v>
      </c>
      <c r="N44" s="3"/>
      <c r="P44" s="3">
        <f>L44*M44*O44</f>
        <v>0</v>
      </c>
      <c r="R44" s="3"/>
      <c r="T44" s="3"/>
      <c r="U44" s="3"/>
      <c r="V44" s="3"/>
      <c r="W44" s="3"/>
      <c r="X44" s="3"/>
      <c r="Y44" s="3"/>
      <c r="AA44" s="3"/>
      <c r="AB44" s="3"/>
      <c r="AD44" s="3"/>
    </row>
    <row r="45" spans="2:31" x14ac:dyDescent="0.4">
      <c r="F45" s="3"/>
      <c r="J45" s="3" t="s">
        <v>10</v>
      </c>
      <c r="N45" s="3"/>
      <c r="Y45" s="3"/>
    </row>
    <row r="46" spans="2:31" x14ac:dyDescent="0.4">
      <c r="F46" s="3"/>
      <c r="N46" s="3"/>
    </row>
    <row r="47" spans="2:31" x14ac:dyDescent="0.4">
      <c r="D47">
        <f>H38+H40+H42</f>
        <v>14601144.364804504</v>
      </c>
      <c r="F47" s="3"/>
      <c r="L47">
        <f>(P38+P40+P42)*(1+G11/100)*(1+G13/100)*(1+G14/100)*(1+G15/100)*(1+G16/100)*(1+G17/100)*(1+D26/100)*(1+D29/100)*(1+SUM(F12:F17)/100)*((1+(E5+E6+D23*E23+E9)/100)/(1+(E5+E6+E9)/100))*E25*SQRT((D7+D22)*(D8+D32)/6)/SQRT(D7*D8/6)*(1+(D3+D20)/19.9735/100)/(1+D3/19.9735/100)/(1-(D4+D21)/46.5731/100)*(1-D4/46.5731/100)*E27*IF(OR(C14="예둔",C15="예둔",C16="예둔",C17="예둔2"),0.98,1)</f>
        <v>39626590.305916376</v>
      </c>
      <c r="N47" s="3"/>
    </row>
    <row r="48" spans="2:31" x14ac:dyDescent="0.4">
      <c r="F48" s="3"/>
      <c r="N48" s="3"/>
    </row>
    <row r="49" spans="2:30" ht="34.799999999999997" x14ac:dyDescent="0.4">
      <c r="B49" s="3" t="s">
        <v>40</v>
      </c>
      <c r="D49" s="6" t="s">
        <v>18</v>
      </c>
      <c r="E49" s="7" t="s">
        <v>19</v>
      </c>
      <c r="F49" s="3" t="s">
        <v>55</v>
      </c>
      <c r="G49" s="4" t="s">
        <v>28</v>
      </c>
      <c r="H49" s="3" t="s">
        <v>29</v>
      </c>
      <c r="J49" s="3" t="s">
        <v>41</v>
      </c>
      <c r="L49" s="3" t="s">
        <v>18</v>
      </c>
      <c r="M49" s="3" t="s">
        <v>19</v>
      </c>
      <c r="N49" s="3" t="s">
        <v>55</v>
      </c>
      <c r="O49" s="4" t="s">
        <v>28</v>
      </c>
      <c r="P49" s="3" t="s">
        <v>29</v>
      </c>
      <c r="R49" s="3"/>
      <c r="T49" s="6"/>
      <c r="U49" s="7"/>
      <c r="V49" s="4"/>
      <c r="W49" s="3"/>
      <c r="Y49" s="3"/>
      <c r="AA49" s="3"/>
      <c r="AB49" s="3"/>
      <c r="AC49" s="4"/>
      <c r="AD49" s="3"/>
    </row>
    <row r="50" spans="2:30" x14ac:dyDescent="0.4">
      <c r="B50" s="3"/>
      <c r="D50" s="8">
        <f>D2/27.944+D12</f>
        <v>34.6822215860292</v>
      </c>
      <c r="E50" s="9">
        <f>77.5+SUM(E13:E16)</f>
        <v>77.5</v>
      </c>
      <c r="F50" s="30">
        <v>8.2000000000000003E-2</v>
      </c>
      <c r="G50" s="3"/>
      <c r="H50" s="3"/>
      <c r="J50" s="3"/>
      <c r="L50" s="3">
        <f>(D2+D19)/27.944+D28+D311</f>
        <v>19.6822215860292</v>
      </c>
      <c r="M50" s="3">
        <f>77.5+D30+D24</f>
        <v>77.5</v>
      </c>
      <c r="N50" s="30">
        <v>8.2000000000000003E-2</v>
      </c>
      <c r="R50" s="3"/>
      <c r="T50" s="8"/>
      <c r="U50" s="9"/>
      <c r="V50" s="3"/>
      <c r="W50" s="3"/>
      <c r="Y50" s="3"/>
      <c r="AA50" s="3"/>
      <c r="AB50" s="3"/>
    </row>
    <row r="51" spans="2:30" x14ac:dyDescent="0.4">
      <c r="B51" s="3"/>
      <c r="D51" s="3"/>
      <c r="E51" s="3"/>
      <c r="F51" s="3"/>
      <c r="G51" s="3"/>
      <c r="H51" s="3"/>
      <c r="J51" s="3"/>
      <c r="L51" s="3"/>
      <c r="M51" s="3"/>
      <c r="N51" s="3"/>
      <c r="R51" s="3"/>
      <c r="T51" s="3"/>
      <c r="U51" s="3"/>
      <c r="V51" s="3"/>
      <c r="W51" s="3"/>
      <c r="Y51" s="3"/>
      <c r="AA51" s="3"/>
      <c r="AB51" s="3"/>
    </row>
    <row r="52" spans="2:30" x14ac:dyDescent="0.4">
      <c r="B52" s="3" t="s">
        <v>0</v>
      </c>
      <c r="C52">
        <v>45</v>
      </c>
      <c r="D52" s="3">
        <v>2181151.9648217186</v>
      </c>
      <c r="E52" s="3">
        <f>1+(10+45+D50)/100+(10+45+D50)/100*E50/100</f>
        <v>2.5918594331520186</v>
      </c>
      <c r="F52" s="3"/>
      <c r="G52" s="3">
        <f>G38</f>
        <v>1</v>
      </c>
      <c r="H52" s="3">
        <f>D52*E52*G52</f>
        <v>5653239.2951612314</v>
      </c>
      <c r="J52" s="3" t="s">
        <v>0</v>
      </c>
      <c r="K52">
        <v>45</v>
      </c>
      <c r="L52" s="3">
        <v>2181151.9648217186</v>
      </c>
      <c r="M52" s="3">
        <f>IF(AND($D$23&lt;&gt;0,$D$24&lt;&gt;0),((10+$K52+$L$50)/100+(10+$K52+$L$50)/100*$M$50/100)*6/14+((10+$K52+$L$50)/100+(10+$K52+$L$50)/100*($M$50+8)/100)*8/14+1,1+(10+$K52+$L$50)/100+(10+$K52+$L$50)/100*M50/100)</f>
        <v>2.3256094331520183</v>
      </c>
      <c r="N52" s="3"/>
      <c r="O52" s="3">
        <f>G38</f>
        <v>1</v>
      </c>
      <c r="P52" s="3">
        <f>L52*M52*O52</f>
        <v>5072507.5845274478</v>
      </c>
      <c r="Q52">
        <f>P52/(P$38+P$40+P$42)</f>
        <v>0.31115135895832652</v>
      </c>
      <c r="R52" s="3"/>
      <c r="T52" s="3"/>
      <c r="U52" s="3"/>
      <c r="V52" s="3"/>
      <c r="W52" s="3"/>
      <c r="Y52" s="3"/>
      <c r="AA52" s="3"/>
      <c r="AB52" s="3"/>
      <c r="AC52" s="3"/>
      <c r="AD52" s="3"/>
    </row>
    <row r="53" spans="2:30" x14ac:dyDescent="0.4">
      <c r="B53" s="3"/>
      <c r="C53">
        <v>45</v>
      </c>
      <c r="D53" s="3"/>
      <c r="E53" s="3"/>
      <c r="F53" s="3"/>
      <c r="G53" s="3"/>
      <c r="H53" s="3"/>
      <c r="J53" s="3" t="s">
        <v>10</v>
      </c>
      <c r="K53">
        <v>45</v>
      </c>
      <c r="L53" s="3">
        <f>(IF(AND($D$23&lt;&gt;0,$D$24&lt;&gt;0),((10+$K52+$L$50+5)/100+(10+$K52+$L$50+5)/100*$M$36/100)*6/14+((10+$K52+$L$50+5)/100+(10+$K52++$K$505)/100*($M$36+8)/100)*8/14+1,1+(10+$K52+$L$50+5)/100+(10+$K52+$L$50+5)/100*$M$36/100)/M52-1)/3+(IF(AND($D$23&lt;&gt;0,$D$24&lt;&gt;0),((10+$K52+$L$50)/100+(10+$K52+$L$50)/100*($M$36+8)/100)*6/14+((10+$K52+$L$50)/100+(10+$K52+$L$50)/100*($M$36+8+8)/100)*8/14+1,1+(10+$K52+$L$50)/100+(10+$K52+$L$50)/100*($M$36+8)/100)/M52-1)/3+0.03/3</f>
        <v>3.1284138134860001E-2</v>
      </c>
      <c r="M53" s="3">
        <f>(IF(AND($D$23&lt;&gt;0,$D$24&lt;&gt;0),((10+$K52+$L$50+6)/100+(10+$K52+$L$50+6)/100*$M$50/100)*6/14+((10+$K52+$L$50+6)/100+(10+$K52+$L$50+6)/100*($M$50+8)/100)*8/14+1,1+(10+$K52+$L$50+6)/100+(10+$K52+$L$50+6)/100*$M$50/100)/$M52-1)/3+(IF(AND($D$23&lt;&gt;0,$D$24&lt;&gt;0),((10+$K52+$L$50)/100+(10+$K52+$L$50)/100*($M$50+10)/100)*6/14+((10+$K52+$L$50)/100+(10+$K52+$L$50)/100*($M$50+10+8)/100)*8/14+1,1+(10+$K52+$L$50)/100+(10+$K52+$L$50)/100*($M$50+10)/100)/$M52-1)/3+0.035/3</f>
        <v>3.7635805336763313E-2</v>
      </c>
      <c r="N53" s="3"/>
      <c r="O53" s="3">
        <f>(IF(AND($D$23&lt;&gt;0,$D$24&lt;&gt;0),((10+$K52+$L$50+7)/100+(10+$K52+$L$50+7)/100*$M$36/100)*6/14+((10+$K52+$L$50+7)/100+(10+$K52+$L$50+7)/100*($M$36+8)/100)*8/14+1,1+(10+$K52+$L$50+7)/100+(10+$K52+$L$50+7)/100*$M$36/100)/$M52-1)/3+(IF(AND($D$23&lt;&gt;0,$D$24&lt;&gt;0),((10+$K52+$L$50)/100+(10+$K52+$L$50)/100*($M$36+12)/100)*6/14+((10+$K52+$L$50)/100+(10+$K52+$L$50)/100*($M$36+12+8)/100)*8/14+1,1+(10+$K52+$L$50)/100+(10+$K52+$L$50)/100*($M$36+12)/100)/$M52-1)/3+0.04/3</f>
        <v>4.3987472538666632E-2</v>
      </c>
      <c r="P53" s="3"/>
      <c r="R53" s="3"/>
      <c r="T53" s="3"/>
      <c r="U53" s="3"/>
      <c r="V53" s="3"/>
      <c r="W53" s="3"/>
      <c r="Y53" s="3"/>
      <c r="AA53" s="3"/>
      <c r="AB53" s="3"/>
      <c r="AC53" s="3"/>
      <c r="AD53" s="3"/>
    </row>
    <row r="54" spans="2:30" x14ac:dyDescent="0.4">
      <c r="B54" s="3" t="s">
        <v>1</v>
      </c>
      <c r="C54">
        <v>40</v>
      </c>
      <c r="D54" s="3">
        <v>1618898.9558678013</v>
      </c>
      <c r="E54" s="3">
        <f>1+(10+40+D50)/100+(10+40+D50)/100*E50/100</f>
        <v>2.5031094331520185</v>
      </c>
      <c r="F54" s="3"/>
      <c r="G54" s="3">
        <f>G40</f>
        <v>1.6</v>
      </c>
      <c r="H54" s="3">
        <f>D54*E54*G54</f>
        <v>6483649.9964042353</v>
      </c>
      <c r="J54" s="3" t="s">
        <v>1</v>
      </c>
      <c r="K54">
        <v>40</v>
      </c>
      <c r="L54" s="3">
        <v>1618898.9558678013</v>
      </c>
      <c r="M54" s="3">
        <f>IF(AND($D$23&lt;&gt;0,$D$24&lt;&gt;0),((10+$K54+$L$50)/100+(10+K54+$L$50)/100*$M$50/100)*6/14+((10+$K54+$L$50)/100+(10+K54+$L$50)/100*($M$50+8)/100)*8/14+1,1+(10+$K54+$L$50)/100+(10+$K54+$L$50)/100*$M$50/100)</f>
        <v>2.2368594331520182</v>
      </c>
      <c r="N54" s="3"/>
      <c r="O54" s="3">
        <f>G40</f>
        <v>1.6</v>
      </c>
      <c r="P54" s="3">
        <f>L54*M54*O54</f>
        <v>5793999.0412045512</v>
      </c>
      <c r="Q54">
        <f>P54/(P$38+P$40+P$42)</f>
        <v>0.35540817740186503</v>
      </c>
      <c r="R54" s="3"/>
      <c r="T54" s="3"/>
      <c r="U54" s="3"/>
      <c r="V54" s="3"/>
      <c r="W54" s="3"/>
      <c r="Y54" s="3"/>
      <c r="AA54" s="3"/>
      <c r="AB54" s="3"/>
      <c r="AC54" s="3"/>
      <c r="AD54" s="3"/>
    </row>
    <row r="55" spans="2:30" x14ac:dyDescent="0.4">
      <c r="B55" s="3"/>
      <c r="C55">
        <v>40</v>
      </c>
      <c r="D55" s="3"/>
      <c r="E55" s="3"/>
      <c r="F55" s="3"/>
      <c r="G55" s="3"/>
      <c r="H55" s="3"/>
      <c r="J55" s="3" t="s">
        <v>10</v>
      </c>
      <c r="K55">
        <v>40</v>
      </c>
      <c r="L55" s="3">
        <f>(IF(AND($D$23&lt;&gt;0,$D$24&lt;&gt;0),((10+$K54+$L$50+5)/100+(10+$K54+$L$50+5)/100*$M$36/100)*6/14+((10+$K54+$L$50+5)/100+(10+$K54++$K$505)/100*($M$36+8)/100)*8/14+1,1+(10+$K54+$L$50+5)/100+(10+$K54+$L$50+5)/100*$M$36/100)/M54-1)/3+(IF(AND($D$23&lt;&gt;0,$D$24&lt;&gt;0),((10+$K54+$L$50)/100+(10+$K54+$L$50)/100*($M$36+8)/100)*6/14+((10+$K54+$L$50)/100+(10+$K54+$L$50)/100*($M$36+8+8)/100)*8/14+1,1+(10+$K54+$L$50)/100+(10+$K54+$L$50)/100*($M$36+8)/100)/M54-1)/3+0.03/3</f>
        <v>3.153253725994612E-2</v>
      </c>
      <c r="M55" s="3">
        <f>(IF(AND($D$23&lt;&gt;0,$D$24&lt;&gt;0),((10+$K54+$L$50+6)/100+(10+$K54+$L$50+6)/100*$M$50/100)*6/14+((10+$K54+$L$50+6)/100+(10+$K54+$L$50+6)/100*($M$50+8)/100)*8/14+1,1+(10+$K54+$L$50+6)/100+(10+$K54+$L$50+6)/100*$M$50/100)/$M54-1)/3+(IF(AND($D$23&lt;&gt;0,$D$24&lt;&gt;0),((10+$K54+$L$50)/100+(10+$K54+$L$50)/100*($M$50+10)/100)*6/14+((10+$K54+$L$50)/100+(10+$K54+$L$50)/100*($M$50+10+8)/100)*8/14+1,1+(10+$K54+$L$50)/100+(10+$K54+$L$50)/100*($M$50+10)/100)/$M54-1)/3+0.035/3</f>
        <v>3.7921068854375357E-2</v>
      </c>
      <c r="N55" s="3"/>
      <c r="O55" s="3">
        <f>(IF(AND($D$23&lt;&gt;0,$D$24&lt;&gt;0),((10+$K54+$L$50+7)/100+(10+$K54+$L$50+7)/100*$M$36/100)*6/14+((10+$K54+$L$50+7)/100+(10+$K54+$L$50+7)/100*($M$36+8)/100)*8/14+1,1+(10+$K54+$L$50+7)/100+(10+$K54+$L$50+7)/100*$M$36/100)/$M54-1)/3+(IF(AND($D$23&lt;&gt;0,$D$24&lt;&gt;0),((10+$K54+$L$50)/100+(10+$K54+$L$50)/100*($M$36+12)/100)*6/14+((10+$K54+$L$50)/100+(10+$K54+$L$50)/100*($M$36+12+8)/100)*8/14+1,1+(10+$K54+$L$50)/100+(10+$K54+$L$50)/100*($M$36+12)/100)/$M54-1)/3+0.04/3</f>
        <v>4.4309600448804526E-2</v>
      </c>
      <c r="P55" s="3"/>
      <c r="R55" s="3"/>
      <c r="T55" s="3"/>
      <c r="U55" s="3"/>
      <c r="V55" s="3"/>
      <c r="W55" s="3"/>
      <c r="Y55" s="3"/>
      <c r="AA55" s="3"/>
      <c r="AB55" s="3"/>
      <c r="AC55" s="3"/>
      <c r="AD55" s="3"/>
    </row>
    <row r="56" spans="2:30" x14ac:dyDescent="0.4">
      <c r="B56" s="3" t="s">
        <v>2</v>
      </c>
      <c r="C56">
        <v>44</v>
      </c>
      <c r="D56" s="3">
        <v>1348521.5222329162</v>
      </c>
      <c r="E56" s="3">
        <f>1+(10+44+D50)/100+(10+44+D50)/100*E50/100</f>
        <v>2.5741094331520182</v>
      </c>
      <c r="F56" s="3"/>
      <c r="G56" s="3">
        <f>G42</f>
        <v>1.2</v>
      </c>
      <c r="H56" s="3">
        <f>D56*E56*G56</f>
        <v>4165490.365425922</v>
      </c>
      <c r="J56" s="3" t="s">
        <v>2</v>
      </c>
      <c r="K56">
        <v>44</v>
      </c>
      <c r="L56" s="3">
        <v>1348521.5222329162</v>
      </c>
      <c r="M56" s="3">
        <f>IF(AND($D$23&lt;&gt;0,$D$24&lt;&gt;0),((10+44++$L$50)/100+(10+44+$L$50)/100*$M$50/100)*6/14+((10+44+$L$50)/100+(10+44+$L$50)/100*($M$50+8)/100)*8/14+1,1+(10+44+$L$50)/100+(10+44+$L$50)/100*$M$50/100)</f>
        <v>2.3078594331520184</v>
      </c>
      <c r="N56" s="3"/>
      <c r="O56" s="3">
        <f>G42</f>
        <v>1.2</v>
      </c>
      <c r="P56" s="3">
        <f>L56*M56*O56</f>
        <v>3734637.7390725059</v>
      </c>
      <c r="Q56">
        <f>P56/(P$38+P$40+P$42)</f>
        <v>0.22908543523404454</v>
      </c>
      <c r="R56" s="3"/>
      <c r="T56" s="3"/>
      <c r="U56" s="3"/>
      <c r="V56" s="3"/>
      <c r="W56" s="3"/>
      <c r="Y56" s="3"/>
      <c r="AA56" s="3"/>
      <c r="AB56" s="3"/>
      <c r="AC56" s="3"/>
      <c r="AD56" s="3"/>
    </row>
    <row r="57" spans="2:30" x14ac:dyDescent="0.4">
      <c r="B57" s="3"/>
      <c r="C57">
        <v>44</v>
      </c>
      <c r="D57" s="3"/>
      <c r="E57" s="3"/>
      <c r="F57" s="3"/>
      <c r="G57" s="3"/>
      <c r="H57" s="3"/>
      <c r="J57" s="3" t="s">
        <v>10</v>
      </c>
      <c r="K57">
        <v>44</v>
      </c>
      <c r="L57" s="3">
        <f>(IF(AND($D$23&lt;&gt;0,$D$24&lt;&gt;0),((10+$K56+$L$50+5)/100+(10+$K56+$L$50+5)/100*$M$36/100)*6/14+((10+$K56+$L$50+5)/100+(10+$K56++$K$505)/100*($M$36+8)/100)*8/14+1,1+(10+$K56+$L$50+5)/100+(10+$K56+$L$50+5)/100*$M$36/100)/M56-1)/3+(IF(AND($D$23&lt;&gt;0,$D$24&lt;&gt;0),((10+$K56+$L$50)/100+(10+$K56+$L$50)/100*($M$36+8)/100)*6/14+((10+$K56+$L$50)/100+(10+$K56+$L$50)/100*($M$36+8+8)/100)*8/14+1,1+(10+$K56+$L$50)/100+(10+$K56+$L$50)/100*($M$36+8)/100)/M56-1)/3+0.03/3</f>
        <v>3.1332289587947086E-2</v>
      </c>
      <c r="M57" s="3">
        <f>(IF(AND($D$23&lt;&gt;0,$D$24&lt;&gt;0),((10+$K56+$L$50+6)/100+(10+$K56+$L$50+6)/100*$M$50/100)*6/14+((10+$K56+$L$50+6)/100+(10+$K56+$L$50+6)/100*($M$50+8)/100)*8/14+1,1+(10+$K56+$L$50+6)/100+(10+$K56+$L$50+6)/100*$M$50/100)/$M56-1)/3+(IF(AND($D$23&lt;&gt;0,$D$24&lt;&gt;0),((10+$K56+$L$50)/100+(10+$K56+$L$50)/100*($M$50+10)/100)*6/14+((10+$K56+$L$50)/100+(10+$K56+$L$50)/100*($M$50+10+8)/100)*8/14+1,1+(10+$K56+$L$50)/100+(10+$K56+$L$50)/100*($M$50+10)/100)/$M56-1)/3+0.035/3</f>
        <v>3.769110284588701E-2</v>
      </c>
      <c r="N57" s="3"/>
      <c r="O57" s="3">
        <f>(IF(AND($D$23&lt;&gt;0,$D$24&lt;&gt;0),((10+$K56+$L$50+7)/100+(10+$K56+$L$50+7)/100*$M$36/100)*6/14+((10+$K56+$L$50+7)/100+(10+$K56+$L$50+7)/100*($M$36+8)/100)*8/14+1,1+(10+$K56+$L$50+7)/100+(10+$K56+$L$50+7)/100*$M$36/100)/$M56-1)/3+(IF(AND($D$23&lt;&gt;0,$D$24&lt;&gt;0),((10+$K56+$L$50)/100+(10+$K56+$L$50)/100*($M$36+12)/100)*6/14+((10+$K56+$L$50)/100+(10+$K56+$L$50)/100*($M$36+12+8)/100)*8/14+1,1+(10+$K56+$L$50)/100+(10+$K56+$L$50)/100*($M$36+12)/100)/$M56-1)/3+0.04/3</f>
        <v>4.4049916103826865E-2</v>
      </c>
      <c r="R57" s="3"/>
      <c r="T57" s="3"/>
      <c r="U57" s="3"/>
      <c r="V57" s="3"/>
      <c r="W57" s="3"/>
      <c r="Y57" s="3"/>
      <c r="AA57" s="3"/>
      <c r="AB57" s="3"/>
      <c r="AC57" s="3"/>
    </row>
    <row r="58" spans="2:30" x14ac:dyDescent="0.4">
      <c r="B58" s="3" t="s">
        <v>3</v>
      </c>
      <c r="C58">
        <v>0</v>
      </c>
      <c r="D58" s="3">
        <v>726201.7383733585</v>
      </c>
      <c r="E58" s="3">
        <f>1+(10+D50)/100+(10+D50)/100*(E50+504)/100</f>
        <v>4.0450934010878896</v>
      </c>
      <c r="F58" s="3"/>
      <c r="G58" s="3"/>
      <c r="H58" s="3">
        <f>D58*E58*G58</f>
        <v>0</v>
      </c>
      <c r="J58" s="3" t="s">
        <v>3</v>
      </c>
      <c r="K58">
        <v>0</v>
      </c>
      <c r="L58" s="3">
        <v>726201.7383733585</v>
      </c>
      <c r="M58" s="3">
        <f>IF(AND($D$23&lt;&gt;0,$D$24&lt;&gt;0),((10+$L$36)/100+(10+$L$36)/100*(504+$M$50)/100)*6/14+((10+$L$36)/100+(10+45+$L$36)/100*($M$50+8+504)/100)*8/14+1,1+(10+$L$36)/100+(10+$L$36)/100*($M$50+504)/100)</f>
        <v>4.0450934010878896</v>
      </c>
      <c r="N58" s="3"/>
      <c r="P58" s="3">
        <f>L58*M58*O58</f>
        <v>0</v>
      </c>
      <c r="R58" s="3"/>
      <c r="T58" s="3"/>
      <c r="U58" s="3"/>
      <c r="V58" s="3"/>
      <c r="W58" s="3"/>
      <c r="Y58" s="3"/>
      <c r="AA58" s="3"/>
      <c r="AB58" s="3"/>
      <c r="AD58" s="3"/>
    </row>
    <row r="59" spans="2:30" x14ac:dyDescent="0.4">
      <c r="J59" s="3" t="s">
        <v>10</v>
      </c>
      <c r="Y59" s="3"/>
    </row>
    <row r="61" spans="2:30" x14ac:dyDescent="0.4">
      <c r="D61">
        <f>(H52+H54+H56)*(1+G11/100)*(1+G13/100)*(1+G14/100)*(1+G15/100)*(1+G16/100)*(1+G17/100)*(1+SUM(F12:F17)/100)*IF(OR(C14="예둔",C15="예둔",C16="예둔",C17="예둔2"),0.98,1)</f>
        <v>38695531.807532869</v>
      </c>
      <c r="L61">
        <f>(P52+P54+P56)*(1+D26/100)*(1+D29/100)*((1+(E5+E6+D23*E23)/100)/(1+(E5+E6)/100))*E25*SQRT((D7+D22)*(D8+D32)/6)/SQRT(D7*D8/6)*(1+(D3+D20)/19.9735/100)/(1+D3/19.9735/100)/(1-(D4+D21)/46.5731/100)*(1-D4/46.5731/100)*E27</f>
        <v>14952464.502090462</v>
      </c>
    </row>
    <row r="62" spans="2:30" x14ac:dyDescent="0.4">
      <c r="D62" s="1">
        <f>L47/D61-1</f>
        <v>2.4061137162153079E-2</v>
      </c>
      <c r="L62" s="1">
        <f>L47/L61-1</f>
        <v>1.6501711674604742</v>
      </c>
      <c r="T62" s="1"/>
    </row>
    <row r="66" spans="3:4" x14ac:dyDescent="0.4">
      <c r="D66" s="1"/>
    </row>
    <row r="67" spans="3:4" x14ac:dyDescent="0.4">
      <c r="D67" s="1"/>
    </row>
    <row r="68" spans="3:4" x14ac:dyDescent="0.4">
      <c r="D68" s="2"/>
    </row>
    <row r="73" spans="3:4" x14ac:dyDescent="0.4">
      <c r="C73" s="2"/>
    </row>
  </sheetData>
  <mergeCells count="2">
    <mergeCell ref="I9:I10"/>
    <mergeCell ref="J9:J10"/>
  </mergeCells>
  <phoneticPr fontId="1" type="noConversion"/>
  <dataValidations count="13">
    <dataValidation type="list" allowBlank="1" showInputMessage="1" showErrorMessage="1" sqref="D24" xr:uid="{83DFE552-1443-4015-8655-B49183CA316E}">
      <formula1>"0,8,10,12"</formula1>
    </dataValidation>
    <dataValidation type="list" allowBlank="1" showInputMessage="1" showErrorMessage="1" sqref="D25:D26" xr:uid="{7A94C691-91F4-4D54-A7F5-217C0479F35C}">
      <formula1>"0,3,3.5,4"</formula1>
    </dataValidation>
    <dataValidation type="list" allowBlank="1" showInputMessage="1" showErrorMessage="1" sqref="D27:D28 T27:T28" xr:uid="{94D284C2-E83A-43E6-9923-E36EE6BB6845}">
      <formula1>"0,1.8,2.1,2.5"</formula1>
    </dataValidation>
    <dataValidation type="list" allowBlank="1" showInputMessage="1" showErrorMessage="1" sqref="D29 T29" xr:uid="{8AE3E211-A38C-4F67-B5E4-DC6FF28A4AE1}">
      <formula1>"0,2,2.5,3"</formula1>
    </dataValidation>
    <dataValidation type="list" allowBlank="1" showInputMessage="1" showErrorMessage="1" sqref="D30 T30" xr:uid="{E332214F-58F4-41C8-903A-1CACA14D23B0}">
      <formula1>"0,6,8,10"</formula1>
    </dataValidation>
    <dataValidation type="list" allowBlank="1" showInputMessage="1" showErrorMessage="1" sqref="D31 T31" xr:uid="{1DC44A0C-1DD6-47AD-AF0A-6E56F2623E0D}">
      <formula1>"0,3,4,5"</formula1>
    </dataValidation>
    <dataValidation type="list" allowBlank="1" showInputMessage="1" showErrorMessage="1" sqref="C14:C15" xr:uid="{63C50163-215F-4C44-BE94-92D314CB9437}">
      <formula1>"바리, 돌대, 저받, 타대, 예둔"</formula1>
    </dataValidation>
    <dataValidation type="list" allowBlank="1" showInputMessage="1" showErrorMessage="1" sqref="C12" xr:uid="{83120EB8-4EE6-4676-BE80-A77F8AAC0DA8}">
      <formula1>"아드1, 아드2, 아드3"</formula1>
    </dataValidation>
    <dataValidation type="list" allowBlank="1" showInputMessage="1" showErrorMessage="1" sqref="C13" xr:uid="{C46D313E-777C-4C08-8AD7-D6A47DD610FD}">
      <formula1>"황후1, 황후2, 황후3"</formula1>
    </dataValidation>
    <dataValidation type="list" showInputMessage="1" showErrorMessage="1" sqref="C16" xr:uid="{A9B3A132-8213-4E24-94C8-E9EF41CD0863}">
      <formula1>"바리, 돌대, 저받, 타대, 예둔, X"</formula1>
    </dataValidation>
    <dataValidation type="list" allowBlank="1" showInputMessage="1" showErrorMessage="1" sqref="C17" xr:uid="{3CA17821-2041-4E52-83EB-934672FAF23C}">
      <formula1>"바리2,저받2,타대2,예둔2,돌대2,X"</formula1>
    </dataValidation>
    <dataValidation type="list" allowBlank="1" showInputMessage="1" showErrorMessage="1" sqref="D23" xr:uid="{28255B68-8420-4DAE-95DD-D5675A02FA6D}">
      <formula1>"0,0.35,0.45,0.5"</formula1>
    </dataValidation>
    <dataValidation type="list" allowBlank="1" showInputMessage="1" showErrorMessage="1" sqref="D6 T6 D9" xr:uid="{FBEF6CE5-B77A-4021-92DD-D06B6914F015}">
      <formula1>"1,2,3"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332 운부치피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Jin Won</dc:creator>
  <cp:lastModifiedBy>Jang Jin Won</cp:lastModifiedBy>
  <dcterms:created xsi:type="dcterms:W3CDTF">2023-01-13T10:10:31Z</dcterms:created>
  <dcterms:modified xsi:type="dcterms:W3CDTF">2023-02-20T07:17:37Z</dcterms:modified>
</cp:coreProperties>
</file>