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hkdd\Desktop\"/>
    </mc:Choice>
  </mc:AlternateContent>
  <xr:revisionPtr revIDLastSave="0" documentId="8_{C01B3554-EAC5-44B8-B95D-744B2C62E48C}" xr6:coauthVersionLast="47" xr6:coauthVersionMax="47" xr10:uidLastSave="{00000000-0000-0000-0000-000000000000}"/>
  <bookViews>
    <workbookView xWindow="-120" yWindow="-120" windowWidth="29040" windowHeight="15840" xr2:uid="{1DD1EB60-07FB-4370-8531-9B609A53B612}"/>
  </bookViews>
  <sheets>
    <sheet name="Sheet1 (2)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4" l="1"/>
  <c r="I2" i="4"/>
  <c r="Q2" i="4"/>
  <c r="AG5" i="4"/>
  <c r="I3" i="4"/>
  <c r="I4" i="4"/>
  <c r="I5" i="4"/>
  <c r="I6" i="4"/>
  <c r="I7" i="4"/>
  <c r="I8" i="4"/>
  <c r="I9" i="4"/>
  <c r="AH9" i="4"/>
  <c r="AH9" i="4" a="1"/>
  <c r="P11" i="4"/>
  <c r="N11" i="4"/>
  <c r="M11" i="4"/>
  <c r="J11" i="4"/>
  <c r="F11" i="4"/>
  <c r="P10" i="4"/>
  <c r="R10" i="4" s="1"/>
  <c r="N10" i="4"/>
  <c r="J10" i="4"/>
  <c r="F10" i="4"/>
  <c r="AA3" i="4"/>
  <c r="AM20" i="4" a="1"/>
  <c r="AM20" i="4" s="1"/>
  <c r="AL21" i="4" a="1"/>
  <c r="AL21" i="4" s="1"/>
  <c r="AN20" i="4" a="1"/>
  <c r="AN20" i="4" s="1"/>
  <c r="AL20" i="4" a="1"/>
  <c r="AL20" i="4" s="1"/>
  <c r="AG2" i="4"/>
  <c r="AG3" i="4"/>
  <c r="J3" i="4"/>
  <c r="J4" i="4"/>
  <c r="J5" i="4"/>
  <c r="J6" i="4"/>
  <c r="J7" i="4"/>
  <c r="J8" i="4"/>
  <c r="J9" i="4"/>
  <c r="AA6" i="4"/>
  <c r="Z4" i="4" a="1"/>
  <c r="Z4" i="4" s="1"/>
  <c r="AA4" i="4" s="1"/>
  <c r="Z7" i="4" a="1"/>
  <c r="Z7" i="4" s="1"/>
  <c r="AA7" i="4" s="1"/>
  <c r="Z8" i="4" a="1"/>
  <c r="Z8" i="4" s="1"/>
  <c r="AA8" i="4" s="1"/>
  <c r="Z9" i="4" a="1"/>
  <c r="Z9" i="4" s="1"/>
  <c r="AA9" i="4" s="1"/>
  <c r="Z2" i="4" a="1"/>
  <c r="Z2" i="4" s="1"/>
  <c r="AA2" i="4" s="1"/>
  <c r="L3" i="4" a="1"/>
  <c r="L3" i="4" s="1"/>
  <c r="L4" i="4" a="1"/>
  <c r="L4" i="4" s="1"/>
  <c r="L6" i="4" a="1"/>
  <c r="L6" i="4" s="1"/>
  <c r="L8" i="4" a="1"/>
  <c r="L8" i="4" s="1"/>
  <c r="L9" i="4" a="1"/>
  <c r="L9" i="4" s="1"/>
  <c r="L2" i="4" a="1"/>
  <c r="L2" i="4" s="1"/>
  <c r="F3" i="4"/>
  <c r="F4" i="4"/>
  <c r="F5" i="4"/>
  <c r="F6" i="4"/>
  <c r="F7" i="4"/>
  <c r="F8" i="4"/>
  <c r="F9" i="4"/>
  <c r="F2" i="4"/>
  <c r="AH26" i="4" a="1"/>
  <c r="AH26" i="4" s="1"/>
  <c r="AH25" i="4" a="1"/>
  <c r="AH25" i="4" s="1"/>
  <c r="AH17" i="4" a="1"/>
  <c r="AH17" i="4" s="1"/>
  <c r="AH16" i="4" a="1"/>
  <c r="AH16" i="4" s="1"/>
  <c r="AH15" i="4" a="1"/>
  <c r="AH15" i="4" s="1"/>
  <c r="AH14" i="4" a="1"/>
  <c r="AH14" i="4" s="1"/>
  <c r="AH13" i="4" a="1"/>
  <c r="AH13" i="4" s="1"/>
  <c r="AH12" i="4" a="1"/>
  <c r="AH12" i="4" s="1"/>
  <c r="Q11" i="4" s="1"/>
  <c r="P9" i="4"/>
  <c r="R9" i="4" s="1"/>
  <c r="N9" i="4"/>
  <c r="P8" i="4"/>
  <c r="R8" i="4" s="1"/>
  <c r="N8" i="4"/>
  <c r="P7" i="4"/>
  <c r="R7" i="4" s="1"/>
  <c r="N7" i="4"/>
  <c r="P6" i="4"/>
  <c r="R6" i="4" s="1"/>
  <c r="N6" i="4"/>
  <c r="P5" i="4"/>
  <c r="R5" i="4" s="1"/>
  <c r="N5" i="4"/>
  <c r="P4" i="4"/>
  <c r="R4" i="4" s="1"/>
  <c r="N4" i="4"/>
  <c r="P3" i="4"/>
  <c r="R3" i="4" s="1"/>
  <c r="N3" i="4"/>
  <c r="P2" i="4"/>
  <c r="R2" i="4" s="1"/>
  <c r="N2" i="4"/>
  <c r="I11" i="4" l="1"/>
  <c r="O11" i="4" s="1"/>
  <c r="R11" i="4"/>
  <c r="Q10" i="4"/>
  <c r="M10" i="4"/>
  <c r="I10" i="4"/>
  <c r="O10" i="4" s="1"/>
  <c r="Q3" i="4"/>
  <c r="Q6" i="4"/>
  <c r="Q9" i="4"/>
  <c r="Q5" i="4"/>
  <c r="Q8" i="4"/>
  <c r="Q4" i="4"/>
  <c r="Q7" i="4"/>
  <c r="AG1" i="4"/>
  <c r="AG4" i="4" s="1"/>
  <c r="M6" i="4"/>
  <c r="M5" i="4"/>
  <c r="M4" i="4"/>
  <c r="M3" i="4"/>
  <c r="M9" i="4"/>
  <c r="M7" i="4"/>
  <c r="M2" i="4"/>
  <c r="M8" i="4"/>
  <c r="O2" i="4" l="1"/>
  <c r="O4" i="4"/>
  <c r="D11" i="4"/>
  <c r="E11" i="4" s="1"/>
  <c r="O3" i="4"/>
  <c r="O5" i="4"/>
  <c r="O7" i="4"/>
  <c r="O6" i="4"/>
  <c r="O9" i="4"/>
  <c r="O8" i="4"/>
  <c r="U11" i="4" l="1"/>
  <c r="V11" i="4"/>
  <c r="D10" i="4"/>
  <c r="E10" i="4" s="1"/>
  <c r="D7" i="4"/>
  <c r="E7" i="4" s="1"/>
  <c r="U7" i="4" s="1"/>
  <c r="D4" i="4"/>
  <c r="E4" i="4" s="1"/>
  <c r="D3" i="4"/>
  <c r="E3" i="4" s="1"/>
  <c r="U3" i="4" s="1"/>
  <c r="D5" i="4"/>
  <c r="E5" i="4" s="1"/>
  <c r="V5" i="4" s="1"/>
  <c r="D2" i="4"/>
  <c r="E2" i="4" s="1"/>
  <c r="D9" i="4"/>
  <c r="E9" i="4" s="1"/>
  <c r="V9" i="4" s="1"/>
  <c r="D6" i="4"/>
  <c r="E6" i="4" s="1"/>
  <c r="U6" i="4" s="1"/>
  <c r="D8" i="4"/>
  <c r="E8" i="4" s="1"/>
  <c r="V8" i="4" s="1"/>
  <c r="X11" i="4" l="1"/>
  <c r="U2" i="4"/>
  <c r="V2" i="4"/>
  <c r="U10" i="4"/>
  <c r="V10" i="4"/>
  <c r="V7" i="4"/>
  <c r="X7" i="4" s="1"/>
  <c r="W7" i="4" s="1"/>
  <c r="AC7" i="4" s="1"/>
  <c r="V6" i="4"/>
  <c r="X6" i="4" s="1"/>
  <c r="W6" i="4" s="1"/>
  <c r="AC6" i="4" s="1"/>
  <c r="U8" i="4"/>
  <c r="X8" i="4" s="1"/>
  <c r="W8" i="4" s="1"/>
  <c r="AC8" i="4" s="1"/>
  <c r="V3" i="4"/>
  <c r="X3" i="4" s="1"/>
  <c r="W3" i="4" s="1"/>
  <c r="AC3" i="4" s="1"/>
  <c r="U5" i="4"/>
  <c r="X5" i="4" s="1"/>
  <c r="W5" i="4" s="1"/>
  <c r="AC5" i="4" s="1"/>
  <c r="U9" i="4"/>
  <c r="X9" i="4" s="1"/>
  <c r="W9" i="4" s="1"/>
  <c r="AC9" i="4" s="1"/>
  <c r="V4" i="4"/>
  <c r="U4" i="4"/>
  <c r="AC11" i="4" l="1"/>
  <c r="W11" i="4"/>
  <c r="X10" i="4"/>
  <c r="X2" i="4"/>
  <c r="W2" i="4" s="1"/>
  <c r="AC2" i="4" s="1"/>
  <c r="X4" i="4"/>
  <c r="W4" i="4" s="1"/>
  <c r="AC4" i="4" s="1"/>
  <c r="AC10" i="4" l="1"/>
  <c r="W10" i="4"/>
  <c r="AC14" i="4" l="1"/>
  <c r="AC1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<sst xmlns="http://schemas.openxmlformats.org/spreadsheetml/2006/main" count="108" uniqueCount="100">
  <si>
    <t>공격력</t>
    <phoneticPr fontId="4" type="noConversion"/>
  </si>
  <si>
    <t>스킬계수</t>
    <phoneticPr fontId="4" type="noConversion"/>
  </si>
  <si>
    <t>힘</t>
    <phoneticPr fontId="4" type="noConversion"/>
  </si>
  <si>
    <t>무기 공격력</t>
    <phoneticPr fontId="4" type="noConversion"/>
  </si>
  <si>
    <t>공증</t>
    <phoneticPr fontId="4" type="noConversion"/>
  </si>
  <si>
    <t>엘릭서</t>
    <phoneticPr fontId="4" type="noConversion"/>
  </si>
  <si>
    <t>방어력 계수</t>
    <phoneticPr fontId="4" type="noConversion"/>
  </si>
  <si>
    <t>피증</t>
    <phoneticPr fontId="4" type="noConversion"/>
  </si>
  <si>
    <t>추가피해</t>
    <phoneticPr fontId="4" type="noConversion"/>
  </si>
  <si>
    <t>피해증가</t>
    <phoneticPr fontId="4" type="noConversion"/>
  </si>
  <si>
    <t>트포</t>
    <phoneticPr fontId="4" type="noConversion"/>
  </si>
  <si>
    <t>백어택</t>
    <phoneticPr fontId="4" type="noConversion"/>
  </si>
  <si>
    <t>조정계수</t>
    <phoneticPr fontId="4" type="noConversion"/>
  </si>
  <si>
    <t>최종 공격력</t>
    <phoneticPr fontId="4" type="noConversion"/>
  </si>
  <si>
    <t>카드</t>
    <phoneticPr fontId="4" type="noConversion"/>
  </si>
  <si>
    <t>야추피</t>
    <phoneticPr fontId="4" type="noConversion"/>
  </si>
  <si>
    <t>피해량 계수</t>
    <phoneticPr fontId="4" type="noConversion"/>
  </si>
  <si>
    <t>각인</t>
    <phoneticPr fontId="4" type="noConversion"/>
  </si>
  <si>
    <t>원한</t>
    <phoneticPr fontId="4" type="noConversion"/>
  </si>
  <si>
    <t>예리한 둔기</t>
    <phoneticPr fontId="4" type="noConversion"/>
  </si>
  <si>
    <t>돌격대장</t>
    <phoneticPr fontId="4" type="noConversion"/>
  </si>
  <si>
    <t>광기</t>
    <phoneticPr fontId="4" type="noConversion"/>
  </si>
  <si>
    <t>달인의 저력</t>
    <phoneticPr fontId="4" type="noConversion"/>
  </si>
  <si>
    <t>저주받은 인형</t>
    <phoneticPr fontId="4" type="noConversion"/>
  </si>
  <si>
    <t>에테르 포식자</t>
    <phoneticPr fontId="4" type="noConversion"/>
  </si>
  <si>
    <t>세구빛18</t>
    <phoneticPr fontId="4" type="noConversion"/>
  </si>
  <si>
    <t>세구빛30</t>
    <phoneticPr fontId="4" type="noConversion"/>
  </si>
  <si>
    <t>치명타 피해</t>
    <phoneticPr fontId="4" type="noConversion"/>
  </si>
  <si>
    <t>공격력(공용)</t>
    <phoneticPr fontId="4" type="noConversion"/>
  </si>
  <si>
    <t>힘(공용)</t>
    <phoneticPr fontId="4" type="noConversion"/>
  </si>
  <si>
    <t>무기 공격력(공용)</t>
    <phoneticPr fontId="4" type="noConversion"/>
  </si>
  <si>
    <t>공격력 %(투구)</t>
    <phoneticPr fontId="4" type="noConversion"/>
  </si>
  <si>
    <t>팔찌</t>
    <phoneticPr fontId="4" type="noConversion"/>
  </si>
  <si>
    <t xml:space="preserve">피해 증가 % </t>
    <phoneticPr fontId="4" type="noConversion"/>
  </si>
  <si>
    <t>치명타율</t>
    <phoneticPr fontId="4" type="noConversion"/>
  </si>
  <si>
    <t>노치명타율</t>
    <phoneticPr fontId="4" type="noConversion"/>
  </si>
  <si>
    <t>기본데미지</t>
    <phoneticPr fontId="4" type="noConversion"/>
  </si>
  <si>
    <t>중간데미지</t>
    <phoneticPr fontId="4" type="noConversion"/>
  </si>
  <si>
    <t>크리티컬 최종데미지</t>
    <phoneticPr fontId="4" type="noConversion"/>
  </si>
  <si>
    <t>노크리 최종데미지</t>
    <phoneticPr fontId="4" type="noConversion"/>
  </si>
  <si>
    <t>쿨타임</t>
    <phoneticPr fontId="4" type="noConversion"/>
  </si>
  <si>
    <t>DPS</t>
    <phoneticPr fontId="4" type="noConversion"/>
  </si>
  <si>
    <t>(레벨)</t>
    <phoneticPr fontId="4" type="noConversion"/>
  </si>
  <si>
    <t>(해당 란에 1)</t>
    <phoneticPr fontId="4" type="noConversion"/>
  </si>
  <si>
    <t>(%)</t>
    <phoneticPr fontId="4" type="noConversion"/>
  </si>
  <si>
    <t>멸화</t>
    <phoneticPr fontId="4" type="noConversion"/>
  </si>
  <si>
    <t>홍염</t>
    <phoneticPr fontId="4" type="noConversion"/>
  </si>
  <si>
    <t>멸화(레벨)</t>
    <phoneticPr fontId="4" type="noConversion"/>
  </si>
  <si>
    <t>홍염(레벨)</t>
    <phoneticPr fontId="4" type="noConversion"/>
  </si>
  <si>
    <t>레더</t>
    <phoneticPr fontId="4" type="noConversion"/>
  </si>
  <si>
    <t>이전 DPS</t>
    <phoneticPr fontId="4" type="noConversion"/>
  </si>
  <si>
    <t>딜증량</t>
    <phoneticPr fontId="4" type="noConversion"/>
  </si>
  <si>
    <t>(%, 값)</t>
    <phoneticPr fontId="4" type="noConversion"/>
  </si>
  <si>
    <t>치명타 피해 증가 %</t>
    <phoneticPr fontId="4" type="noConversion"/>
  </si>
  <si>
    <t>치명타 적중률 %</t>
    <phoneticPr fontId="4" type="noConversion"/>
  </si>
  <si>
    <t>스킬 재사용 대기시간 감소 %</t>
    <phoneticPr fontId="4" type="noConversion"/>
  </si>
  <si>
    <t>추가 피해 %</t>
    <phoneticPr fontId="4" type="noConversion"/>
  </si>
  <si>
    <t>야추피 %</t>
    <phoneticPr fontId="4" type="noConversion"/>
  </si>
  <si>
    <t>추가 피해 %(하의)</t>
    <phoneticPr fontId="4" type="noConversion"/>
  </si>
  <si>
    <t>치명타 피해 증가 %(하의)</t>
    <phoneticPr fontId="4" type="noConversion"/>
  </si>
  <si>
    <t>피해 증가 %(장갑)</t>
    <phoneticPr fontId="4" type="noConversion"/>
  </si>
  <si>
    <t>보스 피해 %(어깨)</t>
    <phoneticPr fontId="4" type="noConversion"/>
  </si>
  <si>
    <t>사용법</t>
    <phoneticPr fontId="4" type="noConversion"/>
  </si>
  <si>
    <t>노란색</t>
    <phoneticPr fontId="4" type="noConversion"/>
  </si>
  <si>
    <t>으로 표시된 부분만 수정해주세요.</t>
    <phoneticPr fontId="4" type="noConversion"/>
  </si>
  <si>
    <t>1. 트리시온-수련장-캐릭터 설정-각인 정기흡수 3레벨 설정</t>
    <phoneticPr fontId="4" type="noConversion"/>
  </si>
  <si>
    <t>3. P(캐릭터 정보) 우측 하단 상세정보를 확인해주세요.</t>
    <phoneticPr fontId="4" type="noConversion"/>
  </si>
  <si>
    <t>4. 엑셀에서</t>
    <phoneticPr fontId="4" type="noConversion"/>
  </si>
  <si>
    <t>에 복붙해주세요.</t>
    <phoneticPr fontId="4" type="noConversion"/>
  </si>
  <si>
    <t xml:space="preserve">2. 스펙업을 </t>
    <phoneticPr fontId="4" type="noConversion"/>
  </si>
  <si>
    <t>에 수정하여 반영해주세요.</t>
    <phoneticPr fontId="4" type="noConversion"/>
  </si>
  <si>
    <t>3. 딜증량</t>
    <phoneticPr fontId="4" type="noConversion"/>
  </si>
  <si>
    <t>을 확인합니다.</t>
    <phoneticPr fontId="4" type="noConversion"/>
  </si>
  <si>
    <t>공격력(강화)</t>
    <phoneticPr fontId="4" type="noConversion"/>
  </si>
  <si>
    <t>일러두기</t>
    <phoneticPr fontId="4" type="noConversion"/>
  </si>
  <si>
    <t>2. 광기 버서커, 악몽 3레벨 유물 세트만 가정했습니다.</t>
    <phoneticPr fontId="4" type="noConversion"/>
  </si>
  <si>
    <t>3. 7레벨 미만의 보석은 반영되지 않습니다.</t>
    <phoneticPr fontId="4" type="noConversion"/>
  </si>
  <si>
    <t>1. (중요) 반드시 %값에는 "%"를 생략하지 말고 입력해주세요.</t>
    <phoneticPr fontId="4" type="noConversion"/>
  </si>
  <si>
    <t>2.이전 DPS</t>
    <phoneticPr fontId="4" type="noConversion"/>
  </si>
  <si>
    <t>1. DPS "값"을</t>
    <phoneticPr fontId="4" type="noConversion"/>
  </si>
  <si>
    <t xml:space="preserve">    (레벨)</t>
    <phoneticPr fontId="4" type="noConversion"/>
  </si>
  <si>
    <t>선봉대 세트 효과</t>
    <phoneticPr fontId="4" type="noConversion"/>
  </si>
  <si>
    <t>회심 세트 효과</t>
    <phoneticPr fontId="4" type="noConversion"/>
  </si>
  <si>
    <t>피니쉬</t>
    <phoneticPr fontId="4" type="noConversion"/>
  </si>
  <si>
    <t>템페</t>
    <phoneticPr fontId="4" type="noConversion"/>
  </si>
  <si>
    <t>브슬</t>
    <phoneticPr fontId="4" type="noConversion"/>
  </si>
  <si>
    <t>옵드</t>
    <phoneticPr fontId="4" type="noConversion"/>
  </si>
  <si>
    <t>소스</t>
    <phoneticPr fontId="4" type="noConversion"/>
  </si>
  <si>
    <t>체소</t>
    <phoneticPr fontId="4" type="noConversion"/>
  </si>
  <si>
    <t>헬 블</t>
    <phoneticPr fontId="4" type="noConversion"/>
  </si>
  <si>
    <t xml:space="preserve">스펙업 
비교법 </t>
    <phoneticPr fontId="4" type="noConversion"/>
  </si>
  <si>
    <t>2. 광기(z), 각성기(v)를 켜서 악몽 유물세트를 활성화해주세요.</t>
    <phoneticPr fontId="4" type="noConversion"/>
  </si>
  <si>
    <t>야매 DPS</t>
    <phoneticPr fontId="4" type="noConversion"/>
  </si>
  <si>
    <t>5.야매 DPS</t>
    <phoneticPr fontId="4" type="noConversion"/>
  </si>
  <si>
    <t>딜레이</t>
    <phoneticPr fontId="4" type="noConversion"/>
  </si>
  <si>
    <t>출혈</t>
    <phoneticPr fontId="4" type="noConversion"/>
  </si>
  <si>
    <t>화상</t>
    <phoneticPr fontId="4" type="noConversion"/>
  </si>
  <si>
    <t xml:space="preserve"> 예둔 이전</t>
    <phoneticPr fontId="4" type="noConversion"/>
  </si>
  <si>
    <t>최종 데미지 기대값</t>
    <phoneticPr fontId="4" type="noConversion"/>
  </si>
  <si>
    <t>를 확인합니다.(각성기, 다크 러쉬, 평타 반영X)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</si>
</sst>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나눔스퀘어 Bold"/>
      <family val="3"/>
      <charset val="129"/>
    </font>
    <font>
      <sz val="14"/>
      <color theme="1"/>
      <name val="G마켓 산스 TTF Bold"/>
      <family val="3"/>
      <charset val="129"/>
    </font>
    <font>
      <sz val="11"/>
      <color theme="1"/>
      <name val="나눔스퀘어"/>
      <family val="3"/>
      <charset val="129"/>
    </font>
    <font>
      <sz val="14"/>
      <color theme="1"/>
      <name val="나눔스퀘어 ExtraBold"/>
      <family val="3"/>
      <charset val="129"/>
    </font>
    <font>
      <sz val="11"/>
      <color theme="1"/>
      <name val="G마켓 산스 TTF Bold"/>
      <family val="3"/>
      <charset val="129"/>
    </font>
    <font>
      <b/>
      <sz val="14"/>
      <color theme="1"/>
      <name val="나눔스퀘어 ExtraBold"/>
      <family val="3"/>
      <charset val="129"/>
    </font>
    <font>
      <sz val="14"/>
      <color rgb="FF006100"/>
      <name val="나눔스퀘어 ExtraBold"/>
      <family val="3"/>
      <charset val="129"/>
    </font>
    <font>
      <sz val="14"/>
      <color rgb="FF9C5700"/>
      <name val="나눔스퀘어 ExtraBold"/>
      <family val="3"/>
      <charset val="129"/>
    </font>
    <font>
      <sz val="11"/>
      <color theme="1"/>
      <name val="맑은 고딕"/>
      <family val="3"/>
      <charset val="129"/>
      <scheme val="major"/>
    </font>
    <font>
      <sz val="14"/>
      <color rgb="FF9C5700"/>
      <name val="G마켓 산스 TTF Bold"/>
      <family val="3"/>
      <charset val="129"/>
    </font>
    <font>
      <sz val="14"/>
      <color rgb="FF006100"/>
      <name val="G마켓 산스 TTF Bold"/>
      <family val="3"/>
      <charset val="129"/>
    </font>
    <font>
      <sz val="12"/>
      <color theme="1"/>
      <name val="G마켓 산스 TTF Bold"/>
      <family val="3"/>
      <charset val="129"/>
    </font>
    <font>
      <sz val="14"/>
      <color rgb="FFC00000"/>
      <name val="나눔스퀘어 ExtraBold"/>
      <family val="3"/>
      <charset val="129"/>
    </font>
    <font>
      <sz val="18"/>
      <color rgb="FFC00000"/>
      <name val="G마켓 산스 TTF Bold"/>
      <family val="3"/>
      <charset val="129"/>
    </font>
    <font>
      <sz val="12"/>
      <color rgb="FF9C5700"/>
      <name val="G마켓 산스 TTF Bold"/>
      <family val="3"/>
      <charset val="129"/>
    </font>
    <font>
      <sz val="12"/>
      <color rgb="FF006100"/>
      <name val="G마켓 산스 TTF Bold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1" fontId="8" fillId="0" borderId="0" xfId="0" applyNumberFormat="1" applyFont="1">
      <alignment vertical="center"/>
    </xf>
    <xf numFmtId="0" fontId="10" fillId="0" borderId="0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0" fillId="0" borderId="2" xfId="0" applyBorder="1">
      <alignment vertical="center"/>
    </xf>
    <xf numFmtId="1" fontId="11" fillId="2" borderId="3" xfId="2" applyNumberFormat="1" applyFont="1" applyBorder="1">
      <alignment vertical="center"/>
    </xf>
    <xf numFmtId="0" fontId="8" fillId="0" borderId="4" xfId="0" applyFont="1" applyFill="1" applyBorder="1" applyAlignment="1">
      <alignment horizontal="center" wrapText="1"/>
    </xf>
    <xf numFmtId="0" fontId="0" fillId="0" borderId="0" xfId="0" applyBorder="1">
      <alignment vertical="center"/>
    </xf>
    <xf numFmtId="1" fontId="12" fillId="3" borderId="5" xfId="3" applyNumberFormat="1" applyFont="1" applyBorder="1">
      <alignment vertical="center"/>
    </xf>
    <xf numFmtId="0" fontId="8" fillId="0" borderId="6" xfId="0" applyFont="1" applyFill="1" applyBorder="1" applyAlignment="1">
      <alignment horizontal="center" wrapText="1"/>
    </xf>
    <xf numFmtId="0" fontId="0" fillId="0" borderId="7" xfId="0" applyBorder="1">
      <alignment vertical="center"/>
    </xf>
    <xf numFmtId="10" fontId="11" fillId="2" borderId="8" xfId="1" applyNumberFormat="1" applyFont="1" applyFill="1" applyBorder="1">
      <alignment vertical="center"/>
    </xf>
    <xf numFmtId="0" fontId="8" fillId="0" borderId="1" xfId="0" applyFont="1" applyBorder="1">
      <alignment vertical="center"/>
    </xf>
    <xf numFmtId="0" fontId="8" fillId="0" borderId="2" xfId="0" applyFont="1" applyBorder="1">
      <alignment vertical="center"/>
    </xf>
    <xf numFmtId="10" fontId="3" fillId="3" borderId="3" xfId="3" applyNumberFormat="1" applyBorder="1">
      <alignment vertical="center"/>
    </xf>
    <xf numFmtId="0" fontId="8" fillId="0" borderId="4" xfId="0" applyFont="1" applyBorder="1">
      <alignment vertical="center"/>
    </xf>
    <xf numFmtId="0" fontId="3" fillId="3" borderId="0" xfId="3" applyBorder="1">
      <alignment vertical="center"/>
    </xf>
    <xf numFmtId="0" fontId="8" fillId="0" borderId="0" xfId="0" applyFont="1" applyBorder="1">
      <alignment vertical="center"/>
    </xf>
    <xf numFmtId="10" fontId="3" fillId="3" borderId="5" xfId="3" applyNumberFormat="1" applyBorder="1">
      <alignment vertical="center"/>
    </xf>
    <xf numFmtId="0" fontId="5" fillId="0" borderId="0" xfId="0" applyFont="1" applyBorder="1">
      <alignment vertical="center"/>
    </xf>
    <xf numFmtId="0" fontId="0" fillId="0" borderId="5" xfId="0" applyBorder="1">
      <alignment vertical="center"/>
    </xf>
    <xf numFmtId="0" fontId="7" fillId="0" borderId="0" xfId="0" applyFont="1" applyBorder="1">
      <alignment vertical="center"/>
    </xf>
    <xf numFmtId="0" fontId="7" fillId="0" borderId="4" xfId="0" applyFont="1" applyBorder="1">
      <alignment vertical="center"/>
    </xf>
    <xf numFmtId="0" fontId="7" fillId="0" borderId="5" xfId="0" applyFont="1" applyBorder="1">
      <alignment vertical="center"/>
    </xf>
    <xf numFmtId="0" fontId="3" fillId="3" borderId="5" xfId="3" applyBorder="1">
      <alignment vertical="center"/>
    </xf>
    <xf numFmtId="9" fontId="3" fillId="3" borderId="5" xfId="3" applyNumberFormat="1" applyBorder="1">
      <alignment vertical="center"/>
    </xf>
    <xf numFmtId="9" fontId="3" fillId="3" borderId="0" xfId="3" applyNumberFormat="1" applyBorder="1">
      <alignment vertical="center"/>
    </xf>
    <xf numFmtId="10" fontId="3" fillId="3" borderId="0" xfId="3" applyNumberFormat="1" applyBorder="1">
      <alignment vertical="center"/>
    </xf>
    <xf numFmtId="0" fontId="8" fillId="0" borderId="7" xfId="0" applyFont="1" applyBorder="1">
      <alignment vertical="center"/>
    </xf>
    <xf numFmtId="10" fontId="3" fillId="3" borderId="7" xfId="3" applyNumberFormat="1" applyBorder="1">
      <alignment vertical="center"/>
    </xf>
    <xf numFmtId="0" fontId="7" fillId="0" borderId="7" xfId="0" applyFont="1" applyBorder="1">
      <alignment vertical="center"/>
    </xf>
    <xf numFmtId="0" fontId="0" fillId="0" borderId="8" xfId="0" applyBorder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>
      <alignment vertical="center"/>
    </xf>
    <xf numFmtId="0" fontId="8" fillId="0" borderId="4" xfId="0" applyFont="1" applyBorder="1" applyAlignment="1">
      <alignment horizontal="center" wrapText="1"/>
    </xf>
    <xf numFmtId="1" fontId="10" fillId="0" borderId="0" xfId="0" applyNumberFormat="1" applyFont="1" applyBorder="1">
      <alignment vertical="center"/>
    </xf>
    <xf numFmtId="2" fontId="8" fillId="0" borderId="0" xfId="0" applyNumberFormat="1" applyFont="1" applyBorder="1">
      <alignment vertical="center"/>
    </xf>
    <xf numFmtId="1" fontId="8" fillId="0" borderId="0" xfId="0" applyNumberFormat="1" applyFont="1" applyBorder="1">
      <alignment vertical="center"/>
    </xf>
    <xf numFmtId="1" fontId="3" fillId="3" borderId="0" xfId="3" applyNumberFormat="1" applyBorder="1">
      <alignment vertical="center"/>
    </xf>
    <xf numFmtId="1" fontId="8" fillId="0" borderId="5" xfId="0" applyNumberFormat="1" applyFont="1" applyBorder="1">
      <alignment vertical="center"/>
    </xf>
    <xf numFmtId="0" fontId="8" fillId="0" borderId="6" xfId="0" applyFont="1" applyBorder="1" applyAlignment="1">
      <alignment horizontal="center" wrapText="1"/>
    </xf>
    <xf numFmtId="1" fontId="10" fillId="0" borderId="7" xfId="0" applyNumberFormat="1" applyFont="1" applyBorder="1">
      <alignment vertical="center"/>
    </xf>
    <xf numFmtId="2" fontId="8" fillId="0" borderId="7" xfId="0" applyNumberFormat="1" applyFont="1" applyBorder="1">
      <alignment vertical="center"/>
    </xf>
    <xf numFmtId="1" fontId="8" fillId="0" borderId="7" xfId="0" applyNumberFormat="1" applyFont="1" applyBorder="1">
      <alignment vertical="center"/>
    </xf>
    <xf numFmtId="0" fontId="10" fillId="0" borderId="7" xfId="0" applyFont="1" applyFill="1" applyBorder="1" applyAlignment="1">
      <alignment horizontal="center" wrapText="1"/>
    </xf>
    <xf numFmtId="1" fontId="3" fillId="3" borderId="7" xfId="3" applyNumberFormat="1" applyBorder="1">
      <alignment vertical="center"/>
    </xf>
    <xf numFmtId="1" fontId="8" fillId="0" borderId="8" xfId="0" applyNumberFormat="1" applyFont="1" applyBorder="1">
      <alignment vertical="center"/>
    </xf>
    <xf numFmtId="1" fontId="8" fillId="0" borderId="2" xfId="0" applyNumberFormat="1" applyFont="1" applyBorder="1">
      <alignment vertical="center"/>
    </xf>
    <xf numFmtId="0" fontId="6" fillId="0" borderId="1" xfId="0" applyFont="1" applyFill="1" applyBorder="1" applyAlignment="1">
      <alignment horizontal="center" wrapText="1"/>
    </xf>
    <xf numFmtId="0" fontId="9" fillId="0" borderId="2" xfId="0" applyFont="1" applyBorder="1">
      <alignment vertical="center"/>
    </xf>
    <xf numFmtId="0" fontId="7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0" fillId="0" borderId="4" xfId="0" applyBorder="1">
      <alignment vertical="center"/>
    </xf>
    <xf numFmtId="0" fontId="6" fillId="0" borderId="0" xfId="0" applyFont="1" applyBorder="1" applyAlignment="1">
      <alignment horizontal="left" vertical="center"/>
    </xf>
    <xf numFmtId="0" fontId="9" fillId="0" borderId="0" xfId="0" applyFont="1" applyBorder="1">
      <alignment vertical="center"/>
    </xf>
    <xf numFmtId="0" fontId="6" fillId="0" borderId="0" xfId="0" applyFont="1" applyBorder="1">
      <alignment vertical="center"/>
    </xf>
    <xf numFmtId="0" fontId="14" fillId="3" borderId="0" xfId="3" applyFont="1" applyBorder="1">
      <alignment vertical="center"/>
    </xf>
    <xf numFmtId="0" fontId="15" fillId="2" borderId="0" xfId="2" applyFont="1" applyBorder="1">
      <alignment vertical="center"/>
    </xf>
    <xf numFmtId="0" fontId="6" fillId="0" borderId="4" xfId="0" applyFont="1" applyBorder="1" applyAlignment="1">
      <alignment horizontal="center" vertical="center"/>
    </xf>
    <xf numFmtId="0" fontId="6" fillId="0" borderId="7" xfId="0" applyFont="1" applyBorder="1">
      <alignment vertical="center"/>
    </xf>
    <xf numFmtId="0" fontId="7" fillId="0" borderId="8" xfId="0" applyFont="1" applyBorder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17" fillId="0" borderId="2" xfId="0" applyFont="1" applyBorder="1">
      <alignment vertical="center"/>
    </xf>
    <xf numFmtId="0" fontId="17" fillId="0" borderId="4" xfId="0" applyFont="1" applyBorder="1">
      <alignment vertical="center"/>
    </xf>
    <xf numFmtId="0" fontId="17" fillId="0" borderId="1" xfId="0" applyFont="1" applyBorder="1">
      <alignment vertical="center"/>
    </xf>
    <xf numFmtId="0" fontId="17" fillId="0" borderId="6" xfId="0" applyFont="1" applyBorder="1">
      <alignment vertical="center"/>
    </xf>
    <xf numFmtId="0" fontId="17" fillId="0" borderId="0" xfId="0" applyFont="1" applyBorder="1">
      <alignment vertical="center"/>
    </xf>
    <xf numFmtId="0" fontId="6" fillId="0" borderId="4" xfId="0" applyFont="1" applyBorder="1">
      <alignment vertical="center"/>
    </xf>
    <xf numFmtId="0" fontId="6" fillId="0" borderId="6" xfId="0" applyFont="1" applyBorder="1">
      <alignment vertical="center"/>
    </xf>
    <xf numFmtId="0" fontId="6" fillId="0" borderId="7" xfId="0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8" fillId="0" borderId="0" xfId="0" applyFont="1" applyFill="1" applyBorder="1">
      <alignment vertical="center"/>
    </xf>
    <xf numFmtId="0" fontId="20" fillId="2" borderId="0" xfId="2" applyFont="1" applyBorder="1">
      <alignment vertical="center"/>
    </xf>
    <xf numFmtId="0" fontId="16" fillId="0" borderId="0" xfId="0" applyFont="1" applyBorder="1">
      <alignment vertical="center"/>
    </xf>
    <xf numFmtId="0" fontId="19" fillId="3" borderId="0" xfId="3" applyFont="1" applyBorder="1">
      <alignment vertical="center"/>
    </xf>
    <xf numFmtId="0" fontId="6" fillId="0" borderId="4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8" xfId="0" applyFont="1" applyBorder="1">
      <alignment vertical="center"/>
    </xf>
    <xf numFmtId="0" fontId="8" fillId="0" borderId="7" xfId="0" applyFont="1" applyBorder="1" applyAlignment="1">
      <alignment horizontal="center" vertical="center"/>
    </xf>
    <xf numFmtId="0" fontId="13" fillId="0" borderId="7" xfId="0" applyFont="1" applyBorder="1">
      <alignment vertical="center"/>
    </xf>
    <xf numFmtId="0" fontId="8" fillId="0" borderId="0" xfId="0" applyFont="1" applyBorder="1" applyAlignment="1">
      <alignment horizontal="center" vertical="center"/>
    </xf>
    <xf numFmtId="0" fontId="13" fillId="0" borderId="0" xfId="0" applyFont="1" applyBorder="1">
      <alignment vertical="center"/>
    </xf>
  </cellXfs>
  <cellStyles count="4">
    <cellStyle name="백분율" xfId="1" builtinId="5"/>
    <cellStyle name="보통" xfId="3" builtinId="28"/>
    <cellStyle name="좋음" xfId="2" builtinId="2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204786</xdr:colOff>
      <xdr:row>23</xdr:row>
      <xdr:rowOff>66674</xdr:rowOff>
    </xdr:from>
    <xdr:to>
      <xdr:col>35</xdr:col>
      <xdr:colOff>561975</xdr:colOff>
      <xdr:row>29</xdr:row>
      <xdr:rowOff>231775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2D3B5A38-1D33-BD04-7216-C8F8802A6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311311" y="4962524"/>
          <a:ext cx="2576514" cy="17176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CC69B-C428-47B0-981A-FF13F538F03C}">
  <dimension ref="A1:AN30"/>
  <sheetViews>
    <sheetView tabSelected="1" zoomScaleNormal="100" workbookViewId="0"/>
  </sheetViews>
  <sheetFormatPr defaultRowHeight="16.5" x14ac:dyDescent="0.3"/>
  <cols>
    <col min="1" max="1" width="9.75" style="1" customWidth="1"/>
    <col min="2" max="2" width="14.125" style="1" hidden="1" customWidth="1"/>
    <col min="3" max="3" width="10.25" style="1" hidden="1" customWidth="1"/>
    <col min="4" max="4" width="14.125" style="1" customWidth="1"/>
    <col min="5" max="5" width="12.625" style="1" hidden="1" customWidth="1"/>
    <col min="6" max="6" width="13.25" style="1" hidden="1" customWidth="1"/>
    <col min="7" max="7" width="15.125" style="1" hidden="1" customWidth="1"/>
    <col min="8" max="8" width="8.125" style="1" hidden="1" customWidth="1"/>
    <col min="9" max="10" width="10.25" style="1" hidden="1" customWidth="1"/>
    <col min="11" max="11" width="12.125" style="1" bestFit="1" customWidth="1"/>
    <col min="12" max="12" width="7.5" style="1" hidden="1" customWidth="1"/>
    <col min="13" max="13" width="7.125" style="1" hidden="1" customWidth="1"/>
    <col min="14" max="14" width="8.125" style="1" hidden="1" customWidth="1"/>
    <col min="15" max="18" width="13.25" style="1" hidden="1" customWidth="1"/>
    <col min="19" max="19" width="9.125" style="1" hidden="1" customWidth="1"/>
    <col min="20" max="20" width="9.125" style="1" customWidth="1"/>
    <col min="21" max="21" width="20.5" style="1" customWidth="1"/>
    <col min="22" max="22" width="18.75" style="1" hidden="1" customWidth="1"/>
    <col min="23" max="23" width="18.75" style="1" customWidth="1"/>
    <col min="24" max="24" width="21.75" style="1" hidden="1" customWidth="1"/>
    <col min="25" max="25" width="10.75" style="1" customWidth="1"/>
    <col min="26" max="26" width="7.125" style="1" customWidth="1"/>
    <col min="27" max="27" width="8.625" style="1" bestFit="1" customWidth="1"/>
    <col min="28" max="28" width="8.625" style="1" customWidth="1"/>
    <col min="29" max="29" width="14.125" style="1" bestFit="1" customWidth="1"/>
    <col min="30" max="30" width="3.875" style="1" customWidth="1"/>
    <col min="31" max="31" width="21.75" style="1" bestFit="1" customWidth="1"/>
    <col min="32" max="32" width="7.5" style="1" bestFit="1" customWidth="1"/>
    <col min="33" max="33" width="12.375" style="1" bestFit="1" customWidth="1"/>
    <col min="34" max="34" width="8.125" style="1" bestFit="1" customWidth="1"/>
    <col min="35" max="35" width="29.125" customWidth="1"/>
    <col min="36" max="36" width="7.5" bestFit="1" customWidth="1"/>
    <col min="38" max="40" width="9" hidden="1" customWidth="1"/>
    <col min="41" max="42" width="0" hidden="1" customWidth="1"/>
  </cols>
  <sheetData>
    <row r="1" spans="1:36" ht="18.75" x14ac:dyDescent="0.3">
      <c r="A1" s="14"/>
      <c r="B1" s="34" t="s">
        <v>36</v>
      </c>
      <c r="C1" s="34" t="s">
        <v>1</v>
      </c>
      <c r="D1" s="34" t="s">
        <v>0</v>
      </c>
      <c r="E1" s="34" t="s">
        <v>37</v>
      </c>
      <c r="F1" s="34" t="s">
        <v>6</v>
      </c>
      <c r="G1" s="15" t="s">
        <v>10</v>
      </c>
      <c r="H1" s="15" t="s">
        <v>11</v>
      </c>
      <c r="I1" s="15" t="s">
        <v>9</v>
      </c>
      <c r="J1" s="15" t="s">
        <v>8</v>
      </c>
      <c r="K1" s="65" t="s">
        <v>47</v>
      </c>
      <c r="L1" s="15" t="s">
        <v>45</v>
      </c>
      <c r="M1" s="15" t="s">
        <v>14</v>
      </c>
      <c r="N1" s="15" t="s">
        <v>15</v>
      </c>
      <c r="O1" s="15" t="s">
        <v>16</v>
      </c>
      <c r="P1" s="15" t="s">
        <v>34</v>
      </c>
      <c r="Q1" s="15" t="s">
        <v>27</v>
      </c>
      <c r="R1" s="15" t="s">
        <v>35</v>
      </c>
      <c r="S1" s="15" t="s">
        <v>12</v>
      </c>
      <c r="T1" s="15" t="s">
        <v>49</v>
      </c>
      <c r="U1" s="15" t="s">
        <v>38</v>
      </c>
      <c r="V1" s="15" t="s">
        <v>39</v>
      </c>
      <c r="W1" s="15" t="s">
        <v>98</v>
      </c>
      <c r="X1" s="15" t="s">
        <v>97</v>
      </c>
      <c r="Y1" s="65" t="s">
        <v>48</v>
      </c>
      <c r="Z1" s="15" t="s">
        <v>46</v>
      </c>
      <c r="AA1" s="15" t="s">
        <v>40</v>
      </c>
      <c r="AB1" s="15" t="s">
        <v>94</v>
      </c>
      <c r="AC1" s="35" t="s">
        <v>41</v>
      </c>
      <c r="AD1" s="2"/>
      <c r="AE1" s="67" t="s">
        <v>73</v>
      </c>
      <c r="AF1" s="15"/>
      <c r="AG1" s="49">
        <f>SQRT((AG2*AG3)/6)</f>
        <v>48570.535241714875</v>
      </c>
      <c r="AH1" s="15"/>
      <c r="AI1" s="65" t="s">
        <v>54</v>
      </c>
      <c r="AJ1" s="16">
        <v>0.50890000000000002</v>
      </c>
    </row>
    <row r="2" spans="1:36" ht="18.75" x14ac:dyDescent="0.3">
      <c r="A2" s="36" t="s">
        <v>83</v>
      </c>
      <c r="B2" s="37">
        <v>2608</v>
      </c>
      <c r="C2" s="38">
        <v>16.189664401894174</v>
      </c>
      <c r="D2" s="39">
        <f>$AG$5</f>
        <v>50027.651298966324</v>
      </c>
      <c r="E2" s="39">
        <f>B2+C2*D2</f>
        <v>812538.8853452499</v>
      </c>
      <c r="F2" s="38">
        <f>6500/(6500+6500)</f>
        <v>0.5</v>
      </c>
      <c r="G2" s="4">
        <v>7.5305749999999998</v>
      </c>
      <c r="H2" s="38">
        <v>1.05</v>
      </c>
      <c r="I2" s="38">
        <f>$AH$9*$AH$13*$AH$14*$AH$15*(1+$AG$20)*(1+$AJ$17)*(1+$AJ$18)*$AL$20*$AN$20*1.17*1.2</f>
        <v>2.6751389183999992</v>
      </c>
      <c r="J2" s="38">
        <f>1+$AG$28+$AJ$15</f>
        <v>1.462</v>
      </c>
      <c r="K2" s="40">
        <v>10</v>
      </c>
      <c r="L2" s="38" cm="1">
        <f t="array" ref="L2">_xlfn.IFS(K2&gt;9, 1.4, K2&gt;8, 1.3, K2&gt;7, 1.24, TRUE, 1.21)</f>
        <v>1.4</v>
      </c>
      <c r="M2" s="38">
        <f>$AH$25*$AH$26</f>
        <v>1.1556000000000002</v>
      </c>
      <c r="N2" s="38">
        <f>1+$AG$30</f>
        <v>1.0221</v>
      </c>
      <c r="O2" s="38">
        <f>I2*J2*G2*H2*L2*M2*N2</f>
        <v>51.137572311312063</v>
      </c>
      <c r="P2" s="38">
        <f>$AJ$1+43.2%</f>
        <v>0.94090000000000007</v>
      </c>
      <c r="Q2" s="38">
        <f>(2+$AH$12+$AJ$16+$AG$21+$AJ$16)*$AL$21</f>
        <v>2.58</v>
      </c>
      <c r="R2" s="38">
        <f>1-P2</f>
        <v>5.909999999999993E-2</v>
      </c>
      <c r="S2" s="38">
        <v>0.8</v>
      </c>
      <c r="T2" s="38">
        <v>1.24</v>
      </c>
      <c r="U2" s="39">
        <f>E2*F2*O2*Q2*S2*T2</f>
        <v>53172324.081400752</v>
      </c>
      <c r="V2" s="39">
        <f>E2*F2*O2*S2*T2</f>
        <v>20609427.938527424</v>
      </c>
      <c r="W2" s="39">
        <f>0.9*X2+0.1*0.8*X2</f>
        <v>50222899.780969806</v>
      </c>
      <c r="X2" s="39">
        <f>P2*U2+R2*V2</f>
        <v>51247856.919356942</v>
      </c>
      <c r="Y2" s="40">
        <v>7</v>
      </c>
      <c r="Z2" s="38" cm="1">
        <f t="array" ref="Z2">_xlfn.IFS(Y2&gt;9, 0.2, Y2&gt;8, 0.18, Y2&gt;7, 0.16, TRUE, 0.14)</f>
        <v>0.14000000000000001</v>
      </c>
      <c r="AA2" s="38">
        <f>(18+6)*(1-$AJ$2)*(1-Z2)</f>
        <v>16.394352000000001</v>
      </c>
      <c r="AB2" s="38">
        <v>1.8919999999999999</v>
      </c>
      <c r="AC2" s="41">
        <f>W2/AA2+AB2</f>
        <v>3063428.8442192646</v>
      </c>
      <c r="AD2" s="3"/>
      <c r="AE2" s="17" t="s">
        <v>2</v>
      </c>
      <c r="AF2" s="18">
        <v>230602</v>
      </c>
      <c r="AG2" s="39">
        <f>AF2+AJ12*1.08</f>
        <v>230602</v>
      </c>
      <c r="AH2" s="19"/>
      <c r="AI2" s="69" t="s">
        <v>55</v>
      </c>
      <c r="AJ2" s="20">
        <v>0.20569999999999999</v>
      </c>
    </row>
    <row r="3" spans="1:36" ht="18.75" x14ac:dyDescent="0.3">
      <c r="A3" s="36" t="s">
        <v>84</v>
      </c>
      <c r="B3" s="37">
        <v>2893</v>
      </c>
      <c r="C3" s="38">
        <v>17.97064031295038</v>
      </c>
      <c r="D3" s="39">
        <f>$AG$5</f>
        <v>50027.651298966324</v>
      </c>
      <c r="E3" s="39">
        <f t="shared" ref="E3:E12" si="0">B3+C3*D3</f>
        <v>901921.92719542864</v>
      </c>
      <c r="F3" s="38">
        <f t="shared" ref="F3:F12" si="1">6500/(6500+6500)</f>
        <v>0.5</v>
      </c>
      <c r="G3" s="4">
        <v>3.3184</v>
      </c>
      <c r="H3" s="38">
        <v>1.05</v>
      </c>
      <c r="I3" s="38">
        <f t="shared" ref="I3:I9" si="2">$AH$9*$AH$13*$AH$14*$AH$15*(1+$AG$20)*(1+$AJ$17)*(1+$AJ$18)*$AL$20*$AN$20*1.17*1.2</f>
        <v>2.6751389183999992</v>
      </c>
      <c r="J3" s="38">
        <f t="shared" ref="J3:J12" si="3">1+$AG$28+$AJ$15</f>
        <v>1.462</v>
      </c>
      <c r="K3" s="40">
        <v>9</v>
      </c>
      <c r="L3" s="38" cm="1">
        <f t="array" ref="L3">_xlfn.IFS(K3&gt;9, 1.4, K3&gt;8, 1.3, K3&gt;7, 1.24, TRUE, 1.21)</f>
        <v>1.3</v>
      </c>
      <c r="M3" s="38">
        <f>$AH$25*$AH$26</f>
        <v>1.1556000000000002</v>
      </c>
      <c r="N3" s="38">
        <f>1+$AG$30</f>
        <v>1.0221</v>
      </c>
      <c r="O3" s="38">
        <f>I3*J3*G3*H3*L3*M3*N3</f>
        <v>20.924544838419695</v>
      </c>
      <c r="P3" s="38">
        <f>$AJ$1+43.2%</f>
        <v>0.94090000000000007</v>
      </c>
      <c r="Q3" s="38">
        <f t="shared" ref="Q3:Q12" si="4">(2+$AH$12+$AJ$16+$AG$21+$AJ$16)*$AL$21</f>
        <v>2.58</v>
      </c>
      <c r="R3" s="38">
        <f t="shared" ref="R3:R12" si="5">1-P3</f>
        <v>5.909999999999993E-2</v>
      </c>
      <c r="S3" s="38">
        <v>0.8</v>
      </c>
      <c r="T3" s="38">
        <v>1</v>
      </c>
      <c r="U3" s="39">
        <f t="shared" ref="U3:U12" si="6">E3*F3*O3*Q3*S3*T3</f>
        <v>19476219.592158001</v>
      </c>
      <c r="V3" s="39">
        <f t="shared" ref="V3:V12" si="7">E3*F3*O3*S3*T3</f>
        <v>7548922.3225418599</v>
      </c>
      <c r="W3" s="39">
        <f t="shared" ref="W3:W12" si="8">0.9*X3+0.1*0.8*X3</f>
        <v>18395889.997053217</v>
      </c>
      <c r="X3" s="39">
        <f>P3*U3+R3*V3</f>
        <v>18771316.323523689</v>
      </c>
      <c r="Y3" s="9">
        <v>0</v>
      </c>
      <c r="Z3" s="38">
        <v>0</v>
      </c>
      <c r="AA3" s="38">
        <f>(24-5)*(1-$AJ$2)*(1-Z3)</f>
        <v>15.091699999999999</v>
      </c>
      <c r="AB3" s="38">
        <v>1.2210000000000001</v>
      </c>
      <c r="AC3" s="41">
        <f t="shared" ref="AC3:AC9" si="9">W3/AA3+AB3</f>
        <v>1218942.0955902196</v>
      </c>
      <c r="AD3" s="3"/>
      <c r="AE3" s="17" t="s">
        <v>3</v>
      </c>
      <c r="AF3" s="18">
        <v>61381</v>
      </c>
      <c r="AG3" s="39">
        <f>AF3+AJ13+AG22</f>
        <v>61381</v>
      </c>
      <c r="AH3" s="19"/>
      <c r="AI3" s="21"/>
      <c r="AJ3" s="22"/>
    </row>
    <row r="4" spans="1:36" ht="18.75" x14ac:dyDescent="0.3">
      <c r="A4" s="36" t="s">
        <v>89</v>
      </c>
      <c r="B4" s="37">
        <v>5184</v>
      </c>
      <c r="C4" s="38">
        <v>32.161334156886966</v>
      </c>
      <c r="D4" s="39">
        <f>$AG$5</f>
        <v>50027.651298966324</v>
      </c>
      <c r="E4" s="39">
        <f t="shared" si="0"/>
        <v>1614140.0105102763</v>
      </c>
      <c r="F4" s="38">
        <f t="shared" si="1"/>
        <v>0.5</v>
      </c>
      <c r="G4" s="4">
        <v>2.9861399999999998</v>
      </c>
      <c r="H4" s="38">
        <v>1.05</v>
      </c>
      <c r="I4" s="38">
        <f t="shared" si="2"/>
        <v>2.6751389183999992</v>
      </c>
      <c r="J4" s="38">
        <f t="shared" si="3"/>
        <v>1.462</v>
      </c>
      <c r="K4" s="40">
        <v>9</v>
      </c>
      <c r="L4" s="38" cm="1">
        <f t="array" ref="L4">_xlfn.IFS(K4&gt;9, 1.4, K4&gt;8, 1.3, K4&gt;7, 1.24, TRUE, 1.21)</f>
        <v>1.3</v>
      </c>
      <c r="M4" s="38">
        <f>$AH$25*$AH$26</f>
        <v>1.1556000000000002</v>
      </c>
      <c r="N4" s="38">
        <f>1+$AG$30</f>
        <v>1.0221</v>
      </c>
      <c r="O4" s="38">
        <f t="shared" ref="O4:O12" si="10">I4*J4*G4*H4*L4*M4*N4</f>
        <v>18.829441997287422</v>
      </c>
      <c r="P4" s="38">
        <f>$AJ$1+43.2%</f>
        <v>0.94090000000000007</v>
      </c>
      <c r="Q4" s="38">
        <f t="shared" si="4"/>
        <v>2.58</v>
      </c>
      <c r="R4" s="38">
        <f t="shared" si="5"/>
        <v>5.909999999999993E-2</v>
      </c>
      <c r="S4" s="38">
        <v>0.8</v>
      </c>
      <c r="T4" s="38">
        <v>1.24</v>
      </c>
      <c r="U4" s="39">
        <f t="shared" si="6"/>
        <v>38893769.426532231</v>
      </c>
      <c r="V4" s="39">
        <f t="shared" si="7"/>
        <v>15075104.428888462</v>
      </c>
      <c r="W4" s="39">
        <f t="shared" si="8"/>
        <v>36736364.598668061</v>
      </c>
      <c r="X4" s="39">
        <f t="shared" ref="X4:X8" si="11">P4*U4+R4*V4</f>
        <v>37486086.325171486</v>
      </c>
      <c r="Y4" s="40">
        <v>7</v>
      </c>
      <c r="Z4" s="38" cm="1">
        <f t="array" ref="Z4">_xlfn.IFS(Y4&gt;9, 0.2, Y4&gt;8, 0.18, Y4&gt;7, 0.16, TRUE, 0.14)</f>
        <v>0.14000000000000001</v>
      </c>
      <c r="AA4" s="38">
        <f>(36-12)*(1-$AJ$2)*(1-Z4)</f>
        <v>16.394352000000001</v>
      </c>
      <c r="AB4" s="38">
        <v>1.575</v>
      </c>
      <c r="AC4" s="41">
        <f t="shared" si="9"/>
        <v>2240795.5141973565</v>
      </c>
      <c r="AD4" s="3"/>
      <c r="AE4" s="17" t="s">
        <v>4</v>
      </c>
      <c r="AF4" s="19"/>
      <c r="AG4" s="39">
        <f>AG1*AH16+AG1*AH17+AG1*AJ14+AG1*AM20</f>
        <v>1457.1160572514461</v>
      </c>
      <c r="AH4" s="19"/>
      <c r="AI4" s="21"/>
      <c r="AJ4" s="22"/>
    </row>
    <row r="5" spans="1:36" ht="18.75" x14ac:dyDescent="0.3">
      <c r="A5" s="36" t="s">
        <v>88</v>
      </c>
      <c r="B5" s="37">
        <v>422</v>
      </c>
      <c r="C5" s="38">
        <v>3.0989293802758904</v>
      </c>
      <c r="D5" s="39">
        <f>$AG$5</f>
        <v>50027.651298966324</v>
      </c>
      <c r="E5" s="39">
        <f t="shared" si="0"/>
        <v>155454.15843656406</v>
      </c>
      <c r="F5" s="38">
        <f t="shared" si="1"/>
        <v>0.5</v>
      </c>
      <c r="G5" s="4">
        <v>1</v>
      </c>
      <c r="H5" s="38">
        <v>1.05</v>
      </c>
      <c r="I5" s="38">
        <f t="shared" si="2"/>
        <v>2.6751389183999992</v>
      </c>
      <c r="J5" s="38">
        <f t="shared" si="3"/>
        <v>1.462</v>
      </c>
      <c r="K5" s="9">
        <v>0</v>
      </c>
      <c r="L5" s="38">
        <v>1</v>
      </c>
      <c r="M5" s="38">
        <f>$AH$25*$AH$26</f>
        <v>1.1556000000000002</v>
      </c>
      <c r="N5" s="38">
        <f>1+$AG$30</f>
        <v>1.0221</v>
      </c>
      <c r="O5" s="38">
        <f t="shared" si="10"/>
        <v>4.8504712276583009</v>
      </c>
      <c r="P5" s="38">
        <f>$AJ$1+10%</f>
        <v>0.6089</v>
      </c>
      <c r="Q5" s="38">
        <f t="shared" si="4"/>
        <v>2.58</v>
      </c>
      <c r="R5" s="38">
        <f t="shared" si="5"/>
        <v>0.3911</v>
      </c>
      <c r="S5" s="38">
        <v>0.8</v>
      </c>
      <c r="T5" s="38">
        <v>1</v>
      </c>
      <c r="U5" s="39">
        <f t="shared" si="6"/>
        <v>778154.75224331336</v>
      </c>
      <c r="V5" s="39">
        <f t="shared" si="7"/>
        <v>301610.36908655555</v>
      </c>
      <c r="W5" s="39">
        <f t="shared" si="8"/>
        <v>579942.6791108913</v>
      </c>
      <c r="X5" s="39">
        <f t="shared" si="11"/>
        <v>591778.24399070535</v>
      </c>
      <c r="Y5" s="9">
        <v>0</v>
      </c>
      <c r="Z5" s="38">
        <v>0</v>
      </c>
      <c r="AA5" s="38">
        <v>15.09</v>
      </c>
      <c r="AB5" s="38">
        <v>0.89300000000000002</v>
      </c>
      <c r="AC5" s="41">
        <f t="shared" si="9"/>
        <v>38433.144763478544</v>
      </c>
      <c r="AD5" s="3"/>
      <c r="AE5" s="17" t="s">
        <v>13</v>
      </c>
      <c r="AF5" s="19"/>
      <c r="AG5" s="39">
        <f>AG1+AG4+AJ9</f>
        <v>50027.651298966324</v>
      </c>
      <c r="AH5" s="23"/>
      <c r="AI5" s="9"/>
      <c r="AJ5" s="22"/>
    </row>
    <row r="6" spans="1:36" ht="18.75" x14ac:dyDescent="0.3">
      <c r="A6" s="36" t="s">
        <v>85</v>
      </c>
      <c r="B6" s="37">
        <v>2962</v>
      </c>
      <c r="C6" s="38">
        <v>18.350627959645873</v>
      </c>
      <c r="D6" s="39">
        <f>$AG$5</f>
        <v>50027.651298966324</v>
      </c>
      <c r="E6" s="39">
        <f t="shared" si="0"/>
        <v>921000.81668222568</v>
      </c>
      <c r="F6" s="38">
        <f t="shared" si="1"/>
        <v>0.5</v>
      </c>
      <c r="G6" s="4">
        <v>3.6295000000000002</v>
      </c>
      <c r="H6" s="38">
        <v>1</v>
      </c>
      <c r="I6" s="38">
        <f t="shared" si="2"/>
        <v>2.6751389183999992</v>
      </c>
      <c r="J6" s="38">
        <f t="shared" si="3"/>
        <v>1.462</v>
      </c>
      <c r="K6" s="40">
        <v>9</v>
      </c>
      <c r="L6" s="38" cm="1">
        <f t="array" ref="L6">_xlfn.IFS(K6&gt;9, 1.4, K6&gt;8, 1.3, K6&gt;7, 1.24, TRUE, 1.21)</f>
        <v>1.3</v>
      </c>
      <c r="M6" s="38">
        <f>$AH$25*$AH$26</f>
        <v>1.1556000000000002</v>
      </c>
      <c r="N6" s="38">
        <f>1+$AG$30</f>
        <v>1.0221</v>
      </c>
      <c r="O6" s="38">
        <f t="shared" si="10"/>
        <v>21.796400873353853</v>
      </c>
      <c r="P6" s="38">
        <f>$AJ$1+33.2%</f>
        <v>0.84089999999999998</v>
      </c>
      <c r="Q6" s="38">
        <f t="shared" si="4"/>
        <v>2.58</v>
      </c>
      <c r="R6" s="38">
        <f t="shared" si="5"/>
        <v>0.15910000000000002</v>
      </c>
      <c r="S6" s="38">
        <v>0.8</v>
      </c>
      <c r="T6" s="38">
        <v>1.24</v>
      </c>
      <c r="U6" s="39">
        <f t="shared" si="6"/>
        <v>25688940.005556233</v>
      </c>
      <c r="V6" s="39">
        <f t="shared" si="7"/>
        <v>9956953.4905256703</v>
      </c>
      <c r="W6" s="39">
        <f t="shared" si="8"/>
        <v>22722261.331994571</v>
      </c>
      <c r="X6" s="39">
        <f t="shared" si="11"/>
        <v>23185980.951014869</v>
      </c>
      <c r="Y6" s="9">
        <v>0</v>
      </c>
      <c r="Z6" s="38">
        <v>0</v>
      </c>
      <c r="AA6" s="38">
        <f>(24-5)*(1-$AJ$2)*(1-Z6)</f>
        <v>15.091699999999999</v>
      </c>
      <c r="AB6" s="38">
        <v>1.097</v>
      </c>
      <c r="AC6" s="41">
        <f t="shared" si="9"/>
        <v>1505614.2043367859</v>
      </c>
      <c r="AD6" s="3"/>
      <c r="AE6" s="24"/>
      <c r="AF6" s="23"/>
      <c r="AG6" s="23"/>
      <c r="AH6" s="23"/>
      <c r="AI6" s="9"/>
      <c r="AJ6" s="22"/>
    </row>
    <row r="7" spans="1:36" ht="18.75" x14ac:dyDescent="0.3">
      <c r="A7" s="36" t="s">
        <v>49</v>
      </c>
      <c r="B7" s="37">
        <v>1596</v>
      </c>
      <c r="C7" s="38">
        <v>9.4187976116944618</v>
      </c>
      <c r="D7" s="39">
        <f>$AG$5</f>
        <v>50027.651298966324</v>
      </c>
      <c r="E7" s="39">
        <f t="shared" si="0"/>
        <v>472796.32257338736</v>
      </c>
      <c r="F7" s="38">
        <f t="shared" si="1"/>
        <v>0.5</v>
      </c>
      <c r="G7" s="4">
        <v>2.25</v>
      </c>
      <c r="H7" s="38">
        <v>1.05</v>
      </c>
      <c r="I7" s="38">
        <f t="shared" si="2"/>
        <v>2.6751389183999992</v>
      </c>
      <c r="J7" s="38">
        <f t="shared" si="3"/>
        <v>1.462</v>
      </c>
      <c r="K7" s="9">
        <v>0</v>
      </c>
      <c r="L7" s="38">
        <v>1</v>
      </c>
      <c r="M7" s="38">
        <f>$AH$25*$AH$26</f>
        <v>1.1556000000000002</v>
      </c>
      <c r="N7" s="38">
        <f>1+$AG$30</f>
        <v>1.0221</v>
      </c>
      <c r="O7" s="38">
        <f t="shared" si="10"/>
        <v>10.913560262231176</v>
      </c>
      <c r="P7" s="38">
        <f>$AJ$1+10%</f>
        <v>0.6089</v>
      </c>
      <c r="Q7" s="38">
        <f t="shared" si="4"/>
        <v>2.58</v>
      </c>
      <c r="R7" s="38">
        <f t="shared" si="5"/>
        <v>0.3911</v>
      </c>
      <c r="S7" s="38">
        <v>0.8</v>
      </c>
      <c r="T7" s="38">
        <v>1.24</v>
      </c>
      <c r="U7" s="39">
        <f t="shared" si="6"/>
        <v>6603009.517281807</v>
      </c>
      <c r="V7" s="39">
        <f t="shared" si="7"/>
        <v>2559306.0144503126</v>
      </c>
      <c r="W7" s="39">
        <f t="shared" si="8"/>
        <v>4921086.735777922</v>
      </c>
      <c r="X7" s="39">
        <f t="shared" si="11"/>
        <v>5021517.07732441</v>
      </c>
      <c r="Y7" s="40">
        <v>7</v>
      </c>
      <c r="Z7" s="38" cm="1">
        <f t="array" ref="Z7">_xlfn.IFS(Y7&gt;9, 0.2, Y7&gt;8, 0.18, Y7&gt;7, 0.16, TRUE, 0.14)</f>
        <v>0.14000000000000001</v>
      </c>
      <c r="AA7" s="38">
        <f>24*(1-$AJ$2)*(1-Z7)</f>
        <v>16.394352000000001</v>
      </c>
      <c r="AB7" s="38">
        <v>0.871</v>
      </c>
      <c r="AC7" s="41">
        <f t="shared" si="9"/>
        <v>300170.51087219024</v>
      </c>
      <c r="AD7" s="3"/>
      <c r="AE7" s="66"/>
      <c r="AF7" s="19"/>
      <c r="AG7" s="23"/>
      <c r="AH7" s="23"/>
      <c r="AI7" s="69"/>
      <c r="AJ7" s="25"/>
    </row>
    <row r="8" spans="1:36" ht="18.75" x14ac:dyDescent="0.3">
      <c r="A8" s="36" t="s">
        <v>87</v>
      </c>
      <c r="B8" s="37">
        <v>3281</v>
      </c>
      <c r="C8" s="38">
        <v>20.329586164298949</v>
      </c>
      <c r="D8" s="39">
        <f>$AG$5</f>
        <v>50027.651298966324</v>
      </c>
      <c r="E8" s="39">
        <f t="shared" si="0"/>
        <v>1020322.4476798382</v>
      </c>
      <c r="F8" s="38">
        <f t="shared" si="1"/>
        <v>0.5</v>
      </c>
      <c r="G8" s="4">
        <v>3.2334000000000001</v>
      </c>
      <c r="H8" s="38">
        <v>1.05</v>
      </c>
      <c r="I8" s="38">
        <f t="shared" si="2"/>
        <v>2.6751389183999992</v>
      </c>
      <c r="J8" s="38">
        <f t="shared" si="3"/>
        <v>1.462</v>
      </c>
      <c r="K8" s="40">
        <v>9</v>
      </c>
      <c r="L8" s="38" cm="1">
        <f t="array" ref="L8">_xlfn.IFS(K8&gt;9, 1.4, K8&gt;8, 1.3, K8&gt;7, 1.24, TRUE, 1.21)</f>
        <v>1.3</v>
      </c>
      <c r="M8" s="38">
        <f>$AH$25*$AH$26</f>
        <v>1.1556000000000002</v>
      </c>
      <c r="N8" s="38">
        <f>1+$AG$30</f>
        <v>1.0221</v>
      </c>
      <c r="O8" s="38">
        <f t="shared" si="10"/>
        <v>20.388567767763455</v>
      </c>
      <c r="P8" s="38">
        <f>$AJ$1+43.2%</f>
        <v>0.94090000000000007</v>
      </c>
      <c r="Q8" s="38">
        <f t="shared" si="4"/>
        <v>2.58</v>
      </c>
      <c r="R8" s="38">
        <f t="shared" si="5"/>
        <v>5.909999999999993E-2</v>
      </c>
      <c r="S8" s="38">
        <v>0.8</v>
      </c>
      <c r="T8" s="38">
        <v>1</v>
      </c>
      <c r="U8" s="39">
        <f t="shared" si="6"/>
        <v>21468606.597314365</v>
      </c>
      <c r="V8" s="39">
        <f t="shared" si="7"/>
        <v>8321165.347796265</v>
      </c>
      <c r="W8" s="39">
        <f t="shared" si="8"/>
        <v>20277760.963078488</v>
      </c>
      <c r="X8" s="39">
        <f t="shared" si="11"/>
        <v>20691592.819467846</v>
      </c>
      <c r="Y8" s="40">
        <v>7</v>
      </c>
      <c r="Z8" s="38" cm="1">
        <f t="array" ref="Z8">_xlfn.IFS(Y8&gt;9, 0.2, Y8&gt;8, 0.18, Y8&gt;7, 0.16, TRUE, 0.14)</f>
        <v>0.14000000000000001</v>
      </c>
      <c r="AA8" s="38">
        <f>(30-6)*(1-$AJ$2)*(1-Z8)</f>
        <v>16.394352000000001</v>
      </c>
      <c r="AB8" s="38">
        <v>1.464</v>
      </c>
      <c r="AC8" s="41">
        <f t="shared" si="9"/>
        <v>1236876.2708285032</v>
      </c>
      <c r="AD8" s="3"/>
      <c r="AE8" s="66" t="s">
        <v>17</v>
      </c>
      <c r="AF8" s="19"/>
      <c r="AG8" s="23" t="s">
        <v>42</v>
      </c>
      <c r="AH8" s="23"/>
      <c r="AI8" s="69" t="s">
        <v>5</v>
      </c>
      <c r="AJ8" s="25" t="s">
        <v>52</v>
      </c>
    </row>
    <row r="9" spans="1:36" ht="19.5" thickBot="1" x14ac:dyDescent="0.35">
      <c r="A9" s="42" t="s">
        <v>86</v>
      </c>
      <c r="B9" s="43">
        <v>4177</v>
      </c>
      <c r="C9" s="44">
        <v>25.898476425777229</v>
      </c>
      <c r="D9" s="45">
        <f>$AG$5</f>
        <v>50027.651298966324</v>
      </c>
      <c r="E9" s="45">
        <f>B9+C9*D9</f>
        <v>1299816.9478032829</v>
      </c>
      <c r="F9" s="44">
        <f t="shared" si="1"/>
        <v>0.5</v>
      </c>
      <c r="G9" s="46">
        <v>5.3199136999999999</v>
      </c>
      <c r="H9" s="44">
        <v>1</v>
      </c>
      <c r="I9" s="44">
        <f t="shared" si="2"/>
        <v>2.6751389183999992</v>
      </c>
      <c r="J9" s="44">
        <f t="shared" si="3"/>
        <v>1.462</v>
      </c>
      <c r="K9" s="47">
        <v>10</v>
      </c>
      <c r="L9" s="44" cm="1">
        <f t="array" ref="L9">_xlfn.IFS(K9&gt;9, 1.4, K9&gt;8, 1.3, K9&gt;7, 1.24, TRUE, 1.21)</f>
        <v>1.4</v>
      </c>
      <c r="M9" s="44">
        <f>$AH$25*$AH$26</f>
        <v>1.1556000000000002</v>
      </c>
      <c r="N9" s="44">
        <f>1+$AG$30</f>
        <v>1.0221</v>
      </c>
      <c r="O9" s="44">
        <f>I9*J9*G9*H9*L9*M9*N9</f>
        <v>34.405451113966947</v>
      </c>
      <c r="P9" s="44">
        <f>$AJ$1+33.2%</f>
        <v>0.84089999999999998</v>
      </c>
      <c r="Q9" s="44">
        <f t="shared" si="4"/>
        <v>2.58</v>
      </c>
      <c r="R9" s="44">
        <f>1-P9</f>
        <v>0.15910000000000002</v>
      </c>
      <c r="S9" s="44">
        <v>0.8</v>
      </c>
      <c r="T9" s="44">
        <v>1.24</v>
      </c>
      <c r="U9" s="45">
        <f>E9*F9*O9*Q9*S9*T9</f>
        <v>57228298.569776498</v>
      </c>
      <c r="V9" s="45">
        <f>E9*F9*O9*S9*T9</f>
        <v>22181511.073556781</v>
      </c>
      <c r="W9" s="45">
        <f t="shared" si="8"/>
        <v>50619307.585545391</v>
      </c>
      <c r="X9" s="45">
        <f>P9*U9+R9*V9</f>
        <v>51652354.679127946</v>
      </c>
      <c r="Y9" s="47">
        <v>7</v>
      </c>
      <c r="Z9" s="44" cm="1">
        <f t="array" ref="Z9">_xlfn.IFS(Y9&gt;9, 0.2, Y9&gt;8, 0.18, Y9&gt;7, 0.16, TRUE, 0.14)</f>
        <v>0.14000000000000001</v>
      </c>
      <c r="AA9" s="44">
        <f>24*(1-$AJ$2)*(1-Z9)</f>
        <v>16.394352000000001</v>
      </c>
      <c r="AB9" s="44">
        <v>1.792</v>
      </c>
      <c r="AC9" s="48">
        <f t="shared" si="9"/>
        <v>3087608.2790112211</v>
      </c>
      <c r="AD9" s="3"/>
      <c r="AE9" s="17" t="s">
        <v>18</v>
      </c>
      <c r="AF9" s="19"/>
      <c r="AG9" s="18">
        <v>3</v>
      </c>
      <c r="AH9" s="23" cm="1">
        <f t="array" ref="AH9">_xlfn.IFS(AG9&lt;1, 1, AG9&lt;2, 1.04, AG9&lt;3, 1.1, TRUE, 1.2 )</f>
        <v>1.2</v>
      </c>
      <c r="AI9" s="19" t="s">
        <v>28</v>
      </c>
      <c r="AJ9" s="26"/>
    </row>
    <row r="10" spans="1:36" ht="18.75" hidden="1" x14ac:dyDescent="0.3">
      <c r="A10" s="36" t="s">
        <v>95</v>
      </c>
      <c r="B10" s="37">
        <v>236</v>
      </c>
      <c r="C10" s="38">
        <v>2.6875</v>
      </c>
      <c r="D10" s="39">
        <f>$AG$5</f>
        <v>50027.651298966324</v>
      </c>
      <c r="E10" s="39">
        <f>B10+C10*D10</f>
        <v>134685.312865972</v>
      </c>
      <c r="F10" s="38">
        <f t="shared" si="1"/>
        <v>0.5</v>
      </c>
      <c r="G10" s="4">
        <v>1</v>
      </c>
      <c r="H10" s="38">
        <v>1</v>
      </c>
      <c r="I10" s="38">
        <f>$AH$8*$AH$13*$AH$14*$AH$15*(1+$AG$20)*(1+$AJ$17)*(1+$AJ$18)*$AL$20*$AN$20*1.17*1.2</f>
        <v>0</v>
      </c>
      <c r="J10" s="38">
        <f t="shared" si="3"/>
        <v>1.462</v>
      </c>
      <c r="K10">
        <v>0</v>
      </c>
      <c r="L10" s="38">
        <v>1</v>
      </c>
      <c r="M10" s="38">
        <f>$AH$25*$AH$26</f>
        <v>1.1556000000000002</v>
      </c>
      <c r="N10" s="38">
        <f>1+$AG$30</f>
        <v>1.0221</v>
      </c>
      <c r="O10" s="38">
        <f>I10*J10*G10*H10*L10*M10*N10</f>
        <v>0</v>
      </c>
      <c r="P10" s="38">
        <f>$AJ$1+33.2%</f>
        <v>0.84089999999999998</v>
      </c>
      <c r="Q10" s="38">
        <f t="shared" si="4"/>
        <v>2.58</v>
      </c>
      <c r="R10" s="38">
        <f>1-P10</f>
        <v>0.15910000000000002</v>
      </c>
      <c r="S10" s="38">
        <v>0.8</v>
      </c>
      <c r="T10" s="38">
        <v>1.24</v>
      </c>
      <c r="U10" s="39">
        <f>E10*F10*O10*Q10*S10*T10</f>
        <v>0</v>
      </c>
      <c r="V10" s="39">
        <f>E10*F10*O10*S10*T10</f>
        <v>0</v>
      </c>
      <c r="W10" s="39">
        <f t="shared" si="8"/>
        <v>0</v>
      </c>
      <c r="X10" s="39">
        <f>P10*U10+R10*V10</f>
        <v>0</v>
      </c>
      <c r="Y10">
        <v>0</v>
      </c>
      <c r="Z10" s="38">
        <v>0</v>
      </c>
      <c r="AA10" s="38"/>
      <c r="AB10" s="19"/>
      <c r="AC10" s="41">
        <f>X10*6/AA7</f>
        <v>0</v>
      </c>
      <c r="AD10" s="3"/>
      <c r="AE10" s="17"/>
      <c r="AF10" s="19"/>
      <c r="AG10" s="18"/>
      <c r="AH10" s="23"/>
      <c r="AI10" s="19"/>
      <c r="AJ10" s="26"/>
    </row>
    <row r="11" spans="1:36" ht="19.5" hidden="1" thickBot="1" x14ac:dyDescent="0.35">
      <c r="A11" s="80" t="s">
        <v>96</v>
      </c>
      <c r="B11" s="30">
        <v>591</v>
      </c>
      <c r="C11" s="30">
        <v>3.6640000000000001</v>
      </c>
      <c r="D11" s="45">
        <f>$AG$5</f>
        <v>50027.651298966324</v>
      </c>
      <c r="E11" s="45">
        <f>B11+C11*D11</f>
        <v>183892.31435941262</v>
      </c>
      <c r="F11" s="44">
        <f t="shared" si="1"/>
        <v>0.5</v>
      </c>
      <c r="G11" s="82">
        <v>1</v>
      </c>
      <c r="H11" s="30">
        <v>1</v>
      </c>
      <c r="I11" s="44">
        <f>$AH$8*$AH$13*$AH$14*$AH$15*(1+$AG$20)*(1+$AJ$17)*(1+$AJ$18)*$AL$20*$AN$20*1.17*1.2</f>
        <v>0</v>
      </c>
      <c r="J11" s="44">
        <f t="shared" si="3"/>
        <v>1.462</v>
      </c>
      <c r="K11" s="83">
        <v>0</v>
      </c>
      <c r="L11" s="30">
        <v>1</v>
      </c>
      <c r="M11" s="44">
        <f>$AH$25*$AH$26</f>
        <v>1.1556000000000002</v>
      </c>
      <c r="N11" s="44">
        <f>1+$AG$30</f>
        <v>1.0221</v>
      </c>
      <c r="O11" s="44">
        <f>I11*J11*G11*H11*L11*M11*N11</f>
        <v>0</v>
      </c>
      <c r="P11" s="44">
        <f>$AJ$1+33.2%</f>
        <v>0.84089999999999998</v>
      </c>
      <c r="Q11" s="44">
        <f t="shared" si="4"/>
        <v>2.58</v>
      </c>
      <c r="R11" s="44">
        <f>1-P11</f>
        <v>0.15910000000000002</v>
      </c>
      <c r="S11" s="44">
        <v>0.8</v>
      </c>
      <c r="T11" s="44">
        <v>1</v>
      </c>
      <c r="U11" s="45">
        <f>E11*F11*O11*Q11*S11*T11</f>
        <v>0</v>
      </c>
      <c r="V11" s="45">
        <f>E11*F11*O11*S11*T11</f>
        <v>0</v>
      </c>
      <c r="W11" s="45">
        <f t="shared" si="8"/>
        <v>0</v>
      </c>
      <c r="X11" s="45">
        <f>P11*U11+R11*V11</f>
        <v>0</v>
      </c>
      <c r="Y11" s="83">
        <v>0</v>
      </c>
      <c r="Z11" s="30">
        <v>0</v>
      </c>
      <c r="AA11" s="30"/>
      <c r="AB11" s="32"/>
      <c r="AC11" s="81">
        <f>X11*6/AA7</f>
        <v>0</v>
      </c>
      <c r="AD11" s="3"/>
      <c r="AE11" s="17"/>
      <c r="AF11" s="19"/>
      <c r="AG11" s="18"/>
      <c r="AH11" s="23"/>
      <c r="AI11" s="19"/>
      <c r="AJ11" s="26"/>
    </row>
    <row r="12" spans="1:36" ht="18.75" x14ac:dyDescent="0.3">
      <c r="A12" s="84"/>
      <c r="B12" s="19"/>
      <c r="C12" s="19"/>
      <c r="D12" s="39"/>
      <c r="E12" s="39"/>
      <c r="F12" s="38"/>
      <c r="G12" s="84"/>
      <c r="H12" s="19"/>
      <c r="I12" s="38"/>
      <c r="J12" s="38"/>
      <c r="K12" s="85"/>
      <c r="L12" s="19"/>
      <c r="M12" s="38"/>
      <c r="N12" s="38"/>
      <c r="O12" s="38"/>
      <c r="P12" s="38"/>
      <c r="Q12" s="38"/>
      <c r="R12" s="38"/>
      <c r="S12" s="38"/>
      <c r="T12" s="38"/>
      <c r="U12" s="39"/>
      <c r="V12" s="39"/>
      <c r="W12" s="39"/>
      <c r="X12" s="39"/>
      <c r="Y12" s="85"/>
      <c r="Z12" s="19"/>
      <c r="AA12" s="19"/>
      <c r="AB12" s="23"/>
      <c r="AC12" s="19"/>
      <c r="AD12" s="3"/>
      <c r="AE12" s="17" t="s">
        <v>19</v>
      </c>
      <c r="AF12" s="19"/>
      <c r="AG12" s="18">
        <v>3</v>
      </c>
      <c r="AH12" s="23" cm="1">
        <f t="array" ref="AH12">_xlfn.IFS(AG12&lt;1, 0, AG12&lt;2, 0.1, AG12&lt;3, 0.25, TRUE, 0.5 )</f>
        <v>0.5</v>
      </c>
      <c r="AI12" s="19" t="s">
        <v>29</v>
      </c>
      <c r="AJ12" s="26"/>
    </row>
    <row r="13" spans="1:36" ht="19.5" thickBot="1" x14ac:dyDescent="0.35">
      <c r="AE13" s="17" t="s">
        <v>20</v>
      </c>
      <c r="AF13" s="19"/>
      <c r="AG13" s="18">
        <v>3</v>
      </c>
      <c r="AH13" s="23" cm="1">
        <f t="array" ref="AH13">_xlfn.IFS(AG13&lt;1, 1, AG13&lt;2, 1.04, AG13&lt;3, 1.088, TRUE, 1.18 )</f>
        <v>1.18</v>
      </c>
      <c r="AI13" s="19" t="s">
        <v>30</v>
      </c>
      <c r="AJ13" s="26"/>
    </row>
    <row r="14" spans="1:36" ht="18.75" x14ac:dyDescent="0.3"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 s="5" t="s">
        <v>92</v>
      </c>
      <c r="Z14" s="6"/>
      <c r="AA14" s="6"/>
      <c r="AB14" s="6"/>
      <c r="AC14" s="7">
        <f>SUM(AC2:AC11)</f>
        <v>12691868.86381902</v>
      </c>
      <c r="AE14" s="17" t="s">
        <v>21</v>
      </c>
      <c r="AF14" s="19"/>
      <c r="AG14" s="18">
        <v>3</v>
      </c>
      <c r="AH14" s="23" cm="1">
        <f t="array" ref="AH14">_xlfn.IFS(AG14&lt;1, 1, AG14&lt;2, 1.03, AG14&lt;3, 1.08, TRUE, 1.16 )</f>
        <v>1.1599999999999999</v>
      </c>
      <c r="AI14" s="19" t="s">
        <v>31</v>
      </c>
      <c r="AJ14" s="26"/>
    </row>
    <row r="15" spans="1:36" ht="18.75" x14ac:dyDescent="0.3"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 s="8" t="s">
        <v>50</v>
      </c>
      <c r="Z15" s="9"/>
      <c r="AA15" s="9"/>
      <c r="AB15" s="9"/>
      <c r="AC15" s="10">
        <v>12691868.86381902</v>
      </c>
      <c r="AE15" s="17" t="s">
        <v>22</v>
      </c>
      <c r="AF15" s="19"/>
      <c r="AG15" s="18">
        <v>3</v>
      </c>
      <c r="AH15" s="23" cm="1">
        <f t="array" ref="AH15">_xlfn.IFS(AG15&lt;1, 1, AG15&lt;2, 1.03, AG15&lt;3, 1.08, TRUE, 1.16 )</f>
        <v>1.1599999999999999</v>
      </c>
      <c r="AI15" s="19" t="s">
        <v>58</v>
      </c>
      <c r="AJ15" s="27"/>
    </row>
    <row r="16" spans="1:36" ht="19.5" thickBot="1" x14ac:dyDescent="0.35"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 s="11" t="s">
        <v>51</v>
      </c>
      <c r="Z16" s="12"/>
      <c r="AA16" s="12"/>
      <c r="AB16" s="12"/>
      <c r="AC16" s="13">
        <f>(AC14-AC15)/AC15</f>
        <v>0</v>
      </c>
      <c r="AE16" s="17" t="s">
        <v>23</v>
      </c>
      <c r="AF16" s="19"/>
      <c r="AG16" s="18">
        <v>1</v>
      </c>
      <c r="AH16" s="23" cm="1">
        <f t="array" ref="AH16">_xlfn.IFS(AG16&lt;1, 0, AG16&lt;2, 0.03, AG16&lt;3, 0.08, TRUE, 0.16 )</f>
        <v>0.03</v>
      </c>
      <c r="AI16" s="19" t="s">
        <v>59</v>
      </c>
      <c r="AJ16" s="26"/>
    </row>
    <row r="17" spans="1:40" ht="19.5" thickBot="1" x14ac:dyDescent="0.3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AE17" s="17" t="s">
        <v>24</v>
      </c>
      <c r="AF17" s="19"/>
      <c r="AG17" s="18">
        <v>0</v>
      </c>
      <c r="AH17" s="23" cm="1">
        <f t="array" ref="AH17">_xlfn.IFS(AG17&lt;1, 0, TRUE, 0.06)</f>
        <v>0</v>
      </c>
      <c r="AI17" s="19" t="s">
        <v>60</v>
      </c>
      <c r="AJ17" s="26"/>
    </row>
    <row r="18" spans="1:40" ht="20.25" x14ac:dyDescent="0.4">
      <c r="A18" s="50" t="s">
        <v>62</v>
      </c>
      <c r="B18" s="51"/>
      <c r="C18" s="51"/>
      <c r="D18" s="64" t="s">
        <v>65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51"/>
      <c r="Z18" s="52"/>
      <c r="AA18" s="52"/>
      <c r="AB18" s="52"/>
      <c r="AC18" s="53"/>
      <c r="AE18" s="17"/>
      <c r="AF18" s="19"/>
      <c r="AG18" s="23"/>
      <c r="AH18" s="23"/>
      <c r="AI18" s="19" t="s">
        <v>61</v>
      </c>
      <c r="AJ18" s="20"/>
    </row>
    <row r="19" spans="1:40" ht="20.25" x14ac:dyDescent="0.3">
      <c r="A19" s="54"/>
      <c r="B19" s="9"/>
      <c r="C19" s="9"/>
      <c r="D19" s="63" t="s">
        <v>91</v>
      </c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56"/>
      <c r="Z19" s="23"/>
      <c r="AA19" s="23"/>
      <c r="AB19" s="23"/>
      <c r="AC19" s="25"/>
      <c r="AE19" s="66" t="s">
        <v>32</v>
      </c>
      <c r="AF19" s="19"/>
      <c r="AG19" s="23" t="s">
        <v>52</v>
      </c>
      <c r="AH19" s="23"/>
      <c r="AI19" s="9"/>
      <c r="AJ19" s="25" t="s">
        <v>80</v>
      </c>
      <c r="AL19" t="s">
        <v>7</v>
      </c>
      <c r="AM19" t="s">
        <v>4</v>
      </c>
      <c r="AN19" t="s">
        <v>7</v>
      </c>
    </row>
    <row r="20" spans="1:40" s="1" customFormat="1" ht="20.25" x14ac:dyDescent="0.3">
      <c r="A20" s="54"/>
      <c r="B20" s="9"/>
      <c r="C20" s="9"/>
      <c r="D20" s="63" t="s">
        <v>66</v>
      </c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56"/>
      <c r="Z20" s="23"/>
      <c r="AA20" s="23"/>
      <c r="AB20" s="23"/>
      <c r="AC20" s="25"/>
      <c r="AE20" s="17" t="s">
        <v>33</v>
      </c>
      <c r="AF20" s="19"/>
      <c r="AG20" s="28"/>
      <c r="AH20" s="23"/>
      <c r="AI20" s="74" t="s">
        <v>81</v>
      </c>
      <c r="AJ20" s="26">
        <v>0</v>
      </c>
      <c r="AK20"/>
      <c r="AL20" cm="1">
        <f t="array" ref="AL20">_xlfn.IFS(AJ20&lt;1, 1, AJ20&lt;2, 1.03, TRUE, 1.03)</f>
        <v>1</v>
      </c>
      <c r="AM20" cm="1">
        <f t="array" ref="AM20">_xlfn.IFS(AJ20&lt;1, 0, AJ20&lt;2, 0.03, TRUE, 0.03)</f>
        <v>0</v>
      </c>
      <c r="AN20" cm="1">
        <f t="array" ref="AN20">_xlfn.IFS(AJ20&lt;2, 1, TRUE, 1.05)</f>
        <v>1</v>
      </c>
    </row>
    <row r="21" spans="1:40" s="1" customFormat="1" ht="20.25" x14ac:dyDescent="0.3">
      <c r="A21" s="54"/>
      <c r="B21" s="9"/>
      <c r="C21" s="9"/>
      <c r="D21" s="57" t="s">
        <v>67</v>
      </c>
      <c r="E21" s="57"/>
      <c r="F21" s="57"/>
      <c r="G21" s="57"/>
      <c r="H21" s="57"/>
      <c r="I21" s="57"/>
      <c r="J21" s="57"/>
      <c r="K21" s="58" t="s">
        <v>63</v>
      </c>
      <c r="L21" s="57"/>
      <c r="M21" s="57"/>
      <c r="N21" s="57"/>
      <c r="O21" s="57"/>
      <c r="P21" s="57"/>
      <c r="Q21" s="57"/>
      <c r="R21" s="57"/>
      <c r="S21" s="57"/>
      <c r="T21" s="55" t="s">
        <v>64</v>
      </c>
      <c r="U21" s="55"/>
      <c r="V21" s="55"/>
      <c r="W21" s="55"/>
      <c r="X21" s="55"/>
      <c r="Y21" s="56"/>
      <c r="Z21" s="23"/>
      <c r="AA21" s="23"/>
      <c r="AB21" s="23"/>
      <c r="AC21" s="25"/>
      <c r="AE21" s="17" t="s">
        <v>53</v>
      </c>
      <c r="AF21" s="19"/>
      <c r="AG21" s="28">
        <v>0.08</v>
      </c>
      <c r="AH21" s="23"/>
      <c r="AI21" s="74" t="s">
        <v>82</v>
      </c>
      <c r="AJ21" s="26">
        <v>0</v>
      </c>
      <c r="AK21"/>
      <c r="AL21" cm="1">
        <f t="array" ref="AL21">_xlfn.IFS(AJ21&lt;1, 1, AJ21&lt;2, 1.06, TRUE, 1.12)</f>
        <v>1</v>
      </c>
      <c r="AM21"/>
      <c r="AN21"/>
    </row>
    <row r="22" spans="1:40" s="1" customFormat="1" ht="20.25" x14ac:dyDescent="0.3">
      <c r="A22" s="54"/>
      <c r="B22" s="9"/>
      <c r="C22" s="9"/>
      <c r="D22" s="59" t="s">
        <v>93</v>
      </c>
      <c r="E22" s="57"/>
      <c r="F22" s="57"/>
      <c r="G22" s="57"/>
      <c r="H22" s="57"/>
      <c r="I22" s="57"/>
      <c r="J22" s="57"/>
      <c r="K22" s="55" t="s">
        <v>99</v>
      </c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23"/>
      <c r="Z22" s="23"/>
      <c r="AA22" s="23"/>
      <c r="AB22" s="23"/>
      <c r="AC22" s="25"/>
      <c r="AE22" s="17" t="s">
        <v>3</v>
      </c>
      <c r="AF22" s="19"/>
      <c r="AG22" s="18"/>
      <c r="AH22" s="23"/>
      <c r="AI22" s="74"/>
      <c r="AJ22" s="22"/>
      <c r="AK22"/>
      <c r="AL22"/>
      <c r="AM22"/>
      <c r="AN22"/>
    </row>
    <row r="23" spans="1:40" s="1" customFormat="1" ht="18.75" x14ac:dyDescent="0.3">
      <c r="A23" s="24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5"/>
      <c r="AE23" s="17"/>
      <c r="AF23" s="19"/>
      <c r="AG23" s="23"/>
      <c r="AH23" s="23"/>
      <c r="AI23" s="74"/>
      <c r="AJ23" s="22"/>
      <c r="AK23"/>
      <c r="AL23"/>
      <c r="AM23"/>
      <c r="AN23"/>
    </row>
    <row r="24" spans="1:40" s="1" customFormat="1" ht="20.25" customHeight="1" x14ac:dyDescent="0.3">
      <c r="A24" s="78" t="s">
        <v>90</v>
      </c>
      <c r="B24" s="23"/>
      <c r="C24" s="23"/>
      <c r="D24" s="75" t="s">
        <v>79</v>
      </c>
      <c r="E24" s="76"/>
      <c r="F24" s="76"/>
      <c r="G24" s="76"/>
      <c r="H24" s="76"/>
      <c r="I24" s="76"/>
      <c r="J24" s="76"/>
      <c r="K24" s="77" t="s">
        <v>78</v>
      </c>
      <c r="L24" s="57"/>
      <c r="M24" s="57"/>
      <c r="N24" s="57"/>
      <c r="O24" s="57"/>
      <c r="P24" s="57"/>
      <c r="Q24" s="57"/>
      <c r="R24" s="57"/>
      <c r="S24" s="57"/>
      <c r="T24" s="55" t="s">
        <v>68</v>
      </c>
      <c r="U24" s="55"/>
      <c r="V24" s="55"/>
      <c r="W24" s="55"/>
      <c r="X24" s="55"/>
      <c r="Y24" s="23"/>
      <c r="Z24" s="23"/>
      <c r="AA24" s="23"/>
      <c r="AB24" s="23"/>
      <c r="AC24" s="25"/>
      <c r="AE24" s="66" t="s">
        <v>14</v>
      </c>
      <c r="AF24" s="19"/>
      <c r="AG24" s="23" t="s">
        <v>43</v>
      </c>
      <c r="AH24" s="23"/>
      <c r="AI24" s="9"/>
      <c r="AJ24" s="22"/>
      <c r="AK24"/>
      <c r="AL24"/>
      <c r="AM24"/>
      <c r="AN24"/>
    </row>
    <row r="25" spans="1:40" s="1" customFormat="1" ht="20.25" x14ac:dyDescent="0.3">
      <c r="A25" s="78"/>
      <c r="B25" s="23"/>
      <c r="C25" s="23"/>
      <c r="D25" s="57" t="s">
        <v>69</v>
      </c>
      <c r="E25" s="57"/>
      <c r="F25" s="57"/>
      <c r="G25" s="57"/>
      <c r="H25" s="57"/>
      <c r="I25" s="57"/>
      <c r="J25" s="57"/>
      <c r="K25" s="58" t="s">
        <v>63</v>
      </c>
      <c r="L25" s="57"/>
      <c r="M25" s="57"/>
      <c r="N25" s="57"/>
      <c r="O25" s="57"/>
      <c r="P25" s="57"/>
      <c r="Q25" s="57"/>
      <c r="R25" s="57"/>
      <c r="S25" s="57"/>
      <c r="T25" s="55" t="s">
        <v>70</v>
      </c>
      <c r="U25" s="55"/>
      <c r="V25" s="55"/>
      <c r="W25" s="55"/>
      <c r="X25" s="55"/>
      <c r="Y25" s="23"/>
      <c r="Z25" s="23"/>
      <c r="AA25" s="23"/>
      <c r="AB25" s="23"/>
      <c r="AC25" s="25"/>
      <c r="AE25" s="17" t="s">
        <v>25</v>
      </c>
      <c r="AF25" s="19"/>
      <c r="AG25" s="18">
        <v>0</v>
      </c>
      <c r="AH25" s="23" cm="1">
        <f t="array" ref="AH25">_xlfn.IFS(AG25&lt;1, 1, TRUE, 1.07)</f>
        <v>1</v>
      </c>
      <c r="AI25" s="9"/>
      <c r="AJ25" s="22"/>
      <c r="AK25"/>
      <c r="AL25"/>
      <c r="AM25"/>
      <c r="AN25"/>
    </row>
    <row r="26" spans="1:40" s="1" customFormat="1" ht="20.25" x14ac:dyDescent="0.3">
      <c r="A26" s="78"/>
      <c r="B26" s="23"/>
      <c r="C26" s="23"/>
      <c r="D26" s="59" t="s">
        <v>71</v>
      </c>
      <c r="E26" s="57"/>
      <c r="F26" s="57"/>
      <c r="G26" s="57"/>
      <c r="H26" s="57"/>
      <c r="I26" s="57"/>
      <c r="J26" s="57"/>
      <c r="K26" s="63" t="s">
        <v>72</v>
      </c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23"/>
      <c r="Z26" s="23"/>
      <c r="AA26" s="23"/>
      <c r="AB26" s="23"/>
      <c r="AC26" s="25"/>
      <c r="AE26" s="17" t="s">
        <v>26</v>
      </c>
      <c r="AF26" s="19"/>
      <c r="AG26" s="18">
        <v>1</v>
      </c>
      <c r="AH26" s="23" cm="1">
        <f t="array" ref="AH26">_xlfn.IFS(AG26&lt;1, 1, TRUE, 1.07*1.08)</f>
        <v>1.1556000000000002</v>
      </c>
      <c r="AI26" s="9"/>
      <c r="AJ26" s="22"/>
      <c r="AK26"/>
      <c r="AL26"/>
      <c r="AM26"/>
      <c r="AN26"/>
    </row>
    <row r="27" spans="1:40" x14ac:dyDescent="0.3">
      <c r="A27" s="24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5"/>
      <c r="AE27" s="24"/>
      <c r="AF27" s="23"/>
      <c r="AG27" s="23" t="s">
        <v>44</v>
      </c>
      <c r="AH27" s="23"/>
      <c r="AI27" s="9"/>
      <c r="AJ27" s="22"/>
    </row>
    <row r="28" spans="1:40" s="1" customFormat="1" ht="24.75" x14ac:dyDescent="0.3">
      <c r="A28" s="60" t="s">
        <v>74</v>
      </c>
      <c r="B28" s="57"/>
      <c r="C28" s="57"/>
      <c r="D28" s="73" t="s">
        <v>77</v>
      </c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9"/>
      <c r="AC28" s="25"/>
      <c r="AE28" s="66" t="s">
        <v>56</v>
      </c>
      <c r="AF28" s="19"/>
      <c r="AG28" s="29">
        <v>0.46200000000000002</v>
      </c>
      <c r="AH28" s="23"/>
      <c r="AI28" s="9"/>
      <c r="AJ28" s="22"/>
      <c r="AK28"/>
      <c r="AL28"/>
      <c r="AM28"/>
      <c r="AN28"/>
    </row>
    <row r="29" spans="1:40" ht="20.25" x14ac:dyDescent="0.3">
      <c r="A29" s="70"/>
      <c r="B29" s="57"/>
      <c r="C29" s="57"/>
      <c r="D29" s="55" t="s">
        <v>75</v>
      </c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23"/>
      <c r="Z29" s="23"/>
      <c r="AA29" s="23"/>
      <c r="AB29" s="23"/>
      <c r="AC29" s="25"/>
      <c r="AE29" s="24"/>
      <c r="AF29" s="23"/>
      <c r="AG29" s="23" t="s">
        <v>44</v>
      </c>
      <c r="AH29" s="23"/>
      <c r="AI29" s="9"/>
      <c r="AJ29" s="22"/>
    </row>
    <row r="30" spans="1:40" s="1" customFormat="1" ht="21" thickBot="1" x14ac:dyDescent="0.35">
      <c r="A30" s="71"/>
      <c r="B30" s="61"/>
      <c r="C30" s="61"/>
      <c r="D30" s="72" t="s">
        <v>76</v>
      </c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32"/>
      <c r="Z30" s="32"/>
      <c r="AA30" s="32"/>
      <c r="AB30" s="32"/>
      <c r="AC30" s="62"/>
      <c r="AE30" s="68" t="s">
        <v>57</v>
      </c>
      <c r="AF30" s="30"/>
      <c r="AG30" s="31">
        <v>2.2100000000000002E-2</v>
      </c>
      <c r="AH30" s="32"/>
      <c r="AI30" s="12"/>
      <c r="AJ30" s="33"/>
      <c r="AK30"/>
      <c r="AL30"/>
      <c r="AM30"/>
      <c r="AN30"/>
    </row>
  </sheetData>
  <mergeCells count="8">
    <mergeCell ref="A24:A26"/>
    <mergeCell ref="D30:X30"/>
    <mergeCell ref="D28:AA28"/>
    <mergeCell ref="T21:X21"/>
    <mergeCell ref="T24:X24"/>
    <mergeCell ref="T25:X25"/>
    <mergeCell ref="K22:X22"/>
    <mergeCell ref="D29:X29"/>
  </mergeCells>
  <phoneticPr fontId="4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rhkdd</dc:creator>
  <cp:lastModifiedBy>rhkdd</cp:lastModifiedBy>
  <dcterms:created xsi:type="dcterms:W3CDTF">2023-03-11T08:43:21Z</dcterms:created>
  <dcterms:modified xsi:type="dcterms:W3CDTF">2023-03-11T17:11:47Z</dcterms:modified>
</cp:coreProperties>
</file>