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185CA9-C4C3-4D1E-AC37-84A005C3A33B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M20" i="1"/>
  <c r="H13" i="1"/>
  <c r="I20" i="1"/>
  <c r="I17" i="1"/>
  <c r="J16" i="1"/>
  <c r="F20" i="1" s="1"/>
  <c r="H14" i="1"/>
  <c r="I14" i="1"/>
  <c r="I13" i="1"/>
  <c r="I12" i="1"/>
  <c r="J12" i="1"/>
  <c r="B27" i="1"/>
  <c r="P13" i="1"/>
  <c r="Q12" i="1"/>
  <c r="O12" i="1"/>
  <c r="Q11" i="1"/>
  <c r="P11" i="1"/>
  <c r="P10" i="1"/>
  <c r="P9" i="1"/>
  <c r="O8" i="1"/>
  <c r="R7" i="1"/>
  <c r="O6" i="1"/>
  <c r="J7" i="1"/>
  <c r="I6" i="1"/>
  <c r="H7" i="1"/>
  <c r="C5" i="1"/>
  <c r="B20" i="1" s="1"/>
  <c r="L20" i="1" l="1"/>
  <c r="H12" i="1"/>
  <c r="H18" i="1" l="1"/>
  <c r="C20" i="1" l="1"/>
  <c r="A20" i="1" s="1"/>
</calcChain>
</file>

<file path=xl/sharedStrings.xml><?xml version="1.0" encoding="utf-8"?>
<sst xmlns="http://schemas.openxmlformats.org/spreadsheetml/2006/main" count="81" uniqueCount="72">
  <si>
    <t>치명스탯</t>
    <phoneticPr fontId="2" type="noConversion"/>
  </si>
  <si>
    <t>기본 스탯 입력</t>
    <phoneticPr fontId="2" type="noConversion"/>
  </si>
  <si>
    <t>무기추가피해</t>
    <phoneticPr fontId="2" type="noConversion"/>
  </si>
  <si>
    <t>팔찌 특수 치적</t>
    <phoneticPr fontId="2" type="noConversion"/>
  </si>
  <si>
    <t>팔찌 특수 피증</t>
    <phoneticPr fontId="2" type="noConversion"/>
  </si>
  <si>
    <t>유물 세트 옵션 선택</t>
    <phoneticPr fontId="2" type="noConversion"/>
  </si>
  <si>
    <t>구원</t>
    <phoneticPr fontId="2" type="noConversion"/>
  </si>
  <si>
    <t>환각</t>
    <phoneticPr fontId="2" type="noConversion"/>
  </si>
  <si>
    <t>세트</t>
    <phoneticPr fontId="2" type="noConversion"/>
  </si>
  <si>
    <t>피해증가</t>
    <phoneticPr fontId="2" type="noConversion"/>
  </si>
  <si>
    <t>추가피해증가</t>
    <phoneticPr fontId="2" type="noConversion"/>
  </si>
  <si>
    <t>치명타 확률 증가</t>
    <phoneticPr fontId="2" type="noConversion"/>
  </si>
  <si>
    <t>각인 선택</t>
    <phoneticPr fontId="2" type="noConversion"/>
  </si>
  <si>
    <t>이름</t>
    <phoneticPr fontId="2" type="noConversion"/>
  </si>
  <si>
    <t>원한</t>
    <phoneticPr fontId="2" type="noConversion"/>
  </si>
  <si>
    <t>예리한둔기</t>
    <phoneticPr fontId="2" type="noConversion"/>
  </si>
  <si>
    <t>타격의대가</t>
    <phoneticPr fontId="2" type="noConversion"/>
  </si>
  <si>
    <t>저주받은인형</t>
    <phoneticPr fontId="2" type="noConversion"/>
  </si>
  <si>
    <t>질량증가</t>
    <phoneticPr fontId="2" type="noConversion"/>
  </si>
  <si>
    <t>아드레날린</t>
    <phoneticPr fontId="2" type="noConversion"/>
  </si>
  <si>
    <t>체크</t>
    <phoneticPr fontId="2" type="noConversion"/>
  </si>
  <si>
    <t>레벨기입</t>
    <phoneticPr fontId="2" type="noConversion"/>
  </si>
  <si>
    <t>레벨기입</t>
    <phoneticPr fontId="2" type="noConversion"/>
  </si>
  <si>
    <t>상급소환사</t>
    <phoneticPr fontId="2" type="noConversion"/>
  </si>
  <si>
    <t>피해증가</t>
    <phoneticPr fontId="2" type="noConversion"/>
  </si>
  <si>
    <t>치명타확률증가</t>
    <phoneticPr fontId="2" type="noConversion"/>
  </si>
  <si>
    <t>치명타피해증가</t>
    <phoneticPr fontId="2" type="noConversion"/>
  </si>
  <si>
    <t>공격력증가</t>
    <phoneticPr fontId="2" type="noConversion"/>
  </si>
  <si>
    <t>에테르포식자</t>
    <phoneticPr fontId="2" type="noConversion"/>
  </si>
  <si>
    <t>최종합산</t>
    <phoneticPr fontId="2" type="noConversion"/>
  </si>
  <si>
    <t>치적</t>
    <phoneticPr fontId="2" type="noConversion"/>
  </si>
  <si>
    <t>피해량증가</t>
    <phoneticPr fontId="2" type="noConversion"/>
  </si>
  <si>
    <t>치명타피해량</t>
    <phoneticPr fontId="2" type="noConversion"/>
  </si>
  <si>
    <t>치적증가량(빛의성장)</t>
    <phoneticPr fontId="2" type="noConversion"/>
  </si>
  <si>
    <t>추가피해증가
(갈망추피 12% 고려)</t>
    <phoneticPr fontId="2" type="noConversion"/>
  </si>
  <si>
    <t>공격력증가량</t>
    <phoneticPr fontId="2" type="noConversion"/>
  </si>
  <si>
    <t>파티 치적 시너지 추가</t>
    <phoneticPr fontId="2" type="noConversion"/>
  </si>
  <si>
    <t>상시 치적 20%</t>
    <phoneticPr fontId="2" type="noConversion"/>
  </si>
  <si>
    <t>상시 치적 10% + 순간 치적 18%</t>
    <phoneticPr fontId="2" type="noConversion"/>
  </si>
  <si>
    <t>구분</t>
    <phoneticPr fontId="2" type="noConversion"/>
  </si>
  <si>
    <t>상시 치적 10%(알카, 건슬, 데헌, 기상술사)</t>
    <phoneticPr fontId="2" type="noConversion"/>
  </si>
  <si>
    <t>순간 치적 18%(배마, 창술, 스커)</t>
    <phoneticPr fontId="2" type="noConversion"/>
  </si>
  <si>
    <t>체크(택1, 필수X)</t>
    <phoneticPr fontId="2" type="noConversion"/>
  </si>
  <si>
    <t>체크(택1)</t>
    <phoneticPr fontId="2" type="noConversion"/>
  </si>
  <si>
    <t>A셋팅(합산이 더 높은것)</t>
    <phoneticPr fontId="2" type="noConversion"/>
  </si>
  <si>
    <t>B셋팅(합산이 더 낮은것)</t>
    <phoneticPr fontId="2" type="noConversion"/>
  </si>
  <si>
    <t>셋팅 비교</t>
    <phoneticPr fontId="2" type="noConversion"/>
  </si>
  <si>
    <t>팔찌 특수 치피증</t>
    <phoneticPr fontId="2" type="noConversion"/>
  </si>
  <si>
    <t>상소서머너 딜증 계산표</t>
    <phoneticPr fontId="2" type="noConversion"/>
  </si>
  <si>
    <t>o</t>
    <phoneticPr fontId="2" type="noConversion"/>
  </si>
  <si>
    <t>엘릭서연성 특수옵션</t>
    <phoneticPr fontId="2" type="noConversion"/>
  </si>
  <si>
    <t>선봉대</t>
    <phoneticPr fontId="2" type="noConversion"/>
  </si>
  <si>
    <t>회심</t>
    <phoneticPr fontId="2" type="noConversion"/>
  </si>
  <si>
    <t>달인</t>
    <phoneticPr fontId="2" type="noConversion"/>
  </si>
  <si>
    <t>특수옵션</t>
    <phoneticPr fontId="2" type="noConversion"/>
  </si>
  <si>
    <t>레벨</t>
    <phoneticPr fontId="2" type="noConversion"/>
  </si>
  <si>
    <t>단계</t>
    <phoneticPr fontId="2" type="noConversion"/>
  </si>
  <si>
    <t>피해증가</t>
    <phoneticPr fontId="2" type="noConversion"/>
  </si>
  <si>
    <t>추가피해증가</t>
    <phoneticPr fontId="2" type="noConversion"/>
  </si>
  <si>
    <t>공격력증가</t>
    <phoneticPr fontId="2" type="noConversion"/>
  </si>
  <si>
    <t>추가피해(하의)</t>
    <phoneticPr fontId="2" type="noConversion"/>
  </si>
  <si>
    <t>치명타피해(하의)</t>
    <phoneticPr fontId="2" type="noConversion"/>
  </si>
  <si>
    <t>보스피해(어깨)</t>
    <phoneticPr fontId="2" type="noConversion"/>
  </si>
  <si>
    <t>질서레벨(투구)</t>
    <phoneticPr fontId="2" type="noConversion"/>
  </si>
  <si>
    <t>혼돈레벨(장갑)</t>
    <phoneticPr fontId="2" type="noConversion"/>
  </si>
  <si>
    <t>부위옵션</t>
    <phoneticPr fontId="2" type="noConversion"/>
  </si>
  <si>
    <t>치명타피해증가</t>
    <phoneticPr fontId="2" type="noConversion"/>
  </si>
  <si>
    <t>피증6%</t>
    <phoneticPr fontId="2" type="noConversion"/>
  </si>
  <si>
    <t>피증12%</t>
    <phoneticPr fontId="2" type="noConversion"/>
  </si>
  <si>
    <t>제작:섹시한석이</t>
    <phoneticPr fontId="2" type="noConversion"/>
  </si>
  <si>
    <t>스킬피해량
(선봉대)</t>
    <phoneticPr fontId="2" type="noConversion"/>
  </si>
  <si>
    <t>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</si>
</sst>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.0000%"/>
    <numFmt numFmtId="178" formatCode="0.000%"/>
    <numFmt numFmtId="179" formatCode="0.00000000000000%"/>
    <numFmt numFmtId="180" formatCode="0.00000E+00"/>
    <numFmt numFmtId="181" formatCode="0.000000000%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3" borderId="2" xfId="0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77" fontId="0" fillId="4" borderId="1" xfId="0" applyNumberFormat="1" applyFill="1" applyBorder="1">
      <alignment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10" fontId="0" fillId="5" borderId="1" xfId="1" applyNumberFormat="1" applyFont="1" applyFill="1" applyBorder="1">
      <alignment vertical="center"/>
    </xf>
    <xf numFmtId="10" fontId="0" fillId="5" borderId="2" xfId="1" applyNumberFormat="1" applyFont="1" applyFill="1" applyBorder="1">
      <alignment vertical="center"/>
    </xf>
    <xf numFmtId="0" fontId="0" fillId="6" borderId="1" xfId="0" applyFill="1" applyBorder="1">
      <alignment vertical="center"/>
    </xf>
    <xf numFmtId="177" fontId="0" fillId="3" borderId="1" xfId="0" applyNumberFormat="1" applyFill="1" applyBorder="1">
      <alignment vertical="center"/>
    </xf>
    <xf numFmtId="177" fontId="0" fillId="3" borderId="1" xfId="1" applyNumberFormat="1" applyFont="1" applyFill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9" fontId="0" fillId="5" borderId="1" xfId="0" applyNumberFormat="1" applyFill="1" applyBorder="1">
      <alignment vertical="center"/>
    </xf>
    <xf numFmtId="9" fontId="0" fillId="0" borderId="0" xfId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77" fontId="0" fillId="5" borderId="2" xfId="1" applyNumberFormat="1" applyFont="1" applyFill="1" applyBorder="1" applyAlignment="1">
      <alignment horizontal="center" vertical="center"/>
    </xf>
    <xf numFmtId="177" fontId="0" fillId="5" borderId="12" xfId="1" applyNumberFormat="1" applyFont="1" applyFill="1" applyBorder="1" applyAlignment="1">
      <alignment horizontal="center" vertical="center"/>
    </xf>
    <xf numFmtId="177" fontId="0" fillId="5" borderId="6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78" fontId="0" fillId="5" borderId="2" xfId="0" applyNumberFormat="1" applyFill="1" applyBorder="1" applyAlignment="1">
      <alignment horizontal="center" vertical="center"/>
    </xf>
    <xf numFmtId="178" fontId="0" fillId="5" borderId="12" xfId="0" applyNumberFormat="1" applyFill="1" applyBorder="1" applyAlignment="1">
      <alignment horizontal="center" vertical="center"/>
    </xf>
    <xf numFmtId="178" fontId="0" fillId="5" borderId="6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77" fontId="0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6"/>
  <sheetViews>
    <sheetView tabSelected="1" zoomScaleNormal="100" workbookViewId="0">
      <selection activeCell="J14" sqref="J14"/>
    </sheetView>
  </sheetViews>
  <sheetFormatPr defaultRowHeight="16.5" x14ac:dyDescent="0.3"/>
  <cols>
    <col min="1" max="1" width="19.375" customWidth="1"/>
    <col min="2" max="3" width="22.5" bestFit="1" customWidth="1"/>
    <col min="8" max="8" width="14" customWidth="1"/>
    <col min="9" max="9" width="14.75" customWidth="1"/>
    <col min="10" max="10" width="11.625" customWidth="1"/>
    <col min="11" max="11" width="15.875" customWidth="1"/>
    <col min="12" max="12" width="11.75" customWidth="1"/>
    <col min="13" max="13" width="14.75" customWidth="1"/>
    <col min="15" max="15" width="12.875" customWidth="1"/>
    <col min="16" max="16" width="10.875" customWidth="1"/>
    <col min="17" max="17" width="14" customWidth="1"/>
    <col min="18" max="18" width="14.75" customWidth="1"/>
  </cols>
  <sheetData>
    <row r="2" spans="1:19" ht="34.5" customHeight="1" x14ac:dyDescent="0.3">
      <c r="A2" s="66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30" customHeight="1" x14ac:dyDescent="0.3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1:19" ht="30" customHeight="1" x14ac:dyDescent="0.3">
      <c r="A4" s="65" t="s">
        <v>1</v>
      </c>
      <c r="B4" s="65"/>
      <c r="C4" s="65"/>
      <c r="D4" s="74" t="s">
        <v>5</v>
      </c>
      <c r="E4" s="74"/>
      <c r="F4" s="74"/>
      <c r="G4" s="65"/>
      <c r="H4" s="65"/>
      <c r="I4" s="65"/>
      <c r="J4" s="65"/>
      <c r="K4" s="65"/>
      <c r="L4" s="75"/>
      <c r="M4" s="65" t="s">
        <v>12</v>
      </c>
      <c r="N4" s="65"/>
      <c r="O4" s="65"/>
      <c r="P4" s="65"/>
      <c r="Q4" s="65"/>
      <c r="R4" s="65"/>
      <c r="S4" s="65"/>
    </row>
    <row r="5" spans="1:19" ht="30" customHeight="1" x14ac:dyDescent="0.3">
      <c r="A5" s="2" t="s">
        <v>0</v>
      </c>
      <c r="B5" s="4">
        <v>680</v>
      </c>
      <c r="C5" s="7">
        <f>B5/2794.4</f>
        <v>0.2433438305181792</v>
      </c>
      <c r="D5" s="42" t="s">
        <v>8</v>
      </c>
      <c r="E5" s="76"/>
      <c r="F5" s="43"/>
      <c r="G5" s="4" t="s">
        <v>21</v>
      </c>
      <c r="H5" s="2" t="s">
        <v>9</v>
      </c>
      <c r="I5" s="2" t="s">
        <v>10</v>
      </c>
      <c r="J5" s="42" t="s">
        <v>11</v>
      </c>
      <c r="K5" s="43"/>
      <c r="L5" s="6" t="s">
        <v>43</v>
      </c>
      <c r="M5" s="2" t="s">
        <v>13</v>
      </c>
      <c r="N5" s="4" t="s">
        <v>22</v>
      </c>
      <c r="O5" s="2" t="s">
        <v>24</v>
      </c>
      <c r="P5" s="2" t="s">
        <v>27</v>
      </c>
      <c r="Q5" s="2" t="s">
        <v>25</v>
      </c>
      <c r="R5" s="2" t="s">
        <v>26</v>
      </c>
      <c r="S5" s="4" t="s">
        <v>20</v>
      </c>
    </row>
    <row r="6" spans="1:19" ht="30" customHeight="1" x14ac:dyDescent="0.3">
      <c r="A6" s="62" t="s">
        <v>2</v>
      </c>
      <c r="B6" s="62"/>
      <c r="C6" s="8">
        <v>0.28820000000000001</v>
      </c>
      <c r="D6" s="42" t="s">
        <v>6</v>
      </c>
      <c r="E6" s="76"/>
      <c r="F6" s="43"/>
      <c r="G6" s="4">
        <v>3</v>
      </c>
      <c r="H6" s="9">
        <v>0.05</v>
      </c>
      <c r="I6" s="10">
        <f>MAX(1,IF(G6=1,42,0)+IF(G6=2,54,0)+IF(G6=3,63,0))%</f>
        <v>0.63</v>
      </c>
      <c r="J6" s="44">
        <v>0</v>
      </c>
      <c r="K6" s="45"/>
      <c r="L6" s="6" t="s">
        <v>49</v>
      </c>
      <c r="M6" s="2" t="s">
        <v>14</v>
      </c>
      <c r="N6" s="4">
        <v>3</v>
      </c>
      <c r="O6" s="10">
        <f>MAX(1,IF(N6=1,4,0)+IF(N6=2,10,0)+IF(N6=3,20,0))%</f>
        <v>0.2</v>
      </c>
      <c r="P6" s="9">
        <v>0</v>
      </c>
      <c r="Q6" s="9">
        <v>0</v>
      </c>
      <c r="R6" s="9">
        <v>0</v>
      </c>
      <c r="S6" s="4"/>
    </row>
    <row r="7" spans="1:19" ht="30" customHeight="1" x14ac:dyDescent="0.3">
      <c r="A7" s="62" t="s">
        <v>3</v>
      </c>
      <c r="B7" s="62"/>
      <c r="C7" s="8">
        <v>1.66E-2</v>
      </c>
      <c r="D7" s="42" t="s">
        <v>7</v>
      </c>
      <c r="E7" s="76"/>
      <c r="F7" s="43"/>
      <c r="G7" s="4">
        <v>3</v>
      </c>
      <c r="H7" s="10">
        <f>MAX(1,IF(G7=1,25,0)+IF(G7=2,29,0)+IF(G7=3,32,0))%</f>
        <v>0.32</v>
      </c>
      <c r="I7" s="9">
        <v>0</v>
      </c>
      <c r="J7" s="46">
        <f>MAX(1,IF(G7=1,20,0)+IF(G7=2,25,0)+IF(G7=3,28,0))%</f>
        <v>0.28000000000000003</v>
      </c>
      <c r="K7" s="47"/>
      <c r="L7" s="6"/>
      <c r="M7" s="2" t="s">
        <v>15</v>
      </c>
      <c r="N7" s="4">
        <v>3</v>
      </c>
      <c r="O7" s="9">
        <v>0</v>
      </c>
      <c r="P7" s="9">
        <v>0</v>
      </c>
      <c r="Q7" s="9">
        <v>0</v>
      </c>
      <c r="R7" s="10">
        <f>MAX(1,IF(N7=1,10,0)+IF(N7=2,25,0)+IF(N7=3,50,0))%</f>
        <v>0.5</v>
      </c>
      <c r="S7" s="4"/>
    </row>
    <row r="8" spans="1:19" ht="30" customHeight="1" x14ac:dyDescent="0.3">
      <c r="A8" s="62" t="s">
        <v>4</v>
      </c>
      <c r="B8" s="62"/>
      <c r="C8" s="8">
        <v>0.01</v>
      </c>
      <c r="D8" s="62" t="s">
        <v>47</v>
      </c>
      <c r="E8" s="62"/>
      <c r="F8" s="62"/>
      <c r="G8" s="62"/>
      <c r="H8" s="62"/>
      <c r="I8" s="60">
        <v>2.3300000000000001E-2</v>
      </c>
      <c r="J8" s="60"/>
      <c r="K8" s="60"/>
      <c r="L8" s="12"/>
      <c r="M8" s="2" t="s">
        <v>16</v>
      </c>
      <c r="N8" s="4">
        <v>3</v>
      </c>
      <c r="O8" s="10">
        <f>MAX(1,IF(N8=1,3,0)+IF(N8=2,8,0)+IF(N8=3,16,0))%</f>
        <v>0.16</v>
      </c>
      <c r="P8" s="9">
        <v>0</v>
      </c>
      <c r="Q8" s="9">
        <v>0</v>
      </c>
      <c r="R8" s="9">
        <v>0</v>
      </c>
      <c r="S8" s="4"/>
    </row>
    <row r="9" spans="1:19" ht="30" customHeight="1" x14ac:dyDescent="0.3">
      <c r="A9" s="62" t="s">
        <v>33</v>
      </c>
      <c r="B9" s="62"/>
      <c r="C9" s="8">
        <v>0.11799999999999999</v>
      </c>
      <c r="D9" s="12"/>
      <c r="E9" s="12"/>
      <c r="F9" s="12"/>
      <c r="G9" s="12"/>
      <c r="H9" s="12"/>
      <c r="I9" s="12"/>
      <c r="J9" s="12"/>
      <c r="K9" s="12"/>
      <c r="L9" s="12"/>
      <c r="M9" s="2" t="s">
        <v>17</v>
      </c>
      <c r="N9" s="4">
        <v>3</v>
      </c>
      <c r="O9" s="9">
        <v>0</v>
      </c>
      <c r="P9" s="10">
        <f>MAX(1,IF(N9=1,3,0)+IF(N9=2,8,0)+IF(N9=3,16,0))%</f>
        <v>0.16</v>
      </c>
      <c r="Q9" s="9">
        <v>0</v>
      </c>
      <c r="R9" s="9">
        <v>0</v>
      </c>
      <c r="S9" s="4" t="s">
        <v>71</v>
      </c>
    </row>
    <row r="10" spans="1:19" ht="30" customHeight="1" x14ac:dyDescent="0.3">
      <c r="A10" s="65" t="s">
        <v>36</v>
      </c>
      <c r="B10" s="65"/>
      <c r="C10" s="65"/>
      <c r="D10" s="73" t="s">
        <v>50</v>
      </c>
      <c r="E10" s="73"/>
      <c r="F10" s="73"/>
      <c r="G10" s="73"/>
      <c r="H10" s="73"/>
      <c r="I10" s="73"/>
      <c r="J10" s="73"/>
      <c r="K10" s="73"/>
      <c r="L10" s="73"/>
      <c r="M10" s="2" t="s">
        <v>18</v>
      </c>
      <c r="N10" s="4">
        <v>3</v>
      </c>
      <c r="O10" s="9">
        <v>0</v>
      </c>
      <c r="P10" s="10">
        <f>MAX(1,IF(N10=1,4,0)+IF(N10=2,10,0)+IF(N10=3,18,0))%</f>
        <v>0.18</v>
      </c>
      <c r="Q10" s="9">
        <v>0</v>
      </c>
      <c r="R10" s="9">
        <v>0</v>
      </c>
      <c r="S10" s="4"/>
    </row>
    <row r="11" spans="1:19" ht="30" customHeight="1" x14ac:dyDescent="0.3">
      <c r="A11" s="62" t="s">
        <v>39</v>
      </c>
      <c r="B11" s="62"/>
      <c r="C11" s="11" t="s">
        <v>42</v>
      </c>
      <c r="D11" s="2" t="s">
        <v>54</v>
      </c>
      <c r="E11" s="33" t="s">
        <v>63</v>
      </c>
      <c r="F11" s="33" t="s">
        <v>64</v>
      </c>
      <c r="G11" s="4" t="s">
        <v>56</v>
      </c>
      <c r="H11" s="2" t="s">
        <v>57</v>
      </c>
      <c r="I11" s="2" t="s">
        <v>59</v>
      </c>
      <c r="J11" s="2" t="s">
        <v>58</v>
      </c>
      <c r="K11" s="2" t="s">
        <v>11</v>
      </c>
      <c r="L11" s="4" t="s">
        <v>20</v>
      </c>
      <c r="M11" s="2" t="s">
        <v>19</v>
      </c>
      <c r="N11" s="4">
        <v>3</v>
      </c>
      <c r="O11" s="9">
        <v>0</v>
      </c>
      <c r="P11" s="14">
        <f>MAX(1,IF(N11=1,1.8,0)+IF(N11=2,3.6,0)+IF(N11=3,6,0))%</f>
        <v>0.06</v>
      </c>
      <c r="Q11" s="10">
        <f>MAX(1,IF(N11=1,5,0)+IF(N11=2,10,0)+IF(N11=3,15,0))%</f>
        <v>0.15</v>
      </c>
      <c r="R11" s="9">
        <v>0</v>
      </c>
      <c r="S11" s="4" t="s">
        <v>71</v>
      </c>
    </row>
    <row r="12" spans="1:19" ht="30" customHeight="1" x14ac:dyDescent="0.3">
      <c r="A12" s="62" t="s">
        <v>40</v>
      </c>
      <c r="B12" s="62"/>
      <c r="C12" s="4"/>
      <c r="D12" s="2" t="s">
        <v>52</v>
      </c>
      <c r="E12" s="4">
        <v>5</v>
      </c>
      <c r="F12" s="4">
        <v>5</v>
      </c>
      <c r="G12" s="4">
        <v>2</v>
      </c>
      <c r="H12" s="32">
        <f>(1+(MAX(0,IF(G12=1,(1.06*B20*I20+(1-B20))/(B20*I20+(1-B20))-1,0)+IF(G12=2,(1.12*B20*I20+(1-B20))/(B20*I20+(1-B20))-1,0))))*(1+MAX(0,IF(F12=1,0.23,0)+IF(F12=2,0.47,0)+IF(F12=3,0.72,0)+IF(F12=4,1.08,0)+IF(F12=5,1.44,0))%)-1</f>
        <v>0.11383540783882773</v>
      </c>
      <c r="I12" s="13">
        <f>0%+MAX(0,IF(E12=1,0.23,0)+IF(E12=2,0.47,0)+IF(E12=3,0.72,0)+IF(E12=4,1.08,0)+IF(E12=5,1.44,0))%</f>
        <v>1.44E-2</v>
      </c>
      <c r="J12" s="9">
        <f>0%</f>
        <v>0</v>
      </c>
      <c r="K12" s="9">
        <v>0</v>
      </c>
      <c r="L12" s="4"/>
      <c r="M12" s="2" t="s">
        <v>23</v>
      </c>
      <c r="N12" s="4">
        <v>3</v>
      </c>
      <c r="O12" s="10">
        <f>MAX(1,IF(N12=1,2,0)+IF(N12=2,5,0)+IF(N12=3,10,0))%</f>
        <v>0.1</v>
      </c>
      <c r="P12" s="9">
        <v>0</v>
      </c>
      <c r="Q12" s="10">
        <f>MAX(1,IF(N12=1,3,0)+IF(N12=2,8,0)+IF(N12=3,16,0))%</f>
        <v>0.16</v>
      </c>
      <c r="R12" s="9">
        <v>0</v>
      </c>
      <c r="S12" s="4" t="s">
        <v>71</v>
      </c>
    </row>
    <row r="13" spans="1:19" ht="30" customHeight="1" x14ac:dyDescent="0.3">
      <c r="A13" s="62" t="s">
        <v>41</v>
      </c>
      <c r="B13" s="62"/>
      <c r="C13" s="4"/>
      <c r="D13" s="2" t="s">
        <v>51</v>
      </c>
      <c r="E13" s="4">
        <v>5</v>
      </c>
      <c r="F13" s="4">
        <v>5</v>
      </c>
      <c r="G13" s="4">
        <v>2</v>
      </c>
      <c r="H13" s="32">
        <f>(1+(MAX(0,IF(G13=1,0,0)+IF(G13=2,5,0))%))*(1+MAX(0,IF(F13=1,0.23,0)+IF(F13=2,0.47,0)+IF(F13=3,0.72,0)+IF(F13=4,1.08,0)+IF(F13=5,1.44,0))%)-1</f>
        <v>6.5120000000000067E-2</v>
      </c>
      <c r="I13" s="13">
        <f>3%+MAX(0,IF(E13=1,0.23,0)+IF(E13=2,0.47,0)+IF(E13=3,0.72,0)+IF(E13=4,1.08,0)+IF(E13=5,1.44,0))%</f>
        <v>4.4399999999999995E-2</v>
      </c>
      <c r="J13" s="9">
        <v>0</v>
      </c>
      <c r="K13" s="9">
        <v>0</v>
      </c>
      <c r="L13" s="4" t="s">
        <v>71</v>
      </c>
      <c r="M13" s="2" t="s">
        <v>28</v>
      </c>
      <c r="N13" s="4">
        <v>1</v>
      </c>
      <c r="O13" s="9">
        <v>0</v>
      </c>
      <c r="P13" s="13">
        <f>MAX(1,IF(N13=1,4.5,0)+IF(N13=2,6.75,0)+IF(N13=3,12,0))%</f>
        <v>4.4999999999999998E-2</v>
      </c>
      <c r="Q13" s="9">
        <v>0</v>
      </c>
      <c r="R13" s="9">
        <v>0</v>
      </c>
      <c r="S13" s="4"/>
    </row>
    <row r="14" spans="1:19" ht="30" customHeight="1" x14ac:dyDescent="0.3">
      <c r="A14" s="62" t="s">
        <v>38</v>
      </c>
      <c r="B14" s="62"/>
      <c r="C14" s="4"/>
      <c r="D14" s="2" t="s">
        <v>53</v>
      </c>
      <c r="E14" s="4">
        <v>5</v>
      </c>
      <c r="F14" s="4">
        <v>5</v>
      </c>
      <c r="G14" s="4">
        <v>2</v>
      </c>
      <c r="H14" s="32">
        <f>0%+MAX(0,IF(F14=1,0.23,0)+IF(F14=2,0.47,0)+IF(F14=3,0.72,0)+IF(F14=4,1.08,0)+IF(F14=5,1.44,0))%</f>
        <v>1.44E-2</v>
      </c>
      <c r="I14" s="13">
        <f>0%+MAX(0,IF(E14=1,0.23,0)+IF(E14=2,0.47,0)+IF(E14=3,0.72,0)+IF(E14=4,1.08,0)+IF(E14=5,1.44,0))%</f>
        <v>1.44E-2</v>
      </c>
      <c r="J14" s="13">
        <f>MAX(0,IF(G14=1,0,0)+IF(G14=2,8.5,0))%</f>
        <v>8.5000000000000006E-2</v>
      </c>
      <c r="K14" s="9">
        <v>7.0000000000000007E-2</v>
      </c>
      <c r="L14" s="4"/>
      <c r="M14" s="24"/>
      <c r="N14" s="12"/>
      <c r="O14" s="21"/>
      <c r="P14" s="22"/>
      <c r="Q14" s="21"/>
      <c r="R14" s="21"/>
      <c r="S14" s="23"/>
    </row>
    <row r="15" spans="1:19" ht="30" customHeight="1" x14ac:dyDescent="0.3">
      <c r="A15" s="62" t="s">
        <v>37</v>
      </c>
      <c r="B15" s="62"/>
      <c r="C15" s="4"/>
      <c r="D15" s="42" t="s">
        <v>65</v>
      </c>
      <c r="E15" s="43"/>
      <c r="F15" s="80" t="s">
        <v>55</v>
      </c>
      <c r="G15" s="81"/>
      <c r="H15" s="13" t="s">
        <v>57</v>
      </c>
      <c r="I15" s="13" t="s">
        <v>66</v>
      </c>
      <c r="J15" s="9" t="s">
        <v>58</v>
      </c>
      <c r="K15" s="36"/>
      <c r="L15" s="37"/>
      <c r="M15" s="24"/>
      <c r="N15" s="12"/>
      <c r="O15" s="21"/>
      <c r="P15" s="22"/>
      <c r="Q15" s="21"/>
      <c r="R15" s="21"/>
      <c r="S15" s="23"/>
    </row>
    <row r="16" spans="1:19" ht="30" customHeight="1" x14ac:dyDescent="0.3">
      <c r="A16" s="62" t="s">
        <v>67</v>
      </c>
      <c r="B16" s="62"/>
      <c r="C16" s="4"/>
      <c r="D16" s="62" t="s">
        <v>60</v>
      </c>
      <c r="E16" s="62"/>
      <c r="F16" s="79">
        <v>5</v>
      </c>
      <c r="G16" s="79"/>
      <c r="H16" s="34"/>
      <c r="I16" s="34"/>
      <c r="J16" s="35">
        <f>MAX(0,IF(F16=1,0.49,0)+IF(F16=2,1.02,0)+IF(F16=3,1.55,0)+IF(F16=4,2.32,0)+IF(F16=5,3.1,0))%</f>
        <v>3.1E-2</v>
      </c>
      <c r="K16" s="38"/>
      <c r="L16" s="4" t="s">
        <v>49</v>
      </c>
      <c r="M16" s="15"/>
      <c r="S16" s="16"/>
    </row>
    <row r="17" spans="1:19" ht="30" customHeight="1" x14ac:dyDescent="0.3">
      <c r="A17" s="42" t="s">
        <v>68</v>
      </c>
      <c r="B17" s="43"/>
      <c r="C17" s="4"/>
      <c r="D17" s="62" t="s">
        <v>61</v>
      </c>
      <c r="E17" s="62"/>
      <c r="F17" s="79">
        <v>5</v>
      </c>
      <c r="G17" s="79"/>
      <c r="H17" s="34"/>
      <c r="I17" s="35">
        <f>MAX(0,IF(F17=1,1.12,0)+IF(F17=2,2.31,0)+IF(F17=3,3.5,0)+IF(F17=4,5.2,0)+IF(F17=5,7,0))%</f>
        <v>7.0000000000000007E-2</v>
      </c>
      <c r="J17" s="34"/>
      <c r="K17" s="38"/>
      <c r="L17" s="4"/>
      <c r="M17" s="15"/>
      <c r="S17" s="16"/>
    </row>
    <row r="18" spans="1:19" ht="30" customHeight="1" x14ac:dyDescent="0.3">
      <c r="A18" s="42"/>
      <c r="B18" s="43"/>
      <c r="C18" s="4"/>
      <c r="D18" s="62" t="s">
        <v>62</v>
      </c>
      <c r="E18" s="62"/>
      <c r="F18" s="79">
        <v>5</v>
      </c>
      <c r="G18" s="79"/>
      <c r="H18" s="35">
        <f>MAX(0,IF(F18=1,0.38,0)+IF(F18=2,0.79,0)+IF(F18=3,1.2,0)+IF(F18=4,1.8,0)+IF(F18=5,2.4,0))%</f>
        <v>2.4E-2</v>
      </c>
      <c r="I18" s="35"/>
      <c r="J18" s="34"/>
      <c r="K18" s="38"/>
      <c r="L18" s="4" t="s">
        <v>49</v>
      </c>
      <c r="M18" s="15"/>
      <c r="S18" s="16"/>
    </row>
    <row r="19" spans="1:19" ht="30" customHeight="1" x14ac:dyDescent="0.3">
      <c r="A19" s="3" t="s">
        <v>29</v>
      </c>
      <c r="B19" s="25" t="s">
        <v>30</v>
      </c>
      <c r="C19" s="48" t="s">
        <v>31</v>
      </c>
      <c r="D19" s="49"/>
      <c r="E19" s="50"/>
      <c r="F19" s="54" t="s">
        <v>34</v>
      </c>
      <c r="G19" s="55"/>
      <c r="H19" s="56"/>
      <c r="I19" s="72" t="s">
        <v>32</v>
      </c>
      <c r="J19" s="72"/>
      <c r="K19" s="72"/>
      <c r="L19" s="26" t="s">
        <v>35</v>
      </c>
      <c r="M19" s="39" t="s">
        <v>70</v>
      </c>
      <c r="S19" s="16"/>
    </row>
    <row r="20" spans="1:19" ht="30" customHeight="1" x14ac:dyDescent="0.3">
      <c r="A20" s="20">
        <f>((((I20*B20)+(100%*(1-B20)))*M20))*IF(S7="o",98%,100%)*C20*(F20+1)*(1+L20)</f>
        <v>5.8423655243283603</v>
      </c>
      <c r="B20" s="27">
        <f>MIN(1,(C5+IF(L7="O",J7,0)+IF(S11="O",Q11,0)+IF(S12="O",Q12,0)+IF(C12="O",10%,0)+IF(C13="O",18%,0)+IF(C14="O",28%,0)+IF(C15="O",20%,0)+C9+C7)+IF(L14="O",K14,0))</f>
        <v>0.6879438305181792</v>
      </c>
      <c r="C20" s="51">
        <f>IF(S6="O",O6+1,1)*IF(S8="O",O8+1,1)*IF(S12="O",O12+1,1)*IF(L6="O",H6+1,1)*IF(L7="O",H7+1,1)*IF(C8&gt;0,C8+1,1)*IF(L12="O",H12+1,1)*IF(L13="O",H13+1,1)*IF(L14="O",H14+1,1)*IF(L18="O",H18+1,1)*IF(C16="O",1.06,1)*IF(C17="O",1.06*1.06,1)</f>
        <v>1.2723361136640003</v>
      </c>
      <c r="D20" s="52"/>
      <c r="E20" s="53"/>
      <c r="F20" s="57">
        <f>C6+IF(L6="O",I6,0)+12%+IF(L16="O",J16,0)+IF(L14="O",J14,0)</f>
        <v>1.0691999999999999</v>
      </c>
      <c r="G20" s="58"/>
      <c r="H20" s="59"/>
      <c r="I20" s="63">
        <f>IF(S7="O",R7,0)+200%+I8+IF(L17="O",I17,0)</f>
        <v>2.0232999999999999</v>
      </c>
      <c r="J20" s="63"/>
      <c r="K20" s="63"/>
      <c r="L20" s="28">
        <f>IF(S9="O",P9,0)+IF(S10="O",P10,0)+IF(S11="O",P11,0)+IF(S13="O",P13,0)+IF(L12="O",I12,0)+IF(L13="O",I13,0)+IF(L14="O",I14,0)</f>
        <v>0.26439999999999997</v>
      </c>
      <c r="M20" s="40">
        <f>(100+IF(L13="o",3,0))%</f>
        <v>1.03</v>
      </c>
      <c r="N20" s="5"/>
      <c r="O20" s="5"/>
      <c r="P20" s="5"/>
      <c r="Q20" s="5"/>
      <c r="R20" s="77" t="s">
        <v>69</v>
      </c>
      <c r="S20" s="78"/>
    </row>
    <row r="21" spans="1:19" ht="30" customHeight="1" x14ac:dyDescent="0.3"/>
    <row r="22" spans="1:19" ht="30" customHeight="1" x14ac:dyDescent="0.3"/>
    <row r="23" spans="1:19" ht="30" customHeight="1" x14ac:dyDescent="0.3">
      <c r="O23" s="1"/>
    </row>
    <row r="24" spans="1:19" ht="30" customHeight="1" x14ac:dyDescent="0.3">
      <c r="B24" s="64" t="s">
        <v>46</v>
      </c>
      <c r="C24" s="64"/>
      <c r="L24" s="41"/>
    </row>
    <row r="25" spans="1:19" ht="30" customHeight="1" x14ac:dyDescent="0.3">
      <c r="B25" s="29" t="s">
        <v>44</v>
      </c>
      <c r="C25" s="29" t="s">
        <v>45</v>
      </c>
    </row>
    <row r="26" spans="1:19" ht="30" customHeight="1" x14ac:dyDescent="0.3">
      <c r="B26" s="31">
        <v>5.75943</v>
      </c>
      <c r="C26" s="30">
        <v>5.1384049999999997</v>
      </c>
      <c r="H26" s="19"/>
      <c r="I26" s="1"/>
      <c r="J26" s="1"/>
      <c r="L26" s="1"/>
    </row>
    <row r="27" spans="1:19" ht="30" customHeight="1" x14ac:dyDescent="0.3">
      <c r="B27" s="61">
        <f>B26/C26-100%</f>
        <v>0.12085948849886297</v>
      </c>
      <c r="C27" s="61"/>
      <c r="G27" s="1"/>
    </row>
    <row r="28" spans="1:19" ht="30" customHeight="1" x14ac:dyDescent="0.3"/>
    <row r="29" spans="1:19" ht="30" customHeight="1" x14ac:dyDescent="0.3">
      <c r="A29" s="18"/>
      <c r="C29" s="17"/>
      <c r="H29" s="1"/>
    </row>
    <row r="30" spans="1:19" ht="30" customHeight="1" x14ac:dyDescent="0.3"/>
    <row r="31" spans="1:19" ht="30" customHeight="1" x14ac:dyDescent="0.3">
      <c r="C31" s="17"/>
    </row>
    <row r="32" spans="1:19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</sheetData>
  <mergeCells count="43">
    <mergeCell ref="A2:S3"/>
    <mergeCell ref="A10:C10"/>
    <mergeCell ref="A11:B11"/>
    <mergeCell ref="I19:K19"/>
    <mergeCell ref="A4:C4"/>
    <mergeCell ref="A6:B6"/>
    <mergeCell ref="A7:B7"/>
    <mergeCell ref="A8:B8"/>
    <mergeCell ref="A12:B12"/>
    <mergeCell ref="A13:B13"/>
    <mergeCell ref="A16:B16"/>
    <mergeCell ref="A14:B14"/>
    <mergeCell ref="D10:L10"/>
    <mergeCell ref="D4:L4"/>
    <mergeCell ref="D8:H8"/>
    <mergeCell ref="D5:F5"/>
    <mergeCell ref="B27:C27"/>
    <mergeCell ref="A9:B9"/>
    <mergeCell ref="I20:K20"/>
    <mergeCell ref="B24:C24"/>
    <mergeCell ref="M4:S4"/>
    <mergeCell ref="D6:F6"/>
    <mergeCell ref="D7:F7"/>
    <mergeCell ref="D16:E16"/>
    <mergeCell ref="D17:E17"/>
    <mergeCell ref="A15:B15"/>
    <mergeCell ref="A17:B17"/>
    <mergeCell ref="A18:B18"/>
    <mergeCell ref="R20:S20"/>
    <mergeCell ref="D18:E18"/>
    <mergeCell ref="F16:G16"/>
    <mergeCell ref="F17:G17"/>
    <mergeCell ref="J5:K5"/>
    <mergeCell ref="J6:K6"/>
    <mergeCell ref="J7:K7"/>
    <mergeCell ref="C19:E19"/>
    <mergeCell ref="C20:E20"/>
    <mergeCell ref="F19:H19"/>
    <mergeCell ref="F20:H20"/>
    <mergeCell ref="I8:K8"/>
    <mergeCell ref="F18:G18"/>
    <mergeCell ref="D15:E15"/>
    <mergeCell ref="F15:G1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user</cp:lastModifiedBy>
  <dcterms:created xsi:type="dcterms:W3CDTF">2022-09-28T02:44:43Z</dcterms:created>
  <dcterms:modified xsi:type="dcterms:W3CDTF">2023-03-14T07:57:44Z</dcterms:modified>
</cp:coreProperties>
</file>