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LG\Downloads\"/>
    </mc:Choice>
  </mc:AlternateContent>
  <xr:revisionPtr revIDLastSave="0" documentId="13_ncr:1_{9774AA42-EC92-4E99-9468-60B30EB2192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앞면" sheetId="1" r:id="rId1"/>
    <sheet name="뒷면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26" i="2" l="1"/>
  <c r="AG29" i="2"/>
  <c r="BO5" i="2"/>
  <c r="BO11" i="2" s="1"/>
  <c r="CC4" i="2" s="1"/>
  <c r="V54" i="2"/>
  <c r="W54" i="2"/>
  <c r="AJ13" i="2"/>
  <c r="AL13" i="2"/>
  <c r="AL12" i="2"/>
  <c r="AJ12" i="2"/>
  <c r="V56" i="2" l="1"/>
  <c r="W56" i="2"/>
  <c r="V57" i="2"/>
  <c r="W57" i="2"/>
  <c r="Z8" i="2" s="1"/>
  <c r="I6" i="1"/>
  <c r="V55" i="2"/>
  <c r="W55" i="2"/>
  <c r="AR12" i="2"/>
  <c r="V42" i="2"/>
  <c r="W42" i="2"/>
  <c r="AR8" i="2" s="1"/>
  <c r="AQ8" i="2"/>
  <c r="W36" i="2"/>
  <c r="V51" i="2"/>
  <c r="W51" i="2"/>
  <c r="W43" i="2"/>
  <c r="V43" i="2"/>
  <c r="CA30" i="2"/>
  <c r="BE17" i="2"/>
  <c r="BE18" i="2"/>
  <c r="BE20" i="2"/>
  <c r="BE21" i="2"/>
  <c r="BE22" i="2"/>
  <c r="BE24" i="2"/>
  <c r="BE25" i="2"/>
  <c r="BE26" i="2"/>
  <c r="BE29" i="2"/>
  <c r="BE30" i="2"/>
  <c r="V48" i="2"/>
  <c r="W48" i="2"/>
  <c r="V52" i="2"/>
  <c r="W52" i="2"/>
  <c r="CB4" i="2"/>
  <c r="BN18" i="2"/>
  <c r="BN19" i="2"/>
  <c r="BN22" i="2"/>
  <c r="BN23" i="2"/>
  <c r="BN24" i="2"/>
  <c r="BN25" i="2"/>
  <c r="BN27" i="2"/>
  <c r="BN28" i="2"/>
  <c r="BN31" i="2"/>
  <c r="BN16" i="2"/>
  <c r="V45" i="2"/>
  <c r="W45" i="2"/>
  <c r="BO4" i="2" s="1"/>
  <c r="V53" i="2"/>
  <c r="W53" i="2"/>
  <c r="W4" i="2" s="1"/>
  <c r="V41" i="2"/>
  <c r="W41" i="2"/>
  <c r="BF7" i="2" s="1"/>
  <c r="AJ10" i="2"/>
  <c r="AM10" i="2" s="1"/>
  <c r="AJ11" i="2"/>
  <c r="AM11" i="2" s="1"/>
  <c r="AL11" i="2"/>
  <c r="AL10" i="2"/>
  <c r="AG32" i="2"/>
  <c r="AG33" i="2"/>
  <c r="BC34" i="2"/>
  <c r="BD34" i="2" s="1"/>
  <c r="CA34" i="2"/>
  <c r="CA16" i="2"/>
  <c r="CA17" i="2"/>
  <c r="CA19" i="2"/>
  <c r="CA20" i="2"/>
  <c r="CA21" i="2"/>
  <c r="CA24" i="2"/>
  <c r="CA25" i="2"/>
  <c r="CA26" i="2"/>
  <c r="CA28" i="2"/>
  <c r="CA31" i="2"/>
  <c r="BC16" i="2"/>
  <c r="BC17" i="2"/>
  <c r="BC19" i="2"/>
  <c r="BC20" i="2"/>
  <c r="BC21" i="2"/>
  <c r="BC22" i="2"/>
  <c r="BC24" i="2"/>
  <c r="BC25" i="2"/>
  <c r="BC26" i="2"/>
  <c r="BC28" i="2"/>
  <c r="BC30" i="2"/>
  <c r="BC31" i="2"/>
  <c r="AG34" i="2"/>
  <c r="AG31" i="2"/>
  <c r="AG30" i="2"/>
  <c r="AG28" i="2"/>
  <c r="AG27" i="2"/>
  <c r="AG26" i="2"/>
  <c r="AG25" i="2"/>
  <c r="AG24" i="2"/>
  <c r="AG22" i="2"/>
  <c r="AG21" i="2"/>
  <c r="AG20" i="2"/>
  <c r="AG19" i="2"/>
  <c r="AG18" i="2"/>
  <c r="AG17" i="2"/>
  <c r="AG16" i="2"/>
  <c r="AD34" i="2"/>
  <c r="AE34" i="2" s="1"/>
  <c r="O37" i="2"/>
  <c r="O38" i="2"/>
  <c r="AD16" i="2"/>
  <c r="AD31" i="2"/>
  <c r="AD30" i="2"/>
  <c r="AD29" i="2"/>
  <c r="AD27" i="2"/>
  <c r="AD26" i="2"/>
  <c r="AD24" i="2"/>
  <c r="AD23" i="2"/>
  <c r="AD20" i="2"/>
  <c r="AD19" i="2"/>
  <c r="AD18" i="2"/>
  <c r="AD17" i="2"/>
  <c r="W37" i="2"/>
  <c r="BG13" i="2" s="1"/>
  <c r="W38" i="2"/>
  <c r="CB5" i="2" s="1"/>
  <c r="W46" i="2"/>
  <c r="CJ4" i="2" s="1"/>
  <c r="W49" i="2"/>
  <c r="BO8" i="2" s="1"/>
  <c r="W50" i="2"/>
  <c r="BO6" i="2" s="1"/>
  <c r="W47" i="2"/>
  <c r="W39" i="2"/>
  <c r="W44" i="2"/>
  <c r="W40" i="2"/>
  <c r="AZ13" i="2" s="1"/>
  <c r="V36" i="2"/>
  <c r="V37" i="2"/>
  <c r="V38" i="2"/>
  <c r="V46" i="2"/>
  <c r="V49" i="2"/>
  <c r="V50" i="2"/>
  <c r="V47" i="2"/>
  <c r="V39" i="2"/>
  <c r="V44" i="2"/>
  <c r="V40" i="2"/>
  <c r="V16" i="2"/>
  <c r="W16" i="2"/>
  <c r="BE16" i="2" s="1"/>
  <c r="X16" i="2"/>
  <c r="BF8" i="2" s="1"/>
  <c r="Y16" i="2"/>
  <c r="BA10" i="2" s="1"/>
  <c r="Z16" i="2"/>
  <c r="AA16" i="2"/>
  <c r="V17" i="2"/>
  <c r="W17" i="2"/>
  <c r="AB17" i="2" s="1"/>
  <c r="X17" i="2"/>
  <c r="Y17" i="2"/>
  <c r="Z17" i="2"/>
  <c r="AP17" i="2" s="1"/>
  <c r="AA17" i="2"/>
  <c r="V18" i="2"/>
  <c r="W18" i="2"/>
  <c r="AC18" i="2" s="1"/>
  <c r="X18" i="2"/>
  <c r="Y18" i="2"/>
  <c r="BC18" i="2" s="1"/>
  <c r="Z18" i="2"/>
  <c r="AA18" i="2"/>
  <c r="V19" i="2"/>
  <c r="W19" i="2"/>
  <c r="AB19" i="2" s="1"/>
  <c r="X19" i="2"/>
  <c r="Y19" i="2"/>
  <c r="Z19" i="2"/>
  <c r="AA19" i="2"/>
  <c r="V20" i="2"/>
  <c r="W20" i="2"/>
  <c r="BS20" i="2" s="1"/>
  <c r="X20" i="2"/>
  <c r="BF9" i="2" s="1"/>
  <c r="Y20" i="2"/>
  <c r="Z20" i="2"/>
  <c r="AA20" i="2"/>
  <c r="V21" i="2"/>
  <c r="W21" i="2"/>
  <c r="AB21" i="2" s="1"/>
  <c r="X21" i="2"/>
  <c r="AD21" i="2" s="1"/>
  <c r="Y21" i="2"/>
  <c r="Z21" i="2"/>
  <c r="AA21" i="2"/>
  <c r="V22" i="2"/>
  <c r="W22" i="2"/>
  <c r="AB22" i="2" s="1"/>
  <c r="X22" i="2"/>
  <c r="CA22" i="2" s="1"/>
  <c r="Y22" i="2"/>
  <c r="Z22" i="2"/>
  <c r="AA22" i="2"/>
  <c r="V23" i="2"/>
  <c r="W23" i="2"/>
  <c r="BE23" i="2" s="1"/>
  <c r="X23" i="2"/>
  <c r="AG23" i="2" s="1"/>
  <c r="Y23" i="2"/>
  <c r="Z23" i="2"/>
  <c r="AA23" i="2"/>
  <c r="V24" i="2"/>
  <c r="W24" i="2"/>
  <c r="AC24" i="2" s="1"/>
  <c r="X24" i="2"/>
  <c r="Y24" i="2"/>
  <c r="Z24" i="2"/>
  <c r="AA24" i="2"/>
  <c r="V25" i="2"/>
  <c r="W25" i="2"/>
  <c r="X25" i="2"/>
  <c r="AD25" i="2" s="1"/>
  <c r="Y25" i="2"/>
  <c r="Z25" i="2"/>
  <c r="AA25" i="2"/>
  <c r="V26" i="2"/>
  <c r="W26" i="2"/>
  <c r="AB26" i="2" s="1"/>
  <c r="BD26" i="2" s="1"/>
  <c r="X26" i="2"/>
  <c r="BZ7" i="2" s="1"/>
  <c r="Y26" i="2"/>
  <c r="BA11" i="2" s="1"/>
  <c r="Z26" i="2"/>
  <c r="AA26" i="2"/>
  <c r="V27" i="2"/>
  <c r="W27" i="2"/>
  <c r="BY27" i="2" s="1"/>
  <c r="X27" i="2"/>
  <c r="Y27" i="2"/>
  <c r="BC27" i="2" s="1"/>
  <c r="Z27" i="2"/>
  <c r="AA27" i="2"/>
  <c r="V28" i="2"/>
  <c r="W28" i="2"/>
  <c r="AB28" i="2" s="1"/>
  <c r="X28" i="2"/>
  <c r="BV28" i="2" s="1"/>
  <c r="Y28" i="2"/>
  <c r="Z28" i="2"/>
  <c r="AA28" i="2"/>
  <c r="V29" i="2"/>
  <c r="W29" i="2"/>
  <c r="AC29" i="2" s="1"/>
  <c r="X29" i="2"/>
  <c r="Y29" i="2"/>
  <c r="BC29" i="2" s="1"/>
  <c r="Z29" i="2"/>
  <c r="AA29" i="2"/>
  <c r="V30" i="2"/>
  <c r="W30" i="2"/>
  <c r="AB30" i="2" s="1"/>
  <c r="X30" i="2"/>
  <c r="BZ30" i="2" s="1"/>
  <c r="Y30" i="2"/>
  <c r="Z30" i="2"/>
  <c r="AA30" i="2"/>
  <c r="V31" i="2"/>
  <c r="W31" i="2"/>
  <c r="AB31" i="2" s="1"/>
  <c r="X31" i="2"/>
  <c r="BA8" i="2" s="1"/>
  <c r="Y31" i="2"/>
  <c r="Z31" i="2"/>
  <c r="AA31" i="2"/>
  <c r="AA15" i="2"/>
  <c r="W15" i="2"/>
  <c r="X15" i="2"/>
  <c r="Y15" i="2"/>
  <c r="Z15" i="2"/>
  <c r="V15" i="2"/>
  <c r="W5" i="2"/>
  <c r="W6" i="2"/>
  <c r="Z5" i="2" s="1"/>
  <c r="W7" i="2"/>
  <c r="W3" i="2"/>
  <c r="Z3" i="2" s="1"/>
  <c r="V4" i="2"/>
  <c r="V5" i="2"/>
  <c r="V6" i="2"/>
  <c r="V7" i="2"/>
  <c r="V3" i="2"/>
  <c r="AF27" i="2" l="1"/>
  <c r="BF27" i="2"/>
  <c r="AP27" i="2"/>
  <c r="BF29" i="2"/>
  <c r="AP29" i="2"/>
  <c r="BF21" i="2"/>
  <c r="AP21" i="2"/>
  <c r="BF31" i="2"/>
  <c r="AP31" i="2"/>
  <c r="BF23" i="2"/>
  <c r="AP23" i="2"/>
  <c r="BF28" i="2"/>
  <c r="AP28" i="2"/>
  <c r="BF24" i="2"/>
  <c r="AP24" i="2"/>
  <c r="BF20" i="2"/>
  <c r="AP20" i="2"/>
  <c r="BF16" i="2"/>
  <c r="AP16" i="2"/>
  <c r="BF25" i="2"/>
  <c r="AP25" i="2"/>
  <c r="BF22" i="2"/>
  <c r="AP22" i="2"/>
  <c r="BF18" i="2"/>
  <c r="AP18" i="2"/>
  <c r="BF30" i="2"/>
  <c r="AP30" i="2"/>
  <c r="CB26" i="2"/>
  <c r="AP26" i="2"/>
  <c r="BF19" i="2"/>
  <c r="AP19" i="2"/>
  <c r="BF17" i="2"/>
  <c r="AE13" i="2"/>
  <c r="Z4" i="2"/>
  <c r="AB7" i="2"/>
  <c r="AA7" i="2"/>
  <c r="Z7" i="2" s="1"/>
  <c r="BW25" i="2"/>
  <c r="BU25" i="2"/>
  <c r="BS30" i="2"/>
  <c r="BS16" i="2"/>
  <c r="BS17" i="2"/>
  <c r="BS21" i="2"/>
  <c r="BQ16" i="2"/>
  <c r="BQ24" i="2"/>
  <c r="BQ31" i="2"/>
  <c r="BQ23" i="2"/>
  <c r="BQ30" i="2"/>
  <c r="BQ22" i="2"/>
  <c r="BQ29" i="2"/>
  <c r="BQ21" i="2"/>
  <c r="BQ28" i="2"/>
  <c r="BQ20" i="2"/>
  <c r="BQ27" i="2"/>
  <c r="BQ19" i="2"/>
  <c r="BQ26" i="2"/>
  <c r="BQ18" i="2"/>
  <c r="BQ25" i="2"/>
  <c r="BQ17" i="2"/>
  <c r="BY23" i="2"/>
  <c r="BY24" i="2"/>
  <c r="BY28" i="2"/>
  <c r="BZ31" i="2"/>
  <c r="BW31" i="2"/>
  <c r="BU31" i="2" s="1"/>
  <c r="BY25" i="2"/>
  <c r="BY26" i="2"/>
  <c r="BD19" i="2"/>
  <c r="BZ25" i="2"/>
  <c r="BY29" i="2"/>
  <c r="BY19" i="2"/>
  <c r="BY30" i="2"/>
  <c r="BY22" i="2"/>
  <c r="BY31" i="2"/>
  <c r="BO7" i="2"/>
  <c r="BO9" i="2" s="1"/>
  <c r="AS12" i="2"/>
  <c r="AV16" i="2"/>
  <c r="AV26" i="2"/>
  <c r="AV24" i="2"/>
  <c r="AV18" i="2"/>
  <c r="AW16" i="2"/>
  <c r="AW26" i="2"/>
  <c r="AW24" i="2"/>
  <c r="AV29" i="2"/>
  <c r="AV21" i="2"/>
  <c r="AW29" i="2"/>
  <c r="AW21" i="2"/>
  <c r="AV28" i="2"/>
  <c r="AV20" i="2"/>
  <c r="AW28" i="2"/>
  <c r="AW20" i="2"/>
  <c r="AV27" i="2"/>
  <c r="AV19" i="2"/>
  <c r="AW27" i="2"/>
  <c r="AW19" i="2"/>
  <c r="AW18" i="2"/>
  <c r="AV25" i="2"/>
  <c r="AV17" i="2"/>
  <c r="AW25" i="2"/>
  <c r="AW17" i="2"/>
  <c r="AV31" i="2"/>
  <c r="AV23" i="2"/>
  <c r="AW31" i="2"/>
  <c r="AW23" i="2"/>
  <c r="AV30" i="2"/>
  <c r="AV22" i="2"/>
  <c r="AW30" i="2"/>
  <c r="AW22" i="2"/>
  <c r="AQ4" i="2"/>
  <c r="AC20" i="2"/>
  <c r="BC23" i="2"/>
  <c r="BE28" i="2"/>
  <c r="BE31" i="2"/>
  <c r="CA18" i="2"/>
  <c r="CA23" i="2"/>
  <c r="CA29" i="2"/>
  <c r="AC27" i="2"/>
  <c r="BE27" i="2"/>
  <c r="CA27" i="2"/>
  <c r="CA32" i="2"/>
  <c r="AC25" i="2"/>
  <c r="BE19" i="2"/>
  <c r="CC6" i="2"/>
  <c r="AC23" i="2"/>
  <c r="BO10" i="2"/>
  <c r="AC16" i="2"/>
  <c r="CC8" i="2"/>
  <c r="CC7" i="2"/>
  <c r="BN21" i="2"/>
  <c r="BN26" i="2"/>
  <c r="BM16" i="2"/>
  <c r="BN29" i="2"/>
  <c r="BM24" i="2"/>
  <c r="BN30" i="2"/>
  <c r="BN17" i="2"/>
  <c r="BN20" i="2"/>
  <c r="BM31" i="2"/>
  <c r="BM23" i="2"/>
  <c r="BM30" i="2"/>
  <c r="BM22" i="2"/>
  <c r="BM29" i="2"/>
  <c r="BM21" i="2"/>
  <c r="BM28" i="2"/>
  <c r="BM20" i="2"/>
  <c r="BM27" i="2"/>
  <c r="BM19" i="2"/>
  <c r="BM26" i="2"/>
  <c r="BM18" i="2"/>
  <c r="BM25" i="2"/>
  <c r="BM17" i="2"/>
  <c r="BF10" i="2"/>
  <c r="CB27" i="2"/>
  <c r="CB24" i="2"/>
  <c r="CB18" i="2"/>
  <c r="CC13" i="2"/>
  <c r="CC34" i="2" s="1"/>
  <c r="CB25" i="2"/>
  <c r="CB17" i="2"/>
  <c r="CB16" i="2"/>
  <c r="CB32" i="2" s="1"/>
  <c r="CB23" i="2"/>
  <c r="CB31" i="2"/>
  <c r="CB22" i="2"/>
  <c r="CB30" i="2"/>
  <c r="CB21" i="2"/>
  <c r="CB29" i="2"/>
  <c r="CB20" i="2"/>
  <c r="CB28" i="2"/>
  <c r="CB19" i="2"/>
  <c r="BD30" i="2"/>
  <c r="AE30" i="2"/>
  <c r="AI16" i="2"/>
  <c r="AI24" i="2"/>
  <c r="AI31" i="2"/>
  <c r="AI23" i="2"/>
  <c r="AI30" i="2"/>
  <c r="AI22" i="2"/>
  <c r="AI29" i="2"/>
  <c r="AI21" i="2"/>
  <c r="AI28" i="2"/>
  <c r="AI20" i="2"/>
  <c r="AI27" i="2"/>
  <c r="AI19" i="2"/>
  <c r="AI26" i="2"/>
  <c r="AI18" i="2"/>
  <c r="AI25" i="2"/>
  <c r="AI17" i="2"/>
  <c r="AH31" i="2"/>
  <c r="AH25" i="2"/>
  <c r="AH26" i="2"/>
  <c r="BD31" i="2"/>
  <c r="AH29" i="2"/>
  <c r="AH16" i="2"/>
  <c r="AH28" i="2"/>
  <c r="BD22" i="2"/>
  <c r="AH20" i="2"/>
  <c r="AH23" i="2"/>
  <c r="AH24" i="2"/>
  <c r="BD21" i="2"/>
  <c r="BD28" i="2"/>
  <c r="BD17" i="2"/>
  <c r="AE17" i="2"/>
  <c r="AE31" i="2"/>
  <c r="AE19" i="2"/>
  <c r="AB20" i="2"/>
  <c r="AB27" i="2"/>
  <c r="AE26" i="2"/>
  <c r="AB29" i="2"/>
  <c r="AB23" i="2"/>
  <c r="AB16" i="2"/>
  <c r="AB24" i="2"/>
  <c r="AE21" i="2"/>
  <c r="AB25" i="2"/>
  <c r="AB18" i="2"/>
  <c r="AC30" i="2"/>
  <c r="AC28" i="2"/>
  <c r="AC17" i="2"/>
  <c r="AC22" i="2"/>
  <c r="AC26" i="2"/>
  <c r="AC19" i="2"/>
  <c r="AD28" i="2"/>
  <c r="AE28" i="2" s="1"/>
  <c r="AC31" i="2"/>
  <c r="AC21" i="2"/>
  <c r="AD22" i="2"/>
  <c r="AE22" i="2" s="1"/>
  <c r="AH13" i="2" l="1"/>
  <c r="Z6" i="2"/>
  <c r="AU34" i="2" s="1"/>
  <c r="BR10" i="2"/>
  <c r="BQ10" i="2"/>
  <c r="BB8" i="2"/>
  <c r="BC8" i="2" s="1"/>
  <c r="AJ23" i="2"/>
  <c r="AJ24" i="2"/>
  <c r="AJ25" i="2"/>
  <c r="CC32" i="2"/>
  <c r="AM4" i="2"/>
  <c r="AJ26" i="2"/>
  <c r="CC30" i="2"/>
  <c r="CC20" i="2"/>
  <c r="CC17" i="2"/>
  <c r="CC29" i="2"/>
  <c r="CC25" i="2"/>
  <c r="CC23" i="2"/>
  <c r="CC16" i="2"/>
  <c r="CC26" i="2"/>
  <c r="CC21" i="2"/>
  <c r="CC22" i="2"/>
  <c r="CC18" i="2"/>
  <c r="CC19" i="2"/>
  <c r="CC31" i="2"/>
  <c r="CC24" i="2"/>
  <c r="CC28" i="2"/>
  <c r="CC27" i="2"/>
  <c r="AJ28" i="2"/>
  <c r="AJ21" i="2"/>
  <c r="AJ30" i="2"/>
  <c r="AJ18" i="2"/>
  <c r="AJ27" i="2"/>
  <c r="AJ22" i="2"/>
  <c r="AJ20" i="2"/>
  <c r="AJ31" i="2"/>
  <c r="AJ16" i="2"/>
  <c r="AJ19" i="2"/>
  <c r="AJ29" i="2"/>
  <c r="AJ17" i="2"/>
  <c r="AJ34" i="2"/>
  <c r="CD34" i="2" s="1"/>
  <c r="CE34" i="2" s="1"/>
  <c r="BD18" i="2"/>
  <c r="BD25" i="2"/>
  <c r="BD27" i="2"/>
  <c r="BD24" i="2"/>
  <c r="BD20" i="2"/>
  <c r="BD16" i="2"/>
  <c r="AJ33" i="2"/>
  <c r="BD23" i="2"/>
  <c r="AJ32" i="2"/>
  <c r="BD29" i="2"/>
  <c r="AE25" i="2"/>
  <c r="AE27" i="2"/>
  <c r="AE24" i="2"/>
  <c r="AE20" i="2"/>
  <c r="AE16" i="2"/>
  <c r="AE23" i="2"/>
  <c r="AE29" i="2"/>
  <c r="AE18" i="2"/>
  <c r="AS24" i="2" l="1"/>
  <c r="AT24" i="2" s="1"/>
  <c r="AS26" i="2"/>
  <c r="AT26" i="2" s="1"/>
  <c r="AS21" i="2"/>
  <c r="AS20" i="2"/>
  <c r="AT20" i="2" s="1"/>
  <c r="AS30" i="2"/>
  <c r="AS22" i="2"/>
  <c r="AT22" i="2" s="1"/>
  <c r="AS19" i="2"/>
  <c r="AT19" i="2" s="1"/>
  <c r="AS28" i="2"/>
  <c r="AS16" i="2"/>
  <c r="AT16" i="2" s="1"/>
  <c r="AS31" i="2"/>
  <c r="AS17" i="2"/>
  <c r="AS23" i="2"/>
  <c r="AT23" i="2" s="1"/>
  <c r="AS25" i="2"/>
  <c r="AT25" i="2" s="1"/>
  <c r="AS18" i="2"/>
  <c r="AT18" i="2" s="1"/>
  <c r="AS29" i="2"/>
  <c r="AT29" i="2" s="1"/>
  <c r="AS27" i="2"/>
  <c r="AF23" i="2"/>
  <c r="CF23" i="2" s="1"/>
  <c r="CG23" i="2" s="1"/>
  <c r="AF21" i="2"/>
  <c r="CF21" i="2" s="1"/>
  <c r="CG21" i="2" s="1"/>
  <c r="AF22" i="2"/>
  <c r="CF22" i="2" s="1"/>
  <c r="CI22" i="2" s="1"/>
  <c r="AF16" i="2"/>
  <c r="CF32" i="2" s="1"/>
  <c r="AF20" i="2"/>
  <c r="AF31" i="2"/>
  <c r="CF31" i="2" s="1"/>
  <c r="CI31" i="2" s="1"/>
  <c r="AF29" i="2"/>
  <c r="CF29" i="2" s="1"/>
  <c r="CX29" i="2" s="1"/>
  <c r="AF19" i="2"/>
  <c r="CF19" i="2" s="1"/>
  <c r="CG19" i="2" s="1"/>
  <c r="AF34" i="2"/>
  <c r="CF34" i="2" s="1"/>
  <c r="CG34" i="2" s="1"/>
  <c r="AF26" i="2"/>
  <c r="AH12" i="2" s="1"/>
  <c r="AQ26" i="2" s="1"/>
  <c r="AR26" i="2" s="1"/>
  <c r="AF17" i="2"/>
  <c r="AF25" i="2"/>
  <c r="CF25" i="2" s="1"/>
  <c r="CG25" i="2" s="1"/>
  <c r="AF28" i="2"/>
  <c r="CF28" i="2" s="1"/>
  <c r="CI28" i="2" s="1"/>
  <c r="AF24" i="2"/>
  <c r="CF24" i="2" s="1"/>
  <c r="CG24" i="2" s="1"/>
  <c r="AF18" i="2"/>
  <c r="AF30" i="2"/>
  <c r="CD31" i="2"/>
  <c r="CE31" i="2" s="1"/>
  <c r="CD17" i="2"/>
  <c r="CE17" i="2" s="1"/>
  <c r="CD22" i="2"/>
  <c r="CE22" i="2" s="1"/>
  <c r="CD26" i="2"/>
  <c r="CE26" i="2" s="1"/>
  <c r="CD20" i="2"/>
  <c r="CE20" i="2" s="1"/>
  <c r="CD29" i="2"/>
  <c r="CE29" i="2" s="1"/>
  <c r="CD27" i="2"/>
  <c r="CE27" i="2" s="1"/>
  <c r="CD24" i="2"/>
  <c r="CE24" i="2" s="1"/>
  <c r="CD18" i="2"/>
  <c r="CE18" i="2" s="1"/>
  <c r="CD25" i="2"/>
  <c r="CE25" i="2" s="1"/>
  <c r="CD30" i="2"/>
  <c r="CE30" i="2" s="1"/>
  <c r="CD21" i="2"/>
  <c r="CE21" i="2" s="1"/>
  <c r="CD23" i="2"/>
  <c r="CE23" i="2" s="1"/>
  <c r="CD19" i="2"/>
  <c r="CE19" i="2" s="1"/>
  <c r="CD16" i="2"/>
  <c r="CD32" i="2" s="1"/>
  <c r="CD28" i="2"/>
  <c r="CE28" i="2" s="1"/>
  <c r="AX34" i="2"/>
  <c r="AY34" i="2" s="1"/>
  <c r="AN4" i="2"/>
  <c r="AO4" i="2"/>
  <c r="BG29" i="2"/>
  <c r="BL29" i="2"/>
  <c r="BG24" i="2"/>
  <c r="BL24" i="2"/>
  <c r="AQ20" i="2" l="1"/>
  <c r="AR20" i="2" s="1"/>
  <c r="AQ21" i="2"/>
  <c r="AQ31" i="2"/>
  <c r="AQ17" i="2"/>
  <c r="AQ18" i="2"/>
  <c r="AR18" i="2" s="1"/>
  <c r="AQ25" i="2"/>
  <c r="AR25" i="2" s="1"/>
  <c r="AQ22" i="2"/>
  <c r="AR22" i="2" s="1"/>
  <c r="AQ24" i="2"/>
  <c r="AR24" i="2" s="1"/>
  <c r="AQ30" i="2"/>
  <c r="AQ29" i="2"/>
  <c r="AR29" i="2" s="1"/>
  <c r="AQ16" i="2"/>
  <c r="AR16" i="2" s="1"/>
  <c r="AQ23" i="2"/>
  <c r="AR23" i="2" s="1"/>
  <c r="AQ28" i="2"/>
  <c r="AQ27" i="2"/>
  <c r="AQ19" i="2"/>
  <c r="CF18" i="2"/>
  <c r="CI18" i="2" s="1"/>
  <c r="CJ18" i="2" s="1"/>
  <c r="CF20" i="2"/>
  <c r="CG20" i="2" s="1"/>
  <c r="CF17" i="2"/>
  <c r="CG17" i="2" s="1"/>
  <c r="CF26" i="2"/>
  <c r="CI26" i="2" s="1"/>
  <c r="CJ26" i="2" s="1"/>
  <c r="CF30" i="2"/>
  <c r="CG30" i="2" s="1"/>
  <c r="CF27" i="2"/>
  <c r="CG27" i="2" s="1"/>
  <c r="CF16" i="2"/>
  <c r="CG16" i="2" s="1"/>
  <c r="AH11" i="2"/>
  <c r="BG8" i="2"/>
  <c r="BI8" i="2" s="1"/>
  <c r="BG9" i="2"/>
  <c r="BI9" i="2" s="1"/>
  <c r="AH10" i="2"/>
  <c r="AL16" i="2" s="1"/>
  <c r="BG10" i="2"/>
  <c r="BI10" i="2" s="1"/>
  <c r="CI19" i="2"/>
  <c r="CJ19" i="2" s="1"/>
  <c r="AT4" i="2"/>
  <c r="AZ8" i="2" s="1"/>
  <c r="BD8" i="2" s="1"/>
  <c r="AK31" i="2" s="1"/>
  <c r="AS4" i="2"/>
  <c r="CI23" i="2"/>
  <c r="CJ23" i="2" s="1"/>
  <c r="CG29" i="2"/>
  <c r="CG22" i="2"/>
  <c r="DP29" i="2"/>
  <c r="DQ29" i="2" s="1"/>
  <c r="DS29" i="2"/>
  <c r="DT29" i="2" s="1"/>
  <c r="DJ29" i="2"/>
  <c r="DK29" i="2" s="1"/>
  <c r="DM29" i="2"/>
  <c r="DN29" i="2" s="1"/>
  <c r="CU29" i="2"/>
  <c r="CV29" i="2" s="1"/>
  <c r="CL29" i="2"/>
  <c r="CM29" i="2" s="1"/>
  <c r="CI29" i="2"/>
  <c r="CJ29" i="2" s="1"/>
  <c r="CO29" i="2"/>
  <c r="CP29" i="2" s="1"/>
  <c r="CR29" i="2"/>
  <c r="CS29" i="2" s="1"/>
  <c r="DV29" i="2"/>
  <c r="DW29" i="2" s="1"/>
  <c r="DD29" i="2"/>
  <c r="DE29" i="2" s="1"/>
  <c r="DA29" i="2"/>
  <c r="DB29" i="2" s="1"/>
  <c r="CI24" i="2"/>
  <c r="CJ24" i="2" s="1"/>
  <c r="DG29" i="2"/>
  <c r="DH29" i="2" s="1"/>
  <c r="CE16" i="2"/>
  <c r="CE32" i="2" s="1"/>
  <c r="CJ31" i="2"/>
  <c r="CG31" i="2"/>
  <c r="CG28" i="2"/>
  <c r="AM8" i="2"/>
  <c r="BH34" i="2"/>
  <c r="BI34" i="2" s="1"/>
  <c r="BJ34" i="2" s="1"/>
  <c r="AZ34" i="2"/>
  <c r="BA34" i="2" s="1"/>
  <c r="CI25" i="2"/>
  <c r="CJ25" i="2" s="1"/>
  <c r="CY29" i="2"/>
  <c r="CI32" i="2"/>
  <c r="CG32" i="2"/>
  <c r="CJ28" i="2"/>
  <c r="CI21" i="2"/>
  <c r="CJ21" i="2" s="1"/>
  <c r="CJ22" i="2"/>
  <c r="AN24" i="2" l="1"/>
  <c r="AO24" i="2" s="1"/>
  <c r="AN26" i="2"/>
  <c r="AL26" i="2"/>
  <c r="CG26" i="2"/>
  <c r="CI17" i="2"/>
  <c r="CJ17" i="2" s="1"/>
  <c r="CI27" i="2"/>
  <c r="CJ27" i="2" s="1"/>
  <c r="CG18" i="2"/>
  <c r="CI30" i="2"/>
  <c r="CJ30" i="2" s="1"/>
  <c r="AN16" i="2"/>
  <c r="CI20" i="2"/>
  <c r="CJ20" i="2" s="1"/>
  <c r="CI16" i="2"/>
  <c r="CJ16" i="2" s="1"/>
  <c r="AN17" i="2"/>
  <c r="AL24" i="2"/>
  <c r="AM24" i="2" s="1"/>
  <c r="AL25" i="2"/>
  <c r="AM25" i="2" s="1"/>
  <c r="AL23" i="2"/>
  <c r="AM23" i="2" s="1"/>
  <c r="AL20" i="2"/>
  <c r="AM20" i="2" s="1"/>
  <c r="AL29" i="2"/>
  <c r="AM29" i="2" s="1"/>
  <c r="AL30" i="2"/>
  <c r="AL17" i="2"/>
  <c r="AL21" i="2"/>
  <c r="AL22" i="2"/>
  <c r="AL31" i="2"/>
  <c r="AM31" i="2" s="1"/>
  <c r="AL18" i="2"/>
  <c r="AM18" i="2" s="1"/>
  <c r="AL28" i="2"/>
  <c r="AL27" i="2"/>
  <c r="AL19" i="2"/>
  <c r="AK28" i="2"/>
  <c r="AN27" i="2"/>
  <c r="AN23" i="2"/>
  <c r="AN22" i="2"/>
  <c r="AN19" i="2"/>
  <c r="BY10" i="2"/>
  <c r="AK26" i="2"/>
  <c r="AK21" i="2"/>
  <c r="AN21" i="2"/>
  <c r="AN31" i="2"/>
  <c r="AN28" i="2"/>
  <c r="AK24" i="2"/>
  <c r="AU4" i="2"/>
  <c r="AU12" i="2" s="1"/>
  <c r="AN30" i="2"/>
  <c r="AN20" i="2"/>
  <c r="AN29" i="2"/>
  <c r="AN25" i="2"/>
  <c r="AK20" i="2"/>
  <c r="AK22" i="2"/>
  <c r="AK18" i="2"/>
  <c r="AK23" i="2"/>
  <c r="AK17" i="2"/>
  <c r="AK29" i="2"/>
  <c r="AN18" i="2"/>
  <c r="AK19" i="2"/>
  <c r="AI13" i="2" s="1"/>
  <c r="AK27" i="2"/>
  <c r="AK16" i="2"/>
  <c r="AK25" i="2"/>
  <c r="AK30" i="2"/>
  <c r="BJ8" i="2"/>
  <c r="BL4" i="2" s="1"/>
  <c r="CJ32" i="2"/>
  <c r="AO8" i="2"/>
  <c r="AS8" i="2" s="1"/>
  <c r="CG13" i="2" l="1"/>
  <c r="K7" i="1" s="1"/>
  <c r="AI12" i="2"/>
  <c r="AR17" i="2" s="1"/>
  <c r="AI11" i="2"/>
  <c r="AO19" i="2" s="1"/>
  <c r="AT30" i="2"/>
  <c r="AT28" i="2"/>
  <c r="AT31" i="2"/>
  <c r="AT17" i="2"/>
  <c r="AT27" i="2"/>
  <c r="AT21" i="2"/>
  <c r="AU24" i="2"/>
  <c r="AR21" i="2"/>
  <c r="AO17" i="2"/>
  <c r="AO29" i="2"/>
  <c r="AU29" i="2" s="1"/>
  <c r="AO20" i="2"/>
  <c r="AU20" i="2" s="1"/>
  <c r="AO22" i="2"/>
  <c r="AO23" i="2"/>
  <c r="AU23" i="2" s="1"/>
  <c r="AO25" i="2"/>
  <c r="AU25" i="2" s="1"/>
  <c r="AO18" i="2"/>
  <c r="AU18" i="2" s="1"/>
  <c r="AN12" i="2"/>
  <c r="AI10" i="2"/>
  <c r="AM26" i="2" s="1"/>
  <c r="CL12" i="2"/>
  <c r="CL4" i="2" s="1"/>
  <c r="CL13" i="2"/>
  <c r="CL14" i="2"/>
  <c r="CL10" i="2" s="1"/>
  <c r="CL6" i="2" s="1"/>
  <c r="CL11" i="2"/>
  <c r="AX28" i="2"/>
  <c r="AM22" i="2" l="1"/>
  <c r="AU22" i="2" s="1"/>
  <c r="AO26" i="2"/>
  <c r="AU26" i="2" s="1"/>
  <c r="AR31" i="2"/>
  <c r="AR19" i="2"/>
  <c r="AR30" i="2"/>
  <c r="AO30" i="2"/>
  <c r="AM28" i="2"/>
  <c r="AM16" i="2"/>
  <c r="AO16" i="2"/>
  <c r="AO31" i="2"/>
  <c r="AO27" i="2"/>
  <c r="AR28" i="2"/>
  <c r="AR27" i="2"/>
  <c r="AO28" i="2"/>
  <c r="AO21" i="2"/>
  <c r="AM21" i="2"/>
  <c r="AM30" i="2"/>
  <c r="AM27" i="2"/>
  <c r="AM19" i="2"/>
  <c r="AM17" i="2"/>
  <c r="AU17" i="2" s="1"/>
  <c r="CL5" i="2"/>
  <c r="CK23" i="2"/>
  <c r="CL23" i="2" s="1"/>
  <c r="CM23" i="2" s="1"/>
  <c r="CK29" i="2"/>
  <c r="CK30" i="2"/>
  <c r="CL30" i="2" s="1"/>
  <c r="CM30" i="2" s="1"/>
  <c r="CK20" i="2"/>
  <c r="CL20" i="2" s="1"/>
  <c r="CM20" i="2" s="1"/>
  <c r="CK24" i="2"/>
  <c r="CL24" i="2" s="1"/>
  <c r="CM24" i="2" s="1"/>
  <c r="CK27" i="2"/>
  <c r="CL27" i="2" s="1"/>
  <c r="CM27" i="2" s="1"/>
  <c r="CK32" i="2"/>
  <c r="CL32" i="2" s="1"/>
  <c r="CM32" i="2" s="1"/>
  <c r="CK16" i="2"/>
  <c r="CL16" i="2" s="1"/>
  <c r="CM16" i="2" s="1"/>
  <c r="CK31" i="2"/>
  <c r="CL31" i="2" s="1"/>
  <c r="CM31" i="2" s="1"/>
  <c r="CK25" i="2"/>
  <c r="CL25" i="2" s="1"/>
  <c r="CM25" i="2" s="1"/>
  <c r="CK19" i="2"/>
  <c r="CL19" i="2" s="1"/>
  <c r="CM19" i="2" s="1"/>
  <c r="CK17" i="2"/>
  <c r="CL17" i="2" s="1"/>
  <c r="CM17" i="2" s="1"/>
  <c r="CK26" i="2"/>
  <c r="CL26" i="2" s="1"/>
  <c r="CM26" i="2" s="1"/>
  <c r="CK21" i="2"/>
  <c r="CL21" i="2" s="1"/>
  <c r="CM21" i="2" s="1"/>
  <c r="CK28" i="2"/>
  <c r="CL28" i="2" s="1"/>
  <c r="CM28" i="2" s="1"/>
  <c r="CK22" i="2"/>
  <c r="CL22" i="2" s="1"/>
  <c r="CM22" i="2" s="1"/>
  <c r="CK18" i="2"/>
  <c r="CL18" i="2" s="1"/>
  <c r="CM18" i="2" s="1"/>
  <c r="AU19" i="2" l="1"/>
  <c r="AU31" i="2"/>
  <c r="AU27" i="2"/>
  <c r="AU28" i="2"/>
  <c r="AY28" i="2" s="1"/>
  <c r="BF4" i="2" s="1"/>
  <c r="BI4" i="2" s="1"/>
  <c r="AU30" i="2"/>
  <c r="AU16" i="2"/>
  <c r="AU21" i="2"/>
  <c r="CO11" i="2"/>
  <c r="CO14" i="2"/>
  <c r="CL9" i="2"/>
  <c r="CL8" i="2" s="1"/>
  <c r="CO13" i="2"/>
  <c r="AZ28" i="2" l="1"/>
  <c r="BA28" i="2" s="1"/>
  <c r="CN25" i="2"/>
  <c r="CO25" i="2" s="1"/>
  <c r="CP25" i="2" s="1"/>
  <c r="CN29" i="2"/>
  <c r="CN27" i="2"/>
  <c r="CO27" i="2" s="1"/>
  <c r="CP27" i="2" s="1"/>
  <c r="CN17" i="2"/>
  <c r="CO17" i="2" s="1"/>
  <c r="CP17" i="2" s="1"/>
  <c r="CN18" i="2"/>
  <c r="CO18" i="2" s="1"/>
  <c r="CP18" i="2" s="1"/>
  <c r="CO12" i="2"/>
  <c r="CO10" i="2"/>
  <c r="CO6" i="2" s="1"/>
  <c r="CN21" i="2"/>
  <c r="CO21" i="2" s="1"/>
  <c r="CP21" i="2" s="1"/>
  <c r="CN20" i="2"/>
  <c r="CO20" i="2" s="1"/>
  <c r="CP20" i="2" s="1"/>
  <c r="CN23" i="2"/>
  <c r="CO23" i="2" s="1"/>
  <c r="CP23" i="2" s="1"/>
  <c r="CN31" i="2"/>
  <c r="CO31" i="2" s="1"/>
  <c r="CP31" i="2" s="1"/>
  <c r="CN32" i="2"/>
  <c r="CO32" i="2" s="1"/>
  <c r="CP32" i="2" s="1"/>
  <c r="CN28" i="2"/>
  <c r="CO28" i="2" s="1"/>
  <c r="CP28" i="2" s="1"/>
  <c r="CN19" i="2"/>
  <c r="CO19" i="2" s="1"/>
  <c r="CP19" i="2" s="1"/>
  <c r="CN30" i="2"/>
  <c r="CO30" i="2" s="1"/>
  <c r="CP30" i="2" s="1"/>
  <c r="CN24" i="2"/>
  <c r="CO24" i="2" s="1"/>
  <c r="CP24" i="2" s="1"/>
  <c r="CN16" i="2"/>
  <c r="CO16" i="2" s="1"/>
  <c r="CP16" i="2" s="1"/>
  <c r="CN26" i="2"/>
  <c r="CO26" i="2" s="1"/>
  <c r="CP26" i="2" s="1"/>
  <c r="CN22" i="2"/>
  <c r="CO22" i="2" s="1"/>
  <c r="CP22" i="2" s="1"/>
  <c r="CO9" i="2" l="1"/>
  <c r="CO8" i="2" s="1"/>
  <c r="CR11" i="2"/>
  <c r="CR13" i="2"/>
  <c r="CR14" i="2"/>
  <c r="CR10" i="2" s="1"/>
  <c r="CR6" i="2" s="1"/>
  <c r="CO4" i="2"/>
  <c r="CO5" i="2"/>
  <c r="CR12" i="2" l="1"/>
  <c r="CR4" i="2" s="1"/>
  <c r="CQ30" i="2"/>
  <c r="CR30" i="2" s="1"/>
  <c r="CS30" i="2" s="1"/>
  <c r="CQ26" i="2"/>
  <c r="CR26" i="2" s="1"/>
  <c r="CS26" i="2" s="1"/>
  <c r="CQ21" i="2"/>
  <c r="CR21" i="2" s="1"/>
  <c r="CS21" i="2" s="1"/>
  <c r="CQ18" i="2"/>
  <c r="CR18" i="2" s="1"/>
  <c r="CS18" i="2" s="1"/>
  <c r="CQ29" i="2"/>
  <c r="CQ25" i="2"/>
  <c r="CR25" i="2" s="1"/>
  <c r="CS25" i="2" s="1"/>
  <c r="CQ24" i="2"/>
  <c r="CR24" i="2" s="1"/>
  <c r="CS24" i="2" s="1"/>
  <c r="CQ20" i="2"/>
  <c r="CR20" i="2" s="1"/>
  <c r="CS20" i="2" s="1"/>
  <c r="CQ23" i="2"/>
  <c r="CR23" i="2" s="1"/>
  <c r="CS23" i="2" s="1"/>
  <c r="CQ16" i="2"/>
  <c r="CR16" i="2" s="1"/>
  <c r="CS16" i="2" s="1"/>
  <c r="CQ27" i="2"/>
  <c r="CR27" i="2" s="1"/>
  <c r="CS27" i="2" s="1"/>
  <c r="CQ28" i="2"/>
  <c r="CR28" i="2" s="1"/>
  <c r="CS28" i="2" s="1"/>
  <c r="CQ31" i="2"/>
  <c r="CR31" i="2" s="1"/>
  <c r="CS31" i="2" s="1"/>
  <c r="CQ19" i="2"/>
  <c r="CR19" i="2" s="1"/>
  <c r="CS19" i="2" s="1"/>
  <c r="CQ17" i="2"/>
  <c r="CR17" i="2" s="1"/>
  <c r="CS17" i="2" s="1"/>
  <c r="CQ32" i="2"/>
  <c r="CR32" i="2" s="1"/>
  <c r="CS32" i="2" s="1"/>
  <c r="CQ22" i="2"/>
  <c r="CR22" i="2" s="1"/>
  <c r="CS22" i="2" s="1"/>
  <c r="CR5" i="2"/>
  <c r="CR9" i="2" l="1"/>
  <c r="CR8" i="2" s="1"/>
  <c r="CU14" i="2"/>
  <c r="CU10" i="2" s="1"/>
  <c r="CU13" i="2"/>
  <c r="CU11" i="2"/>
  <c r="CT24" i="2" l="1"/>
  <c r="CU24" i="2" s="1"/>
  <c r="CV24" i="2" s="1"/>
  <c r="CT22" i="2"/>
  <c r="CU22" i="2" s="1"/>
  <c r="CV22" i="2" s="1"/>
  <c r="CT18" i="2"/>
  <c r="CU18" i="2" s="1"/>
  <c r="CV18" i="2" s="1"/>
  <c r="CT17" i="2"/>
  <c r="CU17" i="2" s="1"/>
  <c r="CV17" i="2" s="1"/>
  <c r="CT16" i="2"/>
  <c r="CU16" i="2" s="1"/>
  <c r="CV16" i="2" s="1"/>
  <c r="CT25" i="2"/>
  <c r="CU25" i="2" s="1"/>
  <c r="CV25" i="2" s="1"/>
  <c r="CT26" i="2"/>
  <c r="CU26" i="2" s="1"/>
  <c r="CV26" i="2" s="1"/>
  <c r="CT19" i="2"/>
  <c r="CU19" i="2" s="1"/>
  <c r="CV19" i="2" s="1"/>
  <c r="CT20" i="2"/>
  <c r="CU20" i="2" s="1"/>
  <c r="CV20" i="2" s="1"/>
  <c r="CT32" i="2"/>
  <c r="CU32" i="2" s="1"/>
  <c r="CV32" i="2" s="1"/>
  <c r="CT31" i="2"/>
  <c r="CU31" i="2" s="1"/>
  <c r="CV31" i="2" s="1"/>
  <c r="CT21" i="2"/>
  <c r="CU21" i="2" s="1"/>
  <c r="CV21" i="2" s="1"/>
  <c r="CT28" i="2"/>
  <c r="CU28" i="2" s="1"/>
  <c r="CV28" i="2" s="1"/>
  <c r="CU6" i="2"/>
  <c r="CT29" i="2"/>
  <c r="CT23" i="2"/>
  <c r="CU23" i="2" s="1"/>
  <c r="CV23" i="2" s="1"/>
  <c r="CT27" i="2"/>
  <c r="CU27" i="2" s="1"/>
  <c r="CV27" i="2" s="1"/>
  <c r="CT30" i="2"/>
  <c r="CU30" i="2" s="1"/>
  <c r="CV30" i="2" s="1"/>
  <c r="CU5" i="2" l="1"/>
  <c r="CX14" i="2"/>
  <c r="CX10" i="2" s="1"/>
  <c r="CX11" i="2"/>
  <c r="CX13" i="2"/>
  <c r="CU9" i="2"/>
  <c r="CU8" i="2" l="1"/>
  <c r="CW32" i="2" s="1"/>
  <c r="CX32" i="2" s="1"/>
  <c r="CY32" i="2" s="1"/>
  <c r="CX12" i="2"/>
  <c r="CU12" i="2"/>
  <c r="CU4" i="2" s="1"/>
  <c r="CW19" i="2"/>
  <c r="CX19" i="2" s="1"/>
  <c r="CY19" i="2" s="1"/>
  <c r="CW26" i="2"/>
  <c r="CX26" i="2" s="1"/>
  <c r="CY26" i="2" s="1"/>
  <c r="CW24" i="2"/>
  <c r="CX24" i="2" s="1"/>
  <c r="CY24" i="2" s="1"/>
  <c r="CW25" i="2"/>
  <c r="CX25" i="2" s="1"/>
  <c r="CY25" i="2" s="1"/>
  <c r="CW29" i="2"/>
  <c r="CW18" i="2"/>
  <c r="CX18" i="2" s="1"/>
  <c r="CY18" i="2" s="1"/>
  <c r="CX6" i="2"/>
  <c r="CW23" i="2"/>
  <c r="CX23" i="2" s="1"/>
  <c r="CY23" i="2" s="1"/>
  <c r="CW16" i="2" l="1"/>
  <c r="CX16" i="2" s="1"/>
  <c r="CY16" i="2" s="1"/>
  <c r="CW31" i="2"/>
  <c r="CX31" i="2" s="1"/>
  <c r="CY31" i="2" s="1"/>
  <c r="CW20" i="2"/>
  <c r="CX20" i="2" s="1"/>
  <c r="CY20" i="2" s="1"/>
  <c r="CW17" i="2"/>
  <c r="CX17" i="2" s="1"/>
  <c r="CY17" i="2" s="1"/>
  <c r="CW28" i="2"/>
  <c r="CX28" i="2" s="1"/>
  <c r="CY28" i="2" s="1"/>
  <c r="CW21" i="2"/>
  <c r="CX21" i="2" s="1"/>
  <c r="CY21" i="2" s="1"/>
  <c r="CW27" i="2"/>
  <c r="CX27" i="2" s="1"/>
  <c r="CY27" i="2" s="1"/>
  <c r="CW30" i="2"/>
  <c r="CX30" i="2" s="1"/>
  <c r="CY30" i="2" s="1"/>
  <c r="CW22" i="2"/>
  <c r="CX22" i="2" s="1"/>
  <c r="CY22" i="2" s="1"/>
  <c r="CX4" i="2"/>
  <c r="CX5" i="2"/>
  <c r="CX9" i="2" l="1"/>
  <c r="CX8" i="2" s="1"/>
  <c r="DA14" i="2"/>
  <c r="DA10" i="2" s="1"/>
  <c r="DA6" i="2" s="1"/>
  <c r="DA11" i="2"/>
  <c r="DA13" i="2"/>
  <c r="CZ31" i="2" l="1"/>
  <c r="DA31" i="2" s="1"/>
  <c r="DB31" i="2" s="1"/>
  <c r="DA12" i="2"/>
  <c r="DA4" i="2" s="1"/>
  <c r="CZ23" i="2"/>
  <c r="DA23" i="2" s="1"/>
  <c r="DB23" i="2" s="1"/>
  <c r="CZ27" i="2"/>
  <c r="DA27" i="2" s="1"/>
  <c r="DB27" i="2" s="1"/>
  <c r="CZ18" i="2"/>
  <c r="DA18" i="2" s="1"/>
  <c r="DB18" i="2" s="1"/>
  <c r="CZ24" i="2"/>
  <c r="DA24" i="2" s="1"/>
  <c r="DB24" i="2" s="1"/>
  <c r="CZ32" i="2"/>
  <c r="DA32" i="2" s="1"/>
  <c r="DB32" i="2" s="1"/>
  <c r="CZ20" i="2"/>
  <c r="DA20" i="2" s="1"/>
  <c r="DB20" i="2" s="1"/>
  <c r="CZ19" i="2"/>
  <c r="DA19" i="2" s="1"/>
  <c r="DB19" i="2" s="1"/>
  <c r="CZ26" i="2"/>
  <c r="DA26" i="2" s="1"/>
  <c r="DB26" i="2" s="1"/>
  <c r="CZ16" i="2"/>
  <c r="DA16" i="2" s="1"/>
  <c r="DB16" i="2" s="1"/>
  <c r="CZ25" i="2"/>
  <c r="DA25" i="2" s="1"/>
  <c r="DB25" i="2" s="1"/>
  <c r="CZ29" i="2"/>
  <c r="CZ22" i="2"/>
  <c r="DA22" i="2" s="1"/>
  <c r="DB22" i="2" s="1"/>
  <c r="CZ30" i="2"/>
  <c r="DA30" i="2" s="1"/>
  <c r="DB30" i="2" s="1"/>
  <c r="CZ17" i="2"/>
  <c r="DA17" i="2" s="1"/>
  <c r="DB17" i="2" s="1"/>
  <c r="CZ28" i="2"/>
  <c r="DA28" i="2" s="1"/>
  <c r="DB28" i="2" s="1"/>
  <c r="CZ21" i="2"/>
  <c r="DA21" i="2" s="1"/>
  <c r="DB21" i="2" s="1"/>
  <c r="DA5" i="2"/>
  <c r="DD13" i="2" l="1"/>
  <c r="DD11" i="2"/>
  <c r="DA9" i="2"/>
  <c r="DA8" i="2" s="1"/>
  <c r="DD14" i="2"/>
  <c r="DD10" i="2" s="1"/>
  <c r="DD6" i="2" s="1"/>
  <c r="DC19" i="2" l="1"/>
  <c r="DD19" i="2" s="1"/>
  <c r="DE19" i="2" s="1"/>
  <c r="DC20" i="2"/>
  <c r="DD20" i="2" s="1"/>
  <c r="DE20" i="2" s="1"/>
  <c r="DC23" i="2"/>
  <c r="DD23" i="2" s="1"/>
  <c r="DE23" i="2" s="1"/>
  <c r="DC30" i="2"/>
  <c r="DD30" i="2" s="1"/>
  <c r="DE30" i="2" s="1"/>
  <c r="DC31" i="2"/>
  <c r="DD31" i="2" s="1"/>
  <c r="DE31" i="2" s="1"/>
  <c r="DC32" i="2"/>
  <c r="DD32" i="2" s="1"/>
  <c r="DE32" i="2" s="1"/>
  <c r="DC25" i="2"/>
  <c r="DD25" i="2" s="1"/>
  <c r="DE25" i="2" s="1"/>
  <c r="DC22" i="2"/>
  <c r="DD22" i="2" s="1"/>
  <c r="DE22" i="2" s="1"/>
  <c r="DC26" i="2"/>
  <c r="DD26" i="2" s="1"/>
  <c r="DE26" i="2" s="1"/>
  <c r="DC21" i="2"/>
  <c r="DD21" i="2" s="1"/>
  <c r="DE21" i="2" s="1"/>
  <c r="DC18" i="2"/>
  <c r="DD18" i="2" s="1"/>
  <c r="DE18" i="2" s="1"/>
  <c r="DC29" i="2"/>
  <c r="DC16" i="2"/>
  <c r="DD16" i="2" s="1"/>
  <c r="DE16" i="2" s="1"/>
  <c r="DC17" i="2"/>
  <c r="DD17" i="2" s="1"/>
  <c r="DE17" i="2" s="1"/>
  <c r="DD12" i="2"/>
  <c r="DD4" i="2" s="1"/>
  <c r="DC27" i="2"/>
  <c r="DD27" i="2" s="1"/>
  <c r="DE27" i="2" s="1"/>
  <c r="DC24" i="2"/>
  <c r="DD24" i="2" s="1"/>
  <c r="DE24" i="2" s="1"/>
  <c r="DC28" i="2"/>
  <c r="DD28" i="2" s="1"/>
  <c r="DE28" i="2" s="1"/>
  <c r="DD5" i="2"/>
  <c r="DD9" i="2" l="1"/>
  <c r="DD8" i="2" s="1"/>
  <c r="DG13" i="2"/>
  <c r="DG11" i="2"/>
  <c r="DG14" i="2"/>
  <c r="DG10" i="2" s="1"/>
  <c r="DG6" i="2" s="1"/>
  <c r="DF23" i="2" l="1"/>
  <c r="DG23" i="2" s="1"/>
  <c r="DH23" i="2" s="1"/>
  <c r="DF18" i="2"/>
  <c r="DG18" i="2" s="1"/>
  <c r="DH18" i="2" s="1"/>
  <c r="DF27" i="2"/>
  <c r="DG27" i="2" s="1"/>
  <c r="DH27" i="2" s="1"/>
  <c r="DF24" i="2"/>
  <c r="DG24" i="2" s="1"/>
  <c r="DH24" i="2" s="1"/>
  <c r="DF29" i="2"/>
  <c r="DF16" i="2"/>
  <c r="DG16" i="2" s="1"/>
  <c r="DH16" i="2" s="1"/>
  <c r="DF30" i="2"/>
  <c r="DG30" i="2" s="1"/>
  <c r="DH30" i="2" s="1"/>
  <c r="DF22" i="2"/>
  <c r="DG22" i="2" s="1"/>
  <c r="DH22" i="2" s="1"/>
  <c r="DF32" i="2"/>
  <c r="DG32" i="2" s="1"/>
  <c r="DH32" i="2" s="1"/>
  <c r="DG12" i="2"/>
  <c r="DG4" i="2" s="1"/>
  <c r="DF28" i="2"/>
  <c r="DG28" i="2" s="1"/>
  <c r="DH28" i="2" s="1"/>
  <c r="DF17" i="2"/>
  <c r="DG17" i="2" s="1"/>
  <c r="DH17" i="2" s="1"/>
  <c r="DF20" i="2"/>
  <c r="DG20" i="2" s="1"/>
  <c r="DH20" i="2" s="1"/>
  <c r="DF21" i="2"/>
  <c r="DG21" i="2" s="1"/>
  <c r="DH21" i="2" s="1"/>
  <c r="DF25" i="2"/>
  <c r="DG25" i="2" s="1"/>
  <c r="DH25" i="2" s="1"/>
  <c r="DF31" i="2"/>
  <c r="DG31" i="2" s="1"/>
  <c r="DH31" i="2" s="1"/>
  <c r="DF19" i="2"/>
  <c r="DG19" i="2" s="1"/>
  <c r="DH19" i="2" s="1"/>
  <c r="DF26" i="2"/>
  <c r="DG26" i="2" s="1"/>
  <c r="DH26" i="2" s="1"/>
  <c r="DG5" i="2"/>
  <c r="DJ13" i="2" l="1"/>
  <c r="DJ11" i="2"/>
  <c r="DJ14" i="2"/>
  <c r="DJ10" i="2" s="1"/>
  <c r="DG9" i="2"/>
  <c r="DJ12" i="2" s="1"/>
  <c r="DI26" i="2" l="1"/>
  <c r="DJ26" i="2" s="1"/>
  <c r="DK26" i="2" s="1"/>
  <c r="DI24" i="2"/>
  <c r="DJ24" i="2" s="1"/>
  <c r="DK24" i="2" s="1"/>
  <c r="DI29" i="2"/>
  <c r="DI18" i="2"/>
  <c r="DJ18" i="2" s="1"/>
  <c r="DK18" i="2" s="1"/>
  <c r="DG8" i="2"/>
  <c r="DI28" i="2" s="1"/>
  <c r="DJ28" i="2" s="1"/>
  <c r="DK28" i="2" s="1"/>
  <c r="DJ6" i="2"/>
  <c r="DI23" i="2" l="1"/>
  <c r="DJ23" i="2" s="1"/>
  <c r="DK23" i="2" s="1"/>
  <c r="DI32" i="2"/>
  <c r="DJ32" i="2" s="1"/>
  <c r="DK32" i="2" s="1"/>
  <c r="DI16" i="2"/>
  <c r="DJ16" i="2" s="1"/>
  <c r="DK16" i="2" s="1"/>
  <c r="DI20" i="2"/>
  <c r="DJ20" i="2" s="1"/>
  <c r="DK20" i="2" s="1"/>
  <c r="DI25" i="2"/>
  <c r="DJ25" i="2" s="1"/>
  <c r="DK25" i="2" s="1"/>
  <c r="DI27" i="2"/>
  <c r="DJ27" i="2" s="1"/>
  <c r="DK27" i="2" s="1"/>
  <c r="DI30" i="2"/>
  <c r="DJ30" i="2" s="1"/>
  <c r="DK30" i="2" s="1"/>
  <c r="DI17" i="2"/>
  <c r="DJ17" i="2" s="1"/>
  <c r="DK17" i="2" s="1"/>
  <c r="DI31" i="2"/>
  <c r="DJ31" i="2" s="1"/>
  <c r="DK31" i="2" s="1"/>
  <c r="DI22" i="2"/>
  <c r="DJ22" i="2" s="1"/>
  <c r="DK22" i="2" s="1"/>
  <c r="DI19" i="2"/>
  <c r="DJ19" i="2" s="1"/>
  <c r="DK19" i="2" s="1"/>
  <c r="DI21" i="2"/>
  <c r="DJ21" i="2" s="1"/>
  <c r="DK21" i="2" s="1"/>
  <c r="DJ4" i="2"/>
  <c r="DJ5" i="2"/>
  <c r="DJ9" i="2" l="1"/>
  <c r="DM12" i="2" s="1"/>
  <c r="DM14" i="2"/>
  <c r="DM10" i="2" s="1"/>
  <c r="DM6" i="2" s="1"/>
  <c r="DM13" i="2"/>
  <c r="DM11" i="2"/>
  <c r="DM4" i="2" l="1"/>
  <c r="DJ8" i="2"/>
  <c r="DL28" i="2" s="1"/>
  <c r="DM28" i="2" s="1"/>
  <c r="DN28" i="2" s="1"/>
  <c r="DL29" i="2"/>
  <c r="DL18" i="2"/>
  <c r="DM18" i="2" s="1"/>
  <c r="DN18" i="2" s="1"/>
  <c r="DL26" i="2"/>
  <c r="DM26" i="2" s="1"/>
  <c r="DN26" i="2" s="1"/>
  <c r="DL24" i="2"/>
  <c r="DM24" i="2" s="1"/>
  <c r="DN24" i="2" s="1"/>
  <c r="DM5" i="2"/>
  <c r="DL23" i="2" l="1"/>
  <c r="DM23" i="2" s="1"/>
  <c r="DN23" i="2" s="1"/>
  <c r="DL32" i="2"/>
  <c r="DM32" i="2" s="1"/>
  <c r="DN32" i="2" s="1"/>
  <c r="DL16" i="2"/>
  <c r="DM16" i="2" s="1"/>
  <c r="DN16" i="2" s="1"/>
  <c r="DL20" i="2"/>
  <c r="DM20" i="2" s="1"/>
  <c r="DN20" i="2" s="1"/>
  <c r="DL25" i="2"/>
  <c r="DM25" i="2" s="1"/>
  <c r="DN25" i="2" s="1"/>
  <c r="DL27" i="2"/>
  <c r="DM27" i="2" s="1"/>
  <c r="DN27" i="2" s="1"/>
  <c r="DL30" i="2"/>
  <c r="DM30" i="2" s="1"/>
  <c r="DN30" i="2" s="1"/>
  <c r="DL22" i="2"/>
  <c r="DM22" i="2" s="1"/>
  <c r="DN22" i="2" s="1"/>
  <c r="DL19" i="2"/>
  <c r="DM19" i="2" s="1"/>
  <c r="DN19" i="2" s="1"/>
  <c r="DL17" i="2"/>
  <c r="DM17" i="2" s="1"/>
  <c r="DN17" i="2" s="1"/>
  <c r="DL31" i="2"/>
  <c r="DM31" i="2" s="1"/>
  <c r="DN31" i="2" s="1"/>
  <c r="DL21" i="2"/>
  <c r="DM21" i="2" s="1"/>
  <c r="DN21" i="2" s="1"/>
  <c r="DP14" i="2" l="1"/>
  <c r="DP10" i="2" s="1"/>
  <c r="DP6" i="2" s="1"/>
  <c r="DP11" i="2"/>
  <c r="DM9" i="2"/>
  <c r="DM8" i="2" s="1"/>
  <c r="DP13" i="2"/>
  <c r="DO30" i="2" l="1"/>
  <c r="DP30" i="2" s="1"/>
  <c r="DQ30" i="2" s="1"/>
  <c r="DO32" i="2"/>
  <c r="DP32" i="2" s="1"/>
  <c r="DQ32" i="2" s="1"/>
  <c r="DO18" i="2"/>
  <c r="DP18" i="2" s="1"/>
  <c r="DQ18" i="2" s="1"/>
  <c r="DO25" i="2"/>
  <c r="DP25" i="2" s="1"/>
  <c r="DQ25" i="2" s="1"/>
  <c r="DO16" i="2"/>
  <c r="DP16" i="2" s="1"/>
  <c r="DQ16" i="2" s="1"/>
  <c r="DO22" i="2"/>
  <c r="DP22" i="2" s="1"/>
  <c r="DQ22" i="2" s="1"/>
  <c r="DO20" i="2"/>
  <c r="DP20" i="2" s="1"/>
  <c r="DQ20" i="2" s="1"/>
  <c r="DO31" i="2"/>
  <c r="DP31" i="2" s="1"/>
  <c r="DQ31" i="2" s="1"/>
  <c r="DO28" i="2"/>
  <c r="DP28" i="2" s="1"/>
  <c r="DQ28" i="2" s="1"/>
  <c r="DO26" i="2"/>
  <c r="DP26" i="2" s="1"/>
  <c r="DQ26" i="2" s="1"/>
  <c r="DO29" i="2"/>
  <c r="DO17" i="2"/>
  <c r="DP17" i="2" s="1"/>
  <c r="DQ17" i="2" s="1"/>
  <c r="DO19" i="2"/>
  <c r="DP19" i="2" s="1"/>
  <c r="DQ19" i="2" s="1"/>
  <c r="DP12" i="2"/>
  <c r="DP4" i="2" s="1"/>
  <c r="DO24" i="2"/>
  <c r="DP24" i="2" s="1"/>
  <c r="DQ24" i="2" s="1"/>
  <c r="DO23" i="2"/>
  <c r="DP23" i="2" s="1"/>
  <c r="DQ23" i="2" s="1"/>
  <c r="DP5" i="2"/>
  <c r="DO21" i="2"/>
  <c r="DP21" i="2" s="1"/>
  <c r="DQ21" i="2" s="1"/>
  <c r="DO27" i="2"/>
  <c r="DP27" i="2" s="1"/>
  <c r="DQ27" i="2" s="1"/>
  <c r="DS14" i="2" l="1"/>
  <c r="DS10" i="2" s="1"/>
  <c r="DS6" i="2" s="1"/>
  <c r="DS11" i="2"/>
  <c r="DS13" i="2"/>
  <c r="DP9" i="2"/>
  <c r="DP8" i="2" s="1"/>
  <c r="DR19" i="2" l="1"/>
  <c r="DS19" i="2" s="1"/>
  <c r="DT19" i="2" s="1"/>
  <c r="DR32" i="2"/>
  <c r="DS32" i="2" s="1"/>
  <c r="DT32" i="2" s="1"/>
  <c r="DS5" i="2"/>
  <c r="DR18" i="2"/>
  <c r="DS18" i="2" s="1"/>
  <c r="DT18" i="2" s="1"/>
  <c r="DR25" i="2"/>
  <c r="DS25" i="2" s="1"/>
  <c r="DT25" i="2" s="1"/>
  <c r="DR27" i="2"/>
  <c r="DS27" i="2" s="1"/>
  <c r="DT27" i="2" s="1"/>
  <c r="DR23" i="2"/>
  <c r="DS23" i="2" s="1"/>
  <c r="DT23" i="2" s="1"/>
  <c r="DR24" i="2"/>
  <c r="DS24" i="2" s="1"/>
  <c r="DT24" i="2" s="1"/>
  <c r="DR29" i="2"/>
  <c r="DR20" i="2"/>
  <c r="DS20" i="2" s="1"/>
  <c r="DT20" i="2" s="1"/>
  <c r="DR16" i="2"/>
  <c r="DS16" i="2" s="1"/>
  <c r="DT16" i="2" s="1"/>
  <c r="DR28" i="2"/>
  <c r="DS28" i="2" s="1"/>
  <c r="DT28" i="2" s="1"/>
  <c r="DS12" i="2"/>
  <c r="DS4" i="2" s="1"/>
  <c r="DR22" i="2"/>
  <c r="DS22" i="2" s="1"/>
  <c r="DT22" i="2" s="1"/>
  <c r="DR26" i="2"/>
  <c r="DS26" i="2" s="1"/>
  <c r="DT26" i="2" s="1"/>
  <c r="DR17" i="2"/>
  <c r="DS17" i="2" s="1"/>
  <c r="DT17" i="2" s="1"/>
  <c r="DR30" i="2"/>
  <c r="DS30" i="2" s="1"/>
  <c r="DT30" i="2" s="1"/>
  <c r="DR21" i="2"/>
  <c r="DS21" i="2" s="1"/>
  <c r="DT21" i="2" s="1"/>
  <c r="DR31" i="2"/>
  <c r="DS31" i="2" s="1"/>
  <c r="DT31" i="2" s="1"/>
  <c r="DV14" i="2" l="1"/>
  <c r="DV10" i="2" s="1"/>
  <c r="DV6" i="2" s="1"/>
  <c r="DV5" i="2" s="1"/>
  <c r="DY4" i="2" s="1"/>
  <c r="K6" i="1" s="1"/>
  <c r="DV13" i="2"/>
  <c r="DS9" i="2"/>
  <c r="DS8" i="2" s="1"/>
  <c r="DV11" i="2"/>
  <c r="DU19" i="2" l="1"/>
  <c r="DV19" i="2" s="1"/>
  <c r="DW19" i="2" s="1"/>
  <c r="DU29" i="2"/>
  <c r="DU16" i="2"/>
  <c r="DV16" i="2" s="1"/>
  <c r="DW16" i="2" s="1"/>
  <c r="DU17" i="2"/>
  <c r="DV17" i="2" s="1"/>
  <c r="DW17" i="2" s="1"/>
  <c r="DU22" i="2"/>
  <c r="DV22" i="2" s="1"/>
  <c r="DW22" i="2" s="1"/>
  <c r="DU23" i="2"/>
  <c r="DV23" i="2" s="1"/>
  <c r="DW23" i="2" s="1"/>
  <c r="DU24" i="2"/>
  <c r="DV24" i="2" s="1"/>
  <c r="DW24" i="2" s="1"/>
  <c r="DU31" i="2"/>
  <c r="DV31" i="2" s="1"/>
  <c r="DW31" i="2" s="1"/>
  <c r="DU20" i="2"/>
  <c r="DV20" i="2" s="1"/>
  <c r="DW20" i="2" s="1"/>
  <c r="DU26" i="2"/>
  <c r="DV26" i="2" s="1"/>
  <c r="DW26" i="2" s="1"/>
  <c r="DV12" i="2"/>
  <c r="DV4" i="2" s="1"/>
  <c r="DY5" i="2" s="1"/>
  <c r="L6" i="1" s="1"/>
  <c r="DU28" i="2"/>
  <c r="DV28" i="2" s="1"/>
  <c r="DW28" i="2" s="1"/>
  <c r="DU32" i="2"/>
  <c r="DV32" i="2" s="1"/>
  <c r="DW32" i="2" s="1"/>
  <c r="DU27" i="2"/>
  <c r="DV27" i="2" s="1"/>
  <c r="DW27" i="2" s="1"/>
  <c r="DU30" i="2"/>
  <c r="DV30" i="2" s="1"/>
  <c r="DW30" i="2" s="1"/>
  <c r="DU21" i="2"/>
  <c r="DV21" i="2" s="1"/>
  <c r="DW21" i="2" s="1"/>
  <c r="DU18" i="2"/>
  <c r="DV18" i="2" s="1"/>
  <c r="DW18" i="2" s="1"/>
  <c r="DU25" i="2"/>
  <c r="DV25" i="2" s="1"/>
  <c r="DW25" i="2" s="1"/>
  <c r="DV9" i="2" l="1"/>
  <c r="DV8" i="2" s="1"/>
  <c r="CB12" i="2"/>
  <c r="AQ12" i="2"/>
  <c r="AT12" i="2" s="1"/>
  <c r="AX29" i="2" l="1"/>
  <c r="AY29" i="2" s="1"/>
  <c r="AZ29" i="2" s="1"/>
  <c r="AX27" i="2"/>
  <c r="AY27" i="2" s="1"/>
  <c r="AX19" i="2"/>
  <c r="AY19" i="2" s="1"/>
  <c r="AZ19" i="2" s="1"/>
  <c r="AX21" i="2"/>
  <c r="AY21" i="2" s="1"/>
  <c r="AZ21" i="2" s="1"/>
  <c r="AX23" i="2"/>
  <c r="AY23" i="2" s="1"/>
  <c r="AZ23" i="2" s="1"/>
  <c r="AX18" i="2"/>
  <c r="AY18" i="2" s="1"/>
  <c r="AZ18" i="2" s="1"/>
  <c r="AX17" i="2"/>
  <c r="AY17" i="2" s="1"/>
  <c r="AZ17" i="2" s="1"/>
  <c r="AX22" i="2"/>
  <c r="AY22" i="2" s="1"/>
  <c r="AZ22" i="2" s="1"/>
  <c r="AX24" i="2"/>
  <c r="AY24" i="2" s="1"/>
  <c r="AZ24" i="2" s="1"/>
  <c r="AX20" i="2"/>
  <c r="AY20" i="2" s="1"/>
  <c r="AZ20" i="2" s="1"/>
  <c r="AX16" i="2"/>
  <c r="AY16" i="2" s="1"/>
  <c r="AX25" i="2"/>
  <c r="AY25" i="2" s="1"/>
  <c r="AZ25" i="2" s="1"/>
  <c r="AX30" i="2"/>
  <c r="AY30" i="2" s="1"/>
  <c r="AZ30" i="2" s="1"/>
  <c r="AX26" i="2"/>
  <c r="AY26" i="2" s="1"/>
  <c r="AZ26" i="2" s="1"/>
  <c r="BH29" i="2" l="1"/>
  <c r="BP29" i="2" s="1"/>
  <c r="BH27" i="2"/>
  <c r="AZ27" i="2"/>
  <c r="BA27" i="2" s="1"/>
  <c r="AZ16" i="2"/>
  <c r="BH23" i="2"/>
  <c r="BT23" i="2" s="1"/>
  <c r="BH21" i="2"/>
  <c r="BH22" i="2"/>
  <c r="BH18" i="2"/>
  <c r="BT18" i="2" s="1"/>
  <c r="BH19" i="2"/>
  <c r="BH26" i="2"/>
  <c r="BH25" i="2"/>
  <c r="BH20" i="2"/>
  <c r="BH17" i="2"/>
  <c r="BH30" i="2"/>
  <c r="BH16" i="2"/>
  <c r="BH24" i="2"/>
  <c r="BA29" i="2"/>
  <c r="BT29" i="2" l="1"/>
  <c r="BI29" i="2"/>
  <c r="BR29" i="2" s="1"/>
  <c r="BO29" i="2"/>
  <c r="BI27" i="2"/>
  <c r="BP27" i="2"/>
  <c r="BT27" i="2"/>
  <c r="BO27" i="2"/>
  <c r="BV12" i="2"/>
  <c r="BV10" i="2"/>
  <c r="BT25" i="2"/>
  <c r="BX25" i="2"/>
  <c r="BV19" i="2"/>
  <c r="BT19" i="2"/>
  <c r="BV17" i="2"/>
  <c r="BT17" i="2"/>
  <c r="BI16" i="2"/>
  <c r="BR16" i="2" s="1"/>
  <c r="BT16" i="2"/>
  <c r="BI21" i="2"/>
  <c r="BR21" i="2" s="1"/>
  <c r="BT21" i="2"/>
  <c r="BI20" i="2"/>
  <c r="BR20" i="2" s="1"/>
  <c r="BT20" i="2"/>
  <c r="BI30" i="2"/>
  <c r="BR30" i="2" s="1"/>
  <c r="BT30" i="2"/>
  <c r="BI22" i="2"/>
  <c r="BR22" i="2" s="1"/>
  <c r="BT22" i="2"/>
  <c r="BI24" i="2"/>
  <c r="BR24" i="2" s="1"/>
  <c r="BT24" i="2"/>
  <c r="BV26" i="2"/>
  <c r="BT26" i="2"/>
  <c r="BI18" i="2"/>
  <c r="BR18" i="2" s="1"/>
  <c r="BV25" i="2"/>
  <c r="BI25" i="2"/>
  <c r="BR25" i="2" s="1"/>
  <c r="BI19" i="2"/>
  <c r="BR19" i="2" s="1"/>
  <c r="BI17" i="2"/>
  <c r="BR17" i="2" s="1"/>
  <c r="BI26" i="2"/>
  <c r="BR26" i="2" s="1"/>
  <c r="BI23" i="2"/>
  <c r="BR23" i="2" s="1"/>
  <c r="BA26" i="2"/>
  <c r="BA18" i="2"/>
  <c r="BA20" i="2"/>
  <c r="BP18" i="2"/>
  <c r="CB7" i="2"/>
  <c r="BO18" i="2"/>
  <c r="BO25" i="2"/>
  <c r="BP25" i="2"/>
  <c r="BA22" i="2"/>
  <c r="BA25" i="2"/>
  <c r="BA21" i="2"/>
  <c r="BP16" i="2"/>
  <c r="BO16" i="2"/>
  <c r="BO21" i="2"/>
  <c r="BP21" i="2"/>
  <c r="BA30" i="2"/>
  <c r="BP22" i="2"/>
  <c r="BO22" i="2"/>
  <c r="BA17" i="2"/>
  <c r="BP26" i="2"/>
  <c r="BO26" i="2"/>
  <c r="CB8" i="2"/>
  <c r="CF8" i="2" s="1"/>
  <c r="BO24" i="2"/>
  <c r="BP24" i="2"/>
  <c r="BA24" i="2"/>
  <c r="BA19" i="2"/>
  <c r="BA23" i="2"/>
  <c r="BO20" i="2"/>
  <c r="BP20" i="2"/>
  <c r="BO30" i="2"/>
  <c r="BP30" i="2"/>
  <c r="BO17" i="2"/>
  <c r="BP17" i="2"/>
  <c r="BA16" i="2"/>
  <c r="BP19" i="2"/>
  <c r="BO19" i="2"/>
  <c r="BP23" i="2"/>
  <c r="BO23" i="2"/>
  <c r="BJ29" i="2" l="1"/>
  <c r="BR27" i="2"/>
  <c r="BJ27" i="2"/>
  <c r="CF7" i="2"/>
  <c r="CE7" i="2"/>
  <c r="BJ26" i="2"/>
  <c r="BJ18" i="2"/>
  <c r="BJ23" i="2"/>
  <c r="BJ19" i="2"/>
  <c r="BJ30" i="2"/>
  <c r="BJ21" i="2"/>
  <c r="BJ22" i="2"/>
  <c r="BJ16" i="2"/>
  <c r="BJ25" i="2"/>
  <c r="BJ24" i="2"/>
  <c r="BJ17" i="2"/>
  <c r="BJ20" i="2"/>
  <c r="AX31" i="2"/>
  <c r="AY31" i="2" s="1"/>
  <c r="AZ31" i="2" l="1"/>
  <c r="BF3" i="2"/>
  <c r="BI3" i="2" s="1"/>
  <c r="BX10" i="2" l="1"/>
  <c r="BF5" i="2"/>
  <c r="CB6" i="2" s="1"/>
  <c r="BA31" i="2"/>
  <c r="BB17" i="2" s="1"/>
  <c r="CF6" i="2" l="1"/>
  <c r="CB11" i="2" s="1"/>
  <c r="BH28" i="2"/>
  <c r="BT28" i="2" s="1"/>
  <c r="BH3" i="2"/>
  <c r="BH4" i="2" s="1"/>
  <c r="BH5" i="2" s="1"/>
  <c r="BL2" i="2" s="1"/>
  <c r="BH31" i="2"/>
  <c r="BB31" i="2"/>
  <c r="BG31" i="2" s="1"/>
  <c r="BB26" i="2"/>
  <c r="BG26" i="2" s="1"/>
  <c r="BB29" i="2"/>
  <c r="BB22" i="2"/>
  <c r="BG22" i="2" s="1"/>
  <c r="BB16" i="2"/>
  <c r="BG16" i="2" s="1"/>
  <c r="BB25" i="2"/>
  <c r="BG25" i="2" s="1"/>
  <c r="BB34" i="2"/>
  <c r="BG34" i="2" s="1"/>
  <c r="BB28" i="2"/>
  <c r="BG28" i="2" s="1"/>
  <c r="BB19" i="2"/>
  <c r="BG19" i="2" s="1"/>
  <c r="BB24" i="2"/>
  <c r="BB21" i="2"/>
  <c r="BG21" i="2" s="1"/>
  <c r="BG17" i="2"/>
  <c r="BB27" i="2"/>
  <c r="BG27" i="2" s="1"/>
  <c r="BB23" i="2"/>
  <c r="BG23" i="2" s="1"/>
  <c r="BB18" i="2"/>
  <c r="BG18" i="2" s="1"/>
  <c r="BB20" i="2"/>
  <c r="BG20" i="2" s="1"/>
  <c r="BB30" i="2"/>
  <c r="BG30" i="2" s="1"/>
  <c r="BG12" i="2" l="1"/>
  <c r="BT31" i="2"/>
  <c r="BR7" i="2" s="1"/>
  <c r="BW12" i="2"/>
  <c r="BW10" i="2" s="1"/>
  <c r="BX31" i="2"/>
  <c r="BP28" i="2"/>
  <c r="BV7" i="2"/>
  <c r="BP31" i="2"/>
  <c r="BI31" i="2"/>
  <c r="BO31" i="2"/>
  <c r="BI28" i="2"/>
  <c r="BO28" i="2"/>
  <c r="BT7" i="2" l="1"/>
  <c r="BW7" i="2"/>
  <c r="BX7" i="2" s="1"/>
  <c r="BJ28" i="2"/>
  <c r="BR28" i="2"/>
  <c r="BJ31" i="2"/>
  <c r="BR31" i="2"/>
  <c r="CB9" i="2"/>
  <c r="CB10" i="2" s="1"/>
  <c r="CB3" i="2"/>
  <c r="BH32" i="2"/>
  <c r="BI32" i="2" s="1"/>
  <c r="BH33" i="2"/>
  <c r="BI33" i="2" s="1"/>
  <c r="BJ33" i="2" s="1"/>
  <c r="BQ7" i="2" l="1"/>
  <c r="BS7" i="2" s="1"/>
  <c r="BS10" i="2" s="1"/>
  <c r="CB13" i="2"/>
  <c r="K8" i="1" s="1"/>
  <c r="BJ32" i="2"/>
  <c r="BI13" i="2"/>
  <c r="BK26" i="2" l="1"/>
  <c r="BK16" i="2"/>
  <c r="BL16" i="2" s="1"/>
  <c r="BK19" i="2"/>
  <c r="BL19" i="2" s="1"/>
  <c r="K4" i="1"/>
  <c r="BK28" i="2"/>
  <c r="BL28" i="2" s="1"/>
  <c r="BK17" i="2"/>
  <c r="BL17" i="2" s="1"/>
  <c r="BK18" i="2"/>
  <c r="BL18" i="2" s="1"/>
  <c r="BK31" i="2"/>
  <c r="BL31" i="2" s="1"/>
  <c r="BK22" i="2"/>
  <c r="BL22" i="2" s="1"/>
  <c r="BK34" i="2"/>
  <c r="BL34" i="2" s="1"/>
  <c r="BK25" i="2"/>
  <c r="BL25" i="2" s="1"/>
  <c r="BK29" i="2"/>
  <c r="BK21" i="2"/>
  <c r="BL21" i="2" s="1"/>
  <c r="BK20" i="2"/>
  <c r="BL20" i="2" s="1"/>
  <c r="BK24" i="2"/>
  <c r="BK27" i="2"/>
  <c r="BL27" i="2" s="1"/>
  <c r="BK23" i="2"/>
  <c r="BL23" i="2" s="1"/>
  <c r="BK30" i="2"/>
  <c r="BL30" i="2" s="1"/>
  <c r="BL13" i="2" l="1"/>
  <c r="K5" i="1" s="1"/>
  <c r="BK13" i="2"/>
  <c r="BY7" i="2" s="1"/>
  <c r="BY13" i="2" s="1"/>
  <c r="K9" i="1" l="1"/>
  <c r="BL3" i="2"/>
  <c r="BL6" i="2" s="1"/>
  <c r="K3" i="1" s="1"/>
  <c r="BL7" i="2" l="1"/>
  <c r="K2" i="1" l="1"/>
  <c r="I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</author>
  </authors>
  <commentList>
    <comment ref="O7" authorId="0" shapeId="0" xr:uid="{31304E54-D846-4636-B6A2-8BE4A543B395}">
      <text>
        <r>
          <rPr>
            <b/>
            <sz val="9"/>
            <color indexed="81"/>
            <rFont val="돋움"/>
            <family val="3"/>
            <charset val="129"/>
          </rPr>
          <t>저무는 달에 사용한 버블 갯수/생성한 총 버블 수</t>
        </r>
      </text>
    </comment>
  </commentList>
</comments>
</file>

<file path=xl/sharedStrings.xml><?xml version="1.0" encoding="utf-8"?>
<sst xmlns="http://schemas.openxmlformats.org/spreadsheetml/2006/main" count="627" uniqueCount="347">
  <si>
    <t>세팅</t>
    <phoneticPr fontId="1" type="noConversion"/>
  </si>
  <si>
    <t>특화</t>
    <phoneticPr fontId="1" type="noConversion"/>
  </si>
  <si>
    <t>신속</t>
    <phoneticPr fontId="1" type="noConversion"/>
  </si>
  <si>
    <t>스킬트리</t>
    <phoneticPr fontId="1" type="noConversion"/>
  </si>
  <si>
    <t>해그리기</t>
    <phoneticPr fontId="1" type="noConversion"/>
  </si>
  <si>
    <t>해우물</t>
    <phoneticPr fontId="1" type="noConversion"/>
  </si>
  <si>
    <t>난치기</t>
    <phoneticPr fontId="1" type="noConversion"/>
  </si>
  <si>
    <t>먹물세례</t>
    <phoneticPr fontId="1" type="noConversion"/>
  </si>
  <si>
    <t>흩뿌리기</t>
    <phoneticPr fontId="1" type="noConversion"/>
  </si>
  <si>
    <t>먹오름</t>
    <phoneticPr fontId="1" type="noConversion"/>
  </si>
  <si>
    <t>콩콩이</t>
    <phoneticPr fontId="1" type="noConversion"/>
  </si>
  <si>
    <t>호접몽</t>
    <phoneticPr fontId="1" type="noConversion"/>
  </si>
  <si>
    <t>범가르기</t>
    <phoneticPr fontId="1" type="noConversion"/>
  </si>
  <si>
    <t>한획긋기</t>
    <phoneticPr fontId="1" type="noConversion"/>
  </si>
  <si>
    <t>미리내</t>
    <phoneticPr fontId="1" type="noConversion"/>
  </si>
  <si>
    <t>달그리기</t>
    <phoneticPr fontId="1" type="noConversion"/>
  </si>
  <si>
    <t>환영의 문</t>
    <phoneticPr fontId="1" type="noConversion"/>
  </si>
  <si>
    <t>옹달샘</t>
    <phoneticPr fontId="1" type="noConversion"/>
  </si>
  <si>
    <t>두루미나래</t>
    <phoneticPr fontId="1" type="noConversion"/>
  </si>
  <si>
    <t>올려치기</t>
    <phoneticPr fontId="1" type="noConversion"/>
  </si>
  <si>
    <t>동글 방울</t>
    <phoneticPr fontId="1" type="noConversion"/>
  </si>
  <si>
    <t>기운 강화</t>
  </si>
  <si>
    <t>기운 강화</t>
    <phoneticPr fontId="1" type="noConversion"/>
  </si>
  <si>
    <t>재빠른 손놀림</t>
    <phoneticPr fontId="1" type="noConversion"/>
  </si>
  <si>
    <t>먹물 낙인</t>
  </si>
  <si>
    <t>먹물 낙인</t>
    <phoneticPr fontId="1" type="noConversion"/>
  </si>
  <si>
    <t>빠른 준비</t>
  </si>
  <si>
    <t>빠른 준비</t>
    <phoneticPr fontId="1" type="noConversion"/>
  </si>
  <si>
    <t>정신 강화</t>
  </si>
  <si>
    <t>정신 강화</t>
    <phoneticPr fontId="1" type="noConversion"/>
  </si>
  <si>
    <t>스킬</t>
    <phoneticPr fontId="1" type="noConversion"/>
  </si>
  <si>
    <t>강화된 먹물</t>
    <phoneticPr fontId="1" type="noConversion"/>
  </si>
  <si>
    <t>끈적한 먹물</t>
    <phoneticPr fontId="1" type="noConversion"/>
  </si>
  <si>
    <t>적묵법</t>
    <phoneticPr fontId="1" type="noConversion"/>
  </si>
  <si>
    <t>먹물저장</t>
    <phoneticPr fontId="1" type="noConversion"/>
  </si>
  <si>
    <t>넓은 공격</t>
    <phoneticPr fontId="1" type="noConversion"/>
  </si>
  <si>
    <t>직선 긋기</t>
  </si>
  <si>
    <t>직선 긋기</t>
    <phoneticPr fontId="1" type="noConversion"/>
  </si>
  <si>
    <t>마침표 뿌리기</t>
    <phoneticPr fontId="1" type="noConversion"/>
  </si>
  <si>
    <t>검은 먹물</t>
    <phoneticPr fontId="1" type="noConversion"/>
  </si>
  <si>
    <t>방랑자</t>
    <phoneticPr fontId="1" type="noConversion"/>
  </si>
  <si>
    <t>먹의 비호</t>
  </si>
  <si>
    <t>먹의 비호</t>
    <phoneticPr fontId="1" type="noConversion"/>
  </si>
  <si>
    <t>마나 회복</t>
  </si>
  <si>
    <t>마나 회복</t>
    <phoneticPr fontId="1" type="noConversion"/>
  </si>
  <si>
    <t>치명적인 일격</t>
    <phoneticPr fontId="1" type="noConversion"/>
  </si>
  <si>
    <t>원거리 공격</t>
    <phoneticPr fontId="1" type="noConversion"/>
  </si>
  <si>
    <t>늪의 공포</t>
    <phoneticPr fontId="1" type="noConversion"/>
  </si>
  <si>
    <t>헤어날 수 없는 늪</t>
    <phoneticPr fontId="1" type="noConversion"/>
  </si>
  <si>
    <t>먹물점정</t>
    <phoneticPr fontId="1" type="noConversion"/>
  </si>
  <si>
    <t>단단한 갑옷</t>
    <phoneticPr fontId="1" type="noConversion"/>
  </si>
  <si>
    <t>범위 증가</t>
    <phoneticPr fontId="1" type="noConversion"/>
  </si>
  <si>
    <t>노란색 먹물</t>
  </si>
  <si>
    <t>노란색 먹물</t>
    <phoneticPr fontId="1" type="noConversion"/>
  </si>
  <si>
    <t>검정색 먹물</t>
    <phoneticPr fontId="1" type="noConversion"/>
  </si>
  <si>
    <t>보라색 먹물</t>
    <phoneticPr fontId="1" type="noConversion"/>
  </si>
  <si>
    <t>먹물 강화</t>
  </si>
  <si>
    <t>먹물 강화</t>
    <phoneticPr fontId="1" type="noConversion"/>
  </si>
  <si>
    <t>일점 타격</t>
    <phoneticPr fontId="1" type="noConversion"/>
  </si>
  <si>
    <t>신속한 준비</t>
    <phoneticPr fontId="1" type="noConversion"/>
  </si>
  <si>
    <t>꿈의 안식처</t>
    <phoneticPr fontId="1" type="noConversion"/>
  </si>
  <si>
    <t>봄의 정원</t>
    <phoneticPr fontId="1" type="noConversion"/>
  </si>
  <si>
    <t>나비 무리</t>
    <phoneticPr fontId="1" type="noConversion"/>
  </si>
  <si>
    <t>날렵한 필력</t>
  </si>
  <si>
    <t>날렵한 필력</t>
    <phoneticPr fontId="1" type="noConversion"/>
  </si>
  <si>
    <t>도화지 강화</t>
    <phoneticPr fontId="1" type="noConversion"/>
  </si>
  <si>
    <t>꽃길만 걷자</t>
    <phoneticPr fontId="1" type="noConversion"/>
  </si>
  <si>
    <t>먼길 떠나는</t>
  </si>
  <si>
    <t>먼길 떠나는</t>
    <phoneticPr fontId="1" type="noConversion"/>
  </si>
  <si>
    <t>비호</t>
    <phoneticPr fontId="1" type="noConversion"/>
  </si>
  <si>
    <t>꿰뚫는 일격</t>
    <phoneticPr fontId="1" type="noConversion"/>
  </si>
  <si>
    <t>무력화 강화</t>
    <phoneticPr fontId="1" type="noConversion"/>
  </si>
  <si>
    <t>어둠의 기운</t>
    <phoneticPr fontId="1" type="noConversion"/>
  </si>
  <si>
    <t>두 마리의 호랑이</t>
    <phoneticPr fontId="1" type="noConversion"/>
  </si>
  <si>
    <t>강화된 일격</t>
    <phoneticPr fontId="1" type="noConversion"/>
  </si>
  <si>
    <t>급소 타격</t>
    <phoneticPr fontId="1" type="noConversion"/>
  </si>
  <si>
    <t>연속 긋기</t>
    <phoneticPr fontId="1" type="noConversion"/>
  </si>
  <si>
    <t>거대한 붓</t>
    <phoneticPr fontId="1" type="noConversion"/>
  </si>
  <si>
    <t>도화지 생성</t>
    <phoneticPr fontId="1" type="noConversion"/>
  </si>
  <si>
    <t>마나 충전</t>
    <phoneticPr fontId="1" type="noConversion"/>
  </si>
  <si>
    <t>별 그리기</t>
    <phoneticPr fontId="1" type="noConversion"/>
  </si>
  <si>
    <t>먹물 세례</t>
    <phoneticPr fontId="1" type="noConversion"/>
  </si>
  <si>
    <t>검은 달</t>
    <phoneticPr fontId="1" type="noConversion"/>
  </si>
  <si>
    <t>넓은 폭발</t>
    <phoneticPr fontId="1" type="noConversion"/>
  </si>
  <si>
    <t>붉은 달</t>
    <phoneticPr fontId="1" type="noConversion"/>
  </si>
  <si>
    <t>강인함</t>
  </si>
  <si>
    <t>강인함</t>
    <phoneticPr fontId="1" type="noConversion"/>
  </si>
  <si>
    <t>푸른 별빛</t>
    <phoneticPr fontId="1" type="noConversion"/>
  </si>
  <si>
    <t>움직이는 별빛</t>
    <phoneticPr fontId="1" type="noConversion"/>
  </si>
  <si>
    <t>우직함</t>
    <phoneticPr fontId="1" type="noConversion"/>
  </si>
  <si>
    <t>거리 증가</t>
    <phoneticPr fontId="1" type="noConversion"/>
  </si>
  <si>
    <t>정화</t>
  </si>
  <si>
    <t>정화</t>
    <phoneticPr fontId="1" type="noConversion"/>
  </si>
  <si>
    <t>바람돌이</t>
    <phoneticPr fontId="1" type="noConversion"/>
  </si>
  <si>
    <t>강인함 부여</t>
    <phoneticPr fontId="1" type="noConversion"/>
  </si>
  <si>
    <t>공간 중첩</t>
  </si>
  <si>
    <t>공간 중첩</t>
    <phoneticPr fontId="1" type="noConversion"/>
  </si>
  <si>
    <t>급소타격</t>
    <phoneticPr fontId="1" type="noConversion"/>
  </si>
  <si>
    <t>잉어 봉인해제!</t>
    <phoneticPr fontId="1" type="noConversion"/>
  </si>
  <si>
    <t>(잉)어왕출현</t>
    <phoneticPr fontId="1" type="noConversion"/>
  </si>
  <si>
    <t>마무리 공격</t>
    <phoneticPr fontId="1" type="noConversion"/>
  </si>
  <si>
    <t>발산</t>
  </si>
  <si>
    <t>발산</t>
    <phoneticPr fontId="1" type="noConversion"/>
  </si>
  <si>
    <t>나만의 우물</t>
    <phoneticPr fontId="1" type="noConversion"/>
  </si>
  <si>
    <t>신선 날개</t>
    <phoneticPr fontId="1" type="noConversion"/>
  </si>
  <si>
    <t>학익진</t>
    <phoneticPr fontId="1" type="noConversion"/>
  </si>
  <si>
    <t>두루미 폭격</t>
    <phoneticPr fontId="1" type="noConversion"/>
  </si>
  <si>
    <t>빙글빙글</t>
    <phoneticPr fontId="1" type="noConversion"/>
  </si>
  <si>
    <t>공중 회전</t>
    <phoneticPr fontId="1" type="noConversion"/>
  </si>
  <si>
    <t>보호 강화</t>
  </si>
  <si>
    <t>보호 강화</t>
    <phoneticPr fontId="1" type="noConversion"/>
  </si>
  <si>
    <t>음의 기운 발산</t>
    <phoneticPr fontId="1" type="noConversion"/>
  </si>
  <si>
    <t>공격 강화</t>
  </si>
  <si>
    <t>공격 강화</t>
    <phoneticPr fontId="1" type="noConversion"/>
  </si>
  <si>
    <t>나만의 권능</t>
    <phoneticPr fontId="1" type="noConversion"/>
  </si>
  <si>
    <t>정흡LV</t>
    <phoneticPr fontId="1" type="noConversion"/>
  </si>
  <si>
    <t>갈망LV</t>
    <phoneticPr fontId="1" type="noConversion"/>
  </si>
  <si>
    <t>스킬 룬</t>
    <phoneticPr fontId="1" type="noConversion"/>
  </si>
  <si>
    <t>전설 질풍</t>
    <phoneticPr fontId="1" type="noConversion"/>
  </si>
  <si>
    <t>전설 풍요</t>
    <phoneticPr fontId="1" type="noConversion"/>
  </si>
  <si>
    <t>전설 집중</t>
    <phoneticPr fontId="1" type="noConversion"/>
  </si>
  <si>
    <t>전설 속행</t>
    <phoneticPr fontId="1" type="noConversion"/>
  </si>
  <si>
    <t>영웅 질풍</t>
  </si>
  <si>
    <t>영웅 질풍</t>
    <phoneticPr fontId="1" type="noConversion"/>
  </si>
  <si>
    <t>영웅 풍요</t>
  </si>
  <si>
    <t>영웅 풍요</t>
    <phoneticPr fontId="1" type="noConversion"/>
  </si>
  <si>
    <t>영웅 집중</t>
    <phoneticPr fontId="1" type="noConversion"/>
  </si>
  <si>
    <t>영웅 속행</t>
    <phoneticPr fontId="1" type="noConversion"/>
  </si>
  <si>
    <t>희귀 질풍</t>
    <phoneticPr fontId="1" type="noConversion"/>
  </si>
  <si>
    <t>희귀 풍요</t>
    <phoneticPr fontId="1" type="noConversion"/>
  </si>
  <si>
    <t>고급 질풍</t>
    <phoneticPr fontId="1" type="noConversion"/>
  </si>
  <si>
    <t>고급 풍요</t>
    <phoneticPr fontId="1" type="noConversion"/>
  </si>
  <si>
    <t>전설 압도</t>
    <phoneticPr fontId="1" type="noConversion"/>
  </si>
  <si>
    <t>영웅 압도</t>
    <phoneticPr fontId="1" type="noConversion"/>
  </si>
  <si>
    <t>희귀 압도</t>
    <phoneticPr fontId="1" type="noConversion"/>
  </si>
  <si>
    <t>레벨</t>
    <phoneticPr fontId="1" type="noConversion"/>
  </si>
  <si>
    <t>시전시간비중</t>
    <phoneticPr fontId="1" type="noConversion"/>
  </si>
  <si>
    <t>조력자</t>
    <phoneticPr fontId="1" type="noConversion"/>
  </si>
  <si>
    <t>마나 소모</t>
    <phoneticPr fontId="1" type="noConversion"/>
  </si>
  <si>
    <t>마나의 흐름LV</t>
    <phoneticPr fontId="1" type="noConversion"/>
  </si>
  <si>
    <t>보석LV</t>
    <phoneticPr fontId="1" type="noConversion"/>
  </si>
  <si>
    <t>보석</t>
    <phoneticPr fontId="1" type="noConversion"/>
  </si>
  <si>
    <t>급타LV</t>
    <phoneticPr fontId="1" type="noConversion"/>
  </si>
  <si>
    <t>마흐 유지율</t>
    <phoneticPr fontId="1" type="noConversion"/>
  </si>
  <si>
    <t>O</t>
  </si>
  <si>
    <t>O</t>
    <phoneticPr fontId="1" type="noConversion"/>
  </si>
  <si>
    <t>선택지</t>
    <phoneticPr fontId="1" type="noConversion"/>
  </si>
  <si>
    <t>X</t>
  </si>
  <si>
    <t>X</t>
    <phoneticPr fontId="1" type="noConversion"/>
  </si>
  <si>
    <t>해우물 밟는 비율</t>
    <phoneticPr fontId="1" type="noConversion"/>
  </si>
  <si>
    <t>딜러 공격력/서폿 공격력</t>
    <phoneticPr fontId="1" type="noConversion"/>
  </si>
  <si>
    <t>아덴 획득</t>
    <phoneticPr fontId="1" type="noConversion"/>
  </si>
  <si>
    <t>마나</t>
    <phoneticPr fontId="1" type="noConversion"/>
  </si>
  <si>
    <t>무력</t>
    <phoneticPr fontId="1" type="noConversion"/>
  </si>
  <si>
    <t>쿨</t>
    <phoneticPr fontId="1" type="noConversion"/>
  </si>
  <si>
    <t>기본 쿨</t>
    <phoneticPr fontId="1" type="noConversion"/>
  </si>
  <si>
    <t>스킬모션</t>
    <phoneticPr fontId="1" type="noConversion"/>
  </si>
  <si>
    <t>몽유도원</t>
    <phoneticPr fontId="1" type="noConversion"/>
  </si>
  <si>
    <t>저무는 달</t>
    <phoneticPr fontId="1" type="noConversion"/>
  </si>
  <si>
    <t>떠오르는 해</t>
    <phoneticPr fontId="1" type="noConversion"/>
  </si>
  <si>
    <t>(트포)쿨</t>
    <phoneticPr fontId="1" type="noConversion"/>
  </si>
  <si>
    <t>룬 효과</t>
    <phoneticPr fontId="1" type="noConversion"/>
  </si>
  <si>
    <t>룬 확률</t>
    <phoneticPr fontId="1" type="noConversion"/>
  </si>
  <si>
    <t>전설 수호</t>
    <phoneticPr fontId="1" type="noConversion"/>
  </si>
  <si>
    <t>전설 단죄</t>
    <phoneticPr fontId="1" type="noConversion"/>
  </si>
  <si>
    <t>전설 심판</t>
    <phoneticPr fontId="1" type="noConversion"/>
  </si>
  <si>
    <t>(보석/신속)쿨</t>
    <phoneticPr fontId="1" type="noConversion"/>
  </si>
  <si>
    <t>스킬 채용</t>
    <phoneticPr fontId="1" type="noConversion"/>
  </si>
  <si>
    <t>특화버프</t>
    <phoneticPr fontId="1" type="noConversion"/>
  </si>
  <si>
    <t>특화힐</t>
    <phoneticPr fontId="1" type="noConversion"/>
  </si>
  <si>
    <t>특화아덴</t>
    <phoneticPr fontId="1" type="noConversion"/>
  </si>
  <si>
    <t>신속 공속</t>
    <phoneticPr fontId="1" type="noConversion"/>
  </si>
  <si>
    <t>신속 쿨감</t>
    <phoneticPr fontId="1" type="noConversion"/>
  </si>
  <si>
    <t>정흡</t>
    <phoneticPr fontId="1" type="noConversion"/>
  </si>
  <si>
    <t>급타</t>
    <phoneticPr fontId="1" type="noConversion"/>
  </si>
  <si>
    <t>갈망</t>
    <phoneticPr fontId="1" type="noConversion"/>
  </si>
  <si>
    <t>저달버프</t>
    <phoneticPr fontId="1" type="noConversion"/>
  </si>
  <si>
    <t>아덴획득</t>
    <phoneticPr fontId="1" type="noConversion"/>
  </si>
  <si>
    <t>급타 무력</t>
    <phoneticPr fontId="1" type="noConversion"/>
  </si>
  <si>
    <t>기본 공속</t>
    <phoneticPr fontId="1" type="noConversion"/>
  </si>
  <si>
    <t>평타</t>
    <phoneticPr fontId="1" type="noConversion"/>
  </si>
  <si>
    <t>트포</t>
    <phoneticPr fontId="1" type="noConversion"/>
  </si>
  <si>
    <t>시전비중</t>
    <phoneticPr fontId="1" type="noConversion"/>
  </si>
  <si>
    <t>전설 속행</t>
  </si>
  <si>
    <t>(트포/신속/룬)스킬모션</t>
    <phoneticPr fontId="1" type="noConversion"/>
  </si>
  <si>
    <t>질풍 룬</t>
    <phoneticPr fontId="1" type="noConversion"/>
  </si>
  <si>
    <t>확률</t>
    <phoneticPr fontId="1" type="noConversion"/>
  </si>
  <si>
    <t>효과</t>
    <phoneticPr fontId="1" type="noConversion"/>
  </si>
  <si>
    <t>속행스킬 쿨</t>
    <phoneticPr fontId="1" type="noConversion"/>
  </si>
  <si>
    <t>전설속행 발동확률</t>
    <phoneticPr fontId="1" type="noConversion"/>
  </si>
  <si>
    <t>전설속행 쿨감</t>
    <phoneticPr fontId="1" type="noConversion"/>
  </si>
  <si>
    <t>영웅속행 발동확률</t>
    <phoneticPr fontId="1" type="noConversion"/>
  </si>
  <si>
    <t>영웅속행 쿨감</t>
    <phoneticPr fontId="1" type="noConversion"/>
  </si>
  <si>
    <t>여분비중</t>
    <phoneticPr fontId="1" type="noConversion"/>
  </si>
  <si>
    <t>스킬시전시간계수</t>
    <phoneticPr fontId="1" type="noConversion"/>
  </si>
  <si>
    <t>풍요 룬</t>
    <phoneticPr fontId="1" type="noConversion"/>
  </si>
  <si>
    <t>1버블시간(아덴모션고려x)</t>
    <phoneticPr fontId="1" type="noConversion"/>
  </si>
  <si>
    <t>아덴사용고려O</t>
    <phoneticPr fontId="1" type="noConversion"/>
  </si>
  <si>
    <t>아덴사용고려X</t>
    <phoneticPr fontId="1" type="noConversion"/>
  </si>
  <si>
    <t>최종 쿨</t>
    <phoneticPr fontId="1" type="noConversion"/>
  </si>
  <si>
    <t>저달비율</t>
    <phoneticPr fontId="1" type="noConversion"/>
  </si>
  <si>
    <t>(룬)아덴획득</t>
    <phoneticPr fontId="1" type="noConversion"/>
  </si>
  <si>
    <t>최종 3버블시간</t>
    <phoneticPr fontId="1" type="noConversion"/>
  </si>
  <si>
    <t>해그리기 쿨</t>
    <phoneticPr fontId="1" type="noConversion"/>
  </si>
  <si>
    <t>해우물 쿨</t>
    <phoneticPr fontId="1" type="noConversion"/>
  </si>
  <si>
    <t>더 큰거</t>
    <phoneticPr fontId="1" type="noConversion"/>
  </si>
  <si>
    <t>버프시간</t>
    <phoneticPr fontId="1" type="noConversion"/>
  </si>
  <si>
    <t>비중</t>
    <phoneticPr fontId="1" type="noConversion"/>
  </si>
  <si>
    <t>공증량</t>
    <phoneticPr fontId="1" type="noConversion"/>
  </si>
  <si>
    <t>기본공버프</t>
    <phoneticPr fontId="1" type="noConversion"/>
  </si>
  <si>
    <t>아덴버프</t>
    <phoneticPr fontId="1" type="noConversion"/>
  </si>
  <si>
    <t>낙인</t>
    <phoneticPr fontId="1" type="noConversion"/>
  </si>
  <si>
    <t>낙인 유지율</t>
    <phoneticPr fontId="1" type="noConversion"/>
  </si>
  <si>
    <t>최종버프</t>
    <phoneticPr fontId="1" type="noConversion"/>
  </si>
  <si>
    <t>평소에 올려치기 봉인</t>
    <phoneticPr fontId="1" type="noConversion"/>
  </si>
  <si>
    <t>각성기 사용</t>
    <phoneticPr fontId="1" type="noConversion"/>
  </si>
  <si>
    <t>돌진팔찌</t>
    <phoneticPr fontId="1" type="noConversion"/>
  </si>
  <si>
    <t>기본 무력</t>
    <phoneticPr fontId="1" type="noConversion"/>
  </si>
  <si>
    <t>압도 룬</t>
    <phoneticPr fontId="1" type="noConversion"/>
  </si>
  <si>
    <t>(압도/급타) 무력</t>
    <phoneticPr fontId="1" type="noConversion"/>
  </si>
  <si>
    <t>시전시간대비무력</t>
    <phoneticPr fontId="1" type="noConversion"/>
  </si>
  <si>
    <t>순간 무력(초)</t>
    <phoneticPr fontId="1" type="noConversion"/>
  </si>
  <si>
    <t>시간</t>
    <phoneticPr fontId="1" type="noConversion"/>
  </si>
  <si>
    <t>시전시간</t>
    <phoneticPr fontId="1" type="noConversion"/>
  </si>
  <si>
    <t>(신속/트포)쿨</t>
    <phoneticPr fontId="1" type="noConversion"/>
  </si>
  <si>
    <t>사용가능</t>
    <phoneticPr fontId="1" type="noConversion"/>
  </si>
  <si>
    <t>(압도/급타)무력</t>
    <phoneticPr fontId="1" type="noConversion"/>
  </si>
  <si>
    <t>선택스킬</t>
    <phoneticPr fontId="1" type="noConversion"/>
  </si>
  <si>
    <t>쿨 기다림</t>
    <phoneticPr fontId="1" type="noConversion"/>
  </si>
  <si>
    <t>기다릴 쿨</t>
    <phoneticPr fontId="1" type="noConversion"/>
  </si>
  <si>
    <t>끝?</t>
    <phoneticPr fontId="1" type="noConversion"/>
  </si>
  <si>
    <t>제한시간</t>
    <phoneticPr fontId="1" type="noConversion"/>
  </si>
  <si>
    <t>사용스킬</t>
    <phoneticPr fontId="1" type="noConversion"/>
  </si>
  <si>
    <t>순간무력</t>
    <phoneticPr fontId="1" type="noConversion"/>
  </si>
  <si>
    <t>누적 무력(초)</t>
    <phoneticPr fontId="1" type="noConversion"/>
  </si>
  <si>
    <t>초당 무력</t>
    <phoneticPr fontId="1" type="noConversion"/>
  </si>
  <si>
    <t>누적무력</t>
    <phoneticPr fontId="1" type="noConversion"/>
  </si>
  <si>
    <t>필요한 쿨</t>
    <phoneticPr fontId="1" type="noConversion"/>
  </si>
  <si>
    <t>유지율</t>
    <phoneticPr fontId="1" type="noConversion"/>
  </si>
  <si>
    <t>최종 유지율</t>
    <phoneticPr fontId="1" type="noConversion"/>
  </si>
  <si>
    <t>낙인스킬 적중률</t>
    <phoneticPr fontId="1" type="noConversion"/>
  </si>
  <si>
    <t>마나회수</t>
    <phoneticPr fontId="1" type="noConversion"/>
  </si>
  <si>
    <t>초당마나소모</t>
    <phoneticPr fontId="1" type="noConversion"/>
  </si>
  <si>
    <t>집중 룬</t>
    <phoneticPr fontId="1" type="noConversion"/>
  </si>
  <si>
    <t>초당소모마나</t>
    <phoneticPr fontId="1" type="noConversion"/>
  </si>
  <si>
    <t>음식</t>
    <phoneticPr fontId="1" type="noConversion"/>
  </si>
  <si>
    <t>기본마나회복속도</t>
    <phoneticPr fontId="1" type="noConversion"/>
  </si>
  <si>
    <t>먹오름 쿨</t>
    <phoneticPr fontId="1" type="noConversion"/>
  </si>
  <si>
    <t>달그리기 쿨</t>
    <phoneticPr fontId="1" type="noConversion"/>
  </si>
  <si>
    <t>스킬 사용 횟수</t>
    <phoneticPr fontId="1" type="noConversion"/>
  </si>
  <si>
    <t>초당스킬사용수</t>
    <phoneticPr fontId="1" type="noConversion"/>
  </si>
  <si>
    <t>최마증</t>
    <phoneticPr fontId="1" type="noConversion"/>
  </si>
  <si>
    <t>마효증</t>
    <phoneticPr fontId="1" type="noConversion"/>
  </si>
  <si>
    <t>마나효율증가LV</t>
    <phoneticPr fontId="1" type="noConversion"/>
  </si>
  <si>
    <t>마흐스택</t>
    <phoneticPr fontId="1" type="noConversion"/>
  </si>
  <si>
    <t>마흐쿨감</t>
    <phoneticPr fontId="1" type="noConversion"/>
  </si>
  <si>
    <t>마흐마나</t>
    <phoneticPr fontId="1" type="noConversion"/>
  </si>
  <si>
    <t>마흐유지율</t>
    <phoneticPr fontId="1" type="noConversion"/>
  </si>
  <si>
    <t>마흐실제마나</t>
    <phoneticPr fontId="1" type="noConversion"/>
  </si>
  <si>
    <t>마흐실제쿨감</t>
    <phoneticPr fontId="1" type="noConversion"/>
  </si>
  <si>
    <t>마나회복</t>
    <phoneticPr fontId="1" type="noConversion"/>
  </si>
  <si>
    <t>마나회수회복</t>
    <phoneticPr fontId="1" type="noConversion"/>
  </si>
  <si>
    <t>스킬마나회복</t>
    <phoneticPr fontId="1" type="noConversion"/>
  </si>
  <si>
    <t>최종마나소모</t>
    <phoneticPr fontId="1" type="noConversion"/>
  </si>
  <si>
    <t>(트포+룬)아덴획득</t>
    <phoneticPr fontId="1" type="noConversion"/>
  </si>
  <si>
    <t>환문</t>
    <phoneticPr fontId="1" type="noConversion"/>
  </si>
  <si>
    <t>스택유무</t>
    <phoneticPr fontId="1" type="noConversion"/>
  </si>
  <si>
    <t>순간무력 사용스킬</t>
    <phoneticPr fontId="1" type="noConversion"/>
  </si>
  <si>
    <t>연속+도화지</t>
    <phoneticPr fontId="1" type="noConversion"/>
  </si>
  <si>
    <t>연속</t>
    <phoneticPr fontId="1" type="noConversion"/>
  </si>
  <si>
    <t>도화지</t>
    <phoneticPr fontId="1" type="noConversion"/>
  </si>
  <si>
    <t>회오리수류탄</t>
    <phoneticPr fontId="1" type="noConversion"/>
  </si>
  <si>
    <t>안정성</t>
    <phoneticPr fontId="1" type="noConversion"/>
  </si>
  <si>
    <t>실전아덴</t>
    <phoneticPr fontId="1" type="noConversion"/>
  </si>
  <si>
    <t>깨달음</t>
    <phoneticPr fontId="1" type="noConversion"/>
  </si>
  <si>
    <t>각성기x</t>
    <phoneticPr fontId="1" type="noConversion"/>
  </si>
  <si>
    <t>3버블시간(각성x)</t>
    <phoneticPr fontId="1" type="noConversion"/>
  </si>
  <si>
    <t>단죄</t>
    <phoneticPr fontId="1" type="noConversion"/>
  </si>
  <si>
    <t>심판</t>
    <phoneticPr fontId="1" type="noConversion"/>
  </si>
  <si>
    <t>해우물단심?</t>
    <phoneticPr fontId="1" type="noConversion"/>
  </si>
  <si>
    <t>단죄 쿨</t>
    <phoneticPr fontId="1" type="noConversion"/>
  </si>
  <si>
    <t>심판 쿨</t>
    <phoneticPr fontId="1" type="noConversion"/>
  </si>
  <si>
    <t>단심있는가</t>
    <phoneticPr fontId="1" type="noConversion"/>
  </si>
  <si>
    <t>해우물단심</t>
    <phoneticPr fontId="1" type="noConversion"/>
  </si>
  <si>
    <t>일반단심</t>
    <phoneticPr fontId="1" type="noConversion"/>
  </si>
  <si>
    <t>주기</t>
    <phoneticPr fontId="1" type="noConversion"/>
  </si>
  <si>
    <t>비율</t>
    <phoneticPr fontId="1" type="noConversion"/>
  </si>
  <si>
    <t>적용쿨감</t>
    <phoneticPr fontId="1" type="noConversion"/>
  </si>
  <si>
    <t>단심효과</t>
    <phoneticPr fontId="1" type="noConversion"/>
  </si>
  <si>
    <t>단심쿨감</t>
    <phoneticPr fontId="1" type="noConversion"/>
  </si>
  <si>
    <t>(단심)쿨</t>
    <phoneticPr fontId="1" type="noConversion"/>
  </si>
  <si>
    <t>단심마나회복</t>
    <phoneticPr fontId="1" type="noConversion"/>
  </si>
  <si>
    <t>총 고려한 쿨</t>
    <phoneticPr fontId="1" type="noConversion"/>
  </si>
  <si>
    <t>(해그리기공속+)스킬모션</t>
    <phoneticPr fontId="1" type="noConversion"/>
  </si>
  <si>
    <t>해그리기비중</t>
    <phoneticPr fontId="1" type="noConversion"/>
  </si>
  <si>
    <t>해그리기공속</t>
    <phoneticPr fontId="1" type="noConversion"/>
  </si>
  <si>
    <t>공속증가</t>
    <phoneticPr fontId="1" type="noConversion"/>
  </si>
  <si>
    <t>최대공속적용</t>
    <phoneticPr fontId="1" type="noConversion"/>
  </si>
  <si>
    <t>플레이</t>
    <phoneticPr fontId="1" type="noConversion"/>
  </si>
  <si>
    <t>스펙</t>
    <phoneticPr fontId="1" type="noConversion"/>
  </si>
  <si>
    <t>각인</t>
    <phoneticPr fontId="1" type="noConversion"/>
  </si>
  <si>
    <t>팔찌</t>
    <phoneticPr fontId="1" type="noConversion"/>
  </si>
  <si>
    <t>저무는 달 비율</t>
    <phoneticPr fontId="1" type="noConversion"/>
  </si>
  <si>
    <t>단심발동확률</t>
    <phoneticPr fontId="1" type="noConversion"/>
  </si>
  <si>
    <t>속행스킬모션</t>
    <phoneticPr fontId="1" type="noConversion"/>
  </si>
  <si>
    <t>마나회복증가</t>
    <phoneticPr fontId="1" type="noConversion"/>
  </si>
  <si>
    <t>경면</t>
    <phoneticPr fontId="1" type="noConversion"/>
  </si>
  <si>
    <t>피면</t>
    <phoneticPr fontId="1" type="noConversion"/>
  </si>
  <si>
    <t>뎀감</t>
    <phoneticPr fontId="1" type="noConversion"/>
  </si>
  <si>
    <t>경면 수</t>
    <phoneticPr fontId="1" type="noConversion"/>
  </si>
  <si>
    <t>피면 수</t>
    <phoneticPr fontId="1" type="noConversion"/>
  </si>
  <si>
    <t>뎀감수치</t>
    <phoneticPr fontId="1" type="noConversion"/>
  </si>
  <si>
    <t>실드</t>
    <phoneticPr fontId="1" type="noConversion"/>
  </si>
  <si>
    <t>뎀감지속시간비율</t>
    <phoneticPr fontId="1" type="noConversion"/>
  </si>
  <si>
    <t>받는데미지</t>
    <phoneticPr fontId="1" type="noConversion"/>
  </si>
  <si>
    <t>초당 힐</t>
    <phoneticPr fontId="1" type="noConversion"/>
  </si>
  <si>
    <t>(속행)쿨</t>
    <phoneticPr fontId="1" type="noConversion"/>
  </si>
  <si>
    <t>공증 여유</t>
    <phoneticPr fontId="1" type="noConversion"/>
  </si>
  <si>
    <t>파티쉴드</t>
    <phoneticPr fontId="1" type="noConversion"/>
  </si>
  <si>
    <t>본인쉴드</t>
    <phoneticPr fontId="1" type="noConversion"/>
  </si>
  <si>
    <t>수호룬</t>
    <phoneticPr fontId="1" type="noConversion"/>
  </si>
  <si>
    <t>(동글)본인쉴드</t>
    <phoneticPr fontId="1" type="noConversion"/>
  </si>
  <si>
    <t>(룬)본인쉴드</t>
    <phoneticPr fontId="1" type="noConversion"/>
  </si>
  <si>
    <t>본인뎀감</t>
    <phoneticPr fontId="1" type="noConversion"/>
  </si>
  <si>
    <t>(동글)스택</t>
    <phoneticPr fontId="1" type="noConversion"/>
  </si>
  <si>
    <t>본인 받는데미지</t>
    <phoneticPr fontId="1" type="noConversion"/>
  </si>
  <si>
    <t>낙인 여유</t>
    <phoneticPr fontId="1" type="noConversion"/>
  </si>
  <si>
    <t>파티원공속</t>
    <phoneticPr fontId="1" type="noConversion"/>
  </si>
  <si>
    <t>파티원이속</t>
    <phoneticPr fontId="1" type="noConversion"/>
  </si>
  <si>
    <t>난치기공속유지율</t>
    <phoneticPr fontId="1" type="noConversion"/>
  </si>
  <si>
    <t>해그리기공속유지율</t>
    <phoneticPr fontId="1" type="noConversion"/>
  </si>
  <si>
    <t>아군버프</t>
    <phoneticPr fontId="1" type="noConversion"/>
  </si>
  <si>
    <t>엘릭서</t>
    <phoneticPr fontId="1" type="noConversion"/>
  </si>
  <si>
    <t>넓은 공격</t>
  </si>
  <si>
    <t>공버프</t>
    <phoneticPr fontId="1" type="noConversion"/>
  </si>
  <si>
    <t>희귀 속행</t>
    <phoneticPr fontId="1" type="noConversion"/>
  </si>
  <si>
    <t>희귀속행 발동확률</t>
    <phoneticPr fontId="1" type="noConversion"/>
  </si>
  <si>
    <t>희귀속행 쿨감</t>
    <phoneticPr fontId="1" type="noConversion"/>
  </si>
  <si>
    <t>희귀속행 수</t>
    <phoneticPr fontId="1" type="noConversion"/>
  </si>
  <si>
    <t>희귀속행 번호</t>
    <phoneticPr fontId="1" type="noConversion"/>
  </si>
  <si>
    <t>자원의 축복</t>
    <phoneticPr fontId="1" type="noConversion"/>
  </si>
  <si>
    <t>마효증+자축</t>
    <phoneticPr fontId="1" type="noConversion"/>
  </si>
  <si>
    <t>공버프효과 (아군강화/세트)</t>
    <phoneticPr fontId="1" type="noConversion"/>
  </si>
  <si>
    <t>아이덴티티 획득 (하의/신념)</t>
    <phoneticPr fontId="1" type="noConversion"/>
  </si>
  <si>
    <t>쿨감소 (선각자)</t>
    <phoneticPr fontId="1" type="noConversion"/>
  </si>
  <si>
    <t>잉어 봉인해제!</t>
  </si>
  <si>
    <t>전설 압도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</si>
</sst>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%"/>
    <numFmt numFmtId="177" formatCode="0.00_ "/>
    <numFmt numFmtId="178" formatCode="0.0_ "/>
  </numFmts>
  <fonts count="6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7" xfId="0" applyBorder="1"/>
    <xf numFmtId="0" fontId="2" fillId="0" borderId="8" xfId="0" applyFont="1" applyBorder="1"/>
    <xf numFmtId="9" fontId="0" fillId="0" borderId="8" xfId="0" applyNumberFormat="1" applyBorder="1"/>
    <xf numFmtId="0" fontId="0" fillId="0" borderId="23" xfId="0" applyBorder="1" applyAlignment="1">
      <alignment horizontal="center"/>
    </xf>
    <xf numFmtId="0" fontId="0" fillId="0" borderId="29" xfId="0" applyBorder="1"/>
    <xf numFmtId="0" fontId="2" fillId="0" borderId="27" xfId="0" applyFont="1" applyBorder="1"/>
    <xf numFmtId="0" fontId="2" fillId="0" borderId="28" xfId="0" applyFont="1" applyBorder="1"/>
    <xf numFmtId="0" fontId="0" fillId="0" borderId="28" xfId="0" applyBorder="1"/>
    <xf numFmtId="0" fontId="0" fillId="2" borderId="10" xfId="0" applyFill="1" applyBorder="1"/>
    <xf numFmtId="0" fontId="0" fillId="2" borderId="8" xfId="0" applyFill="1" applyBorder="1"/>
    <xf numFmtId="0" fontId="0" fillId="2" borderId="9" xfId="0" applyFill="1" applyBorder="1"/>
    <xf numFmtId="9" fontId="0" fillId="0" borderId="27" xfId="0" applyNumberFormat="1" applyBorder="1"/>
    <xf numFmtId="0" fontId="0" fillId="2" borderId="27" xfId="0" applyFill="1" applyBorder="1"/>
    <xf numFmtId="0" fontId="4" fillId="0" borderId="8" xfId="0" applyFont="1" applyBorder="1"/>
    <xf numFmtId="0" fontId="0" fillId="3" borderId="2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4" fillId="0" borderId="27" xfId="0" applyFont="1" applyBorder="1"/>
    <xf numFmtId="0" fontId="4" fillId="0" borderId="9" xfId="0" applyFont="1" applyBorder="1"/>
    <xf numFmtId="0" fontId="0" fillId="0" borderId="21" xfId="0" applyBorder="1"/>
    <xf numFmtId="0" fontId="0" fillId="0" borderId="20" xfId="0" applyBorder="1"/>
    <xf numFmtId="0" fontId="0" fillId="0" borderId="26" xfId="0" applyBorder="1"/>
    <xf numFmtId="0" fontId="0" fillId="0" borderId="30" xfId="0" applyBorder="1"/>
    <xf numFmtId="0" fontId="0" fillId="0" borderId="31" xfId="0" applyBorder="1"/>
    <xf numFmtId="176" fontId="3" fillId="0" borderId="27" xfId="0" applyNumberFormat="1" applyFont="1" applyBorder="1"/>
    <xf numFmtId="177" fontId="3" fillId="0" borderId="8" xfId="0" applyNumberFormat="1" applyFont="1" applyBorder="1"/>
    <xf numFmtId="178" fontId="3" fillId="0" borderId="8" xfId="0" applyNumberFormat="1" applyFont="1" applyBorder="1"/>
    <xf numFmtId="176" fontId="4" fillId="0" borderId="8" xfId="0" applyNumberFormat="1" applyFont="1" applyBorder="1"/>
    <xf numFmtId="10" fontId="4" fillId="0" borderId="8" xfId="0" applyNumberFormat="1" applyFont="1" applyBorder="1"/>
    <xf numFmtId="178" fontId="4" fillId="0" borderId="8" xfId="0" applyNumberFormat="1" applyFont="1" applyBorder="1"/>
    <xf numFmtId="178" fontId="4" fillId="0" borderId="9" xfId="0" applyNumberFormat="1" applyFont="1" applyBorder="1"/>
    <xf numFmtId="0" fontId="0" fillId="0" borderId="36" xfId="0" applyBorder="1"/>
    <xf numFmtId="0" fontId="0" fillId="0" borderId="37" xfId="0" applyBorder="1"/>
    <xf numFmtId="9" fontId="0" fillId="0" borderId="9" xfId="0" applyNumberFormat="1" applyBorder="1"/>
    <xf numFmtId="0" fontId="2" fillId="0" borderId="23" xfId="0" applyFont="1" applyBorder="1"/>
    <xf numFmtId="0" fontId="2" fillId="0" borderId="24" xfId="0" applyFont="1" applyBorder="1"/>
    <xf numFmtId="0" fontId="0" fillId="2" borderId="3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4" fillId="0" borderId="23" xfId="0" applyFont="1" applyBorder="1"/>
    <xf numFmtId="0" fontId="4" fillId="0" borderId="17" xfId="0" applyFont="1" applyBorder="1"/>
    <xf numFmtId="0" fontId="3" fillId="0" borderId="34" xfId="0" applyFont="1" applyBorder="1"/>
    <xf numFmtId="0" fontId="3" fillId="0" borderId="35" xfId="0" applyFont="1" applyBorder="1"/>
    <xf numFmtId="0" fontId="4" fillId="0" borderId="32" xfId="0" applyFont="1" applyBorder="1"/>
    <xf numFmtId="0" fontId="4" fillId="0" borderId="4" xfId="0" applyFont="1" applyBorder="1"/>
    <xf numFmtId="0" fontId="3" fillId="0" borderId="23" xfId="0" applyFont="1" applyBorder="1"/>
    <xf numFmtId="0" fontId="3" fillId="0" borderId="17" xfId="0" applyFont="1" applyBorder="1"/>
    <xf numFmtId="0" fontId="4" fillId="0" borderId="33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1">
    <cellStyle name="표준" xfId="0" builtinId="0"/>
  </cellStyles>
  <dxfs count="33"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rgb="FF7030A0"/>
      </font>
    </dxf>
    <dxf>
      <font>
        <color rgb="FF00B050"/>
      </font>
    </dxf>
    <dxf>
      <font>
        <color rgb="FF0070C0"/>
      </font>
    </dxf>
    <dxf>
      <font>
        <color theme="7" tint="-0.24994659260841701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tabSelected="1" workbookViewId="0">
      <selection activeCell="D27" sqref="D27"/>
    </sheetView>
  </sheetViews>
  <sheetFormatPr defaultRowHeight="17" x14ac:dyDescent="0.45"/>
  <cols>
    <col min="2" max="2" width="10.4140625" bestFit="1" customWidth="1"/>
    <col min="3" max="5" width="11.08203125" bestFit="1" customWidth="1"/>
    <col min="10" max="10" width="8.6640625" customWidth="1"/>
    <col min="11" max="11" width="9.4140625" bestFit="1" customWidth="1"/>
    <col min="15" max="15" width="25.4140625" bestFit="1" customWidth="1"/>
  </cols>
  <sheetData>
    <row r="1" spans="2:16" ht="17.5" thickBot="1" x14ac:dyDescent="0.5"/>
    <row r="2" spans="2:16" ht="18" thickBot="1" x14ac:dyDescent="0.5">
      <c r="B2" s="63" t="s">
        <v>0</v>
      </c>
      <c r="C2" s="64"/>
      <c r="I2" s="67" t="str">
        <f>IF(K2&gt;=0.25,"찬란한 ",IF(K2&gt;=0.2,"숭고한 ",""))&amp;"조력자"</f>
        <v>찬란한 조력자</v>
      </c>
      <c r="J2" s="68"/>
      <c r="K2" s="45">
        <f>뒷면!BL7</f>
        <v>0.28915265624431491</v>
      </c>
    </row>
    <row r="3" spans="2:16" x14ac:dyDescent="0.45">
      <c r="B3" s="30" t="s">
        <v>1</v>
      </c>
      <c r="C3" s="22">
        <v>600</v>
      </c>
      <c r="I3" s="69" t="s">
        <v>331</v>
      </c>
      <c r="J3" s="70"/>
      <c r="K3" s="48">
        <f>뒷면!BL6-1</f>
        <v>0.40677180379771571</v>
      </c>
    </row>
    <row r="4" spans="2:16" ht="17.5" thickBot="1" x14ac:dyDescent="0.5">
      <c r="B4" s="28" t="s">
        <v>2</v>
      </c>
      <c r="C4" s="13">
        <v>1800</v>
      </c>
      <c r="I4" s="69" t="s">
        <v>136</v>
      </c>
      <c r="J4" s="70"/>
      <c r="K4" s="49">
        <f>뒷면!BI13</f>
        <v>0.86532414847350536</v>
      </c>
    </row>
    <row r="5" spans="2:16" ht="18" thickBot="1" x14ac:dyDescent="0.5">
      <c r="B5" s="26" t="s">
        <v>115</v>
      </c>
      <c r="C5" s="14">
        <v>2</v>
      </c>
      <c r="I5" s="71" t="s">
        <v>276</v>
      </c>
      <c r="J5" s="72"/>
      <c r="K5" s="46">
        <f>뒷면!BL13</f>
        <v>29.782383119736984</v>
      </c>
    </row>
    <row r="6" spans="2:16" ht="17.5" x14ac:dyDescent="0.45">
      <c r="B6" s="27" t="s">
        <v>142</v>
      </c>
      <c r="C6" s="12">
        <v>3</v>
      </c>
      <c r="I6" s="71" t="str">
        <f>"순간 무력("&amp;P16&amp;"초)"</f>
        <v>순간 무력(5초)</v>
      </c>
      <c r="J6" s="72"/>
      <c r="K6" s="47">
        <f>뒷면!DY4</f>
        <v>297.024</v>
      </c>
      <c r="L6" t="str">
        <f>IF(P17=뒷면!S4,"",뒷면!DY5)</f>
        <v/>
      </c>
      <c r="N6" s="60" t="s">
        <v>298</v>
      </c>
      <c r="O6" s="23" t="s">
        <v>149</v>
      </c>
      <c r="P6" s="18">
        <v>0.5</v>
      </c>
    </row>
    <row r="7" spans="2:16" ht="17.5" thickBot="1" x14ac:dyDescent="0.5">
      <c r="B7" s="28" t="s">
        <v>116</v>
      </c>
      <c r="C7" s="13">
        <v>3</v>
      </c>
      <c r="I7" s="65" t="s">
        <v>234</v>
      </c>
      <c r="J7" s="66"/>
      <c r="K7" s="50">
        <f>뒷면!CG13</f>
        <v>36.812804351159336</v>
      </c>
      <c r="N7" s="61"/>
      <c r="O7" s="19" t="s">
        <v>302</v>
      </c>
      <c r="P7" s="7">
        <v>1</v>
      </c>
    </row>
    <row r="8" spans="2:16" ht="18" thickBot="1" x14ac:dyDescent="0.5">
      <c r="I8" s="71" t="s">
        <v>138</v>
      </c>
      <c r="J8" s="72"/>
      <c r="K8" s="47">
        <f>뒷면!CB13</f>
        <v>-41.367330479009638</v>
      </c>
      <c r="N8" s="61"/>
      <c r="O8" s="19" t="s">
        <v>245</v>
      </c>
      <c r="P8" s="20"/>
    </row>
    <row r="9" spans="2:16" ht="17.5" thickBot="1" x14ac:dyDescent="0.5">
      <c r="B9" s="32" t="s">
        <v>3</v>
      </c>
      <c r="C9" s="34">
        <v>4</v>
      </c>
      <c r="D9" s="35">
        <v>7</v>
      </c>
      <c r="E9" s="36">
        <v>10</v>
      </c>
      <c r="F9" s="33" t="s">
        <v>117</v>
      </c>
      <c r="G9" s="37" t="s">
        <v>140</v>
      </c>
      <c r="I9" s="73" t="s">
        <v>272</v>
      </c>
      <c r="J9" s="74"/>
      <c r="K9" s="51">
        <f>뒷면!BY13</f>
        <v>5.8699090944075314</v>
      </c>
      <c r="N9" s="61"/>
      <c r="O9" s="19" t="s">
        <v>215</v>
      </c>
      <c r="P9" s="7" t="s">
        <v>144</v>
      </c>
    </row>
    <row r="10" spans="2:16" x14ac:dyDescent="0.45">
      <c r="B10" s="26" t="s">
        <v>7</v>
      </c>
      <c r="C10" s="9"/>
      <c r="D10" s="10"/>
      <c r="E10" s="11"/>
      <c r="F10" s="15"/>
      <c r="G10" s="38"/>
      <c r="N10" s="61"/>
      <c r="O10" s="31" t="s">
        <v>214</v>
      </c>
      <c r="P10" s="7" t="s">
        <v>144</v>
      </c>
    </row>
    <row r="11" spans="2:16" x14ac:dyDescent="0.45">
      <c r="B11" s="27" t="s">
        <v>8</v>
      </c>
      <c r="C11" s="2" t="s">
        <v>28</v>
      </c>
      <c r="D11" s="1" t="s">
        <v>36</v>
      </c>
      <c r="E11" s="3" t="s">
        <v>41</v>
      </c>
      <c r="F11" s="16" t="s">
        <v>346</v>
      </c>
      <c r="G11" s="31">
        <v>10</v>
      </c>
      <c r="N11" s="61"/>
      <c r="O11" s="7" t="s">
        <v>240</v>
      </c>
      <c r="P11" s="7">
        <v>1</v>
      </c>
    </row>
    <row r="12" spans="2:16" x14ac:dyDescent="0.45">
      <c r="B12" s="27" t="s">
        <v>9</v>
      </c>
      <c r="C12" s="2"/>
      <c r="D12" s="1"/>
      <c r="E12" s="3"/>
      <c r="F12" s="16"/>
      <c r="G12" s="31"/>
      <c r="N12" s="61"/>
      <c r="O12" s="7" t="s">
        <v>303</v>
      </c>
      <c r="P12" s="7">
        <v>0.95</v>
      </c>
    </row>
    <row r="13" spans="2:16" ht="17.5" thickBot="1" x14ac:dyDescent="0.5">
      <c r="B13" s="27" t="s">
        <v>10</v>
      </c>
      <c r="C13" s="2" t="s">
        <v>21</v>
      </c>
      <c r="D13" s="1" t="s">
        <v>52</v>
      </c>
      <c r="E13" s="3" t="s">
        <v>56</v>
      </c>
      <c r="F13" s="16" t="s">
        <v>119</v>
      </c>
      <c r="G13" s="31">
        <v>10</v>
      </c>
      <c r="N13" s="62"/>
      <c r="O13" s="8" t="s">
        <v>273</v>
      </c>
      <c r="P13" s="8">
        <v>1</v>
      </c>
    </row>
    <row r="14" spans="2:16" x14ac:dyDescent="0.45">
      <c r="B14" s="27" t="s">
        <v>11</v>
      </c>
      <c r="C14" s="2"/>
      <c r="D14" s="1"/>
      <c r="E14" s="3"/>
      <c r="F14" s="16"/>
      <c r="G14" s="31"/>
      <c r="N14" s="60" t="s">
        <v>299</v>
      </c>
      <c r="O14" s="24" t="s">
        <v>150</v>
      </c>
      <c r="P14" s="18">
        <v>1</v>
      </c>
    </row>
    <row r="15" spans="2:16" x14ac:dyDescent="0.45">
      <c r="B15" s="27" t="s">
        <v>6</v>
      </c>
      <c r="C15" s="2" t="s">
        <v>63</v>
      </c>
      <c r="D15" s="1" t="s">
        <v>24</v>
      </c>
      <c r="E15" s="3" t="s">
        <v>67</v>
      </c>
      <c r="F15" s="16" t="s">
        <v>124</v>
      </c>
      <c r="G15" s="31">
        <v>10</v>
      </c>
      <c r="N15" s="61"/>
      <c r="O15" s="55" t="s">
        <v>152</v>
      </c>
      <c r="P15" s="7">
        <v>3267</v>
      </c>
    </row>
    <row r="16" spans="2:16" x14ac:dyDescent="0.45">
      <c r="B16" s="27" t="s">
        <v>12</v>
      </c>
      <c r="C16" s="2"/>
      <c r="D16" s="1"/>
      <c r="E16" s="3"/>
      <c r="F16" s="21"/>
      <c r="G16" s="31">
        <v>10</v>
      </c>
      <c r="N16" s="61"/>
      <c r="O16" s="16" t="s">
        <v>221</v>
      </c>
      <c r="P16" s="7">
        <v>5</v>
      </c>
    </row>
    <row r="17" spans="2:16" ht="17.5" thickBot="1" x14ac:dyDescent="0.5">
      <c r="B17" s="27" t="s">
        <v>13</v>
      </c>
      <c r="C17" s="2"/>
      <c r="D17" s="1"/>
      <c r="E17" s="3"/>
      <c r="F17" s="16"/>
      <c r="G17" s="31"/>
      <c r="N17" s="62"/>
      <c r="O17" s="17" t="s">
        <v>267</v>
      </c>
      <c r="P17" s="8" t="s">
        <v>147</v>
      </c>
    </row>
    <row r="18" spans="2:16" x14ac:dyDescent="0.45">
      <c r="B18" s="27" t="s">
        <v>15</v>
      </c>
      <c r="C18" s="2"/>
      <c r="D18" s="1"/>
      <c r="E18" s="3"/>
      <c r="F18" s="16"/>
      <c r="G18" s="31"/>
      <c r="N18" s="60" t="s">
        <v>300</v>
      </c>
      <c r="O18" s="16" t="s">
        <v>253</v>
      </c>
      <c r="P18" s="7">
        <v>0</v>
      </c>
    </row>
    <row r="19" spans="2:16" x14ac:dyDescent="0.45">
      <c r="B19" s="27" t="s">
        <v>14</v>
      </c>
      <c r="C19" s="2"/>
      <c r="D19" s="1"/>
      <c r="E19" s="3"/>
      <c r="F19" s="16"/>
      <c r="G19" s="31"/>
      <c r="N19" s="61"/>
      <c r="O19" s="16" t="s">
        <v>139</v>
      </c>
      <c r="P19" s="7">
        <v>0</v>
      </c>
    </row>
    <row r="20" spans="2:16" ht="17.5" thickBot="1" x14ac:dyDescent="0.5">
      <c r="B20" s="27" t="s">
        <v>16</v>
      </c>
      <c r="C20" s="2" t="s">
        <v>28</v>
      </c>
      <c r="D20" s="1" t="s">
        <v>91</v>
      </c>
      <c r="E20" s="3" t="s">
        <v>95</v>
      </c>
      <c r="F20" s="16" t="s">
        <v>122</v>
      </c>
      <c r="G20" s="31">
        <v>10</v>
      </c>
      <c r="N20" s="62"/>
      <c r="O20" s="17" t="s">
        <v>143</v>
      </c>
      <c r="P20" s="8">
        <v>0.5</v>
      </c>
    </row>
    <row r="21" spans="2:16" x14ac:dyDescent="0.45">
      <c r="B21" s="27" t="s">
        <v>17</v>
      </c>
      <c r="C21" s="2" t="s">
        <v>21</v>
      </c>
      <c r="D21" s="1" t="s">
        <v>333</v>
      </c>
      <c r="E21" s="3" t="s">
        <v>345</v>
      </c>
      <c r="F21" s="16" t="s">
        <v>124</v>
      </c>
      <c r="G21" s="31">
        <v>10</v>
      </c>
      <c r="N21" s="60" t="s">
        <v>301</v>
      </c>
      <c r="O21" s="25" t="s">
        <v>274</v>
      </c>
      <c r="P21" s="29">
        <v>0</v>
      </c>
    </row>
    <row r="22" spans="2:16" x14ac:dyDescent="0.45">
      <c r="B22" s="27" t="s">
        <v>5</v>
      </c>
      <c r="C22" s="2" t="s">
        <v>26</v>
      </c>
      <c r="D22" s="1" t="s">
        <v>43</v>
      </c>
      <c r="E22" s="3" t="s">
        <v>101</v>
      </c>
      <c r="F22" s="16" t="s">
        <v>118</v>
      </c>
      <c r="G22" s="31">
        <v>10</v>
      </c>
      <c r="N22" s="61"/>
      <c r="O22" s="16" t="s">
        <v>241</v>
      </c>
      <c r="P22" s="7">
        <v>0</v>
      </c>
    </row>
    <row r="23" spans="2:16" ht="17.5" thickBot="1" x14ac:dyDescent="0.5">
      <c r="B23" s="27" t="s">
        <v>18</v>
      </c>
      <c r="C23" s="2"/>
      <c r="D23" s="1"/>
      <c r="E23" s="3"/>
      <c r="F23" s="16"/>
      <c r="G23" s="31"/>
      <c r="N23" s="61"/>
      <c r="O23" s="52" t="s">
        <v>216</v>
      </c>
      <c r="P23" s="53">
        <v>0</v>
      </c>
    </row>
    <row r="24" spans="2:16" x14ac:dyDescent="0.45">
      <c r="B24" s="27" t="s">
        <v>19</v>
      </c>
      <c r="C24" s="2" t="s">
        <v>21</v>
      </c>
      <c r="D24" s="1" t="s">
        <v>85</v>
      </c>
      <c r="E24" s="3"/>
      <c r="F24" s="16" t="s">
        <v>118</v>
      </c>
      <c r="G24" s="31">
        <v>10</v>
      </c>
      <c r="N24" s="57" t="s">
        <v>332</v>
      </c>
      <c r="O24" s="25" t="s">
        <v>340</v>
      </c>
      <c r="P24" s="29">
        <v>0</v>
      </c>
    </row>
    <row r="25" spans="2:16" ht="17.5" thickBot="1" x14ac:dyDescent="0.5">
      <c r="B25" s="28" t="s">
        <v>4</v>
      </c>
      <c r="C25" s="6" t="s">
        <v>85</v>
      </c>
      <c r="D25" s="4" t="s">
        <v>109</v>
      </c>
      <c r="E25" s="5" t="s">
        <v>112</v>
      </c>
      <c r="F25" s="17" t="s">
        <v>183</v>
      </c>
      <c r="G25" s="39">
        <v>10</v>
      </c>
      <c r="N25" s="58"/>
      <c r="O25" s="55" t="s">
        <v>344</v>
      </c>
      <c r="P25" s="20">
        <v>0</v>
      </c>
    </row>
    <row r="26" spans="2:16" x14ac:dyDescent="0.45">
      <c r="N26" s="58"/>
      <c r="O26" s="55" t="s">
        <v>343</v>
      </c>
      <c r="P26" s="20">
        <v>0</v>
      </c>
    </row>
    <row r="27" spans="2:16" ht="17.5" thickBot="1" x14ac:dyDescent="0.5">
      <c r="N27" s="59"/>
      <c r="O27" s="56" t="s">
        <v>342</v>
      </c>
      <c r="P27" s="54">
        <v>0</v>
      </c>
    </row>
  </sheetData>
  <mergeCells count="14">
    <mergeCell ref="N24:N27"/>
    <mergeCell ref="N18:N20"/>
    <mergeCell ref="N21:N23"/>
    <mergeCell ref="B2:C2"/>
    <mergeCell ref="N6:N13"/>
    <mergeCell ref="N14:N17"/>
    <mergeCell ref="I7:J7"/>
    <mergeCell ref="I2:J2"/>
    <mergeCell ref="I4:J4"/>
    <mergeCell ref="I5:J5"/>
    <mergeCell ref="I6:J6"/>
    <mergeCell ref="I8:J8"/>
    <mergeCell ref="I3:J3"/>
    <mergeCell ref="I9:J9"/>
  </mergeCells>
  <phoneticPr fontId="1" type="noConversion"/>
  <conditionalFormatting sqref="B10:B25">
    <cfRule type="expression" dxfId="32" priority="34">
      <formula>IF($C10="",FALSE,TRUE)</formula>
    </cfRule>
  </conditionalFormatting>
  <conditionalFormatting sqref="F10:F25">
    <cfRule type="containsText" dxfId="31" priority="38" operator="containsText" text="전설">
      <formula>NOT(ISERROR(SEARCH("전설",F10)))</formula>
    </cfRule>
    <cfRule type="containsText" dxfId="30" priority="36" operator="containsText" text="희귀">
      <formula>NOT(ISERROR(SEARCH("희귀",F10)))</formula>
    </cfRule>
    <cfRule type="containsText" dxfId="29" priority="35" operator="containsText" text="고급">
      <formula>NOT(ISERROR(SEARCH("고급",F10)))</formula>
    </cfRule>
    <cfRule type="containsText" dxfId="28" priority="37" operator="containsText" text="영웅">
      <formula>NOT(ISERROR(SEARCH("영웅",F10)))</formula>
    </cfRule>
  </conditionalFormatting>
  <conditionalFormatting sqref="K2:K3">
    <cfRule type="cellIs" dxfId="27" priority="32" operator="lessThan">
      <formula>0.15</formula>
    </cfRule>
    <cfRule type="cellIs" dxfId="26" priority="29" operator="greaterThanOrEqual">
      <formula>0.15</formula>
    </cfRule>
    <cfRule type="cellIs" dxfId="25" priority="28" operator="greaterThanOrEqual">
      <formula>0.2</formula>
    </cfRule>
    <cfRule type="cellIs" dxfId="24" priority="27" operator="greaterThanOrEqual">
      <formula>0.25</formula>
    </cfRule>
  </conditionalFormatting>
  <conditionalFormatting sqref="K4">
    <cfRule type="cellIs" dxfId="23" priority="26" operator="lessThanOrEqual">
      <formula>0.8</formula>
    </cfRule>
    <cfRule type="cellIs" dxfId="22" priority="25" operator="greaterThan">
      <formula>0.8</formula>
    </cfRule>
    <cfRule type="cellIs" dxfId="21" priority="24" operator="greaterThan">
      <formula>0.9</formula>
    </cfRule>
    <cfRule type="cellIs" dxfId="20" priority="23" operator="greaterThan">
      <formula>1</formula>
    </cfRule>
  </conditionalFormatting>
  <conditionalFormatting sqref="K5">
    <cfRule type="cellIs" dxfId="19" priority="5" operator="greaterThan">
      <formula>40</formula>
    </cfRule>
    <cfRule type="cellIs" dxfId="18" priority="6" operator="between">
      <formula>30</formula>
      <formula>40</formula>
    </cfRule>
    <cfRule type="cellIs" dxfId="17" priority="7" operator="between">
      <formula>25</formula>
      <formula>30</formula>
    </cfRule>
    <cfRule type="cellIs" dxfId="16" priority="8" operator="lessThan">
      <formula>25</formula>
    </cfRule>
  </conditionalFormatting>
  <conditionalFormatting sqref="K6">
    <cfRule type="cellIs" dxfId="15" priority="20" operator="greaterThan">
      <formula>200</formula>
    </cfRule>
    <cfRule type="cellIs" dxfId="14" priority="21" operator="greaterThan">
      <formula>100</formula>
    </cfRule>
    <cfRule type="cellIs" dxfId="13" priority="22" operator="lessThanOrEqual">
      <formula>100</formula>
    </cfRule>
    <cfRule type="cellIs" dxfId="12" priority="19" operator="greaterThan">
      <formula>300</formula>
    </cfRule>
  </conditionalFormatting>
  <conditionalFormatting sqref="K7">
    <cfRule type="cellIs" dxfId="11" priority="17" operator="greaterThanOrEqual">
      <formula>30</formula>
    </cfRule>
    <cfRule type="cellIs" dxfId="10" priority="16" operator="greaterThanOrEqual">
      <formula>40</formula>
    </cfRule>
    <cfRule type="cellIs" dxfId="9" priority="15" operator="greaterThanOrEqual">
      <formula>50</formula>
    </cfRule>
    <cfRule type="cellIs" dxfId="8" priority="18" operator="lessThan">
      <formula>30</formula>
    </cfRule>
  </conditionalFormatting>
  <conditionalFormatting sqref="K8">
    <cfRule type="cellIs" dxfId="7" priority="14" operator="lessThan">
      <formula>-80</formula>
    </cfRule>
    <cfRule type="cellIs" dxfId="6" priority="13" operator="between">
      <formula>-80</formula>
      <formula>-50</formula>
    </cfRule>
    <cfRule type="cellIs" dxfId="5" priority="12" operator="between">
      <formula>-50</formula>
      <formula>-40</formula>
    </cfRule>
    <cfRule type="cellIs" dxfId="4" priority="11" operator="greaterThanOrEqual">
      <formula>-40</formula>
    </cfRule>
  </conditionalFormatting>
  <conditionalFormatting sqref="K9">
    <cfRule type="cellIs" dxfId="3" priority="4" operator="lessThan">
      <formula>0</formula>
    </cfRule>
    <cfRule type="cellIs" dxfId="2" priority="3" operator="between">
      <formula>0</formula>
      <formula>7.5</formula>
    </cfRule>
    <cfRule type="cellIs" dxfId="1" priority="2" operator="between">
      <formula>7.5</formula>
      <formula>15</formula>
    </cfRule>
    <cfRule type="cellIs" dxfId="0" priority="1" operator="greaterThan">
      <formula>15</formula>
    </cfRule>
  </conditionalFormatting>
  <dataValidations count="2">
    <dataValidation type="decimal" allowBlank="1" showInputMessage="1" showErrorMessage="1" sqref="P20 P6:P7" xr:uid="{2564AE24-AB37-4C3E-B7F3-CA3AFBD34332}">
      <formula1>0</formula1>
      <formula2>1</formula2>
    </dataValidation>
    <dataValidation type="decimal" allowBlank="1" showInputMessage="1" showErrorMessage="1" sqref="P16" xr:uid="{008FCCD4-B260-4615-84F3-0AF657F55339}">
      <formula1>0</formula1>
      <formula2>10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7">
        <x14:dataValidation type="list" showInputMessage="1" showErrorMessage="1" xr:uid="{889D0E3B-92DD-433A-9CA1-F83659D04A40}">
          <x14:formula1>
            <xm:f>뒷면!$E$32:$E$34</xm:f>
          </x14:formula1>
          <xm:sqref>E17</xm:sqref>
        </x14:dataValidation>
        <x14:dataValidation type="list" showInputMessage="1" showErrorMessage="1" xr:uid="{8D27E0DA-94FA-488E-ABDA-A51BEFF49768}">
          <x14:formula1>
            <xm:f>뒷면!$E$52:$E$54</xm:f>
          </x14:formula1>
          <xm:sqref>E22</xm:sqref>
        </x14:dataValidation>
        <x14:dataValidation type="list" allowBlank="1" showInputMessage="1" showErrorMessage="1" xr:uid="{A64C0B8A-18E4-4E5D-8804-980509D97F4B}">
          <x14:formula1>
            <xm:f>뒷면!$Q$3:$Q$6</xm:f>
          </x14:formula1>
          <xm:sqref>C5:C7 P18:P19</xm:sqref>
        </x14:dataValidation>
        <x14:dataValidation type="list" allowBlank="1" showInputMessage="1" showErrorMessage="1" xr:uid="{9D432046-F059-4088-B137-2E12559A6BF8}">
          <x14:formula1>
            <xm:f>뒷면!$S$3:$S$4</xm:f>
          </x14:formula1>
          <xm:sqref>P9:P10 P17</xm:sqref>
        </x14:dataValidation>
        <x14:dataValidation type="list" allowBlank="1" showInputMessage="1" showErrorMessage="1" xr:uid="{6B5BAD76-5831-4C36-9441-C83356D69A38}">
          <x14:formula1>
            <xm:f>뒷면!$R$3:$R$13</xm:f>
          </x14:formula1>
          <xm:sqref>G10:G25</xm:sqref>
        </x14:dataValidation>
        <x14:dataValidation type="list" allowBlank="1" showInputMessage="1" showErrorMessage="1" xr:uid="{D9B3EA9C-9975-4E05-826F-0C9F2794FFD5}">
          <x14:formula1>
            <xm:f>뒷면!$T$3:$T$6</xm:f>
          </x14:formula1>
          <xm:sqref>P8</xm:sqref>
        </x14:dataValidation>
        <x14:dataValidation type="list" allowBlank="1" showInputMessage="1" showErrorMessage="1" xr:uid="{EFEDF68E-2FA8-4E9B-B2E8-8A278E79B312}">
          <x14:formula1>
            <xm:f>뒷면!$N$3:$N$22</xm:f>
          </x14:formula1>
          <xm:sqref>F10:F25</xm:sqref>
        </x14:dataValidation>
        <x14:dataValidation type="list" showInputMessage="1" showErrorMessage="1" xr:uid="{A29F7458-32EF-45D0-A8F6-8174EE2B4253}">
          <x14:formula1>
            <xm:f>뒷면!C$16:C$19</xm:f>
          </x14:formula1>
          <xm:sqref>C13:D13</xm:sqref>
        </x14:dataValidation>
        <x14:dataValidation type="list" showInputMessage="1" showErrorMessage="1" xr:uid="{B88C3DAA-E789-4794-8B5A-0B87A9605056}">
          <x14:formula1>
            <xm:f>뒷면!C$56:C$59</xm:f>
          </x14:formula1>
          <xm:sqref>C23:D23</xm:sqref>
        </x14:dataValidation>
        <x14:dataValidation type="list" showInputMessage="1" showErrorMessage="1" xr:uid="{4DFA32D6-0A6A-43EB-8289-5D5B3A8CF243}">
          <x14:formula1>
            <xm:f>뒷면!C$60:C$63</xm:f>
          </x14:formula1>
          <xm:sqref>C24:D24</xm:sqref>
        </x14:dataValidation>
        <x14:dataValidation type="list" showInputMessage="1" showErrorMessage="1" xr:uid="{D6D47A02-F287-4F97-BBA4-E6D07D0D3224}">
          <x14:formula1>
            <xm:f>뒷면!C$52:C$55</xm:f>
          </x14:formula1>
          <xm:sqref>C22:D22</xm:sqref>
        </x14:dataValidation>
        <x14:dataValidation type="list" showInputMessage="1" showErrorMessage="1" xr:uid="{4960F83B-AD97-4D85-99A8-9AECB1E5B266}">
          <x14:formula1>
            <xm:f>뒷면!C$8:C$11</xm:f>
          </x14:formula1>
          <xm:sqref>C11:D11</xm:sqref>
        </x14:dataValidation>
        <x14:dataValidation type="list" showInputMessage="1" showErrorMessage="1" xr:uid="{11132AB8-9D95-47A0-A4D2-67F1CC42D4FC}">
          <x14:formula1>
            <xm:f>뒷면!C$12:C$15</xm:f>
          </x14:formula1>
          <xm:sqref>C12:D12</xm:sqref>
        </x14:dataValidation>
        <x14:dataValidation type="list" showInputMessage="1" showErrorMessage="1" xr:uid="{DE726E21-85D1-43CB-8B6D-4EFCF3C30B3A}">
          <x14:formula1>
            <xm:f>뒷면!C$20:C$23</xm:f>
          </x14:formula1>
          <xm:sqref>C14:D14</xm:sqref>
        </x14:dataValidation>
        <x14:dataValidation type="list" showInputMessage="1" showErrorMessage="1" xr:uid="{9E647D9E-3EEC-4C7A-9476-73D6C73A1C56}">
          <x14:formula1>
            <xm:f>뒷면!C$24:C$27</xm:f>
          </x14:formula1>
          <xm:sqref>C15:D15</xm:sqref>
        </x14:dataValidation>
        <x14:dataValidation type="list" showInputMessage="1" showErrorMessage="1" xr:uid="{F6C6EC71-4473-4984-A7E4-1586C6EFF0CF}">
          <x14:formula1>
            <xm:f>뒷면!C$28:C$31</xm:f>
          </x14:formula1>
          <xm:sqref>C16:D16</xm:sqref>
        </x14:dataValidation>
        <x14:dataValidation type="list" showInputMessage="1" showErrorMessage="1" xr:uid="{72B97E32-8E2D-4EFD-9353-DE04545C0644}">
          <x14:formula1>
            <xm:f>뒷면!C$32:C$35</xm:f>
          </x14:formula1>
          <xm:sqref>C17:D17</xm:sqref>
        </x14:dataValidation>
        <x14:dataValidation type="list" showInputMessage="1" showErrorMessage="1" xr:uid="{9CAE67A0-FBA5-4D47-82EE-FDEF1ACCC399}">
          <x14:formula1>
            <xm:f>뒷면!C$36:C$39</xm:f>
          </x14:formula1>
          <xm:sqref>C18:D18</xm:sqref>
        </x14:dataValidation>
        <x14:dataValidation type="list" showInputMessage="1" showErrorMessage="1" xr:uid="{ACA34160-51A4-474A-A56C-AB22BC137CD4}">
          <x14:formula1>
            <xm:f>뒷면!C$40:C$43</xm:f>
          </x14:formula1>
          <xm:sqref>C19:D19</xm:sqref>
        </x14:dataValidation>
        <x14:dataValidation type="list" showInputMessage="1" showErrorMessage="1" xr:uid="{66FB22F7-7CF3-44DF-BF31-1EF0CDCCE5C7}">
          <x14:formula1>
            <xm:f>뒷면!C$44:C$47</xm:f>
          </x14:formula1>
          <xm:sqref>C20:D20</xm:sqref>
        </x14:dataValidation>
        <x14:dataValidation type="list" showInputMessage="1" showErrorMessage="1" xr:uid="{9EC56990-7A29-4D5A-A09F-D23B7022F6AE}">
          <x14:formula1>
            <xm:f>뒷면!C$48:C$51</xm:f>
          </x14:formula1>
          <xm:sqref>C21:D21</xm:sqref>
        </x14:dataValidation>
        <x14:dataValidation type="list" showInputMessage="1" showErrorMessage="1" xr:uid="{170286EA-F001-49E9-8296-907615DAB999}">
          <x14:formula1>
            <xm:f>뒷면!C$64:C$67</xm:f>
          </x14:formula1>
          <xm:sqref>C25:D25</xm:sqref>
        </x14:dataValidation>
        <x14:dataValidation type="list" showInputMessage="1" showErrorMessage="1" xr:uid="{917D1A50-E9D7-4DAB-AB22-733D874EF884}">
          <x14:formula1>
            <xm:f>뒷면!C$4:C$7</xm:f>
          </x14:formula1>
          <xm:sqref>C10:D10</xm:sqref>
        </x14:dataValidation>
        <x14:dataValidation type="list" showInputMessage="1" showErrorMessage="1" xr:uid="{FDA58F0C-961D-4DEB-BA22-47E00A790B8A}">
          <x14:formula1>
            <xm:f>뒷면!E$4:E$6</xm:f>
          </x14:formula1>
          <xm:sqref>E10</xm:sqref>
        </x14:dataValidation>
        <x14:dataValidation type="list" showInputMessage="1" showErrorMessage="1" xr:uid="{EDC30DCA-D6FD-44A0-BC1D-048EB8C3C770}">
          <x14:formula1>
            <xm:f>뒷면!E$8:E$10</xm:f>
          </x14:formula1>
          <xm:sqref>E11</xm:sqref>
        </x14:dataValidation>
        <x14:dataValidation type="list" showInputMessage="1" showErrorMessage="1" xr:uid="{F4A018BD-976B-4DA6-8D7D-37712ED178B0}">
          <x14:formula1>
            <xm:f>뒷면!E$12:E$14</xm:f>
          </x14:formula1>
          <xm:sqref>E12</xm:sqref>
        </x14:dataValidation>
        <x14:dataValidation type="list" showInputMessage="1" showErrorMessage="1" xr:uid="{A1022ABD-6EF4-4CCA-A844-E66FD2AABEB5}">
          <x14:formula1>
            <xm:f>뒷면!E$16:E$18</xm:f>
          </x14:formula1>
          <xm:sqref>E13</xm:sqref>
        </x14:dataValidation>
        <x14:dataValidation type="list" showInputMessage="1" showErrorMessage="1" xr:uid="{9FC431E7-C0CC-421B-B6B0-64BF782167DD}">
          <x14:formula1>
            <xm:f>뒷면!E$20:E$22</xm:f>
          </x14:formula1>
          <xm:sqref>E14</xm:sqref>
        </x14:dataValidation>
        <x14:dataValidation type="list" showInputMessage="1" showErrorMessage="1" xr:uid="{1D911B61-940C-49F8-B29F-AD4DD044E217}">
          <x14:formula1>
            <xm:f>뒷면!E$24:E$26</xm:f>
          </x14:formula1>
          <xm:sqref>E15</xm:sqref>
        </x14:dataValidation>
        <x14:dataValidation type="list" showInputMessage="1" showErrorMessage="1" xr:uid="{5D831F75-B03E-4A91-B2D6-E9BD45203C29}">
          <x14:formula1>
            <xm:f>뒷면!E$28:E$30</xm:f>
          </x14:formula1>
          <xm:sqref>E16</xm:sqref>
        </x14:dataValidation>
        <x14:dataValidation type="list" showInputMessage="1" showErrorMessage="1" xr:uid="{643A45D1-2893-4548-829E-C64562CE2964}">
          <x14:formula1>
            <xm:f>뒷면!E$36:E$38</xm:f>
          </x14:formula1>
          <xm:sqref>E18</xm:sqref>
        </x14:dataValidation>
        <x14:dataValidation type="list" showInputMessage="1" showErrorMessage="1" xr:uid="{6D222541-E7A6-4F44-BAB0-A9536EF0E875}">
          <x14:formula1>
            <xm:f>뒷면!E$40:E$42</xm:f>
          </x14:formula1>
          <xm:sqref>E19</xm:sqref>
        </x14:dataValidation>
        <x14:dataValidation type="list" showInputMessage="1" showErrorMessage="1" xr:uid="{E01C63E9-7840-430A-BC2E-036CDCF62090}">
          <x14:formula1>
            <xm:f>뒷면!E$44:E$46</xm:f>
          </x14:formula1>
          <xm:sqref>E20</xm:sqref>
        </x14:dataValidation>
        <x14:dataValidation type="list" showInputMessage="1" showErrorMessage="1" xr:uid="{35BA3739-29B1-4F29-8BCA-82E41B6709CD}">
          <x14:formula1>
            <xm:f>뒷면!E$48:E$50</xm:f>
          </x14:formula1>
          <xm:sqref>E21</xm:sqref>
        </x14:dataValidation>
        <x14:dataValidation type="list" showInputMessage="1" showErrorMessage="1" xr:uid="{CEA0AAEA-21CC-4288-9A9E-BD1CF507CC3B}">
          <x14:formula1>
            <xm:f>뒷면!E$56:E$58</xm:f>
          </x14:formula1>
          <xm:sqref>E23</xm:sqref>
        </x14:dataValidation>
        <x14:dataValidation type="list" showInputMessage="1" showErrorMessage="1" xr:uid="{7DD72ED1-9AF8-47C2-8649-7593E75D5D53}">
          <x14:formula1>
            <xm:f>뒷면!E$60:E$62</xm:f>
          </x14:formula1>
          <xm:sqref>E24</xm:sqref>
        </x14:dataValidation>
        <x14:dataValidation type="list" showInputMessage="1" showErrorMessage="1" xr:uid="{19A04E59-9EF3-4C46-93AB-AD2FBEA63B56}">
          <x14:formula1>
            <xm:f>뒷면!E$64:E$66</xm:f>
          </x14:formula1>
          <xm:sqref>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9C2FF-E5BC-44C9-9B0E-9451FD09ECB7}">
  <dimension ref="B2:DY72"/>
  <sheetViews>
    <sheetView topLeftCell="A6" workbookViewId="0">
      <selection activeCell="Q28" sqref="Q28"/>
    </sheetView>
  </sheetViews>
  <sheetFormatPr defaultRowHeight="17" x14ac:dyDescent="0.45"/>
  <cols>
    <col min="3" max="4" width="13.08203125" bestFit="1" customWidth="1"/>
    <col min="5" max="5" width="16.4140625" bestFit="1" customWidth="1"/>
    <col min="22" max="22" width="23.6640625" bestFit="1" customWidth="1"/>
    <col min="27" max="27" width="8.6640625" style="44"/>
    <col min="51" max="51" width="8.6640625" style="44"/>
    <col min="64" max="64" width="8.6640625" style="44"/>
    <col min="68" max="68" width="8.6640625" style="44"/>
    <col min="78" max="78" width="8.6640625" style="44"/>
  </cols>
  <sheetData>
    <row r="2" spans="2:129" x14ac:dyDescent="0.45">
      <c r="N2" t="s">
        <v>117</v>
      </c>
      <c r="O2" t="s">
        <v>161</v>
      </c>
      <c r="P2" t="s">
        <v>162</v>
      </c>
      <c r="Q2" t="s">
        <v>135</v>
      </c>
      <c r="R2" t="s">
        <v>141</v>
      </c>
      <c r="S2" t="s">
        <v>146</v>
      </c>
      <c r="T2" t="s">
        <v>245</v>
      </c>
      <c r="BF2" t="s">
        <v>292</v>
      </c>
      <c r="BG2" t="s">
        <v>206</v>
      </c>
      <c r="BH2" t="s">
        <v>207</v>
      </c>
      <c r="BI2" t="s">
        <v>208</v>
      </c>
      <c r="BK2" t="s">
        <v>209</v>
      </c>
      <c r="BL2" s="44">
        <f>SUMPRODUCT(BH3:BH5,BI3:BI5)</f>
        <v>1.1765973700151116</v>
      </c>
    </row>
    <row r="3" spans="2:129" ht="17.5" thickBot="1" x14ac:dyDescent="0.5">
      <c r="B3" t="s">
        <v>30</v>
      </c>
      <c r="C3">
        <v>1</v>
      </c>
      <c r="D3">
        <v>2</v>
      </c>
      <c r="E3">
        <v>3</v>
      </c>
      <c r="F3" t="s">
        <v>152</v>
      </c>
      <c r="I3" t="s">
        <v>155</v>
      </c>
      <c r="J3" t="s">
        <v>156</v>
      </c>
      <c r="K3" t="s">
        <v>151</v>
      </c>
      <c r="L3" t="s">
        <v>153</v>
      </c>
      <c r="Q3">
        <v>0</v>
      </c>
      <c r="S3" t="s">
        <v>145</v>
      </c>
      <c r="V3" t="str">
        <f>앞면!B3</f>
        <v>특화</v>
      </c>
      <c r="W3">
        <f>앞면!C3</f>
        <v>600</v>
      </c>
      <c r="Y3" t="s">
        <v>176</v>
      </c>
      <c r="Z3">
        <f>1+0.1*(1+W3*O34/100)</f>
        <v>1.1325799999999999</v>
      </c>
      <c r="AM3" t="s">
        <v>282</v>
      </c>
      <c r="AN3" t="s">
        <v>280</v>
      </c>
      <c r="AO3" t="s">
        <v>281</v>
      </c>
      <c r="AQ3" t="s">
        <v>279</v>
      </c>
      <c r="AS3" t="s">
        <v>5</v>
      </c>
      <c r="AT3" t="s">
        <v>4</v>
      </c>
      <c r="AU3" t="s">
        <v>205</v>
      </c>
      <c r="BE3" t="s">
        <v>203</v>
      </c>
      <c r="BF3">
        <f>AY31</f>
        <v>13.055653296138262</v>
      </c>
      <c r="BG3">
        <v>8</v>
      </c>
      <c r="BH3">
        <f>BG3/BF5</f>
        <v>0.61276137000101893</v>
      </c>
      <c r="BI3">
        <f>IF(Y31=E65,IF(BF3=0,1,(1+Z8/$W$44)*1.06),1)</f>
        <v>1.2189999999999999</v>
      </c>
      <c r="BK3" t="s">
        <v>210</v>
      </c>
      <c r="BL3" s="44">
        <f>1+(Z3-1)*10*BG13/2/(BK13/3)</f>
        <v>1.0869338064060929</v>
      </c>
      <c r="CA3" t="s">
        <v>244</v>
      </c>
      <c r="CB3">
        <f>(SUM(BO16:BO31)-BO26)*W43+BO26</f>
        <v>260.18625782125946</v>
      </c>
    </row>
    <row r="4" spans="2:129" ht="17.5" thickBot="1" x14ac:dyDescent="0.5">
      <c r="B4" t="s">
        <v>7</v>
      </c>
      <c r="F4">
        <v>106</v>
      </c>
      <c r="G4">
        <v>193</v>
      </c>
      <c r="H4">
        <v>277</v>
      </c>
      <c r="I4">
        <v>8</v>
      </c>
      <c r="J4">
        <v>1.0649999999999999</v>
      </c>
      <c r="K4">
        <v>272</v>
      </c>
      <c r="L4">
        <v>41</v>
      </c>
      <c r="N4" t="s">
        <v>118</v>
      </c>
      <c r="O4">
        <v>1.1399999999999999</v>
      </c>
      <c r="Q4">
        <v>1</v>
      </c>
      <c r="R4">
        <v>10</v>
      </c>
      <c r="S4" t="s">
        <v>148</v>
      </c>
      <c r="T4">
        <v>0.24</v>
      </c>
      <c r="V4" t="str">
        <f>앞면!B4</f>
        <v>신속</v>
      </c>
      <c r="W4">
        <f>앞면!C4+W53/5</f>
        <v>1800</v>
      </c>
      <c r="Y4" t="s">
        <v>177</v>
      </c>
      <c r="Z4">
        <f>HLOOKUP(W7,N40:R43,4)+O36*W3/100+W51+W56</f>
        <v>1.4141999999999999</v>
      </c>
      <c r="AM4" t="b">
        <f>AND(OR(AV16:AV31),OR(AW16:AW31))</f>
        <v>0</v>
      </c>
      <c r="AN4" t="e">
        <f>INDEX(AF16:AF31,MATCH(TRUE,AV16:AV31,0))</f>
        <v>#N/A</v>
      </c>
      <c r="AO4" t="e">
        <f>INDEX(AF16:AF31,MATCH(TRUE,AW16:AW31,0))</f>
        <v>#N/A</v>
      </c>
      <c r="AQ4" t="b">
        <f>IF(Z28=N10,TRUE,IF(Z28=N11,TRUE,FALSE))</f>
        <v>0</v>
      </c>
      <c r="AS4">
        <f>AF28</f>
        <v>11.779407426175197</v>
      </c>
      <c r="AT4">
        <f>IF(AF31=0,0.00001,AF31)</f>
        <v>13.251833354447097</v>
      </c>
      <c r="AU4">
        <f>MAX(AS4,AT4)</f>
        <v>13.251833354447097</v>
      </c>
      <c r="BE4" t="s">
        <v>204</v>
      </c>
      <c r="BF4">
        <f>AY28</f>
        <v>11.715381808162643</v>
      </c>
      <c r="BG4">
        <v>6</v>
      </c>
      <c r="BH4">
        <f>IF(BG3+BG4&gt;BF5,1-BH3,BG4/BF5)</f>
        <v>0.38723862999898107</v>
      </c>
      <c r="BI4">
        <f>IF(Y28=E53,IF(BF4=0,1,(1+Z8/$W$44)*1.06*W36+(1-W36)),1)</f>
        <v>1.1094999999999999</v>
      </c>
      <c r="BK4" t="s">
        <v>211</v>
      </c>
      <c r="BL4" s="44">
        <f>BJ8*1.1+(1-BJ8)</f>
        <v>1.1000000000000001</v>
      </c>
      <c r="BN4" t="s">
        <v>152</v>
      </c>
      <c r="BO4">
        <f>W45</f>
        <v>3267</v>
      </c>
      <c r="CA4" t="s">
        <v>246</v>
      </c>
      <c r="CB4">
        <f>0.044</f>
        <v>4.3999999999999997E-2</v>
      </c>
      <c r="CC4">
        <f>CB4*BO4*BO11</f>
        <v>143.74799999999999</v>
      </c>
      <c r="CI4" t="s">
        <v>231</v>
      </c>
      <c r="CJ4">
        <f>W46</f>
        <v>5</v>
      </c>
      <c r="CK4" t="s">
        <v>232</v>
      </c>
      <c r="CL4" t="str">
        <f>CL12</f>
        <v>흩뿌리기</v>
      </c>
      <c r="CN4" t="s">
        <v>232</v>
      </c>
      <c r="CO4" t="str">
        <f>IF(CO6,CL4,CL4&amp;" "&amp;CO12)</f>
        <v>흩뿌리기 옹달샘</v>
      </c>
      <c r="CQ4" t="s">
        <v>232</v>
      </c>
      <c r="CR4" t="str">
        <f>IF(CR6,CO4,CO4&amp;" "&amp;CR12)</f>
        <v>흩뿌리기 옹달샘 올려치기</v>
      </c>
      <c r="CT4" t="s">
        <v>232</v>
      </c>
      <c r="CU4" t="str">
        <f>IF(CU6,CR4,CR4&amp;" "&amp;CU12)</f>
        <v>흩뿌리기 옹달샘 올려치기 난치기</v>
      </c>
      <c r="CW4" t="s">
        <v>232</v>
      </c>
      <c r="CX4" t="str">
        <f>IF(CX6,CU4,CU4&amp;" "&amp;CX12)</f>
        <v>흩뿌리기 옹달샘 올려치기 난치기 해우물</v>
      </c>
      <c r="CZ4" t="s">
        <v>232</v>
      </c>
      <c r="DA4" t="str">
        <f>IF(DA6,CX4,CX4&amp;" "&amp;DA12)</f>
        <v>흩뿌리기 옹달샘 올려치기 난치기 해우물</v>
      </c>
      <c r="DC4" t="s">
        <v>232</v>
      </c>
      <c r="DD4" t="str">
        <f>IF(DD6,DA4,DA4&amp;" "&amp;DD12)</f>
        <v>흩뿌리기 옹달샘 올려치기 난치기 해우물</v>
      </c>
      <c r="DF4" t="s">
        <v>232</v>
      </c>
      <c r="DG4" t="str">
        <f>IF(DG6,DD4,DD4&amp;" "&amp;DG12)</f>
        <v>흩뿌리기 옹달샘 올려치기 난치기 해우물</v>
      </c>
      <c r="DI4" t="s">
        <v>232</v>
      </c>
      <c r="DJ4" t="str">
        <f>IF(DJ6,DG4,DG4&amp;" "&amp;DJ12)</f>
        <v>흩뿌리기 옹달샘 올려치기 난치기 해우물</v>
      </c>
      <c r="DL4" t="s">
        <v>232</v>
      </c>
      <c r="DM4" t="str">
        <f>IF(DM6,DJ4,DJ4&amp;" "&amp;DM12)</f>
        <v>흩뿌리기 옹달샘 올려치기 난치기 해우물</v>
      </c>
      <c r="DO4" t="s">
        <v>232</v>
      </c>
      <c r="DP4" t="str">
        <f>IF(DP6,DM4,DM4&amp;" "&amp;DP12)</f>
        <v>흩뿌리기 옹달샘 올려치기 난치기 해우물</v>
      </c>
      <c r="DR4" t="s">
        <v>232</v>
      </c>
      <c r="DS4" t="str">
        <f>IF(DS6,DP4,DP4&amp;" "&amp;DS12)</f>
        <v>흩뿌리기 옹달샘 올려치기 난치기 해우물</v>
      </c>
      <c r="DU4" t="s">
        <v>232</v>
      </c>
      <c r="DV4" t="str">
        <f>IF(DV6,DS4,DS4&amp;" "&amp;DV12)</f>
        <v>흩뿌리기 옹달샘 올려치기 난치기 해우물</v>
      </c>
      <c r="DX4" s="40" t="s">
        <v>233</v>
      </c>
      <c r="DY4" s="41">
        <f>DV5</f>
        <v>297.024</v>
      </c>
    </row>
    <row r="5" spans="2:129" x14ac:dyDescent="0.45">
      <c r="C5" t="s">
        <v>20</v>
      </c>
      <c r="D5" t="s">
        <v>25</v>
      </c>
      <c r="E5" t="s">
        <v>33</v>
      </c>
      <c r="L5">
        <v>81</v>
      </c>
      <c r="N5" t="s">
        <v>119</v>
      </c>
      <c r="O5">
        <v>1.4</v>
      </c>
      <c r="Q5">
        <v>2</v>
      </c>
      <c r="R5">
        <v>9</v>
      </c>
      <c r="T5">
        <v>0.16</v>
      </c>
      <c r="V5" t="str">
        <f>앞면!B5</f>
        <v>정흡LV</v>
      </c>
      <c r="W5">
        <f>앞면!C5</f>
        <v>2</v>
      </c>
      <c r="Y5" t="s">
        <v>178</v>
      </c>
      <c r="Z5">
        <f>HLOOKUP(W6,N40:R43,3)</f>
        <v>1.36</v>
      </c>
      <c r="BE5" t="s">
        <v>205</v>
      </c>
      <c r="BF5">
        <f>MAX(BF3:BF4)</f>
        <v>13.055653296138262</v>
      </c>
      <c r="BH5">
        <f>1-BH3-BH4</f>
        <v>0</v>
      </c>
      <c r="BI5">
        <v>1</v>
      </c>
      <c r="BN5" t="s">
        <v>341</v>
      </c>
      <c r="BO5">
        <f>HLOOKUP(W48,N40:R47,6)+W54</f>
        <v>1</v>
      </c>
      <c r="CA5" t="s">
        <v>245</v>
      </c>
      <c r="CB5">
        <f>W38+1</f>
        <v>1</v>
      </c>
      <c r="CF5" t="s">
        <v>260</v>
      </c>
      <c r="CK5" t="s">
        <v>153</v>
      </c>
      <c r="CL5">
        <f>IF(CL6,0,CL13)</f>
        <v>102.54400000000001</v>
      </c>
      <c r="CN5" t="s">
        <v>153</v>
      </c>
      <c r="CO5">
        <f>IF(CO6,CL5,CL5+CO13)</f>
        <v>161.024</v>
      </c>
      <c r="CQ5" t="s">
        <v>153</v>
      </c>
      <c r="CR5">
        <f>IF(CR6,CO5,CO5+CR13)</f>
        <v>216.78399999999999</v>
      </c>
      <c r="CT5" t="s">
        <v>153</v>
      </c>
      <c r="CU5">
        <f>IF(CU6,CR5,CR5+CU13)</f>
        <v>257.584</v>
      </c>
      <c r="CW5" t="s">
        <v>153</v>
      </c>
      <c r="CX5">
        <f>IF(CX6,CU5,CU5+CX13)</f>
        <v>297.024</v>
      </c>
      <c r="CZ5" t="s">
        <v>153</v>
      </c>
      <c r="DA5">
        <f>IF(DA6,CX5,CX5+DA13)</f>
        <v>297.024</v>
      </c>
      <c r="DC5" t="s">
        <v>153</v>
      </c>
      <c r="DD5">
        <f>IF(DD6,DA5,DA5+DD13)</f>
        <v>297.024</v>
      </c>
      <c r="DF5" t="s">
        <v>153</v>
      </c>
      <c r="DG5">
        <f>IF(DG6,DD5,DD5+DG13)</f>
        <v>297.024</v>
      </c>
      <c r="DI5" t="s">
        <v>153</v>
      </c>
      <c r="DJ5">
        <f>IF(DJ6,DG5,DG5+DJ13)</f>
        <v>297.024</v>
      </c>
      <c r="DL5" t="s">
        <v>153</v>
      </c>
      <c r="DM5">
        <f>IF(DM6,DJ5,DJ5+DM13)</f>
        <v>297.024</v>
      </c>
      <c r="DO5" t="s">
        <v>153</v>
      </c>
      <c r="DP5">
        <f>IF(DP6,DM5,DM5+DP13)</f>
        <v>297.024</v>
      </c>
      <c r="DR5" t="s">
        <v>153</v>
      </c>
      <c r="DS5">
        <f>IF(DS6,DP5,DP5+DS13)</f>
        <v>297.024</v>
      </c>
      <c r="DU5" t="s">
        <v>153</v>
      </c>
      <c r="DV5">
        <f>IF(DV6,DS5,DS5+DV13)</f>
        <v>297.024</v>
      </c>
      <c r="DX5" t="s">
        <v>232</v>
      </c>
      <c r="DY5" t="str">
        <f>DV4</f>
        <v>흩뿌리기 옹달샘 올려치기 난치기 해우물</v>
      </c>
    </row>
    <row r="6" spans="2:129" ht="17.5" thickBot="1" x14ac:dyDescent="0.5">
      <c r="C6" t="s">
        <v>22</v>
      </c>
      <c r="D6" t="s">
        <v>31</v>
      </c>
      <c r="E6" t="s">
        <v>34</v>
      </c>
      <c r="F6">
        <v>1.45</v>
      </c>
      <c r="N6" t="s">
        <v>121</v>
      </c>
      <c r="O6">
        <v>0.16</v>
      </c>
      <c r="P6">
        <v>0.1</v>
      </c>
      <c r="Q6">
        <v>3</v>
      </c>
      <c r="R6">
        <v>8</v>
      </c>
      <c r="T6">
        <v>0.08</v>
      </c>
      <c r="V6" t="str">
        <f>앞면!B6</f>
        <v>급타LV</v>
      </c>
      <c r="W6">
        <f>앞면!C6</f>
        <v>3</v>
      </c>
      <c r="Y6" t="s">
        <v>172</v>
      </c>
      <c r="Z6">
        <f>BO10-O38*W4/100-W55</f>
        <v>0.61351080344662479</v>
      </c>
      <c r="AM6" t="s">
        <v>284</v>
      </c>
      <c r="BK6" t="s">
        <v>213</v>
      </c>
      <c r="BL6" s="44">
        <f>BL2*BL3*BL4</f>
        <v>1.4067718037977157</v>
      </c>
      <c r="BN6" t="s">
        <v>257</v>
      </c>
      <c r="BO6">
        <f>W50</f>
        <v>0.5</v>
      </c>
      <c r="BQ6" t="s">
        <v>322</v>
      </c>
      <c r="BR6" t="s">
        <v>321</v>
      </c>
      <c r="BS6" t="s">
        <v>319</v>
      </c>
      <c r="BT6" t="s">
        <v>323</v>
      </c>
      <c r="BV6" t="s">
        <v>312</v>
      </c>
      <c r="BW6" t="s">
        <v>308</v>
      </c>
      <c r="BX6" t="s">
        <v>314</v>
      </c>
      <c r="BY6" t="s">
        <v>315</v>
      </c>
      <c r="BZ6" s="44" t="s">
        <v>92</v>
      </c>
      <c r="CA6" t="s">
        <v>204</v>
      </c>
      <c r="CB6">
        <f>BF5</f>
        <v>13.055653296138262</v>
      </c>
      <c r="CC6">
        <f>IF(W28=0,0,IF(X28=D53,G53,0)+0.18)</f>
        <v>0.3</v>
      </c>
      <c r="CF6">
        <f>IF(CB6=0,0,CC6*$BO$4/CB6)</f>
        <v>75.070927342249831</v>
      </c>
      <c r="CK6" t="s">
        <v>230</v>
      </c>
      <c r="CL6" t="b">
        <f>IF(CL10&gt;$CJ$4,TRUE,FALSE)</f>
        <v>0</v>
      </c>
      <c r="CN6" t="s">
        <v>230</v>
      </c>
      <c r="CO6" t="b">
        <f>IF(CO10&gt;$CJ$4,TRUE,FALSE)</f>
        <v>0</v>
      </c>
      <c r="CQ6" t="s">
        <v>230</v>
      </c>
      <c r="CR6" t="b">
        <f>IF(CR10&gt;$CJ$4,TRUE,FALSE)</f>
        <v>0</v>
      </c>
      <c r="CT6" t="s">
        <v>230</v>
      </c>
      <c r="CU6" t="b">
        <f>IF(CU10&gt;$CJ$4,TRUE,FALSE)</f>
        <v>0</v>
      </c>
      <c r="CW6" t="s">
        <v>230</v>
      </c>
      <c r="CX6" t="b">
        <f>IF(CX10&gt;$CJ$4,TRUE,FALSE)</f>
        <v>0</v>
      </c>
      <c r="CZ6" t="s">
        <v>230</v>
      </c>
      <c r="DA6" t="b">
        <f>IF(DA10&gt;$CJ$4,TRUE,FALSE)</f>
        <v>1</v>
      </c>
      <c r="DC6" t="s">
        <v>230</v>
      </c>
      <c r="DD6" t="b">
        <f>IF(DD10&gt;$CJ$4,TRUE,FALSE)</f>
        <v>1</v>
      </c>
      <c r="DF6" t="s">
        <v>230</v>
      </c>
      <c r="DG6" t="b">
        <f>IF(DG10&gt;$CJ$4,TRUE,FALSE)</f>
        <v>1</v>
      </c>
      <c r="DI6" t="s">
        <v>230</v>
      </c>
      <c r="DJ6" t="b">
        <f>IF(DJ10&gt;$CJ$4,TRUE,FALSE)</f>
        <v>1</v>
      </c>
      <c r="DL6" t="s">
        <v>230</v>
      </c>
      <c r="DM6" t="b">
        <f>IF(DM10&gt;$CJ$4,TRUE,FALSE)</f>
        <v>1</v>
      </c>
      <c r="DO6" t="s">
        <v>230</v>
      </c>
      <c r="DP6" t="b">
        <f>IF(DP10&gt;$CJ$4,TRUE,FALSE)</f>
        <v>1</v>
      </c>
      <c r="DR6" t="s">
        <v>230</v>
      </c>
      <c r="DS6" t="b">
        <f>IF(DS10&gt;$CJ$4,TRUE,FALSE)</f>
        <v>1</v>
      </c>
      <c r="DU6" t="s">
        <v>230</v>
      </c>
      <c r="DV6" t="b">
        <f>IF(DV10&gt;$CJ$4,TRUE,FALSE)</f>
        <v>1</v>
      </c>
    </row>
    <row r="7" spans="2:129" ht="17.5" thickBot="1" x14ac:dyDescent="0.5">
      <c r="C7" t="s">
        <v>23</v>
      </c>
      <c r="D7" t="s">
        <v>32</v>
      </c>
      <c r="F7">
        <v>1.27</v>
      </c>
      <c r="N7" t="s">
        <v>120</v>
      </c>
      <c r="O7">
        <v>0.6</v>
      </c>
      <c r="R7">
        <v>7</v>
      </c>
      <c r="V7" t="str">
        <f>앞면!B7</f>
        <v>갈망LV</v>
      </c>
      <c r="W7">
        <f>앞면!C7</f>
        <v>3</v>
      </c>
      <c r="Y7" t="s">
        <v>179</v>
      </c>
      <c r="Z7">
        <f>IF(AA7&gt;=1.4,1.4,AA7)</f>
        <v>1.3800000000000001</v>
      </c>
      <c r="AA7" s="44">
        <f>FLOOR(HLOOKUP(W5,N40:R43,2)+W4*O37/100,0.01)</f>
        <v>1.3800000000000001</v>
      </c>
      <c r="AB7">
        <f>HLOOKUP(W5,N40:R43,2)+W4*O37/100</f>
        <v>1.3890399331100234</v>
      </c>
      <c r="AM7" t="s">
        <v>285</v>
      </c>
      <c r="AN7" t="s">
        <v>222</v>
      </c>
      <c r="AO7" t="s">
        <v>286</v>
      </c>
      <c r="AQ7" t="s">
        <v>288</v>
      </c>
      <c r="AR7" t="s">
        <v>186</v>
      </c>
      <c r="AS7" t="s">
        <v>287</v>
      </c>
      <c r="AZ7" t="s">
        <v>294</v>
      </c>
      <c r="BA7" t="s">
        <v>295</v>
      </c>
      <c r="BB7" t="s">
        <v>295</v>
      </c>
      <c r="BC7" t="s">
        <v>297</v>
      </c>
      <c r="BD7" t="s">
        <v>296</v>
      </c>
      <c r="BE7" t="s">
        <v>212</v>
      </c>
      <c r="BF7">
        <f>W41</f>
        <v>1</v>
      </c>
      <c r="BG7" t="s">
        <v>154</v>
      </c>
      <c r="BH7" t="s">
        <v>237</v>
      </c>
      <c r="BI7" t="s">
        <v>238</v>
      </c>
      <c r="BJ7" t="s">
        <v>239</v>
      </c>
      <c r="BK7" s="40" t="s">
        <v>137</v>
      </c>
      <c r="BL7" s="41">
        <f>(BL6-1)/BL6</f>
        <v>0.28915265624431491</v>
      </c>
      <c r="BN7" t="s">
        <v>256</v>
      </c>
      <c r="BO7">
        <f>HLOOKUP(W49,N40:R47,7)+1</f>
        <v>1</v>
      </c>
      <c r="BQ7">
        <f>SUM(BR16:BR31)</f>
        <v>0</v>
      </c>
      <c r="BR7">
        <f>MIN(SUMPRODUCT(BS16:BS31,BT16:BT31),3)*0.06</f>
        <v>0</v>
      </c>
      <c r="BS7">
        <f>BQ7+BR7+BV19</f>
        <v>0.1531093977469348</v>
      </c>
      <c r="BT7">
        <f>BX31*(1-BX25)*BU31+BX25*BU25</f>
        <v>0.2144664795003566</v>
      </c>
      <c r="BV7">
        <f>SUM(BV16:BV31)</f>
        <v>0.36946023064401451</v>
      </c>
      <c r="BW7">
        <f>BX31*(1-BX25)*BW31+BX25*BW25</f>
        <v>0.2144664795003566</v>
      </c>
      <c r="BX7">
        <f>(1-BW7-BV7)*(1-BV7/(1-BW7))/2</f>
        <v>0.11019070352413103</v>
      </c>
      <c r="BY7">
        <f>(1-W37)/BK13*3*(0.15+0.25/3)</f>
        <v>0</v>
      </c>
      <c r="BZ7" s="44">
        <f>IF(X26=D46,2,0)</f>
        <v>2</v>
      </c>
      <c r="CA7" t="s">
        <v>247</v>
      </c>
      <c r="CB7">
        <f>BH18</f>
        <v>0</v>
      </c>
      <c r="CC7">
        <f>1+IF(W18=C13,F13,0)/100</f>
        <v>1</v>
      </c>
      <c r="CD7">
        <v>5</v>
      </c>
      <c r="CE7">
        <f>IFERROR(CD7/CB7*CC7+1-CD7/CB7,0)</f>
        <v>0</v>
      </c>
      <c r="CF7">
        <f>IF(CB7=0,0,(CE7-1)*BO4*CB4)</f>
        <v>0</v>
      </c>
    </row>
    <row r="8" spans="2:129" x14ac:dyDescent="0.45">
      <c r="B8" t="s">
        <v>8</v>
      </c>
      <c r="F8">
        <v>146</v>
      </c>
      <c r="G8">
        <v>266</v>
      </c>
      <c r="H8">
        <v>382</v>
      </c>
      <c r="I8">
        <v>14</v>
      </c>
      <c r="J8">
        <v>1.2330000000000001</v>
      </c>
      <c r="K8">
        <v>544</v>
      </c>
      <c r="L8">
        <v>58</v>
      </c>
      <c r="N8" t="s">
        <v>132</v>
      </c>
      <c r="O8">
        <v>1.3</v>
      </c>
      <c r="R8">
        <v>6</v>
      </c>
      <c r="Y8" t="s">
        <v>334</v>
      </c>
      <c r="Z8">
        <f>0.15*(1+W57)</f>
        <v>0.15</v>
      </c>
      <c r="AM8" t="e">
        <f>MAX(AN4:AO4)*CEILING(30/MAX(AN4:AO4),1)</f>
        <v>#N/A</v>
      </c>
      <c r="AN8">
        <v>6</v>
      </c>
      <c r="AO8" t="e">
        <f>AN8/AM8</f>
        <v>#N/A</v>
      </c>
      <c r="AQ8">
        <f>O11</f>
        <v>0.85</v>
      </c>
      <c r="AR8">
        <f>W42</f>
        <v>0.95</v>
      </c>
      <c r="AS8" t="e">
        <f>AR8*(AQ8*AO8+(1-AO8))+(1-AR8)</f>
        <v>#N/A</v>
      </c>
      <c r="AZ8">
        <f>8/AT4</f>
        <v>0.60369005450218194</v>
      </c>
      <c r="BA8" t="b">
        <f>IF(X31=D65,TRUE,FALSE)</f>
        <v>0</v>
      </c>
      <c r="BB8">
        <f>IF(BA8,AA7+0.08,AA7)</f>
        <v>1.3800000000000001</v>
      </c>
      <c r="BC8">
        <f>IF(BB8&gt;=1.4,1.4,BB8)</f>
        <v>1.3800000000000001</v>
      </c>
      <c r="BD8">
        <f>BC8*AZ8+(1-AZ8)*AA7</f>
        <v>1.3800000000000001</v>
      </c>
      <c r="BE8" t="s">
        <v>7</v>
      </c>
      <c r="BF8">
        <f>IF(X16=D5,1,0)</f>
        <v>0</v>
      </c>
      <c r="BG8">
        <f>AF16</f>
        <v>0</v>
      </c>
      <c r="BH8">
        <v>6</v>
      </c>
      <c r="BI8">
        <f>IF(BG8=0,0,IF(BG8&lt;BH8,1,BH8/BG8))*$BF$7*BF8</f>
        <v>0</v>
      </c>
      <c r="BJ8">
        <f>1-(1-BI8)*(1-BI9)*(1-BI10)</f>
        <v>1</v>
      </c>
      <c r="BN8" t="s">
        <v>255</v>
      </c>
      <c r="BO8">
        <f>HLOOKUP(W49,N40:R47,8)</f>
        <v>0</v>
      </c>
      <c r="CA8" t="s">
        <v>248</v>
      </c>
      <c r="CB8">
        <f>BH24</f>
        <v>0</v>
      </c>
      <c r="CC8">
        <f>IF(W24=C38,F38,0)</f>
        <v>0</v>
      </c>
      <c r="CF8">
        <f>IF(CB8=0,0,CC8*$BO$4/CB8)</f>
        <v>0</v>
      </c>
      <c r="CK8" t="s">
        <v>229</v>
      </c>
      <c r="CL8">
        <f>IF(CL9=1,SMALL(CK16:CK32,COUNTIF(CK16:CK32,0)+1),0)</f>
        <v>0</v>
      </c>
      <c r="CN8" t="s">
        <v>229</v>
      </c>
      <c r="CO8">
        <f>IF(CO9=1,SMALL(CN16:CN32,COUNTIF(CN16:CN32,0)+1),0)</f>
        <v>0</v>
      </c>
      <c r="CQ8" t="s">
        <v>229</v>
      </c>
      <c r="CR8">
        <f>IF(CR9=1,SMALL(CQ16:CQ32,COUNTIF(CQ16:CQ32,0)+1),0)</f>
        <v>0</v>
      </c>
      <c r="CT8" t="s">
        <v>229</v>
      </c>
      <c r="CU8">
        <f>IF(CU9=1,SMALL(CT16:CT32,COUNTIF(CT16:CT32,0)+1),0)</f>
        <v>0</v>
      </c>
      <c r="CW8" t="s">
        <v>229</v>
      </c>
      <c r="CX8">
        <f>IF(CX9=1,SMALL(CW16:CW32,COUNTIF(CW16:CW32,0)+1),0)</f>
        <v>0</v>
      </c>
      <c r="CZ8" t="s">
        <v>229</v>
      </c>
      <c r="DA8">
        <f>IF(DA9=1,SMALL(CZ16:CZ32,COUNTIF(CZ16:CZ32,0)+1),0)</f>
        <v>0</v>
      </c>
      <c r="DC8" t="s">
        <v>229</v>
      </c>
      <c r="DD8">
        <f>IF(DD9=1,SMALL(DC16:DC32,COUNTIF(DC16:DC32,0)+1),0)</f>
        <v>0</v>
      </c>
      <c r="DF8" t="s">
        <v>229</v>
      </c>
      <c r="DG8">
        <f>IF(DG9=1,SMALL(DF16:DF32,COUNTIF(DF16:DF32,0)+1),0)</f>
        <v>0.60673945370744231</v>
      </c>
      <c r="DI8" t="s">
        <v>229</v>
      </c>
      <c r="DJ8">
        <f>IF(DJ9=1,SMALL(DI16:DI32,COUNTIF(DI16:DI32,0)+1),0)</f>
        <v>0</v>
      </c>
      <c r="DL8" t="s">
        <v>229</v>
      </c>
      <c r="DM8">
        <f>IF(DM9=1,SMALL(DL16:DL32,COUNTIF(DL16:DL32,0)+1),0)</f>
        <v>1.8265454197090463</v>
      </c>
      <c r="DO8" t="s">
        <v>229</v>
      </c>
      <c r="DP8">
        <f>IF(DP9=1,SMALL(DO16:DO32,COUNTIF(DO16:DO32,0)+1),0)</f>
        <v>0</v>
      </c>
      <c r="DR8" t="s">
        <v>229</v>
      </c>
      <c r="DS8">
        <f>IF(DS9=1,SMALL(DR16:DR32,COUNTIF(DR16:DR32,0)+1),0)</f>
        <v>0.14436736951037821</v>
      </c>
      <c r="DU8" t="s">
        <v>229</v>
      </c>
      <c r="DV8">
        <f>IF(DV9=1,SMALL(DU16:DU32,COUNTIF(DU16:DU32,0)+1),0)</f>
        <v>0</v>
      </c>
    </row>
    <row r="9" spans="2:129" x14ac:dyDescent="0.45">
      <c r="C9" t="s">
        <v>20</v>
      </c>
      <c r="D9" t="s">
        <v>37</v>
      </c>
      <c r="E9" t="s">
        <v>40</v>
      </c>
      <c r="N9" t="s">
        <v>163</v>
      </c>
      <c r="O9">
        <v>0.12</v>
      </c>
      <c r="R9">
        <v>5</v>
      </c>
      <c r="AH9" t="s">
        <v>188</v>
      </c>
      <c r="AI9" t="s">
        <v>304</v>
      </c>
      <c r="AJ9" t="s">
        <v>187</v>
      </c>
      <c r="AL9" t="s">
        <v>186</v>
      </c>
      <c r="BA9" t="s">
        <v>266</v>
      </c>
      <c r="BE9" t="s">
        <v>11</v>
      </c>
      <c r="BF9">
        <f>IF(X20=D22,1,0)</f>
        <v>0</v>
      </c>
      <c r="BG9">
        <f>AF20</f>
        <v>0</v>
      </c>
      <c r="BH9">
        <v>10</v>
      </c>
      <c r="BI9">
        <f t="shared" ref="BI9:BI10" si="0">IF(BG9=0,0,IF(BG9&lt;BH9,1,BH9/BG9))*$BF$7*BF9</f>
        <v>0</v>
      </c>
      <c r="BN9" t="s">
        <v>258</v>
      </c>
      <c r="BO9">
        <f>1*(1-BO6)+BO7*BO6</f>
        <v>1</v>
      </c>
      <c r="BQ9" t="s">
        <v>309</v>
      </c>
      <c r="BR9" t="s">
        <v>310</v>
      </c>
      <c r="BS9" t="s">
        <v>325</v>
      </c>
      <c r="BV9" t="s">
        <v>328</v>
      </c>
      <c r="BW9" t="s">
        <v>327</v>
      </c>
      <c r="BX9" t="s">
        <v>317</v>
      </c>
      <c r="BY9" t="s">
        <v>326</v>
      </c>
      <c r="CA9" t="s">
        <v>249</v>
      </c>
      <c r="CB9">
        <f>SUM(BP16:BP31)</f>
        <v>0.65401429720112492</v>
      </c>
      <c r="CK9" t="s">
        <v>228</v>
      </c>
      <c r="CL9">
        <f>IF(LARGE(CM16:CM32,1)=0,1,0)</f>
        <v>0</v>
      </c>
      <c r="CN9" t="s">
        <v>228</v>
      </c>
      <c r="CO9">
        <f>IF(LARGE(CP16:CP32,1)=0,1,0)</f>
        <v>0</v>
      </c>
      <c r="CQ9" t="s">
        <v>228</v>
      </c>
      <c r="CR9">
        <f>IF(LARGE(CS16:CS32,1)=0,1,0)</f>
        <v>0</v>
      </c>
      <c r="CT9" t="s">
        <v>228</v>
      </c>
      <c r="CU9">
        <f>IF(LARGE(CV16:CV32,1)=0,1,0)</f>
        <v>0</v>
      </c>
      <c r="CW9" t="s">
        <v>228</v>
      </c>
      <c r="CX9">
        <f>IF(LARGE(CY16:CY32,1)=0,1,0)</f>
        <v>0</v>
      </c>
      <c r="CZ9" t="s">
        <v>228</v>
      </c>
      <c r="DA9">
        <f>IF(LARGE(DB16:DB32,1)=0,1,0)</f>
        <v>0</v>
      </c>
      <c r="DC9" t="s">
        <v>228</v>
      </c>
      <c r="DD9">
        <f>IF(LARGE(DE16:DE32,1)=0,1,0)</f>
        <v>0</v>
      </c>
      <c r="DF9" t="s">
        <v>228</v>
      </c>
      <c r="DG9">
        <f>IF(LARGE(DH16:DH32,1)=0,1,0)</f>
        <v>1</v>
      </c>
      <c r="DI9" t="s">
        <v>228</v>
      </c>
      <c r="DJ9">
        <f>IF(LARGE(DK16:DK32,1)=0,1,0)</f>
        <v>0</v>
      </c>
      <c r="DL9" t="s">
        <v>228</v>
      </c>
      <c r="DM9">
        <f>IF(LARGE(DN16:DN32,1)=0,1,0)</f>
        <v>1</v>
      </c>
      <c r="DO9" t="s">
        <v>228</v>
      </c>
      <c r="DP9">
        <f>IF(LARGE(DQ16:DQ32,1)=0,1,0)</f>
        <v>0</v>
      </c>
      <c r="DR9" t="s">
        <v>228</v>
      </c>
      <c r="DS9">
        <f>IF(LARGE(DT16:DT32,1)=0,1,0)</f>
        <v>1</v>
      </c>
      <c r="DU9" t="s">
        <v>228</v>
      </c>
      <c r="DV9">
        <f>IF(LARGE(DW16:DW32,1)=0,1,0)</f>
        <v>0</v>
      </c>
    </row>
    <row r="10" spans="2:129" x14ac:dyDescent="0.45">
      <c r="C10" t="s">
        <v>29</v>
      </c>
      <c r="D10" t="s">
        <v>38</v>
      </c>
      <c r="E10" t="s">
        <v>42</v>
      </c>
      <c r="F10">
        <v>0.33</v>
      </c>
      <c r="N10" t="s">
        <v>164</v>
      </c>
      <c r="P10">
        <v>0.4</v>
      </c>
      <c r="R10">
        <v>4</v>
      </c>
      <c r="AG10" t="s">
        <v>121</v>
      </c>
      <c r="AH10">
        <f>_xlfn.IFNA(VLOOKUP(AG10,$Z$16:$AF$31,COUNT($Z$16:$AF$16),FALSE),0)</f>
        <v>13.251833354447097</v>
      </c>
      <c r="AI10">
        <f>_xlfn.IFNA(VLOOKUP(AG10,$Z$16:$AK$31,COUNTA($Z$16:$AK$16),FALSE),0)</f>
        <v>0.99057971014492741</v>
      </c>
      <c r="AJ10">
        <f>O6</f>
        <v>0.16</v>
      </c>
      <c r="AL10">
        <f>P6</f>
        <v>0.1</v>
      </c>
      <c r="AM10">
        <f>(1+AJ10)/2</f>
        <v>0.57999999999999996</v>
      </c>
      <c r="AN10" t="s">
        <v>283</v>
      </c>
      <c r="AZ10" t="s">
        <v>7</v>
      </c>
      <c r="BA10" t="b">
        <f>IF(Y16=E6,TRUE,FALSE)</f>
        <v>0</v>
      </c>
      <c r="BE10" t="s">
        <v>6</v>
      </c>
      <c r="BF10">
        <f>IF(X21=D27,1,0)</f>
        <v>1</v>
      </c>
      <c r="BG10">
        <f>AF21</f>
        <v>11.779407426175197</v>
      </c>
      <c r="BH10">
        <v>15</v>
      </c>
      <c r="BI10">
        <f t="shared" si="0"/>
        <v>1</v>
      </c>
      <c r="BN10" t="s">
        <v>259</v>
      </c>
      <c r="BO10">
        <f>1*(1-BO6)+(1-BO8)*BO6</f>
        <v>1</v>
      </c>
      <c r="BQ10">
        <f>COUNTIF(BY16:BY31,TRUE)</f>
        <v>5</v>
      </c>
      <c r="BR10">
        <f>COUNTIF(BZ16:BZ31,TRUE)</f>
        <v>2</v>
      </c>
      <c r="BS10">
        <f>(1-BT7-BS7)*(1-BS7/(1-BT7))/2</f>
        <v>0.25457874209183073</v>
      </c>
      <c r="BV10">
        <f>IF(Y21=E25,6/BH21,0)*6/BH21</f>
        <v>0</v>
      </c>
      <c r="BW10">
        <f>1-(1-BV12)*(1-BW12)</f>
        <v>0.51216491947317133</v>
      </c>
      <c r="BX10">
        <f>IF(BI3=1,6-BF4,IF(BI4=1,8-BF3,14-MIN(BF3:BF4)))</f>
        <v>2.2846181918373567</v>
      </c>
      <c r="BY10">
        <f>IF(BI10=0,0,BH10-BG10)+IF(Y21=E25,3*14/((3+3)*(14+3)),IF(Y21=E26,1,0))+IF(BI9=0,0,BH9-BG9)+IF(BI8=0,0,BH8-BG8)</f>
        <v>4.2205925738248027</v>
      </c>
      <c r="CA10" t="s">
        <v>261</v>
      </c>
      <c r="CB10">
        <f>W52*CB9/5</f>
        <v>0</v>
      </c>
      <c r="CK10" t="s">
        <v>222</v>
      </c>
      <c r="CL10">
        <f>CL14</f>
        <v>0.89347826086956517</v>
      </c>
      <c r="CN10" t="s">
        <v>222</v>
      </c>
      <c r="CO10">
        <f>CL10+CO14</f>
        <v>1.8282608695652174</v>
      </c>
      <c r="CQ10" t="s">
        <v>222</v>
      </c>
      <c r="CR10">
        <f>CO10+CR14</f>
        <v>2.9934019832189165</v>
      </c>
      <c r="CT10" t="s">
        <v>222</v>
      </c>
      <c r="CU10">
        <f>CR10+CU14</f>
        <v>3.9347063310450032</v>
      </c>
      <c r="CW10" t="s">
        <v>222</v>
      </c>
      <c r="CX10">
        <f>CU10+CX14</f>
        <v>4.9085176709890668</v>
      </c>
      <c r="CZ10" t="s">
        <v>222</v>
      </c>
      <c r="DA10">
        <f>CX10+DA14</f>
        <v>5.899097381133994</v>
      </c>
      <c r="DC10" t="s">
        <v>222</v>
      </c>
      <c r="DD10">
        <f>DA10+DD14</f>
        <v>8.1809814391050075</v>
      </c>
      <c r="DF10" t="s">
        <v>222</v>
      </c>
      <c r="DG10">
        <f>DD10+DG14</f>
        <v>9.0744596999745735</v>
      </c>
      <c r="DI10" t="s">
        <v>222</v>
      </c>
      <c r="DJ10">
        <f>DG10+DJ14</f>
        <v>9.0744596999745735</v>
      </c>
      <c r="DL10" t="s">
        <v>222</v>
      </c>
      <c r="DM10">
        <f>DJ10+DM14</f>
        <v>10.239600813628273</v>
      </c>
      <c r="DO10" t="s">
        <v>222</v>
      </c>
      <c r="DP10">
        <f>DM10+DP14</f>
        <v>10.239600813628273</v>
      </c>
      <c r="DR10" t="s">
        <v>222</v>
      </c>
      <c r="DS10">
        <f>DP10+DS14</f>
        <v>11.174383422323926</v>
      </c>
      <c r="DU10" t="s">
        <v>222</v>
      </c>
      <c r="DV10">
        <f>DS10+DV14</f>
        <v>11.174383422323926</v>
      </c>
    </row>
    <row r="11" spans="2:129" ht="17.5" thickBot="1" x14ac:dyDescent="0.5">
      <c r="C11" t="s">
        <v>35</v>
      </c>
      <c r="D11" t="s">
        <v>39</v>
      </c>
      <c r="N11" t="s">
        <v>165</v>
      </c>
      <c r="O11">
        <v>0.85</v>
      </c>
      <c r="P11">
        <v>0.4</v>
      </c>
      <c r="R11">
        <v>3</v>
      </c>
      <c r="AG11" t="s">
        <v>127</v>
      </c>
      <c r="AH11">
        <f>_xlfn.IFNA(VLOOKUP(AG11,$Z$16:$AF$31,COUNT($Z$16:$AF$16),FALSE),0)</f>
        <v>0</v>
      </c>
      <c r="AI11">
        <f>_xlfn.IFNA(VLOOKUP(AG11,$Z$16:$AK$31,COUNTA($Z$16:$AK$16),FALSE),0)</f>
        <v>0</v>
      </c>
      <c r="AJ11">
        <f>O14</f>
        <v>0.12</v>
      </c>
      <c r="AL11">
        <f>P14</f>
        <v>0.1</v>
      </c>
      <c r="AM11">
        <f>(1+AJ11)/2</f>
        <v>0.56000000000000005</v>
      </c>
      <c r="AN11" t="s">
        <v>285</v>
      </c>
      <c r="AO11" t="s">
        <v>222</v>
      </c>
      <c r="AQ11" t="s">
        <v>286</v>
      </c>
      <c r="AR11" t="s">
        <v>288</v>
      </c>
      <c r="AS11" t="s">
        <v>186</v>
      </c>
      <c r="AT11" t="s">
        <v>287</v>
      </c>
      <c r="AU11" t="s">
        <v>4</v>
      </c>
      <c r="AZ11" t="s">
        <v>265</v>
      </c>
      <c r="BA11" t="b">
        <f>IF(Y26=E46,TRUE,FALSE)</f>
        <v>1</v>
      </c>
      <c r="BN11" t="s">
        <v>305</v>
      </c>
      <c r="BO11">
        <f>BO5+BO9+CB5-2</f>
        <v>1</v>
      </c>
      <c r="BV11" t="s">
        <v>329</v>
      </c>
      <c r="BW11" t="s">
        <v>330</v>
      </c>
      <c r="CA11" t="s">
        <v>262</v>
      </c>
      <c r="CB11">
        <f>SUM(CF6:CF8)</f>
        <v>75.070927342249831</v>
      </c>
      <c r="CL11">
        <f>MATCH(LARGE(CJ$16:CJ$32,1),CJ$16:CJ$32,0)</f>
        <v>2</v>
      </c>
      <c r="CO11">
        <f>MATCH(LARGE(CM$16:CM$32,1),CM$16:CM$32,0)</f>
        <v>12</v>
      </c>
      <c r="CR11">
        <f>MATCH(LARGE(CP$16:CP$32,1),CP$16:CP$32,0)</f>
        <v>15</v>
      </c>
      <c r="CU11">
        <f>MATCH(LARGE(CS$16:CS$32,1),CS$16:CS$32,0)</f>
        <v>6</v>
      </c>
      <c r="CX11">
        <f>MATCH(LARGE(CV$16:CV$32,1),CV$16:CV$32,0)</f>
        <v>13</v>
      </c>
      <c r="DA11">
        <f>MATCH(LARGE(CY$16:CY$32,1),CY$16:CY$32,0)</f>
        <v>16</v>
      </c>
      <c r="DD11">
        <f>MATCH(LARGE(DB$16:DB$32,1),DB$16:DB$32,0)</f>
        <v>4</v>
      </c>
      <c r="DG11">
        <f>MATCH(LARGE(DE$16:DE$32,1),DE$16:DE$32,0)</f>
        <v>2</v>
      </c>
      <c r="DJ11">
        <f>MATCH(LARGE(DH$16:DH$32,1),DH$16:DH$32,0)</f>
        <v>1</v>
      </c>
      <c r="DM11">
        <f>MATCH(LARGE(DK$16:DK$32,1),DK$16:DK$32,0)</f>
        <v>15</v>
      </c>
      <c r="DP11">
        <f>MATCH(LARGE(DN$16:DN$32,1),DN$16:DN$32,0)</f>
        <v>1</v>
      </c>
      <c r="DS11">
        <f>MATCH(LARGE(DQ$16:DQ$32,1),DQ$16:DQ$32,0)</f>
        <v>12</v>
      </c>
      <c r="DV11">
        <f>MATCH(LARGE(DT$16:DT$32,1),DT$16:DT$32,0)</f>
        <v>1</v>
      </c>
    </row>
    <row r="12" spans="2:129" x14ac:dyDescent="0.45">
      <c r="B12" t="s">
        <v>9</v>
      </c>
      <c r="F12">
        <v>158</v>
      </c>
      <c r="G12">
        <v>287</v>
      </c>
      <c r="H12">
        <v>412</v>
      </c>
      <c r="I12">
        <v>16</v>
      </c>
      <c r="J12">
        <v>1.5</v>
      </c>
      <c r="K12">
        <v>696</v>
      </c>
      <c r="L12">
        <v>29</v>
      </c>
      <c r="N12" t="s">
        <v>123</v>
      </c>
      <c r="O12">
        <v>1.1200000000000001</v>
      </c>
      <c r="R12">
        <v>2</v>
      </c>
      <c r="AE12" t="s">
        <v>338</v>
      </c>
      <c r="AG12" t="s">
        <v>335</v>
      </c>
      <c r="AH12">
        <f>_xlfn.IFNA(INDEX(AF16:AF31,MATCH(1,AP16:AP31,0)),0)</f>
        <v>0</v>
      </c>
      <c r="AI12">
        <f>_xlfn.IFNA(INDEX(AK16:AK31,MATCH(1,AP16:AP31,0)),0)</f>
        <v>0</v>
      </c>
      <c r="AJ12">
        <f>O19</f>
        <v>0.08</v>
      </c>
      <c r="AL12">
        <f>P19</f>
        <v>0.1</v>
      </c>
      <c r="AN12">
        <f>CEILING(30/AU4,1)*AU4</f>
        <v>39.755500063341287</v>
      </c>
      <c r="AO12">
        <v>6</v>
      </c>
      <c r="AQ12">
        <f>AO12/AN12</f>
        <v>0.15092251362554548</v>
      </c>
      <c r="AR12">
        <f>O11</f>
        <v>0.85</v>
      </c>
      <c r="AS12">
        <f>W42</f>
        <v>0.95</v>
      </c>
      <c r="AT12">
        <f>AS12*(AR12*AQ12+(1-AQ12))+(1-AS12)</f>
        <v>0.97849354180835979</v>
      </c>
      <c r="AU12">
        <f>1/CEILING(30/AU4,1)*(AR12-1)+1</f>
        <v>0.95</v>
      </c>
      <c r="AZ12" t="s">
        <v>19</v>
      </c>
      <c r="BF12" t="s">
        <v>196</v>
      </c>
      <c r="BG12">
        <f>10000/((SUM(BG16:BG34)-BG26)*W43+BG26)</f>
        <v>7.5392952865609404</v>
      </c>
      <c r="BI12" s="42" t="s">
        <v>136</v>
      </c>
      <c r="BK12" t="s">
        <v>202</v>
      </c>
      <c r="BL12" s="42" t="s">
        <v>275</v>
      </c>
      <c r="BV12">
        <f>IF(W21=C27,1,0)*IF(Y21=E26,1,(3*14)/((3+3)*(14+3)))*6/BH21</f>
        <v>0.51216491947317133</v>
      </c>
      <c r="BW12">
        <f>IF(X31=D65,1,0)*8/BH31</f>
        <v>0</v>
      </c>
      <c r="BY12" s="42" t="s">
        <v>272</v>
      </c>
      <c r="CA12" t="s">
        <v>291</v>
      </c>
      <c r="CB12">
        <f>IF(AM4,IF(AQ4,6*BO4*CB4/AN12,6*BO4*CB4/AM8),0)*W42</f>
        <v>0</v>
      </c>
      <c r="CC12" t="s">
        <v>174</v>
      </c>
      <c r="CG12" s="42" t="s">
        <v>236</v>
      </c>
      <c r="CK12" t="s">
        <v>227</v>
      </c>
      <c r="CL12" t="str">
        <f>IF(INDEX($V$16:$V$32,MATCH(LARGE(CJ$16:CJ$32,1),CJ$16:CJ$32,0))=$V$32,$V$16,INDEX($V$16:$V$32,MATCH(LARGE(CJ$16:CJ$32,1),CJ$16:CJ$32,0)))</f>
        <v>흩뿌리기</v>
      </c>
      <c r="CN12" t="s">
        <v>227</v>
      </c>
      <c r="CO12" t="str">
        <f>IF(CL9=1,"",IF(INDEX($V$16:$V$32,MATCH(LARGE(CM$16:CM$32,1),CM$16:CM$32,0))=$V$32,$V$16,INDEX($V$16:$V$32,MATCH(LARGE(CM$16:CM$32,1),CM$16:CM$32,0))))</f>
        <v>옹달샘</v>
      </c>
      <c r="CQ12" t="s">
        <v>227</v>
      </c>
      <c r="CR12" t="str">
        <f>IF(CO9=1,"",IF(INDEX($V$16:$V$32,MATCH(LARGE(CP$16:CP$32,1),CP$16:CP$32,0))=$V$32,$V$16,INDEX($V$16:$V$32,MATCH(LARGE(CP$16:CP$32,1),CP$16:CP$32,0))))</f>
        <v>올려치기</v>
      </c>
      <c r="CT12" t="s">
        <v>227</v>
      </c>
      <c r="CU12" t="str">
        <f>IF(CU9=1,"",IF(INDEX($V$16:$V$32,MATCH(LARGE(CS$16:CS$32,1),CS$16:CS$32,0))=$V$32,$V$16,INDEX($V$16:$V$32,MATCH(LARGE(CS$16:CS$32,1),CS$16:CS$32,0))))</f>
        <v>난치기</v>
      </c>
      <c r="CW12" t="s">
        <v>227</v>
      </c>
      <c r="CX12" t="str">
        <f>IF(CU9=1,"",IF(INDEX($V$16:$V$32,MATCH(LARGE(CV$16:CV$32,1),CV$16:CV$32,0))=$V$32,$V$16,INDEX($V$16:$V$32,MATCH(LARGE(CV$16:CV$32,1),CV$16:CV$32,0))))</f>
        <v>해우물</v>
      </c>
      <c r="CZ12" t="s">
        <v>227</v>
      </c>
      <c r="DA12" t="str">
        <f>IF(CX9=1,"",IF(INDEX($V$16:$V$32,MATCH(LARGE(CY$16:CY$32,1),CY$16:CY$32,0))=$V$32,$V$16,INDEX($V$16:$V$32,MATCH(LARGE(CY$16:CY$32,1),CY$16:CY$32,0))))</f>
        <v>해그리기</v>
      </c>
      <c r="DC12" t="s">
        <v>227</v>
      </c>
      <c r="DD12" t="str">
        <f>IF(DA9=1,"",IF(INDEX($V$16:$V$32,MATCH(LARGE(DB$16:DB$32,1),DB$16:DB$32,0))=$V$32,$V$16,INDEX($V$16:$V$32,MATCH(LARGE(DB$16:DB$32,1),DB$16:DB$32,0))))</f>
        <v>콩콩이</v>
      </c>
      <c r="DF12" t="s">
        <v>227</v>
      </c>
      <c r="DG12" t="str">
        <f>IF(DD9=1,"",IF(INDEX($V$16:$V$32,MATCH(LARGE(DE$16:DE$32,1),DE$16:DE$32,0))=$V$32,$V$16,INDEX($V$16:$V$32,MATCH(LARGE(DE$16:DE$32,1),DE$16:DE$32,0))))</f>
        <v>흩뿌리기</v>
      </c>
      <c r="DI12" t="s">
        <v>227</v>
      </c>
      <c r="DJ12" t="str">
        <f>IF(DG9=1,"",IF(INDEX($V$16:$V$32,MATCH(LARGE(DH$16:DH$32,1),DH$16:DH$32,0))=$V$32,$V$16,INDEX($V$16:$V$32,MATCH(LARGE(DH$16:DH$32,1),DH$16:DH$32,0))))</f>
        <v/>
      </c>
      <c r="DL12" t="s">
        <v>227</v>
      </c>
      <c r="DM12" t="str">
        <f>IF(DJ9=1,"",IF(INDEX($V$16:$V$32,MATCH(LARGE(DK$16:DK$32,1),DK$16:DK$32,0))=$V$32,$V$16,INDEX($V$16:$V$32,MATCH(LARGE(DK$16:DK$32,1),DK$16:DK$32,0))))</f>
        <v>올려치기</v>
      </c>
      <c r="DO12" t="s">
        <v>227</v>
      </c>
      <c r="DP12" t="str">
        <f>IF(DM9=1,"",IF(INDEX($V$16:$V$32,MATCH(LARGE(DN$16:DN$32,1),DN$16:DN$32,0))=$V$32,$V$16,INDEX($V$16:$V$32,MATCH(LARGE(DN$16:DN$32,1),DN$16:DN$32,0))))</f>
        <v/>
      </c>
      <c r="DR12" t="s">
        <v>227</v>
      </c>
      <c r="DS12" t="str">
        <f>IF(DP9=1,"",IF(INDEX($V$16:$V$32,MATCH(LARGE(DQ$16:DQ$32,1),DQ$16:DQ$32,0))=$V$32,$V$16,INDEX($V$16:$V$32,MATCH(LARGE(DQ$16:DQ$32,1),DQ$16:DQ$32,0))))</f>
        <v>옹달샘</v>
      </c>
      <c r="DU12" t="s">
        <v>227</v>
      </c>
      <c r="DV12" t="str">
        <f>IF(DS9=1,"",IF(INDEX($V$16:$V$32,MATCH(LARGE(DT$16:DT$32,1),DT$16:DT$32,0))=$V$32,$V$16,INDEX($V$16:$V$32,MATCH(LARGE(DT$16:DT$32,1),DT$16:DT$32,0))))</f>
        <v/>
      </c>
    </row>
    <row r="13" spans="2:129" ht="17.5" thickBot="1" x14ac:dyDescent="0.5">
      <c r="C13" t="s">
        <v>44</v>
      </c>
      <c r="D13" t="s">
        <v>35</v>
      </c>
      <c r="E13" t="s">
        <v>48</v>
      </c>
      <c r="F13">
        <v>38.1</v>
      </c>
      <c r="K13">
        <v>800.5</v>
      </c>
      <c r="L13">
        <v>34</v>
      </c>
      <c r="N13" t="s">
        <v>125</v>
      </c>
      <c r="O13">
        <v>1.3</v>
      </c>
      <c r="R13">
        <v>1</v>
      </c>
      <c r="AE13">
        <f>COUNTIF(Z16:Z31,N19)</f>
        <v>0</v>
      </c>
      <c r="AG13" t="s">
        <v>335</v>
      </c>
      <c r="AH13">
        <f>_xlfn.IFNA(INDEX(AF16:AF31,MATCH(2,AP16:AP31,0)),0)</f>
        <v>0</v>
      </c>
      <c r="AI13">
        <f>_xlfn.IFNA(INDEX(AK16:AK31,MATCH(2,AP16:AP31,0)),0)</f>
        <v>0</v>
      </c>
      <c r="AJ13">
        <f>O19</f>
        <v>0.08</v>
      </c>
      <c r="AL13">
        <f>P19</f>
        <v>0.1</v>
      </c>
      <c r="AZ13">
        <f>IF(W40=S3,0,1)</f>
        <v>0</v>
      </c>
      <c r="BF13" t="s">
        <v>200</v>
      </c>
      <c r="BG13">
        <f>W37</f>
        <v>1</v>
      </c>
      <c r="BI13" s="43">
        <f>SUM(BI16:BI34)</f>
        <v>0.86532414847350536</v>
      </c>
      <c r="BK13">
        <f>30000/((SUM(BL16:BL34)-BL26)*W43+BL26)</f>
        <v>22.876025820268403</v>
      </c>
      <c r="BL13" s="43">
        <f>30000/SUM(BL16:BL32)/W43</f>
        <v>29.782383119736984</v>
      </c>
      <c r="BY13" s="43">
        <f>BQ10+BR10*2-BX7*100-BS10/6+BY7*100*3+BZ7+BX10+BY10/2+BV10*3+BW10*3</f>
        <v>5.8699090944075314</v>
      </c>
      <c r="CA13" t="s">
        <v>263</v>
      </c>
      <c r="CB13">
        <f>CB11+CB10+CC4-CB3+CB12</f>
        <v>-41.367330479009638</v>
      </c>
      <c r="CC13">
        <f>HLOOKUP(W6,N40:R43,3)</f>
        <v>1.36</v>
      </c>
      <c r="CG13" s="43">
        <f>SUM(CG16:CG34)</f>
        <v>36.812804351159336</v>
      </c>
      <c r="CK13" t="s">
        <v>153</v>
      </c>
      <c r="CL13">
        <f>INDEX($CC$16:$CC$32,MATCH(LARGE(CJ$16:CJ$32,1),CJ$16:CJ$32,0))</f>
        <v>102.54400000000001</v>
      </c>
      <c r="CN13" t="s">
        <v>153</v>
      </c>
      <c r="CO13">
        <f>INDEX($CC$16:$CC$32,MATCH(LARGE(CM$16:CM$32,1),CM$16:CM$32,0))</f>
        <v>58.480000000000004</v>
      </c>
      <c r="CQ13" t="s">
        <v>153</v>
      </c>
      <c r="CR13">
        <f>INDEX($CC$16:$CC$32,MATCH(LARGE(CP$16:CP$32,1),CP$16:CP$32,0))</f>
        <v>55.760000000000005</v>
      </c>
      <c r="CT13" t="s">
        <v>153</v>
      </c>
      <c r="CU13">
        <f>INDEX($CC$16:$CC$32,MATCH(LARGE(CS$16:CS$32,1),CS$16:CS$32,0))</f>
        <v>40.800000000000004</v>
      </c>
      <c r="CW13" t="s">
        <v>153</v>
      </c>
      <c r="CX13">
        <f>INDEX($CC$16:$CC$32,MATCH(LARGE(CV$16:CV$32,1),CV$16:CV$32,0))</f>
        <v>39.440000000000005</v>
      </c>
      <c r="CZ13" t="s">
        <v>153</v>
      </c>
      <c r="DA13">
        <f>INDEX($CC$16:$CC$32,MATCH(LARGE(CY$16:CY$32,1),CY$16:CY$32,0))</f>
        <v>28.560000000000002</v>
      </c>
      <c r="DC13" t="s">
        <v>153</v>
      </c>
      <c r="DD13">
        <f>INDEX($CC$16:$CC$32,MATCH(LARGE(DB$16:DB$32,1),DB$16:DB$32,0))</f>
        <v>55.760000000000005</v>
      </c>
      <c r="DF13" t="s">
        <v>153</v>
      </c>
      <c r="DG13">
        <f>INDEX($CC$16:$CC$32,MATCH(LARGE(DE$16:DE$32,1),DE$16:DE$32,0))</f>
        <v>102.54400000000001</v>
      </c>
      <c r="DI13" t="s">
        <v>153</v>
      </c>
      <c r="DJ13">
        <f>INDEX($CC$16:$CC$32,MATCH(LARGE(DH$16:DH$32,1),DH$16:DH$32,0))</f>
        <v>55.760000000000005</v>
      </c>
      <c r="DL13" t="s">
        <v>153</v>
      </c>
      <c r="DM13">
        <f>INDEX($CC$16:$CC$32,MATCH(LARGE(DK$16:DK$32,1),DK$16:DK$32,0))</f>
        <v>55.760000000000005</v>
      </c>
      <c r="DO13" t="s">
        <v>153</v>
      </c>
      <c r="DP13">
        <f>INDEX($CC$16:$CC$32,MATCH(LARGE(DN$16:DN$32,1),DN$16:DN$32,0))</f>
        <v>55.760000000000005</v>
      </c>
      <c r="DR13" t="s">
        <v>153</v>
      </c>
      <c r="DS13">
        <f>INDEX($CC$16:$CC$32,MATCH(LARGE(DQ$16:DQ$32,1),DQ$16:DQ$32,0))</f>
        <v>58.480000000000004</v>
      </c>
      <c r="DU13" t="s">
        <v>153</v>
      </c>
      <c r="DV13">
        <f>INDEX($CC$16:$CC$32,MATCH(LARGE(DT$16:DT$32,1),DT$16:DT$32,0))</f>
        <v>55.760000000000005</v>
      </c>
    </row>
    <row r="14" spans="2:129" x14ac:dyDescent="0.45">
      <c r="C14" t="s">
        <v>45</v>
      </c>
      <c r="D14" t="s">
        <v>47</v>
      </c>
      <c r="E14" t="s">
        <v>49</v>
      </c>
      <c r="N14" t="s">
        <v>127</v>
      </c>
      <c r="O14">
        <v>0.12</v>
      </c>
      <c r="P14">
        <v>0.1</v>
      </c>
      <c r="AZ14" t="s">
        <v>198</v>
      </c>
      <c r="BH14" t="s">
        <v>197</v>
      </c>
      <c r="CK14" t="s">
        <v>223</v>
      </c>
      <c r="CL14">
        <f>INDEX($CD$16:$CD$32,MATCH(LARGE(CJ$16:CJ$32,1),CJ$16:CJ$32,0))</f>
        <v>0.89347826086956517</v>
      </c>
      <c r="CN14" t="s">
        <v>223</v>
      </c>
      <c r="CO14">
        <f>INDEX($CD$16:$CD$32,MATCH(LARGE(CM$16:CM$32,1),CM$16:CM$32,0))</f>
        <v>0.93478260869565211</v>
      </c>
      <c r="CQ14" t="s">
        <v>223</v>
      </c>
      <c r="CR14">
        <f>INDEX($CD$16:$CD$32,MATCH(LARGE(CP$16:CP$32,1),CP$16:CP$32,0))</f>
        <v>1.1651411136536993</v>
      </c>
      <c r="CT14" t="s">
        <v>223</v>
      </c>
      <c r="CU14">
        <f>INDEX($CD$16:$CD$32,MATCH(LARGE(CS$16:CS$32,1),CS$16:CS$32,0))</f>
        <v>0.94130434782608685</v>
      </c>
      <c r="CW14" t="s">
        <v>223</v>
      </c>
      <c r="CX14">
        <f>INDEX($CD$16:$CD$32,MATCH(LARGE(CV$16:CV$32,1),CV$16:CV$32,0))</f>
        <v>0.9738113399440631</v>
      </c>
      <c r="CZ14" t="s">
        <v>223</v>
      </c>
      <c r="DA14">
        <f>INDEX($CD$16:$CD$32,MATCH(LARGE(CY$16:CY$32,1),CY$16:CY$32,0))</f>
        <v>0.99057971014492741</v>
      </c>
      <c r="DC14" t="s">
        <v>223</v>
      </c>
      <c r="DD14">
        <f>INDEX($CD$16:$CD$32,MATCH(LARGE(DB$16:DB$32,1),DB$16:DB$32,0))</f>
        <v>2.2818840579710145</v>
      </c>
      <c r="DF14" t="s">
        <v>223</v>
      </c>
      <c r="DG14">
        <f>INDEX($CD$16:$CD$32,MATCH(LARGE(DE$16:DE$32,1),DE$16:DE$32,0))</f>
        <v>0.89347826086956517</v>
      </c>
      <c r="DI14" t="s">
        <v>223</v>
      </c>
      <c r="DJ14">
        <f>INDEX($CD$16:$CD$32,MATCH(LARGE(DH$16:DH$32,1),DH$16:DH$32,0))</f>
        <v>0</v>
      </c>
      <c r="DL14" t="s">
        <v>223</v>
      </c>
      <c r="DM14">
        <f>INDEX($CD$16:$CD$32,MATCH(LARGE(DK$16:DK$32,1),DK$16:DK$32,0))</f>
        <v>1.1651411136536993</v>
      </c>
      <c r="DO14" t="s">
        <v>223</v>
      </c>
      <c r="DP14">
        <f>INDEX($CD$16:$CD$32,MATCH(LARGE(DN$16:DN$32,1),DN$16:DN$32,0))</f>
        <v>0</v>
      </c>
      <c r="DR14" t="s">
        <v>223</v>
      </c>
      <c r="DS14">
        <f>INDEX($CD$16:$CD$32,MATCH(LARGE(DQ$16:DQ$32,1),DQ$16:DQ$32,0))</f>
        <v>0.93478260869565211</v>
      </c>
      <c r="DU14" t="s">
        <v>223</v>
      </c>
      <c r="DV14">
        <f>INDEX($CD$16:$CD$32,MATCH(LARGE(DT$16:DT$32,1),DT$16:DT$32,0))</f>
        <v>0</v>
      </c>
    </row>
    <row r="15" spans="2:129" x14ac:dyDescent="0.45">
      <c r="C15" t="s">
        <v>46</v>
      </c>
      <c r="D15" t="s">
        <v>40</v>
      </c>
      <c r="N15" t="s">
        <v>126</v>
      </c>
      <c r="O15">
        <v>0.7</v>
      </c>
      <c r="V15" t="str">
        <f>앞면!B9</f>
        <v>스킬트리</v>
      </c>
      <c r="W15">
        <f>앞면!C9</f>
        <v>4</v>
      </c>
      <c r="X15">
        <f>앞면!D9</f>
        <v>7</v>
      </c>
      <c r="Y15">
        <f>앞면!E9</f>
        <v>10</v>
      </c>
      <c r="Z15" t="str">
        <f>앞면!F9</f>
        <v>스킬 룬</v>
      </c>
      <c r="AA15" s="44" t="str">
        <f>앞면!G9</f>
        <v>보석LV</v>
      </c>
      <c r="AB15" t="s">
        <v>167</v>
      </c>
      <c r="AC15" t="s">
        <v>152</v>
      </c>
      <c r="AD15" t="s">
        <v>160</v>
      </c>
      <c r="AE15" t="s">
        <v>160</v>
      </c>
      <c r="AF15" t="s">
        <v>166</v>
      </c>
      <c r="AG15" t="s">
        <v>156</v>
      </c>
      <c r="AH15" t="s">
        <v>181</v>
      </c>
      <c r="AI15" t="s">
        <v>185</v>
      </c>
      <c r="AJ15" t="s">
        <v>184</v>
      </c>
      <c r="AK15" t="s">
        <v>293</v>
      </c>
      <c r="AL15" t="s">
        <v>189</v>
      </c>
      <c r="AM15" t="s">
        <v>190</v>
      </c>
      <c r="AN15" t="s">
        <v>191</v>
      </c>
      <c r="AO15" t="s">
        <v>192</v>
      </c>
      <c r="AP15" t="s">
        <v>339</v>
      </c>
      <c r="AQ15" t="s">
        <v>336</v>
      </c>
      <c r="AR15" t="s">
        <v>337</v>
      </c>
      <c r="AS15" t="s">
        <v>336</v>
      </c>
      <c r="AT15" t="s">
        <v>337</v>
      </c>
      <c r="AU15" t="s">
        <v>316</v>
      </c>
      <c r="AV15" t="s">
        <v>277</v>
      </c>
      <c r="AW15" t="s">
        <v>278</v>
      </c>
      <c r="AX15" t="s">
        <v>289</v>
      </c>
      <c r="AY15" s="44" t="s">
        <v>290</v>
      </c>
      <c r="AZ15" t="s">
        <v>182</v>
      </c>
      <c r="BA15" t="s">
        <v>193</v>
      </c>
      <c r="BB15" t="s">
        <v>194</v>
      </c>
      <c r="BC15" t="s">
        <v>177</v>
      </c>
      <c r="BD15" t="s">
        <v>177</v>
      </c>
      <c r="BE15" t="s">
        <v>181</v>
      </c>
      <c r="BF15" t="s">
        <v>195</v>
      </c>
      <c r="BG15" t="s">
        <v>264</v>
      </c>
      <c r="BH15" t="s">
        <v>199</v>
      </c>
      <c r="BI15" t="s">
        <v>182</v>
      </c>
      <c r="BJ15" t="s">
        <v>193</v>
      </c>
      <c r="BK15" t="s">
        <v>194</v>
      </c>
      <c r="BL15" s="44" t="s">
        <v>201</v>
      </c>
      <c r="BM15" t="s">
        <v>243</v>
      </c>
      <c r="BN15" t="s">
        <v>181</v>
      </c>
      <c r="BO15" t="s">
        <v>242</v>
      </c>
      <c r="BP15" s="44" t="s">
        <v>250</v>
      </c>
      <c r="BQ15" t="s">
        <v>320</v>
      </c>
      <c r="BR15" t="s">
        <v>322</v>
      </c>
      <c r="BS15" t="s">
        <v>321</v>
      </c>
      <c r="BT15" t="s">
        <v>324</v>
      </c>
      <c r="BU15" t="s">
        <v>323</v>
      </c>
      <c r="BV15" t="s">
        <v>318</v>
      </c>
      <c r="BW15" t="s">
        <v>311</v>
      </c>
      <c r="BX15" t="s">
        <v>313</v>
      </c>
      <c r="BY15" t="s">
        <v>306</v>
      </c>
      <c r="BZ15" s="44" t="s">
        <v>307</v>
      </c>
      <c r="CA15" t="s">
        <v>217</v>
      </c>
      <c r="CB15" t="s">
        <v>218</v>
      </c>
      <c r="CC15" t="s">
        <v>219</v>
      </c>
      <c r="CD15" t="s">
        <v>223</v>
      </c>
      <c r="CE15" t="s">
        <v>220</v>
      </c>
      <c r="CF15" t="s">
        <v>224</v>
      </c>
      <c r="CG15" t="s">
        <v>235</v>
      </c>
      <c r="CH15" t="s">
        <v>154</v>
      </c>
      <c r="CI15" t="s">
        <v>225</v>
      </c>
      <c r="CJ15" t="s">
        <v>226</v>
      </c>
      <c r="CK15" t="s">
        <v>154</v>
      </c>
      <c r="CL15" t="s">
        <v>225</v>
      </c>
      <c r="CM15" t="s">
        <v>226</v>
      </c>
      <c r="CN15" t="s">
        <v>154</v>
      </c>
      <c r="CO15" t="s">
        <v>225</v>
      </c>
      <c r="CP15" t="s">
        <v>226</v>
      </c>
      <c r="CQ15" t="s">
        <v>154</v>
      </c>
      <c r="CR15" t="s">
        <v>225</v>
      </c>
      <c r="CS15" t="s">
        <v>226</v>
      </c>
      <c r="CT15" t="s">
        <v>154</v>
      </c>
      <c r="CU15" t="s">
        <v>225</v>
      </c>
      <c r="CV15" t="s">
        <v>226</v>
      </c>
      <c r="CW15" t="s">
        <v>154</v>
      </c>
      <c r="CX15" t="s">
        <v>225</v>
      </c>
      <c r="CY15" t="s">
        <v>226</v>
      </c>
      <c r="CZ15" t="s">
        <v>154</v>
      </c>
      <c r="DA15" t="s">
        <v>225</v>
      </c>
      <c r="DB15" t="s">
        <v>226</v>
      </c>
      <c r="DC15" t="s">
        <v>154</v>
      </c>
      <c r="DD15" t="s">
        <v>225</v>
      </c>
      <c r="DE15" t="s">
        <v>226</v>
      </c>
      <c r="DF15" t="s">
        <v>154</v>
      </c>
      <c r="DG15" t="s">
        <v>225</v>
      </c>
      <c r="DH15" t="s">
        <v>226</v>
      </c>
      <c r="DI15" t="s">
        <v>154</v>
      </c>
      <c r="DJ15" t="s">
        <v>225</v>
      </c>
      <c r="DK15" t="s">
        <v>226</v>
      </c>
      <c r="DL15" t="s">
        <v>154</v>
      </c>
      <c r="DM15" t="s">
        <v>225</v>
      </c>
      <c r="DN15" t="s">
        <v>226</v>
      </c>
      <c r="DO15" t="s">
        <v>154</v>
      </c>
      <c r="DP15" t="s">
        <v>225</v>
      </c>
      <c r="DQ15" t="s">
        <v>226</v>
      </c>
      <c r="DR15" t="s">
        <v>154</v>
      </c>
      <c r="DS15" t="s">
        <v>225</v>
      </c>
      <c r="DT15" t="s">
        <v>226</v>
      </c>
      <c r="DU15" t="s">
        <v>154</v>
      </c>
      <c r="DV15" t="s">
        <v>225</v>
      </c>
      <c r="DW15" t="s">
        <v>226</v>
      </c>
    </row>
    <row r="16" spans="2:129" x14ac:dyDescent="0.45">
      <c r="B16" t="s">
        <v>10</v>
      </c>
      <c r="F16">
        <v>158</v>
      </c>
      <c r="G16">
        <v>287</v>
      </c>
      <c r="H16">
        <v>412</v>
      </c>
      <c r="I16">
        <v>16</v>
      </c>
      <c r="J16">
        <v>3.149</v>
      </c>
      <c r="K16">
        <v>921.1</v>
      </c>
      <c r="L16">
        <v>41</v>
      </c>
      <c r="N16" t="s">
        <v>133</v>
      </c>
      <c r="O16">
        <v>1.2</v>
      </c>
      <c r="V16" t="str">
        <f>앞면!B10</f>
        <v>먹물세례</v>
      </c>
      <c r="W16">
        <f>앞면!C10</f>
        <v>0</v>
      </c>
      <c r="X16">
        <f>앞면!D10</f>
        <v>0</v>
      </c>
      <c r="Y16">
        <f>앞면!E10</f>
        <v>0</v>
      </c>
      <c r="Z16">
        <f>앞면!F10</f>
        <v>0</v>
      </c>
      <c r="AA16" s="44">
        <f>앞면!G10</f>
        <v>0</v>
      </c>
      <c r="AB16">
        <f>IF(W16=0,0,1)</f>
        <v>0</v>
      </c>
      <c r="AC16">
        <f>IF(W16=0,0,IF(X16=0,F4,IF(Y16=0,G4,H4)))</f>
        <v>0</v>
      </c>
      <c r="AD16">
        <f>I4</f>
        <v>8</v>
      </c>
      <c r="AE16">
        <f>AD16*AB16</f>
        <v>0</v>
      </c>
      <c r="AF16">
        <f>AE16*(1-AA16*0.02)*$Z$6</f>
        <v>0</v>
      </c>
      <c r="AG16">
        <f>J4</f>
        <v>1.0649999999999999</v>
      </c>
      <c r="AH16">
        <f>IF(W16=C7,F7,1)</f>
        <v>1</v>
      </c>
      <c r="AI16">
        <f t="shared" ref="AI16:AI31" si="1">IF(Z16=$N$4,$O$4,IF(Z16=$N$12,$O$12,IF(Z16=$N$17,$O$17,IF(Z16=$N$21,$O$21,1))))</f>
        <v>1</v>
      </c>
      <c r="AJ16">
        <f t="shared" ref="AJ16:AJ22" si="2">AB16*AG16/AH16/$AA$7/AI16</f>
        <v>0</v>
      </c>
      <c r="AK16">
        <f t="shared" ref="AK16:AK31" si="3">AJ16*$AA$7/$BD$8</f>
        <v>0</v>
      </c>
      <c r="AL16">
        <f>IF(BA10,0,IF($AH$10=0,0,IF(Z16=$AG$10,$AL$10,(AF16-AJ16)/$AH$10*$AL$10)))</f>
        <v>0</v>
      </c>
      <c r="AM16">
        <f>IF(BA10,1,IF(AL16=0,1,(AF16-IF(Z16=$AG$10,AL16*$AJ$10*(AF16-AJ16),AL16*(AF16-AJ16-$AI$10)/2*$AJ$10))/AF16))</f>
        <v>1</v>
      </c>
      <c r="AN16">
        <f>IF(BA10,0,IF($AH$11=0,0,IF($Z16=$AG$11,$AL$11,($AF16-$AJ16)/$AH$11*$AL$11)))</f>
        <v>0</v>
      </c>
      <c r="AO16">
        <f>IF(BA10,1,IF(AN16=0,1,(AF16-IF($Z16=$AG$11,AN16*$AJ$11*(AF16-AJ16),AN16*(AF16-AJ16-$AI$11)/2*$AJ$11))/AF16))</f>
        <v>1</v>
      </c>
      <c r="AP16">
        <f>IF(Z16=$N$19,COUNTIF($Z$16:Z16,$N$19),0)</f>
        <v>0</v>
      </c>
      <c r="AQ16">
        <f>IF(BA10,0,IF($AH$12=0,0,IF(AP16=1,$AL$12,($AF16-$AJ16)/$AH$12*$AL$12)))</f>
        <v>0</v>
      </c>
      <c r="AR16">
        <f>IF(BA10,1,IF(AQ16=0,1,(AF16-IF(AP16=1,AQ16*$AJ$12*(AF16-AJ16),AQ16*(AF16-AJ16-$AI$12)/2*$AJ$12))/AF16))</f>
        <v>1</v>
      </c>
      <c r="AS16">
        <f>IF(BA10,0,IF($AH$13=0,0,IF(AP16=2,$AL$13,($AF16-$AJ16)/$AH$13*$AL$13)))</f>
        <v>0</v>
      </c>
      <c r="AT16">
        <f>IF(BA10,1,IF(AS16=0,1,(AF16-IF(AP16=2,AS16*$AJ$13*(AF16-AJ16),AS16*(AF16-AJ16-$AI$13)/2*$AJ$13))/AF16))</f>
        <v>1</v>
      </c>
      <c r="AU16">
        <f t="shared" ref="AU16:AU29" si="4">AF16*AM16*AO16*AR16*AT16</f>
        <v>0</v>
      </c>
      <c r="AV16" t="b">
        <f t="shared" ref="AV16:AV31" si="5">IF(Z16=$N$10,TRUE,FALSE)</f>
        <v>0</v>
      </c>
      <c r="AW16" t="b">
        <f t="shared" ref="AW16:AW31" si="6">IF(Z16=$N$11,TRUE,FALSE)</f>
        <v>0</v>
      </c>
      <c r="AX16">
        <f t="shared" ref="AX16:AX30" si="7">IF(OR(AV16,AW16),1,IF($AM$4,IF($AQ$4,$AT$12,$AS$8),1))</f>
        <v>1</v>
      </c>
      <c r="AY16" s="44">
        <f>AU16*AX16</f>
        <v>0</v>
      </c>
      <c r="AZ16">
        <f t="shared" ref="AZ16:AZ31" si="8">IF(AY16=0,0,AK16/AY16)</f>
        <v>0</v>
      </c>
      <c r="BA16">
        <f>1-AZ16</f>
        <v>1</v>
      </c>
      <c r="BB16">
        <f>IF(Y16=E6,1,1+AZ16/2*(1-PRODUCT($BA$16:$BA$34)/BA16))</f>
        <v>1</v>
      </c>
      <c r="BC16">
        <f>K4</f>
        <v>272</v>
      </c>
      <c r="BD16">
        <f t="shared" ref="BD16:BD29" si="9">AB16*BC16</f>
        <v>0</v>
      </c>
      <c r="BE16">
        <f>IF(W16=C6,F6,1)</f>
        <v>1</v>
      </c>
      <c r="BF16">
        <f t="shared" ref="BF16:BF25" si="10">IF(Z16=$N$5,$O$5,IF(Z16=$N$13,$O$13,IF(Z16=$N$18,$O$18,IF(Z16=$N$22,$O$22,1))))</f>
        <v>1</v>
      </c>
      <c r="BG16">
        <f t="shared" ref="BG16:BG31" si="11">IF(BD16=0,0,BD16/AU16*$Z$4/BB16*BF16*BE16)</f>
        <v>0</v>
      </c>
      <c r="BH16">
        <f t="shared" ref="BH16:BH27" si="12">AY16</f>
        <v>0</v>
      </c>
      <c r="BI16">
        <f t="shared" ref="BI16:BI31" si="13">IF(BH16=0,0,AK16/BH16)</f>
        <v>0</v>
      </c>
      <c r="BJ16">
        <f>1-BI16</f>
        <v>1</v>
      </c>
      <c r="BK16">
        <f>IF(Y16=E6,1,1+BI16/2*(1-PRODUCT($BJ$16:$BJ$34)/BJ16))</f>
        <v>1</v>
      </c>
      <c r="BL16" s="44">
        <f>IF(BD16=0,0,BD16*$Z$4/BH16/BK16*BF16*BE16)</f>
        <v>0</v>
      </c>
      <c r="BM16">
        <f t="shared" ref="BM16:BM31" si="14">IF(Z16=$N$7,$O$7,IF(Z16=$N$15,$O$15,1))</f>
        <v>1</v>
      </c>
      <c r="BN16">
        <f>1</f>
        <v>1</v>
      </c>
      <c r="BO16">
        <f t="shared" ref="BO16:BO31" si="15">IFERROR(AC16*BM16*BN16/BH16,0)</f>
        <v>0</v>
      </c>
      <c r="BP16" s="44">
        <f>IFERROR(1/BH16,0)</f>
        <v>0</v>
      </c>
      <c r="BQ16">
        <f t="shared" ref="BQ16:BQ31" si="16">IF(Z16=$N$9,$O$9,0)</f>
        <v>0</v>
      </c>
      <c r="BR16">
        <f>BI16*BQ16</f>
        <v>0</v>
      </c>
      <c r="BS16">
        <f>IF(W16=C5,1,0)</f>
        <v>0</v>
      </c>
      <c r="BT16">
        <f>IFERROR(12/BH16,0)</f>
        <v>0</v>
      </c>
      <c r="CA16">
        <f>L4</f>
        <v>41</v>
      </c>
      <c r="CB16">
        <f t="shared" ref="CB16:CB31" si="17">IF(Z16=$N$8,$O$8,IF(Z16=$N$16,$O$16,IF(Z16=$N$20,$O$20,1)))</f>
        <v>1</v>
      </c>
      <c r="CC16">
        <f t="shared" ref="CC16:CC31" si="18">CA16*CB16*$CC$13</f>
        <v>55.760000000000005</v>
      </c>
      <c r="CD16">
        <f t="shared" ref="CD16:CD31" si="19">AJ16</f>
        <v>0</v>
      </c>
      <c r="CE16">
        <f>IFERROR(CC16/CD16,0)</f>
        <v>0</v>
      </c>
      <c r="CF16">
        <f t="shared" ref="CF16:CF31" si="20">AF16</f>
        <v>0</v>
      </c>
      <c r="CG16">
        <f t="shared" ref="CG16:CG25" si="21">IFERROR(CC16/CF16,0)</f>
        <v>0</v>
      </c>
      <c r="CH16">
        <v>0</v>
      </c>
      <c r="CI16">
        <f>IF($CF16=0,0,IF(CH16=0,1,0))</f>
        <v>0</v>
      </c>
      <c r="CJ16">
        <f>IFERROR($CE16*CI16,0)</f>
        <v>0</v>
      </c>
      <c r="CK16">
        <f t="shared" ref="CK16:CK32" si="22">IF(ROW(CH16)-ROW(CH$16)+1=CL$11,$CF16-$CD16,IF(CH16&lt;CL$14,0,CH16-CL$14))</f>
        <v>0</v>
      </c>
      <c r="CL16">
        <f>IF($CF16=0,0,IF(CK16=0,1,0))</f>
        <v>0</v>
      </c>
      <c r="CM16">
        <f>IFERROR($CE16*CL16,0)</f>
        <v>0</v>
      </c>
      <c r="CN16">
        <f>IF(ROW(CK16)-ROW(CK$16)+1=CO$11,$CF16-$CD16,IF(CK16&lt;CO$14,0,IF(CK16=0,0,CK16-CO$14-CL$8)))</f>
        <v>0</v>
      </c>
      <c r="CO16">
        <f>IF($CF16=0,0,IF(CN16=0,1,0))</f>
        <v>0</v>
      </c>
      <c r="CP16">
        <f>IFERROR($CE16*CO16,0)</f>
        <v>0</v>
      </c>
      <c r="CQ16">
        <f>IF(ROW(CN16)-ROW(CN$16)+1=CR$11,$CF16-$CD16,IF(CN16&lt;CR$14,0,IF(CN16=0,0,CN16-CR$14-CO$8)))</f>
        <v>0</v>
      </c>
      <c r="CR16">
        <f>IF($CF16=0,0,IF(CQ16=0,1,0))</f>
        <v>0</v>
      </c>
      <c r="CS16">
        <f>IFERROR($CE16*CR16,0)</f>
        <v>0</v>
      </c>
      <c r="CT16">
        <f>IF(ROW(CQ16)-ROW(CQ$16)+1=CU$11,$CF16-$CD16,IF(CQ16&lt;CU$14,0,IF(CQ16=0,0,CQ16-CU$14-CR$8)))</f>
        <v>0</v>
      </c>
      <c r="CU16">
        <f>IF($CF16=0,0,IF(CT16=0,1,0))</f>
        <v>0</v>
      </c>
      <c r="CV16">
        <f>IFERROR($CE16*CU16,0)</f>
        <v>0</v>
      </c>
      <c r="CW16">
        <f>IF(ROW(CT16)-ROW(CT$16)+1=CX$11,$CF16-$CD16,IF(CT16&lt;CX$14,0,IF(CT16=0,0,CT16-CX$14-CU$8)))</f>
        <v>0</v>
      </c>
      <c r="CX16">
        <f>IF($CF16=0,0,IF(CW16=0,1,0))</f>
        <v>0</v>
      </c>
      <c r="CY16">
        <f>IFERROR($CE16*CX16,0)</f>
        <v>0</v>
      </c>
      <c r="CZ16">
        <f>IF(ROW(CW16)-ROW(CW$16)+1=DA$11,$CF16-$CD16,IF(CW16&lt;DA$14,0,IF(CW16=0,0,CW16-DA$14-CX$8)))</f>
        <v>0</v>
      </c>
      <c r="DA16">
        <f>IF($CF16=0,0,IF(CZ16=0,1,0))</f>
        <v>0</v>
      </c>
      <c r="DB16">
        <f>IFERROR($CE16*DA16,0)</f>
        <v>0</v>
      </c>
      <c r="DC16">
        <f>IF(ROW(CZ16)-ROW(CZ$16)+1=DD$11,$CF16-$CD16,IF(CZ16&lt;DD$14,0,IF(CZ16=0,0,CZ16-DD$14-DA$8)))</f>
        <v>0</v>
      </c>
      <c r="DD16">
        <f>IF($CF16=0,0,IF(DC16=0,1,0))</f>
        <v>0</v>
      </c>
      <c r="DE16">
        <f>IFERROR($CE16*DD16,0)</f>
        <v>0</v>
      </c>
      <c r="DF16">
        <f>IF(ROW(DC16)-ROW(DC$16)+1=DG$11,$CF16-$CD16,IF(DC16&lt;DG$14,0,IF(DC16=0,0,DC16-DG$14-DD$8)))</f>
        <v>0</v>
      </c>
      <c r="DG16">
        <f>IF($CF16=0,0,IF(DF16=0,1,0))</f>
        <v>0</v>
      </c>
      <c r="DH16">
        <f>IFERROR($CE16*DG16,0)</f>
        <v>0</v>
      </c>
      <c r="DI16">
        <f>IF(ROW(DF16)-ROW(DF$16)+1=DJ$11,$CF16-$CD16,IF(DF16&lt;DJ$14,0,IF(DF16=0,0,DF16-DJ$14-DG$8)))</f>
        <v>0</v>
      </c>
      <c r="DJ16">
        <f>IF($CF16=0,0,IF(DI16=0,1,0))</f>
        <v>0</v>
      </c>
      <c r="DK16">
        <f>IFERROR($CE16*DJ16,0)</f>
        <v>0</v>
      </c>
      <c r="DL16">
        <f>IF(ROW(DI16)-ROW(DI$16)+1=DM$11,$CF16-$CD16,IF(DI16&lt;DM$14,0,IF(DI16=0,0,DI16-DM$14-DJ$8)))</f>
        <v>0</v>
      </c>
      <c r="DM16">
        <f>IF($CF16=0,0,IF(DL16=0,1,0))</f>
        <v>0</v>
      </c>
      <c r="DN16">
        <f>IFERROR($CE16*DM16,0)</f>
        <v>0</v>
      </c>
      <c r="DO16">
        <f>IF(ROW(DL16)-ROW(DL$16)+1=DP$11,$CF16-$CD16,IF(DL16&lt;DP$14,0,IF(DL16=0,0,DL16-DP$14-DM$8)))</f>
        <v>0</v>
      </c>
      <c r="DP16">
        <f>IF($CF16=0,0,IF(DO16=0,1,0))</f>
        <v>0</v>
      </c>
      <c r="DQ16">
        <f>IFERROR($CE16*DP16,0)</f>
        <v>0</v>
      </c>
      <c r="DR16">
        <f>IF(ROW(DO16)-ROW(DO$16)+1=DS$11,$CF16-$CD16,IF(DO16&lt;DS$14,0,IF(DO16=0,0,DO16-DS$14-DP$8)))</f>
        <v>0</v>
      </c>
      <c r="DS16">
        <f>IF($CF16=0,0,IF(DR16=0,1,0))</f>
        <v>0</v>
      </c>
      <c r="DT16">
        <f>IFERROR($CE16*DS16,0)</f>
        <v>0</v>
      </c>
      <c r="DU16">
        <f>IF(ROW(DR16)-ROW(DR$16)+1=DV$11,$CF16-$CD16,IF(DR16&lt;DV$14,0,IF(DR16=0,0,DR16-DV$14-DS$8)))</f>
        <v>0</v>
      </c>
      <c r="DV16">
        <f>IF($CF16=0,0,IF(DU16=0,1,0))</f>
        <v>0</v>
      </c>
      <c r="DW16">
        <f>IFERROR($CE16*DV16,0)</f>
        <v>0</v>
      </c>
    </row>
    <row r="17" spans="2:127" x14ac:dyDescent="0.45">
      <c r="C17" t="s">
        <v>22</v>
      </c>
      <c r="D17" t="s">
        <v>53</v>
      </c>
      <c r="E17" t="s">
        <v>57</v>
      </c>
      <c r="F17">
        <v>1.45</v>
      </c>
      <c r="N17" t="s">
        <v>128</v>
      </c>
      <c r="O17">
        <v>1.08</v>
      </c>
      <c r="V17" t="str">
        <f>앞면!B11</f>
        <v>흩뿌리기</v>
      </c>
      <c r="W17" t="str">
        <f>앞면!C11</f>
        <v>정신 강화</v>
      </c>
      <c r="X17" t="str">
        <f>앞면!D11</f>
        <v>직선 긋기</v>
      </c>
      <c r="Y17" t="str">
        <f>앞면!E11</f>
        <v>먹의 비호</v>
      </c>
      <c r="Z17" t="str">
        <f>앞면!F11</f>
        <v>전설 압도</v>
      </c>
      <c r="AA17" s="44">
        <f>앞면!G11</f>
        <v>10</v>
      </c>
      <c r="AB17">
        <f t="shared" ref="AB17:AB31" si="23">IF(W17=0,0,1)</f>
        <v>1</v>
      </c>
      <c r="AC17">
        <f>IF(W17=0,0,IF(X17=0,F8,IF(Y17=0,G8,H8)))</f>
        <v>382</v>
      </c>
      <c r="AD17">
        <f>I8</f>
        <v>14</v>
      </c>
      <c r="AE17">
        <f t="shared" ref="AE17:AE31" si="24">AD17*AB17</f>
        <v>14</v>
      </c>
      <c r="AF17">
        <f t="shared" ref="AF17:AF31" si="25">AE17*(1-AA17*0.02)*$Z$6</f>
        <v>6.8713209986021981</v>
      </c>
      <c r="AG17">
        <f>J8</f>
        <v>1.2330000000000001</v>
      </c>
      <c r="AH17">
        <v>1</v>
      </c>
      <c r="AI17">
        <f t="shared" si="1"/>
        <v>1</v>
      </c>
      <c r="AJ17">
        <f t="shared" si="2"/>
        <v>0.89347826086956517</v>
      </c>
      <c r="AK17">
        <f t="shared" si="3"/>
        <v>0.89347826086956517</v>
      </c>
      <c r="AL17">
        <f t="shared" ref="AL17:AL25" si="26">IF($AH$10=0,0,IF(Z17=$AG$10,$AL$10,(AF17-AJ17)/$AH$10*$AL$10))</f>
        <v>4.5109552601841074E-2</v>
      </c>
      <c r="AM17">
        <f>IF(AL17=0,1,(AF17-IF(Z17=$AG$10,AL17*$AJ$10*(AF17-AJ17),AL17*(AF17-AJ17-$AI$10)/2*$AJ$10))/AF17)</f>
        <v>0.99738072834696034</v>
      </c>
      <c r="AN17">
        <f>IF($AH$11=0,0,IF($Z17=$AG$11,$AL$11,($AF17-$AJ17)/$AH$11*$AL$11))</f>
        <v>0</v>
      </c>
      <c r="AO17">
        <f>IF(AN17=0,1,(AF17-IF($Z17=$AG$11,AN17*$AJ$11*(AF17-AJ17),AN17*(AF17-AJ17-$AI$11)/2*$AJ$11))/AF17)</f>
        <v>1</v>
      </c>
      <c r="AP17">
        <f>IF(Z17=$N$19,COUNTIF($Z$16:Z17,$N$19),0)</f>
        <v>0</v>
      </c>
      <c r="AQ17">
        <f>IF($AH$12=0,0,IF(AP17=1,$AL$12,($AF17-$AJ17)/$AH$12*$AL$12))</f>
        <v>0</v>
      </c>
      <c r="AR17">
        <f>IF(AQ17=0,1,(AF17-IF(AP17=1,AQ17*$AJ$12*(AF17-AJ17),AQ17*(AF17-AJ17-$AI$12)/2*$AJ$12))/AF17)</f>
        <v>1</v>
      </c>
      <c r="AS17">
        <f t="shared" ref="AS17:AS25" si="27">IF($AH$13=0,0,IF(AP17=2,$AL$13,($AF17-$AJ17)/$AH$13*$AL$13))</f>
        <v>0</v>
      </c>
      <c r="AT17">
        <f t="shared" ref="AT17:AT25" si="28">IF(AS17=0,1,(AF17-IF(AP17=2,AS17*$AJ$13*(AF17-AJ17),AS17*(AF17-AJ17-$AI$13)/2*$AJ$13))/AF17)</f>
        <v>1</v>
      </c>
      <c r="AU17">
        <f t="shared" si="4"/>
        <v>6.8533231422916234</v>
      </c>
      <c r="AV17" t="b">
        <f t="shared" si="5"/>
        <v>0</v>
      </c>
      <c r="AW17" t="b">
        <f t="shared" si="6"/>
        <v>0</v>
      </c>
      <c r="AX17">
        <f t="shared" si="7"/>
        <v>1</v>
      </c>
      <c r="AY17" s="44">
        <f t="shared" ref="AY17:AY31" si="29">AU17*AX17</f>
        <v>6.8533231422916234</v>
      </c>
      <c r="AZ17">
        <f t="shared" si="8"/>
        <v>0.13037153543161292</v>
      </c>
      <c r="BA17">
        <f t="shared" ref="BA17:BA31" si="30">1-AZ17</f>
        <v>0.86962846456838705</v>
      </c>
      <c r="BB17">
        <f>1+AZ17/2*(1-PRODUCT($BA$16:$BA$34)/BA17)</f>
        <v>1.0343655094168502</v>
      </c>
      <c r="BC17">
        <f>K8</f>
        <v>544</v>
      </c>
      <c r="BD17">
        <f t="shared" si="9"/>
        <v>544</v>
      </c>
      <c r="BE17">
        <f>1</f>
        <v>1</v>
      </c>
      <c r="BF17">
        <f t="shared" si="10"/>
        <v>1</v>
      </c>
      <c r="BG17">
        <f t="shared" si="11"/>
        <v>108.52617387842504</v>
      </c>
      <c r="BH17">
        <f t="shared" si="12"/>
        <v>6.8533231422916234</v>
      </c>
      <c r="BI17">
        <f t="shared" si="13"/>
        <v>0.13037153543161292</v>
      </c>
      <c r="BJ17">
        <f>1-BI17</f>
        <v>0.86962846456838705</v>
      </c>
      <c r="BK17">
        <f>1+BI17/2*(1-PRODUCT($BJ$16:$BJ$34)/BJ17)</f>
        <v>1.0360116099826355</v>
      </c>
      <c r="BL17" s="44">
        <f>IF(BD17=0,0,BD17*$Z$4/BH17/BK17*BF17*BE17)</f>
        <v>108.35373855578733</v>
      </c>
      <c r="BM17">
        <f t="shared" si="14"/>
        <v>1</v>
      </c>
      <c r="BN17">
        <f>IF(W17=C10,F10,1)</f>
        <v>0.33</v>
      </c>
      <c r="BO17">
        <f t="shared" si="15"/>
        <v>18.393996223830165</v>
      </c>
      <c r="BP17" s="44">
        <f t="shared" ref="BP17:BP31" si="31">IFERROR(1/BH17,0)</f>
        <v>0.14591461386506557</v>
      </c>
      <c r="BQ17">
        <f t="shared" si="16"/>
        <v>0</v>
      </c>
      <c r="BR17">
        <f t="shared" ref="BR17:BR31" si="32">BI17*BQ17</f>
        <v>0</v>
      </c>
      <c r="BS17">
        <f>IF(W17=C9,1,0)</f>
        <v>0</v>
      </c>
      <c r="BT17">
        <f t="shared" ref="BT17:BT31" si="33">IFERROR(12/BH17,0)</f>
        <v>1.7509753663807868</v>
      </c>
      <c r="BV17">
        <f>IF(W17=0,0,IF(Y17=E10,0.3*5/BH17,0))*IF(W17=C11,1,1/1.2)</f>
        <v>0.18239326733133196</v>
      </c>
      <c r="CA17">
        <f>L8</f>
        <v>58</v>
      </c>
      <c r="CB17">
        <f t="shared" si="17"/>
        <v>1.3</v>
      </c>
      <c r="CC17">
        <f t="shared" si="18"/>
        <v>102.54400000000001</v>
      </c>
      <c r="CD17">
        <f t="shared" si="19"/>
        <v>0.89347826086956517</v>
      </c>
      <c r="CE17">
        <f t="shared" ref="CE17:CE31" si="34">IFERROR(CC17/CD17,0)</f>
        <v>114.76944038929442</v>
      </c>
      <c r="CF17">
        <f t="shared" si="20"/>
        <v>6.8713209986021981</v>
      </c>
      <c r="CG17">
        <f t="shared" si="21"/>
        <v>14.923476871603011</v>
      </c>
      <c r="CH17">
        <v>0</v>
      </c>
      <c r="CI17">
        <f t="shared" ref="CI17:CI30" si="35">IF($CF17=0,0,IF(CH17=0,1,0))</f>
        <v>1</v>
      </c>
      <c r="CJ17">
        <f>IFERROR($CE17*CI17,0)</f>
        <v>114.76944038929442</v>
      </c>
      <c r="CK17">
        <f t="shared" si="22"/>
        <v>5.9778427377326331</v>
      </c>
      <c r="CL17">
        <f t="shared" ref="CL17:CL32" si="36">IF($CF17=0,0,IF(CK17=0,1,0))</f>
        <v>0</v>
      </c>
      <c r="CM17">
        <f>IFERROR($CE17*CL17,0)</f>
        <v>0</v>
      </c>
      <c r="CN17">
        <f t="shared" ref="CN17:CN32" si="37">IF(ROW(CK17)-ROW(CK$16)+1=CO$11,$CF17-$CD17,IF(CK17&lt;CO$14,0,IF(CK17=0,0,CK17-CO$14-CL$8)))</f>
        <v>5.0430601290369808</v>
      </c>
      <c r="CO17">
        <f t="shared" ref="CO17:CO32" si="38">IF($CF17=0,0,IF(CN17=0,1,0))</f>
        <v>0</v>
      </c>
      <c r="CP17">
        <f>IFERROR($CE17*CO17,0)</f>
        <v>0</v>
      </c>
      <c r="CQ17">
        <f t="shared" ref="CQ17:CQ32" si="39">IF(ROW(CN17)-ROW(CN$16)+1=CR$11,$CF17-$CD17,IF(CN17&lt;CR$14,0,IF(CN17=0,0,CN17-CR$14-CO$8)))</f>
        <v>3.8779190153832817</v>
      </c>
      <c r="CR17">
        <f t="shared" ref="CR17:CR32" si="40">IF($CF17=0,0,IF(CQ17=0,1,0))</f>
        <v>0</v>
      </c>
      <c r="CS17">
        <f>IFERROR($CE17*CR17,0)</f>
        <v>0</v>
      </c>
      <c r="CT17">
        <f t="shared" ref="CT17:CT32" si="41">IF(ROW(CQ17)-ROW(CQ$16)+1=CU$11,$CF17-$CD17,IF(CQ17&lt;CU$14,0,IF(CQ17=0,0,CQ17-CU$14-CR$8)))</f>
        <v>2.9366146675571949</v>
      </c>
      <c r="CU17">
        <f t="shared" ref="CU17:CU32" si="42">IF($CF17=0,0,IF(CT17=0,1,0))</f>
        <v>0</v>
      </c>
      <c r="CV17">
        <f>IFERROR($CE17*CU17,0)</f>
        <v>0</v>
      </c>
      <c r="CW17">
        <f t="shared" ref="CW17:CW32" si="43">IF(ROW(CT17)-ROW(CT$16)+1=CX$11,$CF17-$CD17,IF(CT17&lt;CX$14,0,IF(CT17=0,0,CT17-CX$14-CU$8)))</f>
        <v>1.9628033276131318</v>
      </c>
      <c r="CX17">
        <f t="shared" ref="CX17:CX32" si="44">IF($CF17=0,0,IF(CW17=0,1,0))</f>
        <v>0</v>
      </c>
      <c r="CY17">
        <f>IFERROR($CE17*CX17,0)</f>
        <v>0</v>
      </c>
      <c r="CZ17">
        <f t="shared" ref="CZ17:CZ32" si="45">IF(ROW(CW17)-ROW(CW$16)+1=DA$11,$CF17-$CD17,IF(CW17&lt;DA$14,0,IF(CW17=0,0,CW17-DA$14-CX$8)))</f>
        <v>0.9722236174682044</v>
      </c>
      <c r="DA17">
        <f t="shared" ref="DA17:DA32" si="46">IF($CF17=0,0,IF(CZ17=0,1,0))</f>
        <v>0</v>
      </c>
      <c r="DB17">
        <f>IFERROR($CE17*DA17,0)</f>
        <v>0</v>
      </c>
      <c r="DC17">
        <f t="shared" ref="DC17:DC32" si="47">IF(ROW(CZ17)-ROW(CZ$16)+1=DD$11,$CF17-$CD17,IF(CZ17&lt;DD$14,0,IF(CZ17=0,0,CZ17-DD$14-DA$8)))</f>
        <v>0</v>
      </c>
      <c r="DD17">
        <f t="shared" ref="DD17:DD32" si="48">IF($CF17=0,0,IF(DC17=0,1,0))</f>
        <v>1</v>
      </c>
      <c r="DE17">
        <f>IFERROR($CE17*DD17,0)</f>
        <v>114.76944038929442</v>
      </c>
      <c r="DF17">
        <f t="shared" ref="DF17:DF32" si="49">IF(ROW(DC17)-ROW(DC$16)+1=DG$11,$CF17-$CD17,IF(DC17&lt;DG$14,0,IF(DC17=0,0,DC17-DG$14-DD$8)))</f>
        <v>5.9778427377326331</v>
      </c>
      <c r="DG17">
        <f t="shared" ref="DG17:DG32" si="50">IF($CF17=0,0,IF(DF17=0,1,0))</f>
        <v>0</v>
      </c>
      <c r="DH17">
        <f>IFERROR($CE17*DG17,0)</f>
        <v>0</v>
      </c>
      <c r="DI17">
        <f t="shared" ref="DI17:DI32" si="51">IF(ROW(DF17)-ROW(DF$16)+1=DJ$11,$CF17-$CD17,IF(DF17&lt;DJ$14,0,IF(DF17=0,0,DF17-DJ$14-DG$8)))</f>
        <v>5.3711032840251907</v>
      </c>
      <c r="DJ17">
        <f t="shared" ref="DJ17:DJ32" si="52">IF($CF17=0,0,IF(DI17=0,1,0))</f>
        <v>0</v>
      </c>
      <c r="DK17">
        <f>IFERROR($CE17*DJ17,0)</f>
        <v>0</v>
      </c>
      <c r="DL17">
        <f t="shared" ref="DL17:DL32" si="53">IF(ROW(DI17)-ROW(DI$16)+1=DM$11,$CF17-$CD17,IF(DI17&lt;DM$14,0,IF(DI17=0,0,DI17-DM$14-DJ$8)))</f>
        <v>4.2059621703714916</v>
      </c>
      <c r="DM17">
        <f t="shared" ref="DM17:DM32" si="54">IF($CF17=0,0,IF(DL17=0,1,0))</f>
        <v>0</v>
      </c>
      <c r="DN17">
        <f>IFERROR($CE17*DM17,0)</f>
        <v>0</v>
      </c>
      <c r="DO17">
        <f t="shared" ref="DO17:DO32" si="55">IF(ROW(DL17)-ROW(DL$16)+1=DP$11,$CF17-$CD17,IF(DL17&lt;DP$14,0,IF(DL17=0,0,DL17-DP$14-DM$8)))</f>
        <v>2.3794167506624451</v>
      </c>
      <c r="DP17">
        <f t="shared" ref="DP17:DP32" si="56">IF($CF17=0,0,IF(DO17=0,1,0))</f>
        <v>0</v>
      </c>
      <c r="DQ17">
        <f>IFERROR($CE17*DP17,0)</f>
        <v>0</v>
      </c>
      <c r="DR17">
        <f t="shared" ref="DR17:DR32" si="57">IF(ROW(DO17)-ROW(DO$16)+1=DS$11,$CF17-$CD17,IF(DO17&lt;DS$14,0,IF(DO17=0,0,DO17-DS$14-DP$8)))</f>
        <v>1.444634141966793</v>
      </c>
      <c r="DS17">
        <f t="shared" ref="DS17:DS32" si="58">IF($CF17=0,0,IF(DR17=0,1,0))</f>
        <v>0</v>
      </c>
      <c r="DT17">
        <f>IFERROR($CE17*DS17,0)</f>
        <v>0</v>
      </c>
      <c r="DU17">
        <f t="shared" ref="DU17:DU32" si="59">IF(ROW(DR17)-ROW(DR$16)+1=DV$11,$CF17-$CD17,IF(DR17&lt;DV$14,0,IF(DR17=0,0,DR17-DV$14-DS$8)))</f>
        <v>1.3002667724564148</v>
      </c>
      <c r="DV17">
        <f t="shared" ref="DV17:DV32" si="60">IF($CF17=0,0,IF(DU17=0,1,0))</f>
        <v>0</v>
      </c>
      <c r="DW17">
        <f>IFERROR($CE17*DV17,0)</f>
        <v>0</v>
      </c>
    </row>
    <row r="18" spans="2:127" x14ac:dyDescent="0.45">
      <c r="C18" t="s">
        <v>50</v>
      </c>
      <c r="D18" t="s">
        <v>54</v>
      </c>
      <c r="E18" t="s">
        <v>58</v>
      </c>
      <c r="N18" t="s">
        <v>129</v>
      </c>
      <c r="O18">
        <v>1.2</v>
      </c>
      <c r="V18" t="str">
        <f>앞면!B12</f>
        <v>먹오름</v>
      </c>
      <c r="W18">
        <f>앞면!C12</f>
        <v>0</v>
      </c>
      <c r="X18">
        <f>앞면!D12</f>
        <v>0</v>
      </c>
      <c r="Y18">
        <f>앞면!E12</f>
        <v>0</v>
      </c>
      <c r="Z18">
        <f>앞면!F12</f>
        <v>0</v>
      </c>
      <c r="AA18" s="44">
        <f>앞면!G12</f>
        <v>0</v>
      </c>
      <c r="AB18">
        <f t="shared" si="23"/>
        <v>0</v>
      </c>
      <c r="AC18">
        <f>IF(W18=0,0,IF(X18=0,F12,IF(Y18=0,G12,H12)))</f>
        <v>0</v>
      </c>
      <c r="AD18">
        <f>I12</f>
        <v>16</v>
      </c>
      <c r="AE18">
        <f t="shared" si="24"/>
        <v>0</v>
      </c>
      <c r="AF18">
        <f t="shared" si="25"/>
        <v>0</v>
      </c>
      <c r="AG18">
        <f>J12</f>
        <v>1.5</v>
      </c>
      <c r="AH18">
        <v>1</v>
      </c>
      <c r="AI18">
        <f t="shared" si="1"/>
        <v>1</v>
      </c>
      <c r="AJ18">
        <f t="shared" si="2"/>
        <v>0</v>
      </c>
      <c r="AK18">
        <f t="shared" si="3"/>
        <v>0</v>
      </c>
      <c r="AL18">
        <f t="shared" si="26"/>
        <v>0</v>
      </c>
      <c r="AM18">
        <f t="shared" ref="AM18:AM31" si="61">IF(AL18=0,1,(AF18-IF(Z18=$AG$10,AL18*$AJ$10*(AF18-AJ18),AL18*(AF18-AJ18-$AI$10)/2*$AJ$10))/AF18)</f>
        <v>1</v>
      </c>
      <c r="AN18">
        <f t="shared" ref="AN18:AN25" si="62">IF($AH$11=0,0,IF($Z18=$AG$11,$AL$11,($AF18-$AJ18)/$AH$11*$AL$11))</f>
        <v>0</v>
      </c>
      <c r="AO18">
        <f>IF(AN18=0,1,(AF18-IF($Z18=$AG$11,AN18*$AJ$11*(AF18-AJ18),AN18*(AF18-AJ18-$AI$11)/2*$AJ$11))/AF18)</f>
        <v>1</v>
      </c>
      <c r="AP18">
        <f>IF(Z18=$N$19,COUNTIF($Z$16:Z18,$N$19),0)</f>
        <v>0</v>
      </c>
      <c r="AQ18">
        <f>IF($AH$12=0,0,IF(AP18=1,$AL$12,($AF18-$AJ18)/$AH$12*$AL$12))</f>
        <v>0</v>
      </c>
      <c r="AR18">
        <f>IF(AQ18=0,1,(AF18-IF(AP18=1,AQ18*$AJ$12*(AF18-AJ18),AQ18*(AF18-AJ18-$AI$12)/2*$AJ$12))/AF18)</f>
        <v>1</v>
      </c>
      <c r="AS18">
        <f t="shared" si="27"/>
        <v>0</v>
      </c>
      <c r="AT18">
        <f t="shared" si="28"/>
        <v>1</v>
      </c>
      <c r="AU18">
        <f t="shared" si="4"/>
        <v>0</v>
      </c>
      <c r="AV18" t="b">
        <f t="shared" si="5"/>
        <v>0</v>
      </c>
      <c r="AW18" t="b">
        <f t="shared" si="6"/>
        <v>0</v>
      </c>
      <c r="AX18">
        <f t="shared" si="7"/>
        <v>1</v>
      </c>
      <c r="AY18" s="44">
        <f t="shared" si="29"/>
        <v>0</v>
      </c>
      <c r="AZ18">
        <f t="shared" si="8"/>
        <v>0</v>
      </c>
      <c r="BA18">
        <f t="shared" si="30"/>
        <v>1</v>
      </c>
      <c r="BB18">
        <f t="shared" ref="BB18:BB30" si="63">1+AZ18/2*(1-PRODUCT($BA$16:$BA$34)/BA18)</f>
        <v>1</v>
      </c>
      <c r="BC18">
        <f>IF(Y18=E14,K13,K12)</f>
        <v>696</v>
      </c>
      <c r="BD18">
        <f t="shared" si="9"/>
        <v>0</v>
      </c>
      <c r="BE18">
        <f>1</f>
        <v>1</v>
      </c>
      <c r="BF18">
        <f t="shared" si="10"/>
        <v>1</v>
      </c>
      <c r="BG18">
        <f t="shared" si="11"/>
        <v>0</v>
      </c>
      <c r="BH18">
        <f t="shared" si="12"/>
        <v>0</v>
      </c>
      <c r="BI18">
        <f t="shared" si="13"/>
        <v>0</v>
      </c>
      <c r="BJ18">
        <f t="shared" ref="BJ18:BJ34" si="64">1-BI18</f>
        <v>1</v>
      </c>
      <c r="BK18">
        <f t="shared" ref="BK18:BK34" si="65">1+BI18/2*(1-PRODUCT($BJ$16:$BJ$34)/BJ18)</f>
        <v>1</v>
      </c>
      <c r="BL18" s="44">
        <f t="shared" ref="BL18:BL31" si="66">IF(BD18=0,0,BD18*$Z$4/BH18/BK18*BF18*BE18)</f>
        <v>0</v>
      </c>
      <c r="BM18">
        <f t="shared" si="14"/>
        <v>1</v>
      </c>
      <c r="BN18">
        <f>1</f>
        <v>1</v>
      </c>
      <c r="BO18">
        <f t="shared" si="15"/>
        <v>0</v>
      </c>
      <c r="BP18" s="44">
        <f t="shared" si="31"/>
        <v>0</v>
      </c>
      <c r="BQ18">
        <f t="shared" si="16"/>
        <v>0</v>
      </c>
      <c r="BR18">
        <f t="shared" si="32"/>
        <v>0</v>
      </c>
      <c r="BT18">
        <f t="shared" si="33"/>
        <v>0</v>
      </c>
      <c r="CA18">
        <f>IF(Y18=E14,L13,L12)</f>
        <v>29</v>
      </c>
      <c r="CB18">
        <f t="shared" si="17"/>
        <v>1</v>
      </c>
      <c r="CC18">
        <f t="shared" si="18"/>
        <v>39.440000000000005</v>
      </c>
      <c r="CD18">
        <f t="shared" si="19"/>
        <v>0</v>
      </c>
      <c r="CE18">
        <f t="shared" si="34"/>
        <v>0</v>
      </c>
      <c r="CF18">
        <f t="shared" si="20"/>
        <v>0</v>
      </c>
      <c r="CG18">
        <f t="shared" si="21"/>
        <v>0</v>
      </c>
      <c r="CH18">
        <v>0</v>
      </c>
      <c r="CI18">
        <f t="shared" si="35"/>
        <v>0</v>
      </c>
      <c r="CJ18">
        <f t="shared" ref="CJ18:CJ30" si="67">IFERROR($CE18*CI18,0)</f>
        <v>0</v>
      </c>
      <c r="CK18">
        <f t="shared" si="22"/>
        <v>0</v>
      </c>
      <c r="CL18">
        <f t="shared" si="36"/>
        <v>0</v>
      </c>
      <c r="CM18">
        <f t="shared" ref="CM18:CM32" si="68">IFERROR($CE18*CL18,0)</f>
        <v>0</v>
      </c>
      <c r="CN18">
        <f t="shared" si="37"/>
        <v>0</v>
      </c>
      <c r="CO18">
        <f t="shared" si="38"/>
        <v>0</v>
      </c>
      <c r="CP18">
        <f t="shared" ref="CP18:CP32" si="69">IFERROR($CE18*CO18,0)</f>
        <v>0</v>
      </c>
      <c r="CQ18">
        <f t="shared" si="39"/>
        <v>0</v>
      </c>
      <c r="CR18">
        <f t="shared" si="40"/>
        <v>0</v>
      </c>
      <c r="CS18">
        <f t="shared" ref="CS18" si="70">IFERROR($CE18*CR18,0)</f>
        <v>0</v>
      </c>
      <c r="CT18">
        <f t="shared" si="41"/>
        <v>0</v>
      </c>
      <c r="CU18">
        <f t="shared" si="42"/>
        <v>0</v>
      </c>
      <c r="CV18">
        <f t="shared" ref="CV18" si="71">IFERROR($CE18*CU18,0)</f>
        <v>0</v>
      </c>
      <c r="CW18">
        <f t="shared" si="43"/>
        <v>0</v>
      </c>
      <c r="CX18">
        <f t="shared" si="44"/>
        <v>0</v>
      </c>
      <c r="CY18">
        <f t="shared" ref="CY18" si="72">IFERROR($CE18*CX18,0)</f>
        <v>0</v>
      </c>
      <c r="CZ18">
        <f t="shared" si="45"/>
        <v>0</v>
      </c>
      <c r="DA18">
        <f t="shared" si="46"/>
        <v>0</v>
      </c>
      <c r="DB18">
        <f t="shared" ref="DB18" si="73">IFERROR($CE18*DA18,0)</f>
        <v>0</v>
      </c>
      <c r="DC18">
        <f t="shared" si="47"/>
        <v>0</v>
      </c>
      <c r="DD18">
        <f t="shared" si="48"/>
        <v>0</v>
      </c>
      <c r="DE18">
        <f t="shared" ref="DE18" si="74">IFERROR($CE18*DD18,0)</f>
        <v>0</v>
      </c>
      <c r="DF18">
        <f t="shared" si="49"/>
        <v>0</v>
      </c>
      <c r="DG18">
        <f t="shared" si="50"/>
        <v>0</v>
      </c>
      <c r="DH18">
        <f t="shared" ref="DH18" si="75">IFERROR($CE18*DG18,0)</f>
        <v>0</v>
      </c>
      <c r="DI18">
        <f t="shared" si="51"/>
        <v>0</v>
      </c>
      <c r="DJ18">
        <f t="shared" si="52"/>
        <v>0</v>
      </c>
      <c r="DK18">
        <f t="shared" ref="DK18" si="76">IFERROR($CE18*DJ18,0)</f>
        <v>0</v>
      </c>
      <c r="DL18">
        <f t="shared" si="53"/>
        <v>0</v>
      </c>
      <c r="DM18">
        <f t="shared" si="54"/>
        <v>0</v>
      </c>
      <c r="DN18">
        <f t="shared" ref="DN18" si="77">IFERROR($CE18*DM18,0)</f>
        <v>0</v>
      </c>
      <c r="DO18">
        <f t="shared" si="55"/>
        <v>0</v>
      </c>
      <c r="DP18">
        <f t="shared" si="56"/>
        <v>0</v>
      </c>
      <c r="DQ18">
        <f t="shared" ref="DQ18" si="78">IFERROR($CE18*DP18,0)</f>
        <v>0</v>
      </c>
      <c r="DR18">
        <f t="shared" si="57"/>
        <v>0</v>
      </c>
      <c r="DS18">
        <f t="shared" si="58"/>
        <v>0</v>
      </c>
      <c r="DT18">
        <f t="shared" ref="DT18" si="79">IFERROR($CE18*DS18,0)</f>
        <v>0</v>
      </c>
      <c r="DU18">
        <f t="shared" si="59"/>
        <v>0</v>
      </c>
      <c r="DV18">
        <f t="shared" si="60"/>
        <v>0</v>
      </c>
      <c r="DW18">
        <f t="shared" ref="DW18" si="80">IFERROR($CE18*DV18,0)</f>
        <v>0</v>
      </c>
    </row>
    <row r="19" spans="2:127" x14ac:dyDescent="0.45">
      <c r="C19" t="s">
        <v>51</v>
      </c>
      <c r="D19" t="s">
        <v>55</v>
      </c>
      <c r="N19" t="s">
        <v>335</v>
      </c>
      <c r="O19">
        <v>0.08</v>
      </c>
      <c r="P19">
        <v>0.1</v>
      </c>
      <c r="V19" t="str">
        <f>앞면!B13</f>
        <v>콩콩이</v>
      </c>
      <c r="W19" t="str">
        <f>앞면!C13</f>
        <v>기운 강화</v>
      </c>
      <c r="X19" t="str">
        <f>앞면!D13</f>
        <v>노란색 먹물</v>
      </c>
      <c r="Y19" t="str">
        <f>앞면!E13</f>
        <v>먹물 강화</v>
      </c>
      <c r="Z19" t="str">
        <f>앞면!F13</f>
        <v>전설 풍요</v>
      </c>
      <c r="AA19" s="44">
        <f>앞면!G13</f>
        <v>10</v>
      </c>
      <c r="AB19">
        <f t="shared" si="23"/>
        <v>1</v>
      </c>
      <c r="AC19">
        <f>IF(W19=0,0,IF(X19=0,F16,IF(Y19=0,G16,H16)))</f>
        <v>412</v>
      </c>
      <c r="AD19">
        <f>I16</f>
        <v>16</v>
      </c>
      <c r="AE19">
        <f t="shared" si="24"/>
        <v>16</v>
      </c>
      <c r="AF19">
        <f t="shared" si="25"/>
        <v>7.8529382841167976</v>
      </c>
      <c r="AG19">
        <f>J16</f>
        <v>3.149</v>
      </c>
      <c r="AH19">
        <v>1</v>
      </c>
      <c r="AI19">
        <f t="shared" si="1"/>
        <v>1</v>
      </c>
      <c r="AJ19">
        <f t="shared" si="2"/>
        <v>2.2818840579710145</v>
      </c>
      <c r="AK19">
        <f t="shared" si="3"/>
        <v>2.2818840579710145</v>
      </c>
      <c r="AL19">
        <f t="shared" si="26"/>
        <v>4.2039875367706987E-2</v>
      </c>
      <c r="AM19">
        <f t="shared" si="61"/>
        <v>0.99803831309188196</v>
      </c>
      <c r="AN19">
        <f t="shared" si="62"/>
        <v>0</v>
      </c>
      <c r="AO19">
        <f t="shared" ref="AO19:AO31" si="81">IF(AN19=0,1,(AF19-IF($Z19=$AG$11,AN19*$AJ$11*(AF19-AJ19),AN19*(AF19-AJ19-$AI$11)/2*$AJ$11))/AF19)</f>
        <v>1</v>
      </c>
      <c r="AP19">
        <f>IF(Z19=$N$19,COUNTIF($Z$16:Z19,$N$19),0)</f>
        <v>0</v>
      </c>
      <c r="AQ19">
        <f t="shared" ref="AQ19:AQ25" si="82">IF($AH$12=0,0,IF(AP19=1,$AL$12,($AF19-$AJ19)/$AH$12*$AL$12))</f>
        <v>0</v>
      </c>
      <c r="AR19">
        <f t="shared" ref="AR19:AR25" si="83">IF(AQ19=0,1,(AF19-IF(AP19=1,AQ19*$AJ$12*(AF19-AJ19),AQ19*(AF19-AJ19-$AI$12)/2*$AJ$12))/AF19)</f>
        <v>1</v>
      </c>
      <c r="AS19">
        <f t="shared" si="27"/>
        <v>0</v>
      </c>
      <c r="AT19">
        <f t="shared" si="28"/>
        <v>1</v>
      </c>
      <c r="AU19">
        <f t="shared" si="4"/>
        <v>7.837533277894587</v>
      </c>
      <c r="AV19" t="b">
        <f t="shared" si="5"/>
        <v>0</v>
      </c>
      <c r="AW19" t="b">
        <f t="shared" si="6"/>
        <v>0</v>
      </c>
      <c r="AX19">
        <f t="shared" si="7"/>
        <v>1</v>
      </c>
      <c r="AY19" s="44">
        <f t="shared" si="29"/>
        <v>7.837533277894587</v>
      </c>
      <c r="AZ19">
        <f t="shared" si="8"/>
        <v>0.29114824487022806</v>
      </c>
      <c r="BA19">
        <f t="shared" si="30"/>
        <v>0.70885175512977194</v>
      </c>
      <c r="BB19">
        <f t="shared" si="63"/>
        <v>1.0611345554172877</v>
      </c>
      <c r="BC19">
        <f>K16</f>
        <v>921.1</v>
      </c>
      <c r="BD19">
        <f t="shared" si="9"/>
        <v>921.1</v>
      </c>
      <c r="BE19">
        <f>IF(W19=C17,F17,1)</f>
        <v>1.45</v>
      </c>
      <c r="BF19">
        <f t="shared" si="10"/>
        <v>1.4</v>
      </c>
      <c r="BG19">
        <f t="shared" si="11"/>
        <v>317.95363754883289</v>
      </c>
      <c r="BH19">
        <f t="shared" si="12"/>
        <v>7.837533277894587</v>
      </c>
      <c r="BI19">
        <f t="shared" si="13"/>
        <v>0.29114824487022806</v>
      </c>
      <c r="BJ19">
        <f t="shared" si="64"/>
        <v>0.70885175512977194</v>
      </c>
      <c r="BK19">
        <f>1+BI19/2*(1-PRODUCT($BJ$16:$BJ$34)/BJ19)</f>
        <v>1.0656444468560438</v>
      </c>
      <c r="BL19" s="44">
        <f>IF(BD19=0,0,BD19*$Z$4/BH19/BK19*BF19*BE19)</f>
        <v>316.60803265018836</v>
      </c>
      <c r="BM19">
        <f t="shared" si="14"/>
        <v>1</v>
      </c>
      <c r="BN19">
        <f>1</f>
        <v>1</v>
      </c>
      <c r="BO19">
        <f t="shared" si="15"/>
        <v>52.567559893114279</v>
      </c>
      <c r="BP19" s="44">
        <f t="shared" si="31"/>
        <v>0.12759116478911234</v>
      </c>
      <c r="BQ19">
        <f t="shared" si="16"/>
        <v>0</v>
      </c>
      <c r="BR19">
        <f t="shared" si="32"/>
        <v>0</v>
      </c>
      <c r="BT19">
        <f t="shared" si="33"/>
        <v>1.5310939774693479</v>
      </c>
      <c r="BV19">
        <f>IF(W19=0,0,IF(X19=D17,IF(Y19=E17,4*0.3,3*0.2)/BH19,0))</f>
        <v>0.1531093977469348</v>
      </c>
      <c r="BY19" t="b">
        <f>IF(W19=0,FALSE,TRUE)</f>
        <v>1</v>
      </c>
      <c r="CA19">
        <f>L16</f>
        <v>41</v>
      </c>
      <c r="CB19">
        <f t="shared" si="17"/>
        <v>1</v>
      </c>
      <c r="CC19">
        <f t="shared" si="18"/>
        <v>55.760000000000005</v>
      </c>
      <c r="CD19">
        <f t="shared" si="19"/>
        <v>2.2818840579710145</v>
      </c>
      <c r="CE19">
        <f t="shared" si="34"/>
        <v>24.435947919974598</v>
      </c>
      <c r="CF19">
        <f t="shared" si="20"/>
        <v>7.8529382841167976</v>
      </c>
      <c r="CG19">
        <f t="shared" si="21"/>
        <v>7.1005269597978522</v>
      </c>
      <c r="CH19">
        <v>0</v>
      </c>
      <c r="CI19">
        <f t="shared" si="35"/>
        <v>1</v>
      </c>
      <c r="CJ19">
        <f t="shared" si="67"/>
        <v>24.435947919974598</v>
      </c>
      <c r="CK19">
        <f t="shared" si="22"/>
        <v>0</v>
      </c>
      <c r="CL19">
        <f t="shared" si="36"/>
        <v>1</v>
      </c>
      <c r="CM19">
        <f t="shared" si="68"/>
        <v>24.435947919974598</v>
      </c>
      <c r="CN19">
        <f t="shared" si="37"/>
        <v>0</v>
      </c>
      <c r="CO19">
        <f t="shared" si="38"/>
        <v>1</v>
      </c>
      <c r="CP19">
        <f t="shared" si="69"/>
        <v>24.435947919974598</v>
      </c>
      <c r="CQ19">
        <f t="shared" si="39"/>
        <v>0</v>
      </c>
      <c r="CR19">
        <f t="shared" si="40"/>
        <v>1</v>
      </c>
      <c r="CS19">
        <f t="shared" ref="CS19" si="84">IFERROR($CE19*CR19,0)</f>
        <v>24.435947919974598</v>
      </c>
      <c r="CT19">
        <f t="shared" si="41"/>
        <v>0</v>
      </c>
      <c r="CU19">
        <f t="shared" si="42"/>
        <v>1</v>
      </c>
      <c r="CV19">
        <f t="shared" ref="CV19" si="85">IFERROR($CE19*CU19,0)</f>
        <v>24.435947919974598</v>
      </c>
      <c r="CW19">
        <f t="shared" si="43"/>
        <v>0</v>
      </c>
      <c r="CX19">
        <f t="shared" si="44"/>
        <v>1</v>
      </c>
      <c r="CY19">
        <f t="shared" ref="CY19" si="86">IFERROR($CE19*CX19,0)</f>
        <v>24.435947919974598</v>
      </c>
      <c r="CZ19">
        <f t="shared" si="45"/>
        <v>0</v>
      </c>
      <c r="DA19">
        <f t="shared" si="46"/>
        <v>1</v>
      </c>
      <c r="DB19">
        <f t="shared" ref="DB19" si="87">IFERROR($CE19*DA19,0)</f>
        <v>24.435947919974598</v>
      </c>
      <c r="DC19">
        <f t="shared" si="47"/>
        <v>5.5710542261457832</v>
      </c>
      <c r="DD19">
        <f t="shared" si="48"/>
        <v>0</v>
      </c>
      <c r="DE19">
        <f t="shared" ref="DE19" si="88">IFERROR($CE19*DD19,0)</f>
        <v>0</v>
      </c>
      <c r="DF19">
        <f t="shared" si="49"/>
        <v>4.6775759652762181</v>
      </c>
      <c r="DG19">
        <f t="shared" si="50"/>
        <v>0</v>
      </c>
      <c r="DH19">
        <f t="shared" ref="DH19" si="89">IFERROR($CE19*DG19,0)</f>
        <v>0</v>
      </c>
      <c r="DI19">
        <f t="shared" si="51"/>
        <v>4.0708365115687757</v>
      </c>
      <c r="DJ19">
        <f t="shared" si="52"/>
        <v>0</v>
      </c>
      <c r="DK19">
        <f t="shared" ref="DK19" si="90">IFERROR($CE19*DJ19,0)</f>
        <v>0</v>
      </c>
      <c r="DL19">
        <f t="shared" si="53"/>
        <v>2.9056953979150766</v>
      </c>
      <c r="DM19">
        <f t="shared" si="54"/>
        <v>0</v>
      </c>
      <c r="DN19">
        <f t="shared" ref="DN19" si="91">IFERROR($CE19*DM19,0)</f>
        <v>0</v>
      </c>
      <c r="DO19">
        <f t="shared" si="55"/>
        <v>1.0791499782060303</v>
      </c>
      <c r="DP19">
        <f t="shared" si="56"/>
        <v>0</v>
      </c>
      <c r="DQ19">
        <f t="shared" ref="DQ19" si="92">IFERROR($CE19*DP19,0)</f>
        <v>0</v>
      </c>
      <c r="DR19">
        <f t="shared" si="57"/>
        <v>0.14436736951037821</v>
      </c>
      <c r="DS19">
        <f t="shared" si="58"/>
        <v>0</v>
      </c>
      <c r="DT19">
        <f t="shared" ref="DT19" si="93">IFERROR($CE19*DS19,0)</f>
        <v>0</v>
      </c>
      <c r="DU19">
        <f t="shared" si="59"/>
        <v>0</v>
      </c>
      <c r="DV19">
        <f t="shared" si="60"/>
        <v>1</v>
      </c>
      <c r="DW19">
        <f t="shared" ref="DW19" si="94">IFERROR($CE19*DV19,0)</f>
        <v>24.435947919974598</v>
      </c>
    </row>
    <row r="20" spans="2:127" x14ac:dyDescent="0.45">
      <c r="B20" t="s">
        <v>11</v>
      </c>
      <c r="F20">
        <v>158</v>
      </c>
      <c r="G20">
        <v>287</v>
      </c>
      <c r="H20">
        <v>412</v>
      </c>
      <c r="I20">
        <v>16</v>
      </c>
      <c r="J20">
        <v>1.698</v>
      </c>
      <c r="K20">
        <v>555.79999999999995</v>
      </c>
      <c r="L20">
        <v>30</v>
      </c>
      <c r="N20" t="s">
        <v>134</v>
      </c>
      <c r="O20">
        <v>1.1000000000000001</v>
      </c>
      <c r="V20" t="str">
        <f>앞면!B14</f>
        <v>호접몽</v>
      </c>
      <c r="W20">
        <f>앞면!C14</f>
        <v>0</v>
      </c>
      <c r="X20">
        <f>앞면!D14</f>
        <v>0</v>
      </c>
      <c r="Y20">
        <f>앞면!E14</f>
        <v>0</v>
      </c>
      <c r="Z20">
        <f>앞면!F14</f>
        <v>0</v>
      </c>
      <c r="AA20" s="44">
        <f>앞면!G14</f>
        <v>0</v>
      </c>
      <c r="AB20">
        <f t="shared" si="23"/>
        <v>0</v>
      </c>
      <c r="AC20">
        <f>IF(W20=0,0,IF(X20=0,F20,IF(Y20=0,G20,H20)))</f>
        <v>0</v>
      </c>
      <c r="AD20">
        <f>I20</f>
        <v>16</v>
      </c>
      <c r="AE20">
        <f t="shared" si="24"/>
        <v>0</v>
      </c>
      <c r="AF20">
        <f t="shared" si="25"/>
        <v>0</v>
      </c>
      <c r="AG20">
        <f>J20</f>
        <v>1.698</v>
      </c>
      <c r="AH20">
        <f>IF(W20=C23,F23,1)</f>
        <v>1</v>
      </c>
      <c r="AI20">
        <f t="shared" si="1"/>
        <v>1</v>
      </c>
      <c r="AJ20">
        <f t="shared" si="2"/>
        <v>0</v>
      </c>
      <c r="AK20">
        <f t="shared" si="3"/>
        <v>0</v>
      </c>
      <c r="AL20">
        <f t="shared" si="26"/>
        <v>0</v>
      </c>
      <c r="AM20">
        <f t="shared" si="61"/>
        <v>1</v>
      </c>
      <c r="AN20">
        <f t="shared" si="62"/>
        <v>0</v>
      </c>
      <c r="AO20">
        <f t="shared" si="81"/>
        <v>1</v>
      </c>
      <c r="AP20">
        <f>IF(Z20=$N$19,COUNTIF($Z$16:Z20,$N$19),0)</f>
        <v>0</v>
      </c>
      <c r="AQ20">
        <f t="shared" si="82"/>
        <v>0</v>
      </c>
      <c r="AR20">
        <f t="shared" si="83"/>
        <v>1</v>
      </c>
      <c r="AS20">
        <f t="shared" si="27"/>
        <v>0</v>
      </c>
      <c r="AT20">
        <f t="shared" si="28"/>
        <v>1</v>
      </c>
      <c r="AU20">
        <f t="shared" si="4"/>
        <v>0</v>
      </c>
      <c r="AV20" t="b">
        <f t="shared" si="5"/>
        <v>0</v>
      </c>
      <c r="AW20" t="b">
        <f t="shared" si="6"/>
        <v>0</v>
      </c>
      <c r="AX20">
        <f t="shared" si="7"/>
        <v>1</v>
      </c>
      <c r="AY20" s="44">
        <f t="shared" si="29"/>
        <v>0</v>
      </c>
      <c r="AZ20">
        <f t="shared" si="8"/>
        <v>0</v>
      </c>
      <c r="BA20">
        <f t="shared" si="30"/>
        <v>1</v>
      </c>
      <c r="BB20">
        <f t="shared" si="63"/>
        <v>1</v>
      </c>
      <c r="BC20">
        <f>K20</f>
        <v>555.79999999999995</v>
      </c>
      <c r="BD20">
        <f t="shared" si="9"/>
        <v>0</v>
      </c>
      <c r="BE20">
        <f>1</f>
        <v>1</v>
      </c>
      <c r="BF20">
        <f t="shared" si="10"/>
        <v>1</v>
      </c>
      <c r="BG20">
        <f t="shared" si="11"/>
        <v>0</v>
      </c>
      <c r="BH20">
        <f t="shared" si="12"/>
        <v>0</v>
      </c>
      <c r="BI20">
        <f t="shared" si="13"/>
        <v>0</v>
      </c>
      <c r="BJ20">
        <f t="shared" si="64"/>
        <v>1</v>
      </c>
      <c r="BK20">
        <f t="shared" si="65"/>
        <v>1</v>
      </c>
      <c r="BL20" s="44">
        <f t="shared" si="66"/>
        <v>0</v>
      </c>
      <c r="BM20">
        <f t="shared" si="14"/>
        <v>1</v>
      </c>
      <c r="BN20">
        <f>IF(W20=C22,F22,1)</f>
        <v>1</v>
      </c>
      <c r="BO20">
        <f t="shared" si="15"/>
        <v>0</v>
      </c>
      <c r="BP20" s="44">
        <f t="shared" si="31"/>
        <v>0</v>
      </c>
      <c r="BQ20">
        <f t="shared" si="16"/>
        <v>0</v>
      </c>
      <c r="BR20">
        <f t="shared" si="32"/>
        <v>0</v>
      </c>
      <c r="BS20">
        <f>IF(W20=C21,1,0)</f>
        <v>0</v>
      </c>
      <c r="BT20">
        <f t="shared" si="33"/>
        <v>0</v>
      </c>
      <c r="CA20">
        <f>L20</f>
        <v>30</v>
      </c>
      <c r="CB20">
        <f t="shared" si="17"/>
        <v>1</v>
      </c>
      <c r="CC20">
        <f t="shared" si="18"/>
        <v>40.800000000000004</v>
      </c>
      <c r="CD20">
        <f t="shared" si="19"/>
        <v>0</v>
      </c>
      <c r="CE20">
        <f t="shared" si="34"/>
        <v>0</v>
      </c>
      <c r="CF20">
        <f t="shared" si="20"/>
        <v>0</v>
      </c>
      <c r="CG20">
        <f t="shared" si="21"/>
        <v>0</v>
      </c>
      <c r="CH20">
        <v>0</v>
      </c>
      <c r="CI20">
        <f t="shared" si="35"/>
        <v>0</v>
      </c>
      <c r="CJ20">
        <f t="shared" si="67"/>
        <v>0</v>
      </c>
      <c r="CK20">
        <f t="shared" si="22"/>
        <v>0</v>
      </c>
      <c r="CL20">
        <f t="shared" si="36"/>
        <v>0</v>
      </c>
      <c r="CM20">
        <f t="shared" si="68"/>
        <v>0</v>
      </c>
      <c r="CN20">
        <f t="shared" si="37"/>
        <v>0</v>
      </c>
      <c r="CO20">
        <f t="shared" si="38"/>
        <v>0</v>
      </c>
      <c r="CP20">
        <f t="shared" si="69"/>
        <v>0</v>
      </c>
      <c r="CQ20">
        <f t="shared" si="39"/>
        <v>0</v>
      </c>
      <c r="CR20">
        <f t="shared" si="40"/>
        <v>0</v>
      </c>
      <c r="CS20">
        <f t="shared" ref="CS20" si="95">IFERROR($CE20*CR20,0)</f>
        <v>0</v>
      </c>
      <c r="CT20">
        <f t="shared" si="41"/>
        <v>0</v>
      </c>
      <c r="CU20">
        <f t="shared" si="42"/>
        <v>0</v>
      </c>
      <c r="CV20">
        <f t="shared" ref="CV20" si="96">IFERROR($CE20*CU20,0)</f>
        <v>0</v>
      </c>
      <c r="CW20">
        <f t="shared" si="43"/>
        <v>0</v>
      </c>
      <c r="CX20">
        <f t="shared" si="44"/>
        <v>0</v>
      </c>
      <c r="CY20">
        <f t="shared" ref="CY20" si="97">IFERROR($CE20*CX20,0)</f>
        <v>0</v>
      </c>
      <c r="CZ20">
        <f t="shared" si="45"/>
        <v>0</v>
      </c>
      <c r="DA20">
        <f t="shared" si="46"/>
        <v>0</v>
      </c>
      <c r="DB20">
        <f t="shared" ref="DB20" si="98">IFERROR($CE20*DA20,0)</f>
        <v>0</v>
      </c>
      <c r="DC20">
        <f t="shared" si="47"/>
        <v>0</v>
      </c>
      <c r="DD20">
        <f t="shared" si="48"/>
        <v>0</v>
      </c>
      <c r="DE20">
        <f t="shared" ref="DE20" si="99">IFERROR($CE20*DD20,0)</f>
        <v>0</v>
      </c>
      <c r="DF20">
        <f t="shared" si="49"/>
        <v>0</v>
      </c>
      <c r="DG20">
        <f t="shared" si="50"/>
        <v>0</v>
      </c>
      <c r="DH20">
        <f t="shared" ref="DH20" si="100">IFERROR($CE20*DG20,0)</f>
        <v>0</v>
      </c>
      <c r="DI20">
        <f t="shared" si="51"/>
        <v>0</v>
      </c>
      <c r="DJ20">
        <f t="shared" si="52"/>
        <v>0</v>
      </c>
      <c r="DK20">
        <f t="shared" ref="DK20" si="101">IFERROR($CE20*DJ20,0)</f>
        <v>0</v>
      </c>
      <c r="DL20">
        <f t="shared" si="53"/>
        <v>0</v>
      </c>
      <c r="DM20">
        <f t="shared" si="54"/>
        <v>0</v>
      </c>
      <c r="DN20">
        <f t="shared" ref="DN20" si="102">IFERROR($CE20*DM20,0)</f>
        <v>0</v>
      </c>
      <c r="DO20">
        <f t="shared" si="55"/>
        <v>0</v>
      </c>
      <c r="DP20">
        <f t="shared" si="56"/>
        <v>0</v>
      </c>
      <c r="DQ20">
        <f t="shared" ref="DQ20" si="103">IFERROR($CE20*DP20,0)</f>
        <v>0</v>
      </c>
      <c r="DR20">
        <f t="shared" si="57"/>
        <v>0</v>
      </c>
      <c r="DS20">
        <f t="shared" si="58"/>
        <v>0</v>
      </c>
      <c r="DT20">
        <f t="shared" ref="DT20" si="104">IFERROR($CE20*DS20,0)</f>
        <v>0</v>
      </c>
      <c r="DU20">
        <f t="shared" si="59"/>
        <v>0</v>
      </c>
      <c r="DV20">
        <f t="shared" si="60"/>
        <v>0</v>
      </c>
      <c r="DW20">
        <f t="shared" ref="DW20" si="105">IFERROR($CE20*DV20,0)</f>
        <v>0</v>
      </c>
    </row>
    <row r="21" spans="2:127" x14ac:dyDescent="0.45">
      <c r="C21" t="s">
        <v>20</v>
      </c>
      <c r="D21" t="s">
        <v>59</v>
      </c>
      <c r="E21" t="s">
        <v>61</v>
      </c>
      <c r="G21">
        <v>0.2</v>
      </c>
      <c r="N21" t="s">
        <v>130</v>
      </c>
      <c r="O21">
        <v>1.05</v>
      </c>
      <c r="V21" t="str">
        <f>앞면!B15</f>
        <v>난치기</v>
      </c>
      <c r="W21" t="str">
        <f>앞면!C15</f>
        <v>날렵한 필력</v>
      </c>
      <c r="X21" t="str">
        <f>앞면!D15</f>
        <v>먹물 낙인</v>
      </c>
      <c r="Y21" t="str">
        <f>앞면!E15</f>
        <v>먼길 떠나는</v>
      </c>
      <c r="Z21" t="str">
        <f>앞면!F15</f>
        <v>영웅 풍요</v>
      </c>
      <c r="AA21" s="44">
        <f>앞면!G15</f>
        <v>10</v>
      </c>
      <c r="AB21">
        <f t="shared" si="23"/>
        <v>1</v>
      </c>
      <c r="AC21">
        <f>IF(W21=0,0,IF(X21=0,F24,IF(Y21=0,G24,H24)))</f>
        <v>521</v>
      </c>
      <c r="AD21">
        <f>IF(X21=D26,I24-G26,I24)</f>
        <v>24</v>
      </c>
      <c r="AE21">
        <f t="shared" si="24"/>
        <v>24</v>
      </c>
      <c r="AF21">
        <f t="shared" si="25"/>
        <v>11.779407426175197</v>
      </c>
      <c r="AG21">
        <f>J24</f>
        <v>1.2989999999999999</v>
      </c>
      <c r="AH21">
        <v>1</v>
      </c>
      <c r="AI21">
        <f t="shared" si="1"/>
        <v>1</v>
      </c>
      <c r="AJ21">
        <f t="shared" si="2"/>
        <v>0.94130434782608685</v>
      </c>
      <c r="AK21">
        <f t="shared" si="3"/>
        <v>0.94130434782608685</v>
      </c>
      <c r="AL21">
        <f t="shared" si="26"/>
        <v>8.1785687975860499E-2</v>
      </c>
      <c r="AM21">
        <f t="shared" si="61"/>
        <v>0.99453020720388852</v>
      </c>
      <c r="AN21">
        <f t="shared" si="62"/>
        <v>0</v>
      </c>
      <c r="AO21">
        <f t="shared" si="81"/>
        <v>1</v>
      </c>
      <c r="AP21">
        <f>IF(Z21=$N$19,COUNTIF($Z$16:Z21,$N$19),0)</f>
        <v>0</v>
      </c>
      <c r="AQ21">
        <f t="shared" si="82"/>
        <v>0</v>
      </c>
      <c r="AR21">
        <f t="shared" si="83"/>
        <v>1</v>
      </c>
      <c r="AS21">
        <f t="shared" si="27"/>
        <v>0</v>
      </c>
      <c r="AT21">
        <f t="shared" si="28"/>
        <v>1</v>
      </c>
      <c r="AU21">
        <f t="shared" si="4"/>
        <v>11.714976508293041</v>
      </c>
      <c r="AV21" t="b">
        <f t="shared" si="5"/>
        <v>0</v>
      </c>
      <c r="AW21" t="b">
        <f t="shared" si="6"/>
        <v>0</v>
      </c>
      <c r="AX21">
        <f t="shared" si="7"/>
        <v>1</v>
      </c>
      <c r="AY21" s="44">
        <f t="shared" si="29"/>
        <v>11.714976508293041</v>
      </c>
      <c r="AZ21">
        <f t="shared" si="8"/>
        <v>8.0350510917348975E-2</v>
      </c>
      <c r="BA21">
        <f t="shared" si="30"/>
        <v>0.91964948908265098</v>
      </c>
      <c r="BB21">
        <f t="shared" si="63"/>
        <v>1.0222133027327127</v>
      </c>
      <c r="BC21">
        <f>K24</f>
        <v>912.38</v>
      </c>
      <c r="BD21">
        <f t="shared" si="9"/>
        <v>912.38</v>
      </c>
      <c r="BE21">
        <f>1</f>
        <v>1</v>
      </c>
      <c r="BF21">
        <f t="shared" si="10"/>
        <v>1.3</v>
      </c>
      <c r="BG21">
        <f t="shared" si="11"/>
        <v>140.07060078680681</v>
      </c>
      <c r="BH21">
        <f t="shared" si="12"/>
        <v>11.714976508293041</v>
      </c>
      <c r="BI21">
        <f t="shared" si="13"/>
        <v>8.0350510917348975E-2</v>
      </c>
      <c r="BJ21">
        <f t="shared" si="64"/>
        <v>0.91964948908265098</v>
      </c>
      <c r="BK21">
        <f t="shared" si="65"/>
        <v>1.0231726451320533</v>
      </c>
      <c r="BL21" s="44">
        <f t="shared" si="66"/>
        <v>139.93926843847319</v>
      </c>
      <c r="BM21">
        <f t="shared" si="14"/>
        <v>1</v>
      </c>
      <c r="BN21">
        <f>IF(W21=C26,F26,1)</f>
        <v>1</v>
      </c>
      <c r="BO21">
        <f t="shared" si="15"/>
        <v>44.472987174253717</v>
      </c>
      <c r="BP21" s="44">
        <f t="shared" si="31"/>
        <v>8.5360819912195227E-2</v>
      </c>
      <c r="BQ21">
        <f t="shared" si="16"/>
        <v>0</v>
      </c>
      <c r="BR21">
        <f t="shared" si="32"/>
        <v>0</v>
      </c>
      <c r="BS21">
        <f>IF(W21=C25,1,0)</f>
        <v>0</v>
      </c>
      <c r="BT21">
        <f t="shared" si="33"/>
        <v>1.0243298389463427</v>
      </c>
      <c r="CA21">
        <f>L24</f>
        <v>30</v>
      </c>
      <c r="CB21">
        <f t="shared" si="17"/>
        <v>1</v>
      </c>
      <c r="CC21">
        <f t="shared" si="18"/>
        <v>40.800000000000004</v>
      </c>
      <c r="CD21">
        <f t="shared" si="19"/>
        <v>0.94130434782608685</v>
      </c>
      <c r="CE21">
        <f t="shared" si="34"/>
        <v>43.344110854503477</v>
      </c>
      <c r="CF21">
        <f t="shared" si="20"/>
        <v>11.779407426175197</v>
      </c>
      <c r="CG21">
        <f t="shared" si="21"/>
        <v>3.463671687706269</v>
      </c>
      <c r="CH21">
        <v>0</v>
      </c>
      <c r="CI21">
        <f t="shared" si="35"/>
        <v>1</v>
      </c>
      <c r="CJ21">
        <f t="shared" si="67"/>
        <v>43.344110854503477</v>
      </c>
      <c r="CK21">
        <f t="shared" si="22"/>
        <v>0</v>
      </c>
      <c r="CL21">
        <f t="shared" si="36"/>
        <v>1</v>
      </c>
      <c r="CM21">
        <f t="shared" si="68"/>
        <v>43.344110854503477</v>
      </c>
      <c r="CN21">
        <f t="shared" si="37"/>
        <v>0</v>
      </c>
      <c r="CO21">
        <f t="shared" si="38"/>
        <v>1</v>
      </c>
      <c r="CP21">
        <f t="shared" si="69"/>
        <v>43.344110854503477</v>
      </c>
      <c r="CQ21">
        <f t="shared" si="39"/>
        <v>0</v>
      </c>
      <c r="CR21">
        <f t="shared" si="40"/>
        <v>1</v>
      </c>
      <c r="CS21">
        <f t="shared" ref="CS21" si="106">IFERROR($CE21*CR21,0)</f>
        <v>43.344110854503477</v>
      </c>
      <c r="CT21">
        <f t="shared" si="41"/>
        <v>10.838103078349111</v>
      </c>
      <c r="CU21">
        <f t="shared" si="42"/>
        <v>0</v>
      </c>
      <c r="CV21">
        <f t="shared" ref="CV21" si="107">IFERROR($CE21*CU21,0)</f>
        <v>0</v>
      </c>
      <c r="CW21">
        <f t="shared" si="43"/>
        <v>9.864291738405047</v>
      </c>
      <c r="CX21">
        <f t="shared" si="44"/>
        <v>0</v>
      </c>
      <c r="CY21">
        <f t="shared" ref="CY21" si="108">IFERROR($CE21*CX21,0)</f>
        <v>0</v>
      </c>
      <c r="CZ21">
        <f t="shared" si="45"/>
        <v>8.873712028260119</v>
      </c>
      <c r="DA21">
        <f t="shared" si="46"/>
        <v>0</v>
      </c>
      <c r="DB21">
        <f t="shared" ref="DB21" si="109">IFERROR($CE21*DA21,0)</f>
        <v>0</v>
      </c>
      <c r="DC21">
        <f t="shared" si="47"/>
        <v>6.5918279702891045</v>
      </c>
      <c r="DD21">
        <f t="shared" si="48"/>
        <v>0</v>
      </c>
      <c r="DE21">
        <f t="shared" ref="DE21" si="110">IFERROR($CE21*DD21,0)</f>
        <v>0</v>
      </c>
      <c r="DF21">
        <f t="shared" si="49"/>
        <v>5.6983497094195394</v>
      </c>
      <c r="DG21">
        <f t="shared" si="50"/>
        <v>0</v>
      </c>
      <c r="DH21">
        <f t="shared" ref="DH21" si="111">IFERROR($CE21*DG21,0)</f>
        <v>0</v>
      </c>
      <c r="DI21">
        <f t="shared" si="51"/>
        <v>5.091610255712097</v>
      </c>
      <c r="DJ21">
        <f t="shared" si="52"/>
        <v>0</v>
      </c>
      <c r="DK21">
        <f t="shared" ref="DK21" si="112">IFERROR($CE21*DJ21,0)</f>
        <v>0</v>
      </c>
      <c r="DL21">
        <f t="shared" si="53"/>
        <v>3.9264691420583979</v>
      </c>
      <c r="DM21">
        <f t="shared" si="54"/>
        <v>0</v>
      </c>
      <c r="DN21">
        <f t="shared" ref="DN21" si="113">IFERROR($CE21*DM21,0)</f>
        <v>0</v>
      </c>
      <c r="DO21">
        <f t="shared" si="55"/>
        <v>2.0999237223493514</v>
      </c>
      <c r="DP21">
        <f t="shared" si="56"/>
        <v>0</v>
      </c>
      <c r="DQ21">
        <f t="shared" ref="DQ21" si="114">IFERROR($CE21*DP21,0)</f>
        <v>0</v>
      </c>
      <c r="DR21">
        <f t="shared" si="57"/>
        <v>1.1651411136536993</v>
      </c>
      <c r="DS21">
        <f t="shared" si="58"/>
        <v>0</v>
      </c>
      <c r="DT21">
        <f t="shared" ref="DT21" si="115">IFERROR($CE21*DS21,0)</f>
        <v>0</v>
      </c>
      <c r="DU21">
        <f t="shared" si="59"/>
        <v>1.0207737441433211</v>
      </c>
      <c r="DV21">
        <f t="shared" si="60"/>
        <v>0</v>
      </c>
      <c r="DW21">
        <f t="shared" ref="DW21" si="116">IFERROR($CE21*DV21,0)</f>
        <v>0</v>
      </c>
    </row>
    <row r="22" spans="2:127" x14ac:dyDescent="0.45">
      <c r="C22" t="s">
        <v>29</v>
      </c>
      <c r="D22" t="s">
        <v>25</v>
      </c>
      <c r="E22" t="s">
        <v>62</v>
      </c>
      <c r="F22">
        <v>0.33</v>
      </c>
      <c r="N22" t="s">
        <v>131</v>
      </c>
      <c r="O22">
        <v>1.1000000000000001</v>
      </c>
      <c r="V22" t="str">
        <f>앞면!B16</f>
        <v>범가르기</v>
      </c>
      <c r="W22">
        <f>앞면!C16</f>
        <v>0</v>
      </c>
      <c r="X22">
        <f>앞면!D16</f>
        <v>0</v>
      </c>
      <c r="Y22">
        <f>앞면!E16</f>
        <v>0</v>
      </c>
      <c r="Z22">
        <f>앞면!F16</f>
        <v>0</v>
      </c>
      <c r="AA22" s="44">
        <f>앞면!G16</f>
        <v>10</v>
      </c>
      <c r="AB22">
        <f t="shared" si="23"/>
        <v>0</v>
      </c>
      <c r="AC22">
        <f>IF(W22=0,0,IF(X22=0,F28,IF(Y22=0,G28,H28)))</f>
        <v>0</v>
      </c>
      <c r="AD22">
        <f>IF(W22=C30,I28-F30,I28)</f>
        <v>30</v>
      </c>
      <c r="AE22">
        <f t="shared" si="24"/>
        <v>0</v>
      </c>
      <c r="AF22">
        <f t="shared" si="25"/>
        <v>0</v>
      </c>
      <c r="AG22">
        <f>J28</f>
        <v>1.466</v>
      </c>
      <c r="AH22">
        <v>1</v>
      </c>
      <c r="AI22">
        <f t="shared" si="1"/>
        <v>1</v>
      </c>
      <c r="AJ22">
        <f t="shared" si="2"/>
        <v>0</v>
      </c>
      <c r="AK22">
        <f t="shared" si="3"/>
        <v>0</v>
      </c>
      <c r="AL22">
        <f t="shared" si="26"/>
        <v>0</v>
      </c>
      <c r="AM22">
        <f t="shared" si="61"/>
        <v>1</v>
      </c>
      <c r="AN22">
        <f t="shared" si="62"/>
        <v>0</v>
      </c>
      <c r="AO22">
        <f t="shared" si="81"/>
        <v>1</v>
      </c>
      <c r="AP22">
        <f>IF(Z22=$N$19,COUNTIF($Z$16:Z22,$N$19),0)</f>
        <v>0</v>
      </c>
      <c r="AQ22">
        <f t="shared" si="82"/>
        <v>0</v>
      </c>
      <c r="AR22">
        <f t="shared" si="83"/>
        <v>1</v>
      </c>
      <c r="AS22">
        <f t="shared" si="27"/>
        <v>0</v>
      </c>
      <c r="AT22">
        <f t="shared" si="28"/>
        <v>1</v>
      </c>
      <c r="AU22">
        <f t="shared" si="4"/>
        <v>0</v>
      </c>
      <c r="AV22" t="b">
        <f t="shared" si="5"/>
        <v>0</v>
      </c>
      <c r="AW22" t="b">
        <f t="shared" si="6"/>
        <v>0</v>
      </c>
      <c r="AX22">
        <f t="shared" si="7"/>
        <v>1</v>
      </c>
      <c r="AY22" s="44">
        <f t="shared" si="29"/>
        <v>0</v>
      </c>
      <c r="AZ22">
        <f t="shared" si="8"/>
        <v>0</v>
      </c>
      <c r="BA22">
        <f t="shared" si="30"/>
        <v>1</v>
      </c>
      <c r="BB22">
        <f t="shared" si="63"/>
        <v>1</v>
      </c>
      <c r="BC22">
        <f>K28</f>
        <v>1032.8</v>
      </c>
      <c r="BD22">
        <f t="shared" si="9"/>
        <v>0</v>
      </c>
      <c r="BE22">
        <f>1</f>
        <v>1</v>
      </c>
      <c r="BF22">
        <f t="shared" si="10"/>
        <v>1</v>
      </c>
      <c r="BG22">
        <f t="shared" si="11"/>
        <v>0</v>
      </c>
      <c r="BH22">
        <f t="shared" si="12"/>
        <v>0</v>
      </c>
      <c r="BI22">
        <f t="shared" si="13"/>
        <v>0</v>
      </c>
      <c r="BJ22">
        <f t="shared" si="64"/>
        <v>1</v>
      </c>
      <c r="BK22">
        <f t="shared" si="65"/>
        <v>1</v>
      </c>
      <c r="BL22" s="44">
        <f t="shared" si="66"/>
        <v>0</v>
      </c>
      <c r="BM22">
        <f t="shared" si="14"/>
        <v>1</v>
      </c>
      <c r="BN22">
        <f>1</f>
        <v>1</v>
      </c>
      <c r="BO22">
        <f t="shared" si="15"/>
        <v>0</v>
      </c>
      <c r="BP22" s="44">
        <f t="shared" si="31"/>
        <v>0</v>
      </c>
      <c r="BQ22">
        <f t="shared" si="16"/>
        <v>0</v>
      </c>
      <c r="BR22">
        <f t="shared" si="32"/>
        <v>0</v>
      </c>
      <c r="BT22">
        <f t="shared" si="33"/>
        <v>0</v>
      </c>
      <c r="BY22" t="b">
        <f>IF(W22=0,FALSE,TRUE)</f>
        <v>0</v>
      </c>
      <c r="CA22">
        <f>IF(X22=D30,L29,L28)</f>
        <v>58</v>
      </c>
      <c r="CB22">
        <f t="shared" si="17"/>
        <v>1</v>
      </c>
      <c r="CC22">
        <f t="shared" si="18"/>
        <v>78.88000000000001</v>
      </c>
      <c r="CD22">
        <f t="shared" si="19"/>
        <v>0</v>
      </c>
      <c r="CE22">
        <f t="shared" si="34"/>
        <v>0</v>
      </c>
      <c r="CF22">
        <f t="shared" si="20"/>
        <v>0</v>
      </c>
      <c r="CG22">
        <f t="shared" si="21"/>
        <v>0</v>
      </c>
      <c r="CH22">
        <v>0</v>
      </c>
      <c r="CI22">
        <f t="shared" si="35"/>
        <v>0</v>
      </c>
      <c r="CJ22">
        <f t="shared" si="67"/>
        <v>0</v>
      </c>
      <c r="CK22">
        <f t="shared" si="22"/>
        <v>0</v>
      </c>
      <c r="CL22">
        <f t="shared" si="36"/>
        <v>0</v>
      </c>
      <c r="CM22">
        <f t="shared" si="68"/>
        <v>0</v>
      </c>
      <c r="CN22">
        <f t="shared" si="37"/>
        <v>0</v>
      </c>
      <c r="CO22">
        <f t="shared" si="38"/>
        <v>0</v>
      </c>
      <c r="CP22">
        <f t="shared" si="69"/>
        <v>0</v>
      </c>
      <c r="CQ22">
        <f t="shared" si="39"/>
        <v>0</v>
      </c>
      <c r="CR22">
        <f t="shared" si="40"/>
        <v>0</v>
      </c>
      <c r="CS22">
        <f t="shared" ref="CS22" si="117">IFERROR($CE22*CR22,0)</f>
        <v>0</v>
      </c>
      <c r="CT22">
        <f t="shared" si="41"/>
        <v>0</v>
      </c>
      <c r="CU22">
        <f t="shared" si="42"/>
        <v>0</v>
      </c>
      <c r="CV22">
        <f t="shared" ref="CV22" si="118">IFERROR($CE22*CU22,0)</f>
        <v>0</v>
      </c>
      <c r="CW22">
        <f t="shared" si="43"/>
        <v>0</v>
      </c>
      <c r="CX22">
        <f t="shared" si="44"/>
        <v>0</v>
      </c>
      <c r="CY22">
        <f t="shared" ref="CY22" si="119">IFERROR($CE22*CX22,0)</f>
        <v>0</v>
      </c>
      <c r="CZ22">
        <f t="shared" si="45"/>
        <v>0</v>
      </c>
      <c r="DA22">
        <f t="shared" si="46"/>
        <v>0</v>
      </c>
      <c r="DB22">
        <f t="shared" ref="DB22" si="120">IFERROR($CE22*DA22,0)</f>
        <v>0</v>
      </c>
      <c r="DC22">
        <f t="shared" si="47"/>
        <v>0</v>
      </c>
      <c r="DD22">
        <f t="shared" si="48"/>
        <v>0</v>
      </c>
      <c r="DE22">
        <f t="shared" ref="DE22" si="121">IFERROR($CE22*DD22,0)</f>
        <v>0</v>
      </c>
      <c r="DF22">
        <f t="shared" si="49"/>
        <v>0</v>
      </c>
      <c r="DG22">
        <f t="shared" si="50"/>
        <v>0</v>
      </c>
      <c r="DH22">
        <f t="shared" ref="DH22" si="122">IFERROR($CE22*DG22,0)</f>
        <v>0</v>
      </c>
      <c r="DI22">
        <f t="shared" si="51"/>
        <v>0</v>
      </c>
      <c r="DJ22">
        <f t="shared" si="52"/>
        <v>0</v>
      </c>
      <c r="DK22">
        <f t="shared" ref="DK22" si="123">IFERROR($CE22*DJ22,0)</f>
        <v>0</v>
      </c>
      <c r="DL22">
        <f t="shared" si="53"/>
        <v>0</v>
      </c>
      <c r="DM22">
        <f t="shared" si="54"/>
        <v>0</v>
      </c>
      <c r="DN22">
        <f t="shared" ref="DN22" si="124">IFERROR($CE22*DM22,0)</f>
        <v>0</v>
      </c>
      <c r="DO22">
        <f t="shared" si="55"/>
        <v>0</v>
      </c>
      <c r="DP22">
        <f t="shared" si="56"/>
        <v>0</v>
      </c>
      <c r="DQ22">
        <f t="shared" ref="DQ22" si="125">IFERROR($CE22*DP22,0)</f>
        <v>0</v>
      </c>
      <c r="DR22">
        <f t="shared" si="57"/>
        <v>0</v>
      </c>
      <c r="DS22">
        <f t="shared" si="58"/>
        <v>0</v>
      </c>
      <c r="DT22">
        <f t="shared" ref="DT22" si="126">IFERROR($CE22*DS22,0)</f>
        <v>0</v>
      </c>
      <c r="DU22">
        <f t="shared" si="59"/>
        <v>0</v>
      </c>
      <c r="DV22">
        <f t="shared" si="60"/>
        <v>0</v>
      </c>
      <c r="DW22">
        <f t="shared" ref="DW22" si="127">IFERROR($CE22*DV22,0)</f>
        <v>0</v>
      </c>
    </row>
    <row r="23" spans="2:127" x14ac:dyDescent="0.45">
      <c r="C23" t="s">
        <v>23</v>
      </c>
      <c r="D23" t="s">
        <v>60</v>
      </c>
      <c r="F23">
        <v>1.27</v>
      </c>
      <c r="V23" t="str">
        <f>앞면!B17</f>
        <v>한획긋기</v>
      </c>
      <c r="W23">
        <f>앞면!C17</f>
        <v>0</v>
      </c>
      <c r="X23">
        <f>앞면!D17</f>
        <v>0</v>
      </c>
      <c r="Y23">
        <f>앞면!E17</f>
        <v>0</v>
      </c>
      <c r="Z23">
        <f>앞면!F17</f>
        <v>0</v>
      </c>
      <c r="AA23" s="44">
        <f>앞면!G17</f>
        <v>0</v>
      </c>
      <c r="AB23">
        <f t="shared" si="23"/>
        <v>0</v>
      </c>
      <c r="AC23">
        <f>IF(W23=0,0,IF(X23=0,F32,IF(Y23=0,G32,H32)))</f>
        <v>0</v>
      </c>
      <c r="AD23">
        <f>I32</f>
        <v>25</v>
      </c>
      <c r="AE23">
        <f t="shared" si="24"/>
        <v>0</v>
      </c>
      <c r="AF23">
        <f t="shared" si="25"/>
        <v>0</v>
      </c>
      <c r="AG23">
        <f>IF(X23=D34,J33,IF(X23=D35,J34,J32))</f>
        <v>2.5150000000000001</v>
      </c>
      <c r="AH23">
        <f>IF(W23=C34,F34,1)</f>
        <v>1</v>
      </c>
      <c r="AI23">
        <f t="shared" si="1"/>
        <v>1</v>
      </c>
      <c r="AJ23">
        <f>IF(X23=D35,CEILING(AB23*AG23/AH23/$AA$7/AI23,0.05),AB23*AG23/AH23/$AA$7/AI23)</f>
        <v>0</v>
      </c>
      <c r="AK23">
        <f t="shared" si="3"/>
        <v>0</v>
      </c>
      <c r="AL23">
        <f t="shared" si="26"/>
        <v>0</v>
      </c>
      <c r="AM23">
        <f t="shared" si="61"/>
        <v>1</v>
      </c>
      <c r="AN23">
        <f t="shared" si="62"/>
        <v>0</v>
      </c>
      <c r="AO23">
        <f t="shared" si="81"/>
        <v>1</v>
      </c>
      <c r="AP23">
        <f>IF(Z23=$N$19,COUNTIF($Z$16:Z23,$N$19),0)</f>
        <v>0</v>
      </c>
      <c r="AQ23">
        <f t="shared" si="82"/>
        <v>0</v>
      </c>
      <c r="AR23">
        <f t="shared" si="83"/>
        <v>1</v>
      </c>
      <c r="AS23">
        <f t="shared" si="27"/>
        <v>0</v>
      </c>
      <c r="AT23">
        <f t="shared" si="28"/>
        <v>1</v>
      </c>
      <c r="AU23">
        <f t="shared" si="4"/>
        <v>0</v>
      </c>
      <c r="AV23" t="b">
        <f t="shared" si="5"/>
        <v>0</v>
      </c>
      <c r="AW23" t="b">
        <f t="shared" si="6"/>
        <v>0</v>
      </c>
      <c r="AX23">
        <f t="shared" si="7"/>
        <v>1</v>
      </c>
      <c r="AY23" s="44">
        <f t="shared" si="29"/>
        <v>0</v>
      </c>
      <c r="AZ23">
        <f t="shared" si="8"/>
        <v>0</v>
      </c>
      <c r="BA23">
        <f t="shared" si="30"/>
        <v>1</v>
      </c>
      <c r="BB23">
        <f t="shared" si="63"/>
        <v>1</v>
      </c>
      <c r="BC23">
        <f>IF(Y23=E34,IF(X23=D34,K35,K33),IF(X23=D34,K34,K32))</f>
        <v>638.75</v>
      </c>
      <c r="BD23">
        <f t="shared" si="9"/>
        <v>0</v>
      </c>
      <c r="BE23">
        <f>IF(W23=C35,F35,1)</f>
        <v>1</v>
      </c>
      <c r="BF23">
        <f t="shared" si="10"/>
        <v>1</v>
      </c>
      <c r="BG23">
        <f t="shared" si="11"/>
        <v>0</v>
      </c>
      <c r="BH23">
        <f t="shared" si="12"/>
        <v>0</v>
      </c>
      <c r="BI23">
        <f t="shared" si="13"/>
        <v>0</v>
      </c>
      <c r="BJ23">
        <f t="shared" si="64"/>
        <v>1</v>
      </c>
      <c r="BK23">
        <f t="shared" si="65"/>
        <v>1</v>
      </c>
      <c r="BL23" s="44">
        <f t="shared" si="66"/>
        <v>0</v>
      </c>
      <c r="BM23">
        <f t="shared" si="14"/>
        <v>1</v>
      </c>
      <c r="BN23">
        <f>1</f>
        <v>1</v>
      </c>
      <c r="BO23">
        <f t="shared" si="15"/>
        <v>0</v>
      </c>
      <c r="BP23" s="44">
        <f t="shared" si="31"/>
        <v>0</v>
      </c>
      <c r="BQ23">
        <f t="shared" si="16"/>
        <v>0</v>
      </c>
      <c r="BR23">
        <f t="shared" si="32"/>
        <v>0</v>
      </c>
      <c r="BT23">
        <f t="shared" si="33"/>
        <v>0</v>
      </c>
      <c r="BY23" t="b">
        <f>IF(W23=0,FALSE,TRUE)</f>
        <v>0</v>
      </c>
      <c r="CA23">
        <f>IF(X23=D34,IF(Y23=E34,L35,L34),IF(Y23=E34,L33,L32))</f>
        <v>57</v>
      </c>
      <c r="CB23">
        <f t="shared" si="17"/>
        <v>1</v>
      </c>
      <c r="CC23">
        <f t="shared" si="18"/>
        <v>77.52000000000001</v>
      </c>
      <c r="CD23">
        <f t="shared" si="19"/>
        <v>0</v>
      </c>
      <c r="CE23">
        <f t="shared" si="34"/>
        <v>0</v>
      </c>
      <c r="CF23">
        <f t="shared" si="20"/>
        <v>0</v>
      </c>
      <c r="CG23">
        <f t="shared" si="21"/>
        <v>0</v>
      </c>
      <c r="CH23">
        <v>0</v>
      </c>
      <c r="CI23">
        <f t="shared" si="35"/>
        <v>0</v>
      </c>
      <c r="CJ23">
        <f t="shared" si="67"/>
        <v>0</v>
      </c>
      <c r="CK23">
        <f t="shared" si="22"/>
        <v>0</v>
      </c>
      <c r="CL23">
        <f t="shared" si="36"/>
        <v>0</v>
      </c>
      <c r="CM23">
        <f t="shared" si="68"/>
        <v>0</v>
      </c>
      <c r="CN23">
        <f t="shared" si="37"/>
        <v>0</v>
      </c>
      <c r="CO23">
        <f t="shared" si="38"/>
        <v>0</v>
      </c>
      <c r="CP23">
        <f t="shared" si="69"/>
        <v>0</v>
      </c>
      <c r="CQ23">
        <f t="shared" si="39"/>
        <v>0</v>
      </c>
      <c r="CR23">
        <f t="shared" si="40"/>
        <v>0</v>
      </c>
      <c r="CS23">
        <f t="shared" ref="CS23" si="128">IFERROR($CE23*CR23,0)</f>
        <v>0</v>
      </c>
      <c r="CT23">
        <f t="shared" si="41"/>
        <v>0</v>
      </c>
      <c r="CU23">
        <f t="shared" si="42"/>
        <v>0</v>
      </c>
      <c r="CV23">
        <f t="shared" ref="CV23" si="129">IFERROR($CE23*CU23,0)</f>
        <v>0</v>
      </c>
      <c r="CW23">
        <f t="shared" si="43"/>
        <v>0</v>
      </c>
      <c r="CX23">
        <f t="shared" si="44"/>
        <v>0</v>
      </c>
      <c r="CY23">
        <f t="shared" ref="CY23" si="130">IFERROR($CE23*CX23,0)</f>
        <v>0</v>
      </c>
      <c r="CZ23">
        <f t="shared" si="45"/>
        <v>0</v>
      </c>
      <c r="DA23">
        <f t="shared" si="46"/>
        <v>0</v>
      </c>
      <c r="DB23">
        <f t="shared" ref="DB23" si="131">IFERROR($CE23*DA23,0)</f>
        <v>0</v>
      </c>
      <c r="DC23">
        <f t="shared" si="47"/>
        <v>0</v>
      </c>
      <c r="DD23">
        <f t="shared" si="48"/>
        <v>0</v>
      </c>
      <c r="DE23">
        <f t="shared" ref="DE23" si="132">IFERROR($CE23*DD23,0)</f>
        <v>0</v>
      </c>
      <c r="DF23">
        <f t="shared" si="49"/>
        <v>0</v>
      </c>
      <c r="DG23">
        <f t="shared" si="50"/>
        <v>0</v>
      </c>
      <c r="DH23">
        <f t="shared" ref="DH23" si="133">IFERROR($CE23*DG23,0)</f>
        <v>0</v>
      </c>
      <c r="DI23">
        <f t="shared" si="51"/>
        <v>0</v>
      </c>
      <c r="DJ23">
        <f t="shared" si="52"/>
        <v>0</v>
      </c>
      <c r="DK23">
        <f t="shared" ref="DK23" si="134">IFERROR($CE23*DJ23,0)</f>
        <v>0</v>
      </c>
      <c r="DL23">
        <f t="shared" si="53"/>
        <v>0</v>
      </c>
      <c r="DM23">
        <f t="shared" si="54"/>
        <v>0</v>
      </c>
      <c r="DN23">
        <f t="shared" ref="DN23" si="135">IFERROR($CE23*DM23,0)</f>
        <v>0</v>
      </c>
      <c r="DO23">
        <f t="shared" si="55"/>
        <v>0</v>
      </c>
      <c r="DP23">
        <f t="shared" si="56"/>
        <v>0</v>
      </c>
      <c r="DQ23">
        <f t="shared" ref="DQ23" si="136">IFERROR($CE23*DP23,0)</f>
        <v>0</v>
      </c>
      <c r="DR23">
        <f t="shared" si="57"/>
        <v>0</v>
      </c>
      <c r="DS23">
        <f t="shared" si="58"/>
        <v>0</v>
      </c>
      <c r="DT23">
        <f t="shared" ref="DT23" si="137">IFERROR($CE23*DS23,0)</f>
        <v>0</v>
      </c>
      <c r="DU23">
        <f t="shared" si="59"/>
        <v>0</v>
      </c>
      <c r="DV23">
        <f t="shared" si="60"/>
        <v>0</v>
      </c>
      <c r="DW23">
        <f t="shared" ref="DW23" si="138">IFERROR($CE23*DV23,0)</f>
        <v>0</v>
      </c>
    </row>
    <row r="24" spans="2:127" x14ac:dyDescent="0.45">
      <c r="B24" t="s">
        <v>6</v>
      </c>
      <c r="F24">
        <v>199</v>
      </c>
      <c r="G24">
        <v>363</v>
      </c>
      <c r="H24">
        <v>521</v>
      </c>
      <c r="I24">
        <v>24</v>
      </c>
      <c r="J24">
        <v>1.2989999999999999</v>
      </c>
      <c r="K24">
        <v>912.38</v>
      </c>
      <c r="L24">
        <v>30</v>
      </c>
      <c r="V24" t="str">
        <f>앞면!B18</f>
        <v>달그리기</v>
      </c>
      <c r="W24">
        <f>앞면!C18</f>
        <v>0</v>
      </c>
      <c r="X24">
        <f>앞면!D18</f>
        <v>0</v>
      </c>
      <c r="Y24">
        <f>앞면!E18</f>
        <v>0</v>
      </c>
      <c r="Z24">
        <f>앞면!F18</f>
        <v>0</v>
      </c>
      <c r="AA24" s="44">
        <f>앞면!G18</f>
        <v>0</v>
      </c>
      <c r="AB24">
        <f t="shared" si="23"/>
        <v>0</v>
      </c>
      <c r="AC24">
        <f>IF(W24=0,0,IF(X24=0,F36,IF(Y24=0,G36,H36)))</f>
        <v>0</v>
      </c>
      <c r="AD24">
        <f>I36</f>
        <v>24</v>
      </c>
      <c r="AE24">
        <f t="shared" si="24"/>
        <v>0</v>
      </c>
      <c r="AF24">
        <f t="shared" si="25"/>
        <v>0</v>
      </c>
      <c r="AG24">
        <f>J36</f>
        <v>1.6</v>
      </c>
      <c r="AH24">
        <f>IF(W24=C39,F39,1)</f>
        <v>1</v>
      </c>
      <c r="AI24">
        <f t="shared" si="1"/>
        <v>1</v>
      </c>
      <c r="AJ24">
        <f>CEILING(AB24*AG24/AH24/$AA$7/AI24,0.05)</f>
        <v>0</v>
      </c>
      <c r="AK24">
        <f t="shared" si="3"/>
        <v>0</v>
      </c>
      <c r="AL24">
        <f t="shared" si="26"/>
        <v>0</v>
      </c>
      <c r="AM24">
        <f t="shared" si="61"/>
        <v>1</v>
      </c>
      <c r="AN24">
        <f t="shared" si="62"/>
        <v>0</v>
      </c>
      <c r="AO24">
        <f t="shared" si="81"/>
        <v>1</v>
      </c>
      <c r="AP24">
        <f>IF(Z24=$N$19,COUNTIF($Z$16:Z24,$N$19),0)</f>
        <v>0</v>
      </c>
      <c r="AQ24">
        <f t="shared" si="82"/>
        <v>0</v>
      </c>
      <c r="AR24">
        <f t="shared" si="83"/>
        <v>1</v>
      </c>
      <c r="AS24">
        <f t="shared" si="27"/>
        <v>0</v>
      </c>
      <c r="AT24">
        <f t="shared" si="28"/>
        <v>1</v>
      </c>
      <c r="AU24">
        <f t="shared" si="4"/>
        <v>0</v>
      </c>
      <c r="AV24" t="b">
        <f t="shared" si="5"/>
        <v>0</v>
      </c>
      <c r="AW24" t="b">
        <f t="shared" si="6"/>
        <v>0</v>
      </c>
      <c r="AX24">
        <f t="shared" si="7"/>
        <v>1</v>
      </c>
      <c r="AY24" s="44">
        <f t="shared" si="29"/>
        <v>0</v>
      </c>
      <c r="AZ24">
        <f t="shared" si="8"/>
        <v>0</v>
      </c>
      <c r="BA24">
        <f t="shared" si="30"/>
        <v>1</v>
      </c>
      <c r="BB24">
        <f t="shared" si="63"/>
        <v>1</v>
      </c>
      <c r="BC24">
        <f>K36</f>
        <v>929.7</v>
      </c>
      <c r="BD24">
        <f t="shared" si="9"/>
        <v>0</v>
      </c>
      <c r="BE24">
        <f>1</f>
        <v>1</v>
      </c>
      <c r="BF24">
        <f t="shared" si="10"/>
        <v>1</v>
      </c>
      <c r="BG24">
        <f t="shared" si="11"/>
        <v>0</v>
      </c>
      <c r="BH24">
        <f t="shared" si="12"/>
        <v>0</v>
      </c>
      <c r="BI24">
        <f t="shared" si="13"/>
        <v>0</v>
      </c>
      <c r="BJ24">
        <f t="shared" si="64"/>
        <v>1</v>
      </c>
      <c r="BK24">
        <f t="shared" si="65"/>
        <v>1</v>
      </c>
      <c r="BL24" s="44">
        <f t="shared" si="66"/>
        <v>0</v>
      </c>
      <c r="BM24">
        <f t="shared" si="14"/>
        <v>1</v>
      </c>
      <c r="BN24">
        <f>1</f>
        <v>1</v>
      </c>
      <c r="BO24">
        <f t="shared" si="15"/>
        <v>0</v>
      </c>
      <c r="BP24" s="44">
        <f t="shared" si="31"/>
        <v>0</v>
      </c>
      <c r="BQ24">
        <f t="shared" si="16"/>
        <v>0</v>
      </c>
      <c r="BR24">
        <f t="shared" si="32"/>
        <v>0</v>
      </c>
      <c r="BT24">
        <f t="shared" si="33"/>
        <v>0</v>
      </c>
      <c r="BY24" t="b">
        <f>IF(W24=0,FALSE,TRUE)</f>
        <v>0</v>
      </c>
      <c r="CA24">
        <f>L36</f>
        <v>29</v>
      </c>
      <c r="CB24">
        <f t="shared" si="17"/>
        <v>1</v>
      </c>
      <c r="CC24">
        <f t="shared" si="18"/>
        <v>39.440000000000005</v>
      </c>
      <c r="CD24">
        <f t="shared" si="19"/>
        <v>0</v>
      </c>
      <c r="CE24">
        <f t="shared" si="34"/>
        <v>0</v>
      </c>
      <c r="CF24">
        <f t="shared" si="20"/>
        <v>0</v>
      </c>
      <c r="CG24">
        <f t="shared" si="21"/>
        <v>0</v>
      </c>
      <c r="CH24">
        <v>0</v>
      </c>
      <c r="CI24">
        <f t="shared" si="35"/>
        <v>0</v>
      </c>
      <c r="CJ24">
        <f t="shared" si="67"/>
        <v>0</v>
      </c>
      <c r="CK24">
        <f t="shared" si="22"/>
        <v>0</v>
      </c>
      <c r="CL24">
        <f t="shared" si="36"/>
        <v>0</v>
      </c>
      <c r="CM24">
        <f t="shared" si="68"/>
        <v>0</v>
      </c>
      <c r="CN24">
        <f t="shared" si="37"/>
        <v>0</v>
      </c>
      <c r="CO24">
        <f t="shared" si="38"/>
        <v>0</v>
      </c>
      <c r="CP24">
        <f t="shared" si="69"/>
        <v>0</v>
      </c>
      <c r="CQ24">
        <f t="shared" si="39"/>
        <v>0</v>
      </c>
      <c r="CR24">
        <f t="shared" si="40"/>
        <v>0</v>
      </c>
      <c r="CS24">
        <f t="shared" ref="CS24" si="139">IFERROR($CE24*CR24,0)</f>
        <v>0</v>
      </c>
      <c r="CT24">
        <f t="shared" si="41"/>
        <v>0</v>
      </c>
      <c r="CU24">
        <f t="shared" si="42"/>
        <v>0</v>
      </c>
      <c r="CV24">
        <f t="shared" ref="CV24" si="140">IFERROR($CE24*CU24,0)</f>
        <v>0</v>
      </c>
      <c r="CW24">
        <f t="shared" si="43"/>
        <v>0</v>
      </c>
      <c r="CX24">
        <f t="shared" si="44"/>
        <v>0</v>
      </c>
      <c r="CY24">
        <f t="shared" ref="CY24" si="141">IFERROR($CE24*CX24,0)</f>
        <v>0</v>
      </c>
      <c r="CZ24">
        <f t="shared" si="45"/>
        <v>0</v>
      </c>
      <c r="DA24">
        <f t="shared" si="46"/>
        <v>0</v>
      </c>
      <c r="DB24">
        <f t="shared" ref="DB24" si="142">IFERROR($CE24*DA24,0)</f>
        <v>0</v>
      </c>
      <c r="DC24">
        <f t="shared" si="47"/>
        <v>0</v>
      </c>
      <c r="DD24">
        <f t="shared" si="48"/>
        <v>0</v>
      </c>
      <c r="DE24">
        <f t="shared" ref="DE24" si="143">IFERROR($CE24*DD24,0)</f>
        <v>0</v>
      </c>
      <c r="DF24">
        <f t="shared" si="49"/>
        <v>0</v>
      </c>
      <c r="DG24">
        <f t="shared" si="50"/>
        <v>0</v>
      </c>
      <c r="DH24">
        <f t="shared" ref="DH24" si="144">IFERROR($CE24*DG24,0)</f>
        <v>0</v>
      </c>
      <c r="DI24">
        <f t="shared" si="51"/>
        <v>0</v>
      </c>
      <c r="DJ24">
        <f t="shared" si="52"/>
        <v>0</v>
      </c>
      <c r="DK24">
        <f t="shared" ref="DK24" si="145">IFERROR($CE24*DJ24,0)</f>
        <v>0</v>
      </c>
      <c r="DL24">
        <f t="shared" si="53"/>
        <v>0</v>
      </c>
      <c r="DM24">
        <f t="shared" si="54"/>
        <v>0</v>
      </c>
      <c r="DN24">
        <f t="shared" ref="DN24" si="146">IFERROR($CE24*DM24,0)</f>
        <v>0</v>
      </c>
      <c r="DO24">
        <f t="shared" si="55"/>
        <v>0</v>
      </c>
      <c r="DP24">
        <f t="shared" si="56"/>
        <v>0</v>
      </c>
      <c r="DQ24">
        <f t="shared" ref="DQ24" si="147">IFERROR($CE24*DP24,0)</f>
        <v>0</v>
      </c>
      <c r="DR24">
        <f t="shared" si="57"/>
        <v>0</v>
      </c>
      <c r="DS24">
        <f t="shared" si="58"/>
        <v>0</v>
      </c>
      <c r="DT24">
        <f t="shared" ref="DT24" si="148">IFERROR($CE24*DS24,0)</f>
        <v>0</v>
      </c>
      <c r="DU24">
        <f t="shared" si="59"/>
        <v>0</v>
      </c>
      <c r="DV24">
        <f t="shared" si="60"/>
        <v>0</v>
      </c>
      <c r="DW24">
        <f t="shared" ref="DW24" si="149">IFERROR($CE24*DV24,0)</f>
        <v>0</v>
      </c>
    </row>
    <row r="25" spans="2:127" x14ac:dyDescent="0.45">
      <c r="C25" t="s">
        <v>20</v>
      </c>
      <c r="D25" t="s">
        <v>65</v>
      </c>
      <c r="E25" t="s">
        <v>66</v>
      </c>
      <c r="V25" t="str">
        <f>앞면!B19</f>
        <v>미리내</v>
      </c>
      <c r="W25">
        <f>앞면!C19</f>
        <v>0</v>
      </c>
      <c r="X25">
        <f>앞면!D19</f>
        <v>0</v>
      </c>
      <c r="Y25">
        <f>앞면!E19</f>
        <v>0</v>
      </c>
      <c r="Z25">
        <f>앞면!F19</f>
        <v>0</v>
      </c>
      <c r="AA25" s="44">
        <f>앞면!G19</f>
        <v>0</v>
      </c>
      <c r="AB25">
        <f t="shared" si="23"/>
        <v>0</v>
      </c>
      <c r="AC25">
        <f>IF(W25=0,0,IF(X25=0,F40,IF(Y25=0,G40,H40)))</f>
        <v>0</v>
      </c>
      <c r="AD25">
        <f>IF(X25=D43,I40-G43,I40)</f>
        <v>24</v>
      </c>
      <c r="AE25">
        <f t="shared" si="24"/>
        <v>0</v>
      </c>
      <c r="AF25">
        <f t="shared" si="25"/>
        <v>0</v>
      </c>
      <c r="AG25">
        <f>J40</f>
        <v>3</v>
      </c>
      <c r="AH25">
        <f>IF(W25=C43,F43,1)</f>
        <v>1</v>
      </c>
      <c r="AI25">
        <f t="shared" si="1"/>
        <v>1</v>
      </c>
      <c r="AJ25">
        <f>CEILING(AB25*AG25/AH25/$AA$7/AI25,0.05)</f>
        <v>0</v>
      </c>
      <c r="AK25">
        <f t="shared" si="3"/>
        <v>0</v>
      </c>
      <c r="AL25">
        <f t="shared" si="26"/>
        <v>0</v>
      </c>
      <c r="AM25">
        <f t="shared" si="61"/>
        <v>1</v>
      </c>
      <c r="AN25">
        <f t="shared" si="62"/>
        <v>0</v>
      </c>
      <c r="AO25">
        <f t="shared" si="81"/>
        <v>1</v>
      </c>
      <c r="AP25">
        <f>IF(Z25=$N$19,COUNTIF($Z$16:Z25,$N$19),0)</f>
        <v>0</v>
      </c>
      <c r="AQ25">
        <f t="shared" si="82"/>
        <v>0</v>
      </c>
      <c r="AR25">
        <f t="shared" si="83"/>
        <v>1</v>
      </c>
      <c r="AS25">
        <f t="shared" si="27"/>
        <v>0</v>
      </c>
      <c r="AT25">
        <f t="shared" si="28"/>
        <v>1</v>
      </c>
      <c r="AU25">
        <f t="shared" si="4"/>
        <v>0</v>
      </c>
      <c r="AV25" t="b">
        <f t="shared" si="5"/>
        <v>0</v>
      </c>
      <c r="AW25" t="b">
        <f t="shared" si="6"/>
        <v>0</v>
      </c>
      <c r="AX25">
        <f t="shared" si="7"/>
        <v>1</v>
      </c>
      <c r="AY25" s="44">
        <f t="shared" si="29"/>
        <v>0</v>
      </c>
      <c r="AZ25">
        <f t="shared" si="8"/>
        <v>0</v>
      </c>
      <c r="BA25">
        <f t="shared" si="30"/>
        <v>1</v>
      </c>
      <c r="BB25">
        <f>1+AZ25/2*(1-PRODUCT($BA$16:$BA$34)/BA25)</f>
        <v>1</v>
      </c>
      <c r="BC25">
        <f>K40</f>
        <v>960</v>
      </c>
      <c r="BD25">
        <f t="shared" si="9"/>
        <v>0</v>
      </c>
      <c r="BE25">
        <f>1</f>
        <v>1</v>
      </c>
      <c r="BF25">
        <f t="shared" si="10"/>
        <v>1</v>
      </c>
      <c r="BG25">
        <f t="shared" si="11"/>
        <v>0</v>
      </c>
      <c r="BH25">
        <f t="shared" si="12"/>
        <v>0</v>
      </c>
      <c r="BI25">
        <f t="shared" si="13"/>
        <v>0</v>
      </c>
      <c r="BJ25">
        <f t="shared" si="64"/>
        <v>1</v>
      </c>
      <c r="BK25">
        <f t="shared" si="65"/>
        <v>1</v>
      </c>
      <c r="BL25" s="44">
        <f t="shared" si="66"/>
        <v>0</v>
      </c>
      <c r="BM25">
        <f t="shared" si="14"/>
        <v>1</v>
      </c>
      <c r="BN25">
        <f>1</f>
        <v>1</v>
      </c>
      <c r="BO25">
        <f t="shared" si="15"/>
        <v>0</v>
      </c>
      <c r="BP25" s="44">
        <f t="shared" si="31"/>
        <v>0</v>
      </c>
      <c r="BQ25">
        <f t="shared" si="16"/>
        <v>0</v>
      </c>
      <c r="BR25">
        <f t="shared" si="32"/>
        <v>0</v>
      </c>
      <c r="BT25">
        <f t="shared" si="33"/>
        <v>0</v>
      </c>
      <c r="BU25">
        <f>IF(W25=C41,0.516,0)</f>
        <v>0</v>
      </c>
      <c r="BV25">
        <f>IF(W25=0,0,IF(Y25=E41,0.15*4/BH25,0))*IF(W25=C42,1,1/1.15)</f>
        <v>0</v>
      </c>
      <c r="BW25">
        <f>IF(W25=0,0,IF(Y25=E41,0.75,0))</f>
        <v>0</v>
      </c>
      <c r="BX25">
        <f>IF(W25=0,0,IF(Y25=E41,4/BH25,0))</f>
        <v>0</v>
      </c>
      <c r="BY25" t="b">
        <f>IF(W25=0,FALSE,TRUE)</f>
        <v>0</v>
      </c>
      <c r="BZ25" s="44" t="b">
        <f>IF(X25=D41,TRUE,FALSE)</f>
        <v>0</v>
      </c>
      <c r="CA25">
        <f>L40</f>
        <v>21</v>
      </c>
      <c r="CB25">
        <f t="shared" si="17"/>
        <v>1</v>
      </c>
      <c r="CC25">
        <f t="shared" si="18"/>
        <v>28.560000000000002</v>
      </c>
      <c r="CD25">
        <f t="shared" si="19"/>
        <v>0</v>
      </c>
      <c r="CE25">
        <f t="shared" si="34"/>
        <v>0</v>
      </c>
      <c r="CF25">
        <f t="shared" si="20"/>
        <v>0</v>
      </c>
      <c r="CG25">
        <f t="shared" si="21"/>
        <v>0</v>
      </c>
      <c r="CH25">
        <v>0</v>
      </c>
      <c r="CI25">
        <f t="shared" si="35"/>
        <v>0</v>
      </c>
      <c r="CJ25">
        <f t="shared" si="67"/>
        <v>0</v>
      </c>
      <c r="CK25">
        <f t="shared" si="22"/>
        <v>0</v>
      </c>
      <c r="CL25">
        <f t="shared" si="36"/>
        <v>0</v>
      </c>
      <c r="CM25">
        <f t="shared" si="68"/>
        <v>0</v>
      </c>
      <c r="CN25">
        <f t="shared" si="37"/>
        <v>0</v>
      </c>
      <c r="CO25">
        <f t="shared" si="38"/>
        <v>0</v>
      </c>
      <c r="CP25">
        <f t="shared" si="69"/>
        <v>0</v>
      </c>
      <c r="CQ25">
        <f t="shared" si="39"/>
        <v>0</v>
      </c>
      <c r="CR25">
        <f t="shared" si="40"/>
        <v>0</v>
      </c>
      <c r="CS25">
        <f t="shared" ref="CS25" si="150">IFERROR($CE25*CR25,0)</f>
        <v>0</v>
      </c>
      <c r="CT25">
        <f t="shared" si="41"/>
        <v>0</v>
      </c>
      <c r="CU25">
        <f t="shared" si="42"/>
        <v>0</v>
      </c>
      <c r="CV25">
        <f t="shared" ref="CV25" si="151">IFERROR($CE25*CU25,0)</f>
        <v>0</v>
      </c>
      <c r="CW25">
        <f t="shared" si="43"/>
        <v>0</v>
      </c>
      <c r="CX25">
        <f t="shared" si="44"/>
        <v>0</v>
      </c>
      <c r="CY25">
        <f t="shared" ref="CY25" si="152">IFERROR($CE25*CX25,0)</f>
        <v>0</v>
      </c>
      <c r="CZ25">
        <f t="shared" si="45"/>
        <v>0</v>
      </c>
      <c r="DA25">
        <f t="shared" si="46"/>
        <v>0</v>
      </c>
      <c r="DB25">
        <f t="shared" ref="DB25" si="153">IFERROR($CE25*DA25,0)</f>
        <v>0</v>
      </c>
      <c r="DC25">
        <f t="shared" si="47"/>
        <v>0</v>
      </c>
      <c r="DD25">
        <f t="shared" si="48"/>
        <v>0</v>
      </c>
      <c r="DE25">
        <f t="shared" ref="DE25" si="154">IFERROR($CE25*DD25,0)</f>
        <v>0</v>
      </c>
      <c r="DF25">
        <f t="shared" si="49"/>
        <v>0</v>
      </c>
      <c r="DG25">
        <f t="shared" si="50"/>
        <v>0</v>
      </c>
      <c r="DH25">
        <f t="shared" ref="DH25" si="155">IFERROR($CE25*DG25,0)</f>
        <v>0</v>
      </c>
      <c r="DI25">
        <f t="shared" si="51"/>
        <v>0</v>
      </c>
      <c r="DJ25">
        <f t="shared" si="52"/>
        <v>0</v>
      </c>
      <c r="DK25">
        <f t="shared" ref="DK25" si="156">IFERROR($CE25*DJ25,0)</f>
        <v>0</v>
      </c>
      <c r="DL25">
        <f t="shared" si="53"/>
        <v>0</v>
      </c>
      <c r="DM25">
        <f t="shared" si="54"/>
        <v>0</v>
      </c>
      <c r="DN25">
        <f t="shared" ref="DN25" si="157">IFERROR($CE25*DM25,0)</f>
        <v>0</v>
      </c>
      <c r="DO25">
        <f t="shared" si="55"/>
        <v>0</v>
      </c>
      <c r="DP25">
        <f t="shared" si="56"/>
        <v>0</v>
      </c>
      <c r="DQ25">
        <f t="shared" ref="DQ25" si="158">IFERROR($CE25*DP25,0)</f>
        <v>0</v>
      </c>
      <c r="DR25">
        <f t="shared" si="57"/>
        <v>0</v>
      </c>
      <c r="DS25">
        <f t="shared" si="58"/>
        <v>0</v>
      </c>
      <c r="DT25">
        <f t="shared" ref="DT25" si="159">IFERROR($CE25*DS25,0)</f>
        <v>0</v>
      </c>
      <c r="DU25">
        <f t="shared" si="59"/>
        <v>0</v>
      </c>
      <c r="DV25">
        <f t="shared" si="60"/>
        <v>0</v>
      </c>
      <c r="DW25">
        <f t="shared" ref="DW25" si="160">IFERROR($CE25*DV25,0)</f>
        <v>0</v>
      </c>
    </row>
    <row r="26" spans="2:127" x14ac:dyDescent="0.45">
      <c r="C26" t="s">
        <v>29</v>
      </c>
      <c r="D26" t="s">
        <v>27</v>
      </c>
      <c r="E26" t="s">
        <v>68</v>
      </c>
      <c r="F26">
        <v>0.33</v>
      </c>
      <c r="G26">
        <v>7</v>
      </c>
      <c r="V26" t="str">
        <f>앞면!B20</f>
        <v>환영의 문</v>
      </c>
      <c r="W26" t="str">
        <f>앞면!C20</f>
        <v>정신 강화</v>
      </c>
      <c r="X26" t="str">
        <f>앞면!D20</f>
        <v>정화</v>
      </c>
      <c r="Y26" t="str">
        <f>앞면!E20</f>
        <v>공간 중첩</v>
      </c>
      <c r="Z26" t="str">
        <f>앞면!F20</f>
        <v>영웅 질풍</v>
      </c>
      <c r="AA26" s="44">
        <f>앞면!G20</f>
        <v>10</v>
      </c>
      <c r="AB26">
        <f t="shared" si="23"/>
        <v>1</v>
      </c>
      <c r="AC26">
        <f>IF(W26=0,0,IF(X26=0,F44,IF(Y26=0,G44,H44)))</f>
        <v>657</v>
      </c>
      <c r="AD26">
        <f>I44</f>
        <v>36</v>
      </c>
      <c r="AE26">
        <f t="shared" si="24"/>
        <v>36</v>
      </c>
      <c r="AF26">
        <f t="shared" si="25"/>
        <v>17.669111139262796</v>
      </c>
      <c r="AG26">
        <f>J44</f>
        <v>0.96599999999999997</v>
      </c>
      <c r="AH26">
        <f>IF(W26=C45,F45,1)</f>
        <v>1</v>
      </c>
      <c r="AI26">
        <f t="shared" si="1"/>
        <v>1.1200000000000001</v>
      </c>
      <c r="AJ26">
        <f t="shared" ref="AJ26:AJ31" si="161">AB26*AG26/AH26/$AA$7/AI26</f>
        <v>0.62499999999999989</v>
      </c>
      <c r="AK26">
        <f t="shared" si="3"/>
        <v>0.62499999999999989</v>
      </c>
      <c r="AL26">
        <f>IF(BA11,0,IF($AH$10=0,0,IF(Z26=$AG$10,$AL$10,(AF26-AJ26)/$AH$10*$AL$10)))</f>
        <v>0</v>
      </c>
      <c r="AM26">
        <f>IF(BA11,1,IF(AL26=0,1,(AF26-IF(Z26=$AG$10,AL26*$AJ$10*(AF26-AJ26),AL26*(AF26-AJ26-$AI$10)/2*$AJ$10))/AF26))</f>
        <v>1</v>
      </c>
      <c r="AN26">
        <f>IF(BA11,0,IF($AH$11=0,0,IF($Z26=$AG$11,$AL$11,($AF26-$AJ26)/$AH$11*$AL$11)))</f>
        <v>0</v>
      </c>
      <c r="AO26">
        <f>IF(BA11,1,IF(AN26=0,1,(AF26-IF($Z26=$AG$11,AN26*$AJ$11*(AF26-AJ26),AN26*(AF26-AJ26-$AI$11)/2*$AJ$11))/AF26))</f>
        <v>1</v>
      </c>
      <c r="AP26">
        <f>IF(Z26=$N$19,COUNTIF($Z$16:Z26,$N$19),0)</f>
        <v>0</v>
      </c>
      <c r="AQ26">
        <f>IF(BA11,0,IF($AH$12=0,0,IF(AP26=1,$AL$12,($AF26-$AJ26)/$AH$12*$AL$12)))</f>
        <v>0</v>
      </c>
      <c r="AR26">
        <f>IF(BA11,1,IF(AQ26=0,1,(AF26-IF(AP26=1,AQ26*$AJ$12*(AF26-AJ26),AQ26*(AF26-AJ26-$AI$12)/2*$AJ$12))/AF26))</f>
        <v>1</v>
      </c>
      <c r="AS26">
        <f>IF(BA11,0,IF($AH$13=0,0,IF(AP26=2,$AL$13,($AF26-$AJ26)/$AH$13*$AL$13)))</f>
        <v>0</v>
      </c>
      <c r="AT26">
        <f>IF(BA11,1,IF(AS26=0,1,(AF26-IF(AP26=1,AS26*$AJ$13*(AF26-AJ26),AS26*(AF26-AJ26-$AI$13)/2*$AJ$13))/AF26))</f>
        <v>1</v>
      </c>
      <c r="AU26">
        <f t="shared" si="4"/>
        <v>17.669111139262796</v>
      </c>
      <c r="AV26" t="b">
        <f t="shared" si="5"/>
        <v>0</v>
      </c>
      <c r="AW26" t="b">
        <f t="shared" si="6"/>
        <v>0</v>
      </c>
      <c r="AX26">
        <f t="shared" si="7"/>
        <v>1</v>
      </c>
      <c r="AY26" s="44">
        <f t="shared" si="29"/>
        <v>17.669111139262796</v>
      </c>
      <c r="AZ26">
        <f t="shared" si="8"/>
        <v>3.5372464130987213E-2</v>
      </c>
      <c r="BA26">
        <f t="shared" si="30"/>
        <v>0.96462753586901284</v>
      </c>
      <c r="BB26">
        <f>IF(Y26=E46,1,1+AZ26/2*(1-PRODUCT($BA$16:$BA$34)/BA26))</f>
        <v>1</v>
      </c>
      <c r="BC26">
        <f>K44</f>
        <v>2400</v>
      </c>
      <c r="BD26">
        <f>AB26*BC26</f>
        <v>2400</v>
      </c>
      <c r="BE26">
        <f>1</f>
        <v>1</v>
      </c>
      <c r="BF26">
        <v>1</v>
      </c>
      <c r="BG26">
        <f>IF(BD26=0,0,BD26/AU26/BB26*BF26*BE26)</f>
        <v>135.83026226299094</v>
      </c>
      <c r="BH26">
        <f t="shared" si="12"/>
        <v>17.669111139262796</v>
      </c>
      <c r="BI26">
        <f t="shared" si="13"/>
        <v>3.5372464130987213E-2</v>
      </c>
      <c r="BJ26">
        <f t="shared" si="64"/>
        <v>0.96462753586901284</v>
      </c>
      <c r="BK26">
        <f>IF(Y26=E46,1,1+BI26/2*(1-PRODUCT($BJ$16:$BJ$34)/BJ26))</f>
        <v>1</v>
      </c>
      <c r="BL26" s="44">
        <f>IF(BD26=0,0,BD26/BH26/BK26*BF26*BE26)</f>
        <v>135.83026226299094</v>
      </c>
      <c r="BM26">
        <f t="shared" si="14"/>
        <v>1</v>
      </c>
      <c r="BN26">
        <f>IF(W26=C46,F46,1)</f>
        <v>0.33</v>
      </c>
      <c r="BO26">
        <f t="shared" si="15"/>
        <v>12.270566317182944</v>
      </c>
      <c r="BP26" s="44">
        <f t="shared" si="31"/>
        <v>5.6595942609579557E-2</v>
      </c>
      <c r="BQ26">
        <f t="shared" si="16"/>
        <v>0</v>
      </c>
      <c r="BR26">
        <f t="shared" si="32"/>
        <v>0</v>
      </c>
      <c r="BT26">
        <f t="shared" si="33"/>
        <v>0.67915131131495465</v>
      </c>
      <c r="BV26">
        <f>IF(W26=0,0,6*0.3/BH26/3)</f>
        <v>3.3957565565747728E-2</v>
      </c>
      <c r="BY26" t="b">
        <f>IF(W26=C47,TRUE,FALSE)</f>
        <v>0</v>
      </c>
      <c r="CA26">
        <f>L44</f>
        <v>0</v>
      </c>
      <c r="CB26">
        <f t="shared" si="17"/>
        <v>1</v>
      </c>
      <c r="CC26">
        <f t="shared" si="18"/>
        <v>0</v>
      </c>
      <c r="CD26">
        <f t="shared" si="19"/>
        <v>0.62499999999999989</v>
      </c>
      <c r="CE26">
        <f t="shared" si="34"/>
        <v>0</v>
      </c>
      <c r="CF26">
        <f t="shared" si="20"/>
        <v>17.669111139262796</v>
      </c>
      <c r="CG26">
        <f t="shared" ref="CG26:CG31" si="162">IFERROR(CC26/CF26,0)</f>
        <v>0</v>
      </c>
      <c r="CH26">
        <v>0</v>
      </c>
      <c r="CI26">
        <f>IF($CF26=0,0,IF(CH26=0,1,0))</f>
        <v>1</v>
      </c>
      <c r="CJ26">
        <f t="shared" si="67"/>
        <v>0</v>
      </c>
      <c r="CK26">
        <f t="shared" si="22"/>
        <v>0</v>
      </c>
      <c r="CL26">
        <f t="shared" si="36"/>
        <v>1</v>
      </c>
      <c r="CM26">
        <f t="shared" si="68"/>
        <v>0</v>
      </c>
      <c r="CN26">
        <f t="shared" si="37"/>
        <v>0</v>
      </c>
      <c r="CO26">
        <f t="shared" si="38"/>
        <v>1</v>
      </c>
      <c r="CP26">
        <f t="shared" si="69"/>
        <v>0</v>
      </c>
      <c r="CQ26">
        <f t="shared" si="39"/>
        <v>0</v>
      </c>
      <c r="CR26">
        <f t="shared" si="40"/>
        <v>1</v>
      </c>
      <c r="CS26">
        <f t="shared" ref="CS26" si="163">IFERROR($CE26*CR26,0)</f>
        <v>0</v>
      </c>
      <c r="CT26">
        <f t="shared" si="41"/>
        <v>0</v>
      </c>
      <c r="CU26">
        <f t="shared" si="42"/>
        <v>1</v>
      </c>
      <c r="CV26">
        <f t="shared" ref="CV26" si="164">IFERROR($CE26*CU26,0)</f>
        <v>0</v>
      </c>
      <c r="CW26">
        <f t="shared" si="43"/>
        <v>0</v>
      </c>
      <c r="CX26">
        <f t="shared" si="44"/>
        <v>1</v>
      </c>
      <c r="CY26">
        <f t="shared" ref="CY26" si="165">IFERROR($CE26*CX26,0)</f>
        <v>0</v>
      </c>
      <c r="CZ26">
        <f t="shared" si="45"/>
        <v>0</v>
      </c>
      <c r="DA26">
        <f t="shared" si="46"/>
        <v>1</v>
      </c>
      <c r="DB26">
        <f t="shared" ref="DB26" si="166">IFERROR($CE26*DA26,0)</f>
        <v>0</v>
      </c>
      <c r="DC26">
        <f t="shared" si="47"/>
        <v>0</v>
      </c>
      <c r="DD26">
        <f t="shared" si="48"/>
        <v>1</v>
      </c>
      <c r="DE26">
        <f t="shared" ref="DE26" si="167">IFERROR($CE26*DD26,0)</f>
        <v>0</v>
      </c>
      <c r="DF26">
        <f t="shared" si="49"/>
        <v>0</v>
      </c>
      <c r="DG26">
        <f t="shared" si="50"/>
        <v>1</v>
      </c>
      <c r="DH26">
        <f t="shared" ref="DH26" si="168">IFERROR($CE26*DG26,0)</f>
        <v>0</v>
      </c>
      <c r="DI26">
        <f t="shared" si="51"/>
        <v>0</v>
      </c>
      <c r="DJ26">
        <f t="shared" si="52"/>
        <v>1</v>
      </c>
      <c r="DK26">
        <f t="shared" ref="DK26" si="169">IFERROR($CE26*DJ26,0)</f>
        <v>0</v>
      </c>
      <c r="DL26">
        <f t="shared" si="53"/>
        <v>0</v>
      </c>
      <c r="DM26">
        <f t="shared" si="54"/>
        <v>1</v>
      </c>
      <c r="DN26">
        <f t="shared" ref="DN26" si="170">IFERROR($CE26*DM26,0)</f>
        <v>0</v>
      </c>
      <c r="DO26">
        <f t="shared" si="55"/>
        <v>0</v>
      </c>
      <c r="DP26">
        <f t="shared" si="56"/>
        <v>1</v>
      </c>
      <c r="DQ26">
        <f t="shared" ref="DQ26" si="171">IFERROR($CE26*DP26,0)</f>
        <v>0</v>
      </c>
      <c r="DR26">
        <f t="shared" si="57"/>
        <v>0</v>
      </c>
      <c r="DS26">
        <f t="shared" si="58"/>
        <v>1</v>
      </c>
      <c r="DT26">
        <f t="shared" ref="DT26" si="172">IFERROR($CE26*DS26,0)</f>
        <v>0</v>
      </c>
      <c r="DU26">
        <f t="shared" si="59"/>
        <v>0</v>
      </c>
      <c r="DV26">
        <f t="shared" si="60"/>
        <v>1</v>
      </c>
      <c r="DW26">
        <f t="shared" ref="DW26" si="173">IFERROR($CE26*DV26,0)</f>
        <v>0</v>
      </c>
    </row>
    <row r="27" spans="2:127" x14ac:dyDescent="0.45">
      <c r="C27" t="s">
        <v>64</v>
      </c>
      <c r="D27" t="s">
        <v>25</v>
      </c>
      <c r="V27" t="str">
        <f>앞면!B21</f>
        <v>옹달샘</v>
      </c>
      <c r="W27" t="str">
        <f>앞면!C21</f>
        <v>기운 강화</v>
      </c>
      <c r="X27" t="str">
        <f>앞면!D21</f>
        <v>넓은 공격</v>
      </c>
      <c r="Y27" t="str">
        <f>앞면!E21</f>
        <v>잉어 봉인해제!</v>
      </c>
      <c r="Z27" t="str">
        <f>앞면!F21</f>
        <v>영웅 풍요</v>
      </c>
      <c r="AA27" s="44">
        <f>앞면!G21</f>
        <v>10</v>
      </c>
      <c r="AB27">
        <f t="shared" si="23"/>
        <v>1</v>
      </c>
      <c r="AC27">
        <f>IF(W27=0,0,IF(X27=0,F48,IF(Y27=0,G48,H48)))</f>
        <v>521</v>
      </c>
      <c r="AD27">
        <f>I48</f>
        <v>24</v>
      </c>
      <c r="AE27">
        <f t="shared" si="24"/>
        <v>24</v>
      </c>
      <c r="AF27">
        <f>AE27*(1-AA27*0.02)*$Z$6-IF(X27=D50,IF(Y27=E49,0.1,1.5))</f>
        <v>11.779407426175197</v>
      </c>
      <c r="AG27">
        <f>J48</f>
        <v>1.29</v>
      </c>
      <c r="AH27">
        <v>1</v>
      </c>
      <c r="AI27">
        <f t="shared" si="1"/>
        <v>1</v>
      </c>
      <c r="AJ27">
        <f t="shared" si="161"/>
        <v>0.93478260869565211</v>
      </c>
      <c r="AK27">
        <f t="shared" si="3"/>
        <v>0.93478260869565211</v>
      </c>
      <c r="AL27">
        <f>IF($AH$10=0,0,IF(Z27=$AG$10,$AL$10,(AF27-AJ27)/$AH$10*$AL$10))</f>
        <v>8.1834901838999274E-2</v>
      </c>
      <c r="AM27">
        <f t="shared" si="61"/>
        <v>0.99452329113069737</v>
      </c>
      <c r="AN27">
        <f>IF($AH$11=0,0,IF($Z27=$AG$11,$AL$11,($AF27-$AJ27)/$AH$11*$AL$11))</f>
        <v>0</v>
      </c>
      <c r="AO27">
        <f t="shared" si="81"/>
        <v>1</v>
      </c>
      <c r="AP27">
        <f>IF(Z27=$N$19,COUNTIF($Z$16:Z27,$N$19),0)</f>
        <v>0</v>
      </c>
      <c r="AQ27">
        <f>IF($AH$12=0,0,IF(AP27=1,$AL$12,($AF27-$AJ27)/$AH$12*$AL$12))</f>
        <v>0</v>
      </c>
      <c r="AR27">
        <f>IF(AQ27=0,1,(AF27-IF(AP27=1,AQ27*$AJ$12*(AF27-AJ27),AQ27*(AF27-AJ27-$AI$12)/2*$AJ$12))/AF27)</f>
        <v>1</v>
      </c>
      <c r="AS27">
        <f>IF($AH$13=0,0,IF(AP27=2,$AL$13,($AF27-$AJ27)/$AH$13*$AL$13))</f>
        <v>0</v>
      </c>
      <c r="AT27">
        <f>IF(AS27=0,1,(AF27-IF(AP27=2,AS27*$AJ$13*(AF27-AJ27),AS27*(AF27-AJ27-$AI$13)/2*$AJ$13))/AF27)</f>
        <v>1</v>
      </c>
      <c r="AU27">
        <f t="shared" si="4"/>
        <v>11.714895041049134</v>
      </c>
      <c r="AV27" t="b">
        <f t="shared" si="5"/>
        <v>0</v>
      </c>
      <c r="AW27" t="b">
        <f t="shared" si="6"/>
        <v>0</v>
      </c>
      <c r="AX27">
        <f t="shared" si="7"/>
        <v>1</v>
      </c>
      <c r="AY27" s="44">
        <f t="shared" si="29"/>
        <v>11.714895041049134</v>
      </c>
      <c r="AZ27">
        <f t="shared" si="8"/>
        <v>7.9794364816770658E-2</v>
      </c>
      <c r="BA27">
        <f t="shared" si="30"/>
        <v>0.92020563518322929</v>
      </c>
      <c r="BB27">
        <f t="shared" si="63"/>
        <v>1.0220703339024115</v>
      </c>
      <c r="BC27">
        <f>IF(Y27=E50,K49,K48)</f>
        <v>923.28</v>
      </c>
      <c r="BD27">
        <f t="shared" si="9"/>
        <v>923.28</v>
      </c>
      <c r="BE27">
        <f>IF(W27=C50,F50,1)</f>
        <v>1.45</v>
      </c>
      <c r="BF27">
        <f>IF(Z27=$N$5,$O$5,IF(Z27=$N$13,$O$13,IF(Z27=$N$18,$O$18,IF(Z27=$N$22,$O$22,1))))</f>
        <v>1.3</v>
      </c>
      <c r="BG27">
        <f t="shared" si="11"/>
        <v>205.55896896331035</v>
      </c>
      <c r="BH27">
        <f t="shared" si="12"/>
        <v>11.714895041049134</v>
      </c>
      <c r="BI27">
        <f t="shared" si="13"/>
        <v>7.9794364816770658E-2</v>
      </c>
      <c r="BJ27">
        <f t="shared" si="64"/>
        <v>0.92020563518322929</v>
      </c>
      <c r="BK27">
        <f t="shared" si="65"/>
        <v>1.0230224604267</v>
      </c>
      <c r="BL27" s="44">
        <f t="shared" si="66"/>
        <v>205.3676553272698</v>
      </c>
      <c r="BM27">
        <f t="shared" si="14"/>
        <v>1</v>
      </c>
      <c r="BN27">
        <f>1</f>
        <v>1</v>
      </c>
      <c r="BO27">
        <f t="shared" si="15"/>
        <v>44.473296446481996</v>
      </c>
      <c r="BP27" s="44">
        <f t="shared" si="31"/>
        <v>8.5361413524917454E-2</v>
      </c>
      <c r="BQ27">
        <f t="shared" si="16"/>
        <v>0</v>
      </c>
      <c r="BR27">
        <f t="shared" si="32"/>
        <v>0</v>
      </c>
      <c r="BT27">
        <f t="shared" si="33"/>
        <v>1.0243369622990095</v>
      </c>
      <c r="BY27" t="b">
        <f>IF(W27=0,FALSE,TRUE)</f>
        <v>1</v>
      </c>
      <c r="CA27">
        <f>IF(W27=C49,L49,L48)</f>
        <v>43</v>
      </c>
      <c r="CB27">
        <f t="shared" si="17"/>
        <v>1</v>
      </c>
      <c r="CC27">
        <f t="shared" si="18"/>
        <v>58.480000000000004</v>
      </c>
      <c r="CD27">
        <f t="shared" si="19"/>
        <v>0.93478260869565211</v>
      </c>
      <c r="CE27">
        <f t="shared" si="34"/>
        <v>62.560000000000009</v>
      </c>
      <c r="CF27">
        <f t="shared" si="20"/>
        <v>11.779407426175197</v>
      </c>
      <c r="CG27">
        <f t="shared" si="162"/>
        <v>4.9645960857123184</v>
      </c>
      <c r="CH27">
        <v>0</v>
      </c>
      <c r="CI27">
        <f t="shared" si="35"/>
        <v>1</v>
      </c>
      <c r="CJ27">
        <f t="shared" si="67"/>
        <v>62.560000000000009</v>
      </c>
      <c r="CK27">
        <f t="shared" si="22"/>
        <v>0</v>
      </c>
      <c r="CL27">
        <f t="shared" si="36"/>
        <v>1</v>
      </c>
      <c r="CM27">
        <f t="shared" si="68"/>
        <v>62.560000000000009</v>
      </c>
      <c r="CN27">
        <f t="shared" si="37"/>
        <v>10.844624817479545</v>
      </c>
      <c r="CO27">
        <f t="shared" si="38"/>
        <v>0</v>
      </c>
      <c r="CP27">
        <f t="shared" si="69"/>
        <v>0</v>
      </c>
      <c r="CQ27">
        <f t="shared" si="39"/>
        <v>9.679483703825845</v>
      </c>
      <c r="CR27">
        <f t="shared" si="40"/>
        <v>0</v>
      </c>
      <c r="CS27">
        <f t="shared" ref="CS27" si="174">IFERROR($CE27*CR27,0)</f>
        <v>0</v>
      </c>
      <c r="CT27">
        <f t="shared" si="41"/>
        <v>8.7381793559997583</v>
      </c>
      <c r="CU27">
        <f t="shared" si="42"/>
        <v>0</v>
      </c>
      <c r="CV27">
        <f t="shared" ref="CV27" si="175">IFERROR($CE27*CU27,0)</f>
        <v>0</v>
      </c>
      <c r="CW27">
        <f t="shared" si="43"/>
        <v>7.7643680160556947</v>
      </c>
      <c r="CX27">
        <f t="shared" si="44"/>
        <v>0</v>
      </c>
      <c r="CY27">
        <f t="shared" ref="CY27" si="176">IFERROR($CE27*CX27,0)</f>
        <v>0</v>
      </c>
      <c r="CZ27">
        <f t="shared" si="45"/>
        <v>6.7737883059107675</v>
      </c>
      <c r="DA27">
        <f t="shared" si="46"/>
        <v>0</v>
      </c>
      <c r="DB27">
        <f t="shared" ref="DB27" si="177">IFERROR($CE27*DA27,0)</f>
        <v>0</v>
      </c>
      <c r="DC27">
        <f t="shared" si="47"/>
        <v>4.4919042479397531</v>
      </c>
      <c r="DD27">
        <f t="shared" si="48"/>
        <v>0</v>
      </c>
      <c r="DE27">
        <f t="shared" ref="DE27" si="178">IFERROR($CE27*DD27,0)</f>
        <v>0</v>
      </c>
      <c r="DF27">
        <f t="shared" si="49"/>
        <v>3.598425987070188</v>
      </c>
      <c r="DG27">
        <f t="shared" si="50"/>
        <v>0</v>
      </c>
      <c r="DH27">
        <f t="shared" ref="DH27" si="179">IFERROR($CE27*DG27,0)</f>
        <v>0</v>
      </c>
      <c r="DI27">
        <f t="shared" si="51"/>
        <v>2.9916865333627456</v>
      </c>
      <c r="DJ27">
        <f t="shared" si="52"/>
        <v>0</v>
      </c>
      <c r="DK27">
        <f t="shared" ref="DK27" si="180">IFERROR($CE27*DJ27,0)</f>
        <v>0</v>
      </c>
      <c r="DL27">
        <f t="shared" si="53"/>
        <v>1.8265454197090463</v>
      </c>
      <c r="DM27">
        <f t="shared" si="54"/>
        <v>0</v>
      </c>
      <c r="DN27">
        <f t="shared" ref="DN27" si="181">IFERROR($CE27*DM27,0)</f>
        <v>0</v>
      </c>
      <c r="DO27">
        <f t="shared" si="55"/>
        <v>0</v>
      </c>
      <c r="DP27">
        <f t="shared" si="56"/>
        <v>1</v>
      </c>
      <c r="DQ27">
        <f t="shared" ref="DQ27" si="182">IFERROR($CE27*DP27,0)</f>
        <v>62.560000000000009</v>
      </c>
      <c r="DR27">
        <f t="shared" si="57"/>
        <v>10.844624817479545</v>
      </c>
      <c r="DS27">
        <f t="shared" si="58"/>
        <v>0</v>
      </c>
      <c r="DT27">
        <f t="shared" ref="DT27" si="183">IFERROR($CE27*DS27,0)</f>
        <v>0</v>
      </c>
      <c r="DU27">
        <f t="shared" si="59"/>
        <v>10.700257447969166</v>
      </c>
      <c r="DV27">
        <f t="shared" si="60"/>
        <v>0</v>
      </c>
      <c r="DW27">
        <f t="shared" ref="DW27" si="184">IFERROR($CE27*DV27,0)</f>
        <v>0</v>
      </c>
    </row>
    <row r="28" spans="2:127" x14ac:dyDescent="0.45">
      <c r="B28" t="s">
        <v>12</v>
      </c>
      <c r="F28">
        <v>227</v>
      </c>
      <c r="G28">
        <v>412</v>
      </c>
      <c r="H28">
        <v>592</v>
      </c>
      <c r="I28">
        <v>30</v>
      </c>
      <c r="J28">
        <v>1.466</v>
      </c>
      <c r="K28">
        <v>1032.8</v>
      </c>
      <c r="L28">
        <v>58</v>
      </c>
      <c r="V28" t="str">
        <f>앞면!B22</f>
        <v>해우물</v>
      </c>
      <c r="W28" t="str">
        <f>앞면!C22</f>
        <v>빠른 준비</v>
      </c>
      <c r="X28" t="str">
        <f>앞면!D22</f>
        <v>마나 회복</v>
      </c>
      <c r="Y28" t="str">
        <f>앞면!E22</f>
        <v>발산</v>
      </c>
      <c r="Z28" t="str">
        <f>앞면!F22</f>
        <v>전설 질풍</v>
      </c>
      <c r="AA28" s="44">
        <f>앞면!G22</f>
        <v>10</v>
      </c>
      <c r="AB28">
        <f t="shared" si="23"/>
        <v>1</v>
      </c>
      <c r="AC28">
        <f>IF(W28=0,0,IF(X28=0,F52,IF(Y28=0,G52,H52)))</f>
        <v>592</v>
      </c>
      <c r="AD28">
        <f>IF(W28=C53,I52-F53,I52)</f>
        <v>24</v>
      </c>
      <c r="AE28">
        <f t="shared" si="24"/>
        <v>24</v>
      </c>
      <c r="AF28">
        <f t="shared" si="25"/>
        <v>11.779407426175197</v>
      </c>
      <c r="AG28">
        <f>J52</f>
        <v>1.532</v>
      </c>
      <c r="AH28">
        <f>IF(W28=C54,F54,1)</f>
        <v>1</v>
      </c>
      <c r="AI28">
        <f t="shared" si="1"/>
        <v>1.1399999999999999</v>
      </c>
      <c r="AJ28">
        <f t="shared" si="161"/>
        <v>0.9738113399440631</v>
      </c>
      <c r="AK28">
        <f t="shared" si="3"/>
        <v>0.9738113399440631</v>
      </c>
      <c r="AL28">
        <f>IF($AH$10=0,0,IF(Z28=$AG$10,$AL$10,(AF28-AJ28)/$AH$10*$AL$10))</f>
        <v>8.1540386127817957E-2</v>
      </c>
      <c r="AM28">
        <f t="shared" si="61"/>
        <v>0.99456461469612789</v>
      </c>
      <c r="AN28">
        <f>IF($AH$11=0,0,IF($Z28=$AG$11,$AL$11,($AF28-$AJ28)/$AH$11*$AL$11))</f>
        <v>0</v>
      </c>
      <c r="AO28">
        <f t="shared" si="81"/>
        <v>1</v>
      </c>
      <c r="AP28">
        <f>IF(Z28=$N$19,COUNTIF($Z$16:Z28,$N$19),0)</f>
        <v>0</v>
      </c>
      <c r="AQ28">
        <f t="shared" ref="AQ28:AQ31" si="185">IF($AH$12=0,0,IF(AP28=1,$AL$12,($AF28-$AJ28)/$AH$12*$AL$12))</f>
        <v>0</v>
      </c>
      <c r="AR28">
        <f t="shared" ref="AR28:AR31" si="186">IF(AQ28=0,1,(AF28-IF(AP28=1,AQ28*$AJ$12*(AF28-AJ28),AQ28*(AF28-AJ28-$AI$12)/2*$AJ$12))/AF28)</f>
        <v>1</v>
      </c>
      <c r="AS28">
        <f>IF($AH$13=0,0,IF(AP28=2,$AL$13,($AF28-$AJ28)/$AH$13*$AL$13))</f>
        <v>0</v>
      </c>
      <c r="AT28">
        <f>IF(AS28=0,1,(AF28-IF(AP28=2,AS28*$AJ$13*(AF28-AJ28),AS28*(AF28-AJ28-$AI$13)/2*$AJ$13))/AF28)</f>
        <v>1</v>
      </c>
      <c r="AU28">
        <f t="shared" si="4"/>
        <v>11.715381808162643</v>
      </c>
      <c r="AV28" t="b">
        <f t="shared" si="5"/>
        <v>0</v>
      </c>
      <c r="AW28" t="b">
        <f t="shared" si="6"/>
        <v>0</v>
      </c>
      <c r="AX28">
        <f t="shared" si="7"/>
        <v>1</v>
      </c>
      <c r="AY28" s="44">
        <f t="shared" si="29"/>
        <v>11.715381808162643</v>
      </c>
      <c r="AZ28">
        <f t="shared" si="8"/>
        <v>8.3122458652227976E-2</v>
      </c>
      <c r="BA28">
        <f t="shared" si="30"/>
        <v>0.916877541347772</v>
      </c>
      <c r="BB28">
        <f t="shared" si="63"/>
        <v>1.0229234448218885</v>
      </c>
      <c r="BC28">
        <f>K52</f>
        <v>560</v>
      </c>
      <c r="BD28">
        <f t="shared" si="9"/>
        <v>560</v>
      </c>
      <c r="BE28">
        <f>IF(W28=C55,F55,1)</f>
        <v>1</v>
      </c>
      <c r="BF28">
        <f>IF(Z28=$N$5,$O$5,IF(Z28=$N$13,$O$13,IF(Z28=$N$18,$O$18,IF(Z28=$N$22,$O$22,1))))</f>
        <v>1</v>
      </c>
      <c r="BG28">
        <f t="shared" si="11"/>
        <v>66.084450090050609</v>
      </c>
      <c r="BH28">
        <f>BF5</f>
        <v>13.055653296138262</v>
      </c>
      <c r="BI28">
        <f t="shared" si="13"/>
        <v>7.4589246348331514E-2</v>
      </c>
      <c r="BJ28">
        <f t="shared" si="64"/>
        <v>0.92541075365166847</v>
      </c>
      <c r="BK28">
        <f t="shared" si="65"/>
        <v>1.0216093903317036</v>
      </c>
      <c r="BL28" s="44">
        <f t="shared" si="66"/>
        <v>59.376606789200949</v>
      </c>
      <c r="BM28">
        <f t="shared" si="14"/>
        <v>1</v>
      </c>
      <c r="BN28">
        <f>1</f>
        <v>1</v>
      </c>
      <c r="BO28">
        <f t="shared" si="15"/>
        <v>45.344341380075399</v>
      </c>
      <c r="BP28" s="44">
        <f t="shared" si="31"/>
        <v>7.6595171250127367E-2</v>
      </c>
      <c r="BQ28">
        <f t="shared" si="16"/>
        <v>0</v>
      </c>
      <c r="BR28">
        <f t="shared" si="32"/>
        <v>0</v>
      </c>
      <c r="BT28">
        <f t="shared" si="33"/>
        <v>0.91914205500152846</v>
      </c>
      <c r="BV28">
        <f>IF(X28=D54,6*0.07/BH28*W36,0)</f>
        <v>0</v>
      </c>
      <c r="BY28" t="b">
        <f>IF(W28=0,FALSE,TRUE)</f>
        <v>1</v>
      </c>
      <c r="CA28">
        <f>L52</f>
        <v>29</v>
      </c>
      <c r="CB28">
        <f t="shared" si="17"/>
        <v>1</v>
      </c>
      <c r="CC28">
        <f t="shared" si="18"/>
        <v>39.440000000000005</v>
      </c>
      <c r="CD28">
        <f t="shared" si="19"/>
        <v>0.9738113399440631</v>
      </c>
      <c r="CE28">
        <f t="shared" si="34"/>
        <v>40.500657963446479</v>
      </c>
      <c r="CF28">
        <f t="shared" si="20"/>
        <v>11.779407426175197</v>
      </c>
      <c r="CG28">
        <f t="shared" si="162"/>
        <v>3.3482159647827268</v>
      </c>
      <c r="CH28">
        <v>0</v>
      </c>
      <c r="CI28">
        <f t="shared" si="35"/>
        <v>1</v>
      </c>
      <c r="CJ28">
        <f t="shared" si="67"/>
        <v>40.500657963446479</v>
      </c>
      <c r="CK28">
        <f t="shared" si="22"/>
        <v>0</v>
      </c>
      <c r="CL28">
        <f t="shared" si="36"/>
        <v>1</v>
      </c>
      <c r="CM28">
        <f t="shared" si="68"/>
        <v>40.500657963446479</v>
      </c>
      <c r="CN28">
        <f t="shared" si="37"/>
        <v>0</v>
      </c>
      <c r="CO28">
        <f t="shared" si="38"/>
        <v>1</v>
      </c>
      <c r="CP28">
        <f t="shared" si="69"/>
        <v>40.500657963446479</v>
      </c>
      <c r="CQ28">
        <f t="shared" si="39"/>
        <v>0</v>
      </c>
      <c r="CR28">
        <f t="shared" si="40"/>
        <v>1</v>
      </c>
      <c r="CS28">
        <f t="shared" ref="CS28" si="187">IFERROR($CE28*CR28,0)</f>
        <v>40.500657963446479</v>
      </c>
      <c r="CT28">
        <f t="shared" si="41"/>
        <v>0</v>
      </c>
      <c r="CU28">
        <f t="shared" si="42"/>
        <v>1</v>
      </c>
      <c r="CV28">
        <f t="shared" ref="CV28" si="188">IFERROR($CE28*CU28,0)</f>
        <v>40.500657963446479</v>
      </c>
      <c r="CW28">
        <f t="shared" si="43"/>
        <v>10.805596086231134</v>
      </c>
      <c r="CX28">
        <f t="shared" si="44"/>
        <v>0</v>
      </c>
      <c r="CY28">
        <f t="shared" ref="CY28" si="189">IFERROR($CE28*CX28,0)</f>
        <v>0</v>
      </c>
      <c r="CZ28">
        <f t="shared" si="45"/>
        <v>9.8150163760862057</v>
      </c>
      <c r="DA28">
        <f t="shared" si="46"/>
        <v>0</v>
      </c>
      <c r="DB28">
        <f t="shared" ref="DB28" si="190">IFERROR($CE28*DA28,0)</f>
        <v>0</v>
      </c>
      <c r="DC28">
        <f t="shared" si="47"/>
        <v>7.5331323181151912</v>
      </c>
      <c r="DD28">
        <f t="shared" si="48"/>
        <v>0</v>
      </c>
      <c r="DE28">
        <f t="shared" ref="DE28" si="191">IFERROR($CE28*DD28,0)</f>
        <v>0</v>
      </c>
      <c r="DF28">
        <f t="shared" si="49"/>
        <v>6.6396540572456262</v>
      </c>
      <c r="DG28">
        <f t="shared" si="50"/>
        <v>0</v>
      </c>
      <c r="DH28">
        <f t="shared" ref="DH28" si="192">IFERROR($CE28*DG28,0)</f>
        <v>0</v>
      </c>
      <c r="DI28">
        <f t="shared" si="51"/>
        <v>6.0329146035381838</v>
      </c>
      <c r="DJ28">
        <f t="shared" si="52"/>
        <v>0</v>
      </c>
      <c r="DK28">
        <f t="shared" ref="DK28" si="193">IFERROR($CE28*DJ28,0)</f>
        <v>0</v>
      </c>
      <c r="DL28">
        <f t="shared" si="53"/>
        <v>4.8677734898844847</v>
      </c>
      <c r="DM28">
        <f t="shared" si="54"/>
        <v>0</v>
      </c>
      <c r="DN28">
        <f t="shared" ref="DN28" si="194">IFERROR($CE28*DM28,0)</f>
        <v>0</v>
      </c>
      <c r="DO28">
        <f t="shared" si="55"/>
        <v>3.0412280701754382</v>
      </c>
      <c r="DP28">
        <f t="shared" si="56"/>
        <v>0</v>
      </c>
      <c r="DQ28">
        <f t="shared" ref="DQ28" si="195">IFERROR($CE28*DP28,0)</f>
        <v>0</v>
      </c>
      <c r="DR28">
        <f t="shared" si="57"/>
        <v>2.1064454614797858</v>
      </c>
      <c r="DS28">
        <f t="shared" si="58"/>
        <v>0</v>
      </c>
      <c r="DT28">
        <f t="shared" ref="DT28" si="196">IFERROR($CE28*DS28,0)</f>
        <v>0</v>
      </c>
      <c r="DU28">
        <f t="shared" si="59"/>
        <v>1.9620780919694076</v>
      </c>
      <c r="DV28">
        <f t="shared" si="60"/>
        <v>0</v>
      </c>
      <c r="DW28">
        <f t="shared" ref="DW28" si="197">IFERROR($CE28*DV28,0)</f>
        <v>0</v>
      </c>
    </row>
    <row r="29" spans="2:127" x14ac:dyDescent="0.45">
      <c r="C29" t="s">
        <v>69</v>
      </c>
      <c r="D29" t="s">
        <v>70</v>
      </c>
      <c r="E29" t="s">
        <v>73</v>
      </c>
      <c r="L29">
        <v>81</v>
      </c>
      <c r="V29" t="str">
        <f>앞면!B23</f>
        <v>두루미나래</v>
      </c>
      <c r="W29">
        <f>앞면!C23</f>
        <v>0</v>
      </c>
      <c r="X29">
        <f>앞면!D23</f>
        <v>0</v>
      </c>
      <c r="Y29">
        <f>앞면!E23</f>
        <v>0</v>
      </c>
      <c r="Z29">
        <f>앞면!F23</f>
        <v>0</v>
      </c>
      <c r="AA29" s="44">
        <f>앞면!G23</f>
        <v>0</v>
      </c>
      <c r="AB29">
        <f t="shared" si="23"/>
        <v>0</v>
      </c>
      <c r="AC29">
        <f>IF(W29=0,0,IF(X29=0,F56,IF(Y29=0,G56,H56)))</f>
        <v>0</v>
      </c>
      <c r="AD29">
        <f>I56</f>
        <v>24</v>
      </c>
      <c r="AE29">
        <f t="shared" si="24"/>
        <v>0</v>
      </c>
      <c r="AF29">
        <f t="shared" si="25"/>
        <v>0</v>
      </c>
      <c r="AG29">
        <f>J56</f>
        <v>1.5</v>
      </c>
      <c r="AH29">
        <f>IF(W29=C57,F57,1)</f>
        <v>1</v>
      </c>
      <c r="AI29">
        <f t="shared" si="1"/>
        <v>1</v>
      </c>
      <c r="AJ29">
        <f t="shared" si="161"/>
        <v>0</v>
      </c>
      <c r="AK29">
        <f t="shared" si="3"/>
        <v>0</v>
      </c>
      <c r="AL29">
        <f>IF($AH$10=0,0,IF(Z29=$AG$10,$AL$10,(AF29-AJ29)/$AH$10*$AL$10))</f>
        <v>0</v>
      </c>
      <c r="AM29">
        <f t="shared" si="61"/>
        <v>1</v>
      </c>
      <c r="AN29">
        <f>IF($AH$11=0,0,IF($Z29=$AG$11,$AL$11,($AF29-$AJ29)/$AH$11*$AL$11))</f>
        <v>0</v>
      </c>
      <c r="AO29">
        <f t="shared" si="81"/>
        <v>1</v>
      </c>
      <c r="AP29">
        <f>IF(Z29=$N$19,COUNTIF($Z$16:Z29,$N$19),0)</f>
        <v>0</v>
      </c>
      <c r="AQ29">
        <f t="shared" si="185"/>
        <v>0</v>
      </c>
      <c r="AR29">
        <f t="shared" si="186"/>
        <v>1</v>
      </c>
      <c r="AS29">
        <f>IF($AH$13=0,0,IF(AP29=2,$AL$13,($AF29-$AJ29)/$AH$13*$AL$13))</f>
        <v>0</v>
      </c>
      <c r="AT29">
        <f>IF(AS29=0,1,(AF29-IF(AP29=2,AS29*$AJ$13*(AF29-AJ29),AS29*(AF29-AJ29-$AI$13)/2*$AJ$13))/AF29)</f>
        <v>1</v>
      </c>
      <c r="AU29">
        <f t="shared" si="4"/>
        <v>0</v>
      </c>
      <c r="AV29" t="b">
        <f t="shared" si="5"/>
        <v>0</v>
      </c>
      <c r="AW29" t="b">
        <f t="shared" si="6"/>
        <v>0</v>
      </c>
      <c r="AX29">
        <f t="shared" si="7"/>
        <v>1</v>
      </c>
      <c r="AY29" s="44">
        <f t="shared" si="29"/>
        <v>0</v>
      </c>
      <c r="AZ29">
        <f t="shared" si="8"/>
        <v>0</v>
      </c>
      <c r="BA29">
        <f t="shared" si="30"/>
        <v>1</v>
      </c>
      <c r="BB29">
        <f t="shared" si="63"/>
        <v>1</v>
      </c>
      <c r="BC29">
        <f>IF(Y29=E58,K57,K56)</f>
        <v>868</v>
      </c>
      <c r="BD29">
        <f t="shared" si="9"/>
        <v>0</v>
      </c>
      <c r="BE29">
        <f>1</f>
        <v>1</v>
      </c>
      <c r="BF29">
        <f>IF(Z29=$N$5,$O$5,IF(Z29=$N$13,$O$13,IF(Z29=$N$18,$O$18,IF(Z29=$N$22,$O$22,1))))</f>
        <v>1</v>
      </c>
      <c r="BG29">
        <f t="shared" si="11"/>
        <v>0</v>
      </c>
      <c r="BH29">
        <f>AY29</f>
        <v>0</v>
      </c>
      <c r="BI29">
        <f t="shared" si="13"/>
        <v>0</v>
      </c>
      <c r="BJ29">
        <f t="shared" si="64"/>
        <v>1</v>
      </c>
      <c r="BK29">
        <f t="shared" si="65"/>
        <v>1</v>
      </c>
      <c r="BL29" s="44">
        <f t="shared" si="66"/>
        <v>0</v>
      </c>
      <c r="BM29">
        <f t="shared" si="14"/>
        <v>1</v>
      </c>
      <c r="BN29">
        <f>IF(W29=C59,F59,1)</f>
        <v>1</v>
      </c>
      <c r="BO29">
        <f t="shared" si="15"/>
        <v>0</v>
      </c>
      <c r="BP29" s="44">
        <f t="shared" si="31"/>
        <v>0</v>
      </c>
      <c r="BQ29">
        <f t="shared" si="16"/>
        <v>0</v>
      </c>
      <c r="BR29">
        <f t="shared" si="32"/>
        <v>0</v>
      </c>
      <c r="BT29">
        <f t="shared" si="33"/>
        <v>0</v>
      </c>
      <c r="BY29" t="b">
        <f>IF(W29=0,FALSE,TRUE)</f>
        <v>0</v>
      </c>
      <c r="CA29">
        <f>IF(W29=C58,L57,L56)</f>
        <v>58</v>
      </c>
      <c r="CB29">
        <f t="shared" si="17"/>
        <v>1</v>
      </c>
      <c r="CC29">
        <f t="shared" si="18"/>
        <v>78.88000000000001</v>
      </c>
      <c r="CD29">
        <f t="shared" si="19"/>
        <v>0</v>
      </c>
      <c r="CE29">
        <f t="shared" si="34"/>
        <v>0</v>
      </c>
      <c r="CF29">
        <f t="shared" si="20"/>
        <v>0</v>
      </c>
      <c r="CG29">
        <f t="shared" si="162"/>
        <v>0</v>
      </c>
      <c r="CH29">
        <v>0</v>
      </c>
      <c r="CI29">
        <f t="shared" si="35"/>
        <v>0</v>
      </c>
      <c r="CJ29">
        <f t="shared" si="67"/>
        <v>0</v>
      </c>
      <c r="CK29">
        <f t="shared" si="22"/>
        <v>0</v>
      </c>
      <c r="CL29">
        <f t="shared" si="36"/>
        <v>0</v>
      </c>
      <c r="CM29">
        <f t="shared" si="68"/>
        <v>0</v>
      </c>
      <c r="CN29">
        <f t="shared" si="37"/>
        <v>0</v>
      </c>
      <c r="CO29">
        <f t="shared" si="38"/>
        <v>0</v>
      </c>
      <c r="CP29">
        <f t="shared" si="69"/>
        <v>0</v>
      </c>
      <c r="CQ29">
        <f t="shared" si="39"/>
        <v>0</v>
      </c>
      <c r="CR29">
        <f t="shared" si="40"/>
        <v>0</v>
      </c>
      <c r="CS29">
        <f t="shared" ref="CS29" si="198">IFERROR($CE29*CR29,0)</f>
        <v>0</v>
      </c>
      <c r="CT29">
        <f t="shared" si="41"/>
        <v>0</v>
      </c>
      <c r="CU29">
        <f t="shared" si="42"/>
        <v>0</v>
      </c>
      <c r="CV29">
        <f t="shared" ref="CV29" si="199">IFERROR($CE29*CU29,0)</f>
        <v>0</v>
      </c>
      <c r="CW29">
        <f t="shared" si="43"/>
        <v>0</v>
      </c>
      <c r="CX29">
        <f t="shared" si="44"/>
        <v>0</v>
      </c>
      <c r="CY29">
        <f t="shared" ref="CY29" si="200">IFERROR($CE29*CX29,0)</f>
        <v>0</v>
      </c>
      <c r="CZ29">
        <f t="shared" si="45"/>
        <v>0</v>
      </c>
      <c r="DA29">
        <f t="shared" si="46"/>
        <v>0</v>
      </c>
      <c r="DB29">
        <f t="shared" ref="DB29" si="201">IFERROR($CE29*DA29,0)</f>
        <v>0</v>
      </c>
      <c r="DC29">
        <f t="shared" si="47"/>
        <v>0</v>
      </c>
      <c r="DD29">
        <f t="shared" si="48"/>
        <v>0</v>
      </c>
      <c r="DE29">
        <f t="shared" ref="DE29" si="202">IFERROR($CE29*DD29,0)</f>
        <v>0</v>
      </c>
      <c r="DF29">
        <f t="shared" si="49"/>
        <v>0</v>
      </c>
      <c r="DG29">
        <f t="shared" si="50"/>
        <v>0</v>
      </c>
      <c r="DH29">
        <f t="shared" ref="DH29" si="203">IFERROR($CE29*DG29,0)</f>
        <v>0</v>
      </c>
      <c r="DI29">
        <f t="shared" si="51"/>
        <v>0</v>
      </c>
      <c r="DJ29">
        <f t="shared" si="52"/>
        <v>0</v>
      </c>
      <c r="DK29">
        <f t="shared" ref="DK29" si="204">IFERROR($CE29*DJ29,0)</f>
        <v>0</v>
      </c>
      <c r="DL29">
        <f t="shared" si="53"/>
        <v>0</v>
      </c>
      <c r="DM29">
        <f t="shared" si="54"/>
        <v>0</v>
      </c>
      <c r="DN29">
        <f t="shared" ref="DN29" si="205">IFERROR($CE29*DM29,0)</f>
        <v>0</v>
      </c>
      <c r="DO29">
        <f t="shared" si="55"/>
        <v>0</v>
      </c>
      <c r="DP29">
        <f t="shared" si="56"/>
        <v>0</v>
      </c>
      <c r="DQ29">
        <f t="shared" ref="DQ29" si="206">IFERROR($CE29*DP29,0)</f>
        <v>0</v>
      </c>
      <c r="DR29">
        <f t="shared" si="57"/>
        <v>0</v>
      </c>
      <c r="DS29">
        <f t="shared" si="58"/>
        <v>0</v>
      </c>
      <c r="DT29">
        <f t="shared" ref="DT29" si="207">IFERROR($CE29*DS29,0)</f>
        <v>0</v>
      </c>
      <c r="DU29">
        <f t="shared" si="59"/>
        <v>0</v>
      </c>
      <c r="DV29">
        <f t="shared" si="60"/>
        <v>0</v>
      </c>
      <c r="DW29">
        <f t="shared" ref="DW29" si="208">IFERROR($CE29*DV29,0)</f>
        <v>0</v>
      </c>
    </row>
    <row r="30" spans="2:127" x14ac:dyDescent="0.45">
      <c r="C30" t="s">
        <v>27</v>
      </c>
      <c r="D30" t="s">
        <v>71</v>
      </c>
      <c r="E30" t="s">
        <v>74</v>
      </c>
      <c r="F30">
        <v>11</v>
      </c>
      <c r="V30" t="str">
        <f>앞면!B24</f>
        <v>올려치기</v>
      </c>
      <c r="W30" t="str">
        <f>앞면!C24</f>
        <v>기운 강화</v>
      </c>
      <c r="X30" t="str">
        <f>앞면!D24</f>
        <v>강인함</v>
      </c>
      <c r="Y30">
        <f>앞면!E24</f>
        <v>0</v>
      </c>
      <c r="Z30" t="str">
        <f>앞면!F24</f>
        <v>전설 질풍</v>
      </c>
      <c r="AA30" s="44">
        <f>앞면!G24</f>
        <v>10</v>
      </c>
      <c r="AB30">
        <f t="shared" si="23"/>
        <v>1</v>
      </c>
      <c r="AC30">
        <f>IF(W30=0,0,IF(X30=0,F60,IF(Y30=0,G60,H60)))</f>
        <v>287</v>
      </c>
      <c r="AD30">
        <f>I60</f>
        <v>16</v>
      </c>
      <c r="AE30">
        <f t="shared" si="24"/>
        <v>16</v>
      </c>
      <c r="AF30">
        <f t="shared" si="25"/>
        <v>7.8529382841167976</v>
      </c>
      <c r="AG30">
        <f>J60</f>
        <v>1.833</v>
      </c>
      <c r="AH30">
        <v>1</v>
      </c>
      <c r="AI30">
        <f t="shared" si="1"/>
        <v>1.1399999999999999</v>
      </c>
      <c r="AJ30">
        <f t="shared" si="161"/>
        <v>1.1651411136536993</v>
      </c>
      <c r="AK30">
        <f t="shared" si="3"/>
        <v>1.1651411136536993</v>
      </c>
      <c r="AL30">
        <f>IF($AH$10=0,0,IF(Z30=$AG$10,$AL$10,(AF30-AJ30)/$AH$10*$AL$10))</f>
        <v>5.0466957979205078E-2</v>
      </c>
      <c r="AM30">
        <f t="shared" si="61"/>
        <v>0.99707094365175586</v>
      </c>
      <c r="AN30">
        <f>IF($AH$11=0,0,IF($Z30=$AG$11,$AL$11,($AF30-$AJ30)/$AH$11*$AL$11))</f>
        <v>0</v>
      </c>
      <c r="AO30">
        <f t="shared" si="81"/>
        <v>1</v>
      </c>
      <c r="AP30">
        <f>IF(Z30=$N$19,COUNTIF($Z$16:Z30,$N$19),0)</f>
        <v>0</v>
      </c>
      <c r="AQ30">
        <f t="shared" si="185"/>
        <v>0</v>
      </c>
      <c r="AR30">
        <f t="shared" si="186"/>
        <v>1</v>
      </c>
      <c r="AS30">
        <f>IF($AH$13=0,0,IF(AP30=2,$AL$13,($AF30-$AJ30)/$AH$13*$AL$13))</f>
        <v>0</v>
      </c>
      <c r="AT30">
        <f>IF(AS30=0,1,(AF30-IF(AP30=2,AS30*$AJ$13*(AF30-AJ30),AS30*(AF30-AJ30-$AI$13)/2*$AJ$13))/AF30)</f>
        <v>1</v>
      </c>
      <c r="AU30">
        <f>AF30*AM30*AO30*AR30*AT30*AZ13</f>
        <v>0</v>
      </c>
      <c r="AV30" t="b">
        <f t="shared" si="5"/>
        <v>0</v>
      </c>
      <c r="AW30" t="b">
        <f t="shared" si="6"/>
        <v>0</v>
      </c>
      <c r="AX30">
        <f t="shared" si="7"/>
        <v>1</v>
      </c>
      <c r="AY30" s="44">
        <f t="shared" si="29"/>
        <v>0</v>
      </c>
      <c r="AZ30">
        <f t="shared" si="8"/>
        <v>0</v>
      </c>
      <c r="BA30">
        <f t="shared" si="30"/>
        <v>1</v>
      </c>
      <c r="BB30">
        <f t="shared" si="63"/>
        <v>1</v>
      </c>
      <c r="BC30">
        <f>K60</f>
        <v>561.91</v>
      </c>
      <c r="BD30">
        <f>AB30*BC30*AZ13</f>
        <v>0</v>
      </c>
      <c r="BE30">
        <f>1</f>
        <v>1</v>
      </c>
      <c r="BF30">
        <f>IF(Z30=$N$5,$O$5,IF(Z30=$N$13,$O$13,IF(Z30=$N$18,$O$18,IF(Z30=$N$22,$O$22,1))))</f>
        <v>1</v>
      </c>
      <c r="BG30">
        <f t="shared" si="11"/>
        <v>0</v>
      </c>
      <c r="BH30">
        <f>AY30</f>
        <v>0</v>
      </c>
      <c r="BI30">
        <f t="shared" si="13"/>
        <v>0</v>
      </c>
      <c r="BJ30">
        <f t="shared" si="64"/>
        <v>1</v>
      </c>
      <c r="BK30">
        <f t="shared" si="65"/>
        <v>1</v>
      </c>
      <c r="BL30" s="44">
        <f t="shared" si="66"/>
        <v>0</v>
      </c>
      <c r="BM30">
        <f t="shared" si="14"/>
        <v>1</v>
      </c>
      <c r="BN30">
        <f>IF(W30=C63,F63,1)</f>
        <v>1</v>
      </c>
      <c r="BO30">
        <f t="shared" si="15"/>
        <v>0</v>
      </c>
      <c r="BP30" s="44">
        <f t="shared" si="31"/>
        <v>0</v>
      </c>
      <c r="BQ30">
        <f t="shared" si="16"/>
        <v>0</v>
      </c>
      <c r="BR30">
        <f t="shared" si="32"/>
        <v>0</v>
      </c>
      <c r="BS30">
        <f>IF(W30=C61,1,0)</f>
        <v>0</v>
      </c>
      <c r="BT30">
        <f t="shared" si="33"/>
        <v>0</v>
      </c>
      <c r="BY30" t="b">
        <f>IF(W30=0,FALSE,TRUE)</f>
        <v>1</v>
      </c>
      <c r="BZ30" s="44" t="b">
        <f>IF(X30=D63,TRUE,FALSE)</f>
        <v>1</v>
      </c>
      <c r="CA30">
        <f>L60</f>
        <v>41</v>
      </c>
      <c r="CB30">
        <f t="shared" si="17"/>
        <v>1</v>
      </c>
      <c r="CC30">
        <f t="shared" si="18"/>
        <v>55.760000000000005</v>
      </c>
      <c r="CD30">
        <f t="shared" si="19"/>
        <v>1.1651411136536993</v>
      </c>
      <c r="CE30">
        <f t="shared" si="34"/>
        <v>47.856864157119489</v>
      </c>
      <c r="CF30">
        <f t="shared" si="20"/>
        <v>7.8529382841167976</v>
      </c>
      <c r="CG30">
        <f>IFERROR(CC30/CF30,0)*AZ13</f>
        <v>0</v>
      </c>
      <c r="CH30">
        <v>0</v>
      </c>
      <c r="CI30">
        <f t="shared" si="35"/>
        <v>1</v>
      </c>
      <c r="CJ30">
        <f t="shared" si="67"/>
        <v>47.856864157119489</v>
      </c>
      <c r="CK30">
        <f t="shared" si="22"/>
        <v>0</v>
      </c>
      <c r="CL30">
        <f t="shared" si="36"/>
        <v>1</v>
      </c>
      <c r="CM30">
        <f t="shared" si="68"/>
        <v>47.856864157119489</v>
      </c>
      <c r="CN30">
        <f t="shared" si="37"/>
        <v>0</v>
      </c>
      <c r="CO30">
        <f t="shared" si="38"/>
        <v>1</v>
      </c>
      <c r="CP30">
        <f t="shared" si="69"/>
        <v>47.856864157119489</v>
      </c>
      <c r="CQ30">
        <f t="shared" si="39"/>
        <v>6.6877971704630985</v>
      </c>
      <c r="CR30">
        <f t="shared" si="40"/>
        <v>0</v>
      </c>
      <c r="CS30">
        <f t="shared" ref="CS30" si="209">IFERROR($CE30*CR30,0)</f>
        <v>0</v>
      </c>
      <c r="CT30">
        <f t="shared" si="41"/>
        <v>5.7464928226370118</v>
      </c>
      <c r="CU30">
        <f t="shared" si="42"/>
        <v>0</v>
      </c>
      <c r="CV30">
        <f t="shared" ref="CV30" si="210">IFERROR($CE30*CU30,0)</f>
        <v>0</v>
      </c>
      <c r="CW30">
        <f t="shared" si="43"/>
        <v>4.7726814826929491</v>
      </c>
      <c r="CX30">
        <f t="shared" si="44"/>
        <v>0</v>
      </c>
      <c r="CY30">
        <f t="shared" ref="CY30" si="211">IFERROR($CE30*CX30,0)</f>
        <v>0</v>
      </c>
      <c r="CZ30">
        <f t="shared" si="45"/>
        <v>3.7821017725480219</v>
      </c>
      <c r="DA30">
        <f t="shared" si="46"/>
        <v>0</v>
      </c>
      <c r="DB30">
        <f t="shared" ref="DB30" si="212">IFERROR($CE30*DA30,0)</f>
        <v>0</v>
      </c>
      <c r="DC30">
        <f t="shared" si="47"/>
        <v>1.5002177145770075</v>
      </c>
      <c r="DD30">
        <f t="shared" si="48"/>
        <v>0</v>
      </c>
      <c r="DE30">
        <f t="shared" ref="DE30" si="213">IFERROR($CE30*DD30,0)</f>
        <v>0</v>
      </c>
      <c r="DF30">
        <f t="shared" si="49"/>
        <v>0.60673945370744231</v>
      </c>
      <c r="DG30">
        <f t="shared" si="50"/>
        <v>0</v>
      </c>
      <c r="DH30">
        <f t="shared" ref="DH30" si="214">IFERROR($CE30*DG30,0)</f>
        <v>0</v>
      </c>
      <c r="DI30">
        <f t="shared" si="51"/>
        <v>0</v>
      </c>
      <c r="DJ30">
        <f t="shared" si="52"/>
        <v>1</v>
      </c>
      <c r="DK30">
        <f t="shared" ref="DK30" si="215">IFERROR($CE30*DJ30,0)</f>
        <v>47.856864157119489</v>
      </c>
      <c r="DL30">
        <f t="shared" si="53"/>
        <v>6.6877971704630985</v>
      </c>
      <c r="DM30">
        <f t="shared" si="54"/>
        <v>0</v>
      </c>
      <c r="DN30">
        <f t="shared" ref="DN30" si="216">IFERROR($CE30*DM30,0)</f>
        <v>0</v>
      </c>
      <c r="DO30">
        <f t="shared" si="55"/>
        <v>4.861251750754052</v>
      </c>
      <c r="DP30">
        <f t="shared" si="56"/>
        <v>0</v>
      </c>
      <c r="DQ30">
        <f t="shared" ref="DQ30" si="217">IFERROR($CE30*DP30,0)</f>
        <v>0</v>
      </c>
      <c r="DR30">
        <f t="shared" si="57"/>
        <v>3.9264691420583997</v>
      </c>
      <c r="DS30">
        <f t="shared" si="58"/>
        <v>0</v>
      </c>
      <c r="DT30">
        <f t="shared" ref="DT30" si="218">IFERROR($CE30*DS30,0)</f>
        <v>0</v>
      </c>
      <c r="DU30">
        <f t="shared" si="59"/>
        <v>3.7821017725480215</v>
      </c>
      <c r="DV30">
        <f t="shared" si="60"/>
        <v>0</v>
      </c>
      <c r="DW30">
        <f t="shared" ref="DW30" si="219">IFERROR($CE30*DV30,0)</f>
        <v>0</v>
      </c>
    </row>
    <row r="31" spans="2:127" x14ac:dyDescent="0.45">
      <c r="C31" t="s">
        <v>39</v>
      </c>
      <c r="D31" t="s">
        <v>72</v>
      </c>
      <c r="V31" t="str">
        <f>앞면!B25</f>
        <v>해그리기</v>
      </c>
      <c r="W31" t="str">
        <f>앞면!C25</f>
        <v>강인함</v>
      </c>
      <c r="X31" t="str">
        <f>앞면!D25</f>
        <v>보호 강화</v>
      </c>
      <c r="Y31" t="str">
        <f>앞면!E25</f>
        <v>공격 강화</v>
      </c>
      <c r="Z31" t="str">
        <f>앞면!F25</f>
        <v>전설 속행</v>
      </c>
      <c r="AA31" s="44">
        <f>앞면!G25</f>
        <v>10</v>
      </c>
      <c r="AB31">
        <f t="shared" si="23"/>
        <v>1</v>
      </c>
      <c r="AC31">
        <f>IF(W31=0,0,IF(X31=0,F64,IF(Y31=0,G64,H64)))</f>
        <v>557</v>
      </c>
      <c r="AD31">
        <f>I64</f>
        <v>27</v>
      </c>
      <c r="AE31">
        <f t="shared" si="24"/>
        <v>27</v>
      </c>
      <c r="AF31">
        <f t="shared" si="25"/>
        <v>13.251833354447097</v>
      </c>
      <c r="AG31">
        <f>J64</f>
        <v>1.367</v>
      </c>
      <c r="AH31">
        <f>IF(W31=C66,F66,1)</f>
        <v>1</v>
      </c>
      <c r="AI31">
        <f t="shared" si="1"/>
        <v>1</v>
      </c>
      <c r="AJ31">
        <f t="shared" si="161"/>
        <v>0.99057971014492741</v>
      </c>
      <c r="AK31">
        <f t="shared" si="3"/>
        <v>0.99057971014492741</v>
      </c>
      <c r="AL31">
        <f>IF($AH$10=0,0,IF(Z31=$AG$10,$AL$10,(AF31-AJ31)/$AH$10*$AL$10))</f>
        <v>0.1</v>
      </c>
      <c r="AM31">
        <f t="shared" si="61"/>
        <v>0.9851960062384123</v>
      </c>
      <c r="AN31">
        <f>IF($AH$11=0,0,IF($Z31=$AG$11,$AL$11,($AF31-$AJ31)/$AH$11*$AL$11))</f>
        <v>0</v>
      </c>
      <c r="AO31">
        <f t="shared" si="81"/>
        <v>1</v>
      </c>
      <c r="AP31">
        <f>IF(Z31=$N$19,COUNTIF($Z$16:Z31,$N$19),0)</f>
        <v>0</v>
      </c>
      <c r="AQ31">
        <f t="shared" si="185"/>
        <v>0</v>
      </c>
      <c r="AR31">
        <f t="shared" si="186"/>
        <v>1</v>
      </c>
      <c r="AS31">
        <f>IF($AH$13=0,0,IF(AP31=2,$AL$13,($AF31-$AJ31)/$AH$13*$AL$13))</f>
        <v>0</v>
      </c>
      <c r="AT31">
        <f>IF(AS31=0,1,(AF31-IF(AP31=2,AS31*$AJ$13*(AF31-AJ31),AS31*(AF31-AJ31-$AI$13)/2*$AJ$13))/AF31)</f>
        <v>1</v>
      </c>
      <c r="AU31">
        <f>AF31*AM31*AO31*AR31*AT31</f>
        <v>13.055653296138262</v>
      </c>
      <c r="AV31" t="b">
        <f t="shared" si="5"/>
        <v>0</v>
      </c>
      <c r="AW31" t="b">
        <f t="shared" si="6"/>
        <v>0</v>
      </c>
      <c r="AX31">
        <f>IF(OR(AV31,AW31),1,IF($AM$4,IF($AQ$4,$AU$12,$AS$8),1))</f>
        <v>1</v>
      </c>
      <c r="AY31" s="44">
        <f t="shared" si="29"/>
        <v>13.055653296138262</v>
      </c>
      <c r="AZ31">
        <f t="shared" si="8"/>
        <v>7.587362253545224E-2</v>
      </c>
      <c r="BA31">
        <f t="shared" si="30"/>
        <v>0.92412637746454773</v>
      </c>
      <c r="BB31">
        <f>1+AZ31/2*(1-PRODUCT($BA$16:$BA$34)/BA31)</f>
        <v>1.0210578120350244</v>
      </c>
      <c r="BC31">
        <f>K64</f>
        <v>394.66</v>
      </c>
      <c r="BD31">
        <f>AB31*BC31</f>
        <v>394.66</v>
      </c>
      <c r="BE31">
        <f>IF(W31=C67,F67,1)</f>
        <v>1</v>
      </c>
      <c r="BF31">
        <f>IF(Z31=$N$5,$O$5,IF(Z31=$N$13,$O$13,IF(Z31=$N$18,$O$18,IF(Z31=$N$22,$O$22,1))))</f>
        <v>1</v>
      </c>
      <c r="BG31">
        <f t="shared" si="11"/>
        <v>41.868268779666444</v>
      </c>
      <c r="BH31">
        <f>BF5</f>
        <v>13.055653296138262</v>
      </c>
      <c r="BI31">
        <f t="shared" si="13"/>
        <v>7.587362253545224E-2</v>
      </c>
      <c r="BJ31">
        <f t="shared" si="64"/>
        <v>0.92412637746454773</v>
      </c>
      <c r="BK31">
        <f t="shared" si="65"/>
        <v>1.0219593142196373</v>
      </c>
      <c r="BL31" s="44">
        <f t="shared" si="66"/>
        <v>41.83133547396077</v>
      </c>
      <c r="BM31">
        <f t="shared" si="14"/>
        <v>1</v>
      </c>
      <c r="BN31">
        <f>1</f>
        <v>1</v>
      </c>
      <c r="BO31">
        <f t="shared" si="15"/>
        <v>42.663510386320944</v>
      </c>
      <c r="BP31" s="44">
        <f t="shared" si="31"/>
        <v>7.6595171250127367E-2</v>
      </c>
      <c r="BQ31">
        <f t="shared" si="16"/>
        <v>0</v>
      </c>
      <c r="BR31">
        <f t="shared" si="32"/>
        <v>0</v>
      </c>
      <c r="BT31">
        <f t="shared" si="33"/>
        <v>0.91914205500152846</v>
      </c>
      <c r="BU31">
        <f>BW31</f>
        <v>0.35</v>
      </c>
      <c r="BW31">
        <f>IF(W31=0,1,IF(X31=D66,0.35,0.15))</f>
        <v>0.35</v>
      </c>
      <c r="BX31">
        <f>IF(W31=0,0,8/BH31)</f>
        <v>0.61276137000101893</v>
      </c>
      <c r="BY31" t="b">
        <f>IF(W31=C65,TRUE,FALSE)</f>
        <v>1</v>
      </c>
      <c r="BZ31" s="44" t="b">
        <f>IF(W31=C65,TRUE,FALSE)</f>
        <v>1</v>
      </c>
      <c r="CA31">
        <f>L64</f>
        <v>21</v>
      </c>
      <c r="CB31">
        <f t="shared" si="17"/>
        <v>1</v>
      </c>
      <c r="CC31">
        <f t="shared" si="18"/>
        <v>28.560000000000002</v>
      </c>
      <c r="CD31">
        <f t="shared" si="19"/>
        <v>0.99057971014492741</v>
      </c>
      <c r="CE31">
        <f t="shared" si="34"/>
        <v>28.831602048280914</v>
      </c>
      <c r="CF31">
        <f t="shared" si="20"/>
        <v>13.251833354447097</v>
      </c>
      <c r="CG31">
        <f t="shared" si="162"/>
        <v>2.1551734945727894</v>
      </c>
      <c r="CH31">
        <v>0</v>
      </c>
      <c r="CI31">
        <f>IF($CF31=0,0,IF(CH31=0,1,0))</f>
        <v>1</v>
      </c>
      <c r="CJ31">
        <f>IFERROR($CE31*CI31,0)</f>
        <v>28.831602048280914</v>
      </c>
      <c r="CK31">
        <f t="shared" si="22"/>
        <v>0</v>
      </c>
      <c r="CL31">
        <f t="shared" si="36"/>
        <v>1</v>
      </c>
      <c r="CM31">
        <f t="shared" si="68"/>
        <v>28.831602048280914</v>
      </c>
      <c r="CN31">
        <f t="shared" si="37"/>
        <v>0</v>
      </c>
      <c r="CO31">
        <f t="shared" si="38"/>
        <v>1</v>
      </c>
      <c r="CP31">
        <f t="shared" si="69"/>
        <v>28.831602048280914</v>
      </c>
      <c r="CQ31">
        <f t="shared" si="39"/>
        <v>0</v>
      </c>
      <c r="CR31">
        <f t="shared" si="40"/>
        <v>1</v>
      </c>
      <c r="CS31">
        <f t="shared" ref="CS31:CS32" si="220">IFERROR($CE31*CR31,0)</f>
        <v>28.831602048280914</v>
      </c>
      <c r="CT31">
        <f t="shared" si="41"/>
        <v>0</v>
      </c>
      <c r="CU31">
        <f t="shared" si="42"/>
        <v>1</v>
      </c>
      <c r="CV31">
        <f t="shared" ref="CV31:CV32" si="221">IFERROR($CE31*CU31,0)</f>
        <v>28.831602048280914</v>
      </c>
      <c r="CW31">
        <f t="shared" si="43"/>
        <v>0</v>
      </c>
      <c r="CX31">
        <f t="shared" si="44"/>
        <v>1</v>
      </c>
      <c r="CY31">
        <f t="shared" ref="CY31:CY32" si="222">IFERROR($CE31*CX31,0)</f>
        <v>28.831602048280914</v>
      </c>
      <c r="CZ31">
        <f t="shared" si="45"/>
        <v>12.261253644302169</v>
      </c>
      <c r="DA31">
        <f t="shared" si="46"/>
        <v>0</v>
      </c>
      <c r="DB31">
        <f t="shared" ref="DB31:DB32" si="223">IFERROR($CE31*DA31,0)</f>
        <v>0</v>
      </c>
      <c r="DC31">
        <f t="shared" si="47"/>
        <v>9.9793695863311545</v>
      </c>
      <c r="DD31">
        <f t="shared" si="48"/>
        <v>0</v>
      </c>
      <c r="DE31">
        <f t="shared" ref="DE31:DE32" si="224">IFERROR($CE31*DD31,0)</f>
        <v>0</v>
      </c>
      <c r="DF31">
        <f t="shared" si="49"/>
        <v>9.0858913254615885</v>
      </c>
      <c r="DG31">
        <f t="shared" si="50"/>
        <v>0</v>
      </c>
      <c r="DH31">
        <f t="shared" ref="DH31:DH32" si="225">IFERROR($CE31*DG31,0)</f>
        <v>0</v>
      </c>
      <c r="DI31">
        <f t="shared" si="51"/>
        <v>8.4791518717541461</v>
      </c>
      <c r="DJ31">
        <f t="shared" si="52"/>
        <v>0</v>
      </c>
      <c r="DK31">
        <f t="shared" ref="DK31:DK32" si="226">IFERROR($CE31*DJ31,0)</f>
        <v>0</v>
      </c>
      <c r="DL31">
        <f t="shared" si="53"/>
        <v>7.314010758100447</v>
      </c>
      <c r="DM31">
        <f t="shared" si="54"/>
        <v>0</v>
      </c>
      <c r="DN31">
        <f t="shared" ref="DN31:DN32" si="227">IFERROR($CE31*DM31,0)</f>
        <v>0</v>
      </c>
      <c r="DO31">
        <f t="shared" si="55"/>
        <v>5.4874653383914005</v>
      </c>
      <c r="DP31">
        <f t="shared" si="56"/>
        <v>0</v>
      </c>
      <c r="DQ31">
        <f t="shared" ref="DQ31:DQ32" si="228">IFERROR($CE31*DP31,0)</f>
        <v>0</v>
      </c>
      <c r="DR31">
        <f t="shared" si="57"/>
        <v>4.5526827296957482</v>
      </c>
      <c r="DS31">
        <f t="shared" si="58"/>
        <v>0</v>
      </c>
      <c r="DT31">
        <f t="shared" ref="DT31:DT32" si="229">IFERROR($CE31*DS31,0)</f>
        <v>0</v>
      </c>
      <c r="DU31">
        <f t="shared" si="59"/>
        <v>4.4083153601853695</v>
      </c>
      <c r="DV31">
        <f t="shared" si="60"/>
        <v>0</v>
      </c>
      <c r="DW31">
        <f t="shared" ref="DW31:DW32" si="230">IFERROR($CE31*DV31,0)</f>
        <v>0</v>
      </c>
    </row>
    <row r="32" spans="2:127" x14ac:dyDescent="0.45">
      <c r="B32" t="s">
        <v>13</v>
      </c>
      <c r="F32">
        <v>204</v>
      </c>
      <c r="G32">
        <v>371</v>
      </c>
      <c r="H32">
        <v>533</v>
      </c>
      <c r="I32">
        <v>25</v>
      </c>
      <c r="J32">
        <v>2.5150000000000001</v>
      </c>
      <c r="K32">
        <v>638.75</v>
      </c>
      <c r="L32">
        <v>57</v>
      </c>
      <c r="V32" t="s">
        <v>158</v>
      </c>
      <c r="AB32">
        <v>1</v>
      </c>
      <c r="AG32">
        <f t="shared" ref="AG32:AG33" si="231">J68</f>
        <v>1.583</v>
      </c>
      <c r="AH32">
        <v>1</v>
      </c>
      <c r="AJ32">
        <f>AB32*AG32/AH32/$AA$7</f>
        <v>1.1471014492753622</v>
      </c>
      <c r="BH32">
        <f>IFERROR(BG12/(1-BG13),0)</f>
        <v>0</v>
      </c>
      <c r="BI32">
        <f>IF(BH32=0,0,AJ32/BH32)</f>
        <v>0</v>
      </c>
      <c r="BJ32">
        <f t="shared" si="64"/>
        <v>1</v>
      </c>
      <c r="BK32">
        <v>1</v>
      </c>
      <c r="CA32" t="str">
        <f>IF(BA10,CA16,"")</f>
        <v/>
      </c>
      <c r="CB32" t="str">
        <f>IF(BA10,CB16,"")</f>
        <v/>
      </c>
      <c r="CC32" t="str">
        <f>IF(BA10,CA32*CB32*$CC$13,"")</f>
        <v/>
      </c>
      <c r="CD32" t="str">
        <f>IF(BA10,CD16,"")</f>
        <v/>
      </c>
      <c r="CE32" t="str">
        <f>IF(BA10,CE16,"")</f>
        <v/>
      </c>
      <c r="CF32" t="str">
        <f>IF(BA10,AF16*$BO$10,"")</f>
        <v/>
      </c>
      <c r="CG32">
        <f>IFERROR(CC32/CF32,0)</f>
        <v>0</v>
      </c>
      <c r="CH32">
        <v>0</v>
      </c>
      <c r="CI32">
        <f>IF($CF32=0,0,IF(CH32=0,1,0))</f>
        <v>1</v>
      </c>
      <c r="CJ32">
        <f>IFERROR($CE32*CI32,0)</f>
        <v>0</v>
      </c>
      <c r="CK32">
        <f t="shared" si="22"/>
        <v>0</v>
      </c>
      <c r="CL32">
        <f t="shared" si="36"/>
        <v>1</v>
      </c>
      <c r="CM32">
        <f t="shared" si="68"/>
        <v>0</v>
      </c>
      <c r="CN32">
        <f t="shared" si="37"/>
        <v>0</v>
      </c>
      <c r="CO32">
        <f t="shared" si="38"/>
        <v>1</v>
      </c>
      <c r="CP32">
        <f t="shared" si="69"/>
        <v>0</v>
      </c>
      <c r="CQ32">
        <f t="shared" si="39"/>
        <v>0</v>
      </c>
      <c r="CR32">
        <f t="shared" si="40"/>
        <v>1</v>
      </c>
      <c r="CS32">
        <f t="shared" si="220"/>
        <v>0</v>
      </c>
      <c r="CT32">
        <f t="shared" si="41"/>
        <v>0</v>
      </c>
      <c r="CU32">
        <f t="shared" si="42"/>
        <v>1</v>
      </c>
      <c r="CV32">
        <f t="shared" si="221"/>
        <v>0</v>
      </c>
      <c r="CW32">
        <f t="shared" si="43"/>
        <v>0</v>
      </c>
      <c r="CX32">
        <f t="shared" si="44"/>
        <v>1</v>
      </c>
      <c r="CY32">
        <f t="shared" si="222"/>
        <v>0</v>
      </c>
      <c r="CZ32">
        <f t="shared" si="45"/>
        <v>0</v>
      </c>
      <c r="DA32">
        <f t="shared" si="46"/>
        <v>1</v>
      </c>
      <c r="DB32">
        <f t="shared" si="223"/>
        <v>0</v>
      </c>
      <c r="DC32">
        <f t="shared" si="47"/>
        <v>0</v>
      </c>
      <c r="DD32">
        <f t="shared" si="48"/>
        <v>1</v>
      </c>
      <c r="DE32">
        <f t="shared" si="224"/>
        <v>0</v>
      </c>
      <c r="DF32">
        <f t="shared" si="49"/>
        <v>0</v>
      </c>
      <c r="DG32">
        <f t="shared" si="50"/>
        <v>1</v>
      </c>
      <c r="DH32">
        <f t="shared" si="225"/>
        <v>0</v>
      </c>
      <c r="DI32">
        <f t="shared" si="51"/>
        <v>0</v>
      </c>
      <c r="DJ32">
        <f t="shared" si="52"/>
        <v>1</v>
      </c>
      <c r="DK32">
        <f t="shared" si="226"/>
        <v>0</v>
      </c>
      <c r="DL32">
        <f t="shared" si="53"/>
        <v>0</v>
      </c>
      <c r="DM32">
        <f t="shared" si="54"/>
        <v>1</v>
      </c>
      <c r="DN32">
        <f t="shared" si="227"/>
        <v>0</v>
      </c>
      <c r="DO32">
        <f t="shared" si="55"/>
        <v>0</v>
      </c>
      <c r="DP32">
        <f t="shared" si="56"/>
        <v>1</v>
      </c>
      <c r="DQ32">
        <f t="shared" si="228"/>
        <v>0</v>
      </c>
      <c r="DR32">
        <f t="shared" si="57"/>
        <v>0</v>
      </c>
      <c r="DS32">
        <f t="shared" si="58"/>
        <v>1</v>
      </c>
      <c r="DT32">
        <f t="shared" si="229"/>
        <v>0</v>
      </c>
      <c r="DU32">
        <f t="shared" si="59"/>
        <v>0</v>
      </c>
      <c r="DV32">
        <f t="shared" si="60"/>
        <v>1</v>
      </c>
      <c r="DW32">
        <f t="shared" si="230"/>
        <v>0</v>
      </c>
    </row>
    <row r="33" spans="2:85" x14ac:dyDescent="0.45">
      <c r="C33" t="s">
        <v>32</v>
      </c>
      <c r="D33" t="s">
        <v>75</v>
      </c>
      <c r="E33" t="s">
        <v>74</v>
      </c>
      <c r="J33">
        <v>3.3490000000000002</v>
      </c>
      <c r="K33">
        <v>764.83</v>
      </c>
      <c r="L33">
        <v>66</v>
      </c>
      <c r="M33" t="s">
        <v>270</v>
      </c>
      <c r="V33" t="s">
        <v>159</v>
      </c>
      <c r="AB33">
        <v>1</v>
      </c>
      <c r="AG33">
        <f t="shared" si="231"/>
        <v>1.2929999999999999</v>
      </c>
      <c r="AH33">
        <v>1</v>
      </c>
      <c r="AJ33">
        <f>AB33*AG33/AH33/$AA$7</f>
        <v>0.93695652173913035</v>
      </c>
      <c r="BH33">
        <f>IFERROR(2*BG12/BG13,0)</f>
        <v>15.078590573121881</v>
      </c>
      <c r="BI33">
        <f>IF(BH33=0,0,AJ33/BH33)</f>
        <v>6.2138202983592405E-2</v>
      </c>
      <c r="BJ33">
        <f t="shared" si="64"/>
        <v>0.93786179701640759</v>
      </c>
      <c r="BK33">
        <v>1</v>
      </c>
    </row>
    <row r="34" spans="2:85" x14ac:dyDescent="0.45">
      <c r="C34" t="s">
        <v>23</v>
      </c>
      <c r="D34" t="s">
        <v>76</v>
      </c>
      <c r="E34" t="s">
        <v>78</v>
      </c>
      <c r="F34">
        <v>1.18</v>
      </c>
      <c r="J34">
        <v>3.5150000000000001</v>
      </c>
      <c r="K34">
        <v>894.48</v>
      </c>
      <c r="L34">
        <v>81</v>
      </c>
      <c r="M34" t="s">
        <v>269</v>
      </c>
      <c r="N34" t="s">
        <v>168</v>
      </c>
      <c r="O34">
        <v>5.4300000000000001E-2</v>
      </c>
      <c r="V34" t="s">
        <v>157</v>
      </c>
      <c r="AB34">
        <v>1</v>
      </c>
      <c r="AD34">
        <f>I70</f>
        <v>150</v>
      </c>
      <c r="AE34">
        <f>AD34*AB34</f>
        <v>150</v>
      </c>
      <c r="AF34">
        <f>AE34*(1-AA34*0.02)*$Z$6</f>
        <v>92.026620516993717</v>
      </c>
      <c r="AG34">
        <f>J70</f>
        <v>4.532</v>
      </c>
      <c r="AH34">
        <v>1</v>
      </c>
      <c r="AJ34">
        <f>AB34*AG34/AH34/$AA$7</f>
        <v>3.2840579710144926</v>
      </c>
      <c r="AU34">
        <f>AE34*Z6</f>
        <v>92.026620516993717</v>
      </c>
      <c r="AX34">
        <f>IF(AM4,AQ8,1)</f>
        <v>1</v>
      </c>
      <c r="AY34" s="44">
        <f t="shared" ref="AY34" si="232">AU34*AX34</f>
        <v>92.026620516993717</v>
      </c>
      <c r="AZ34">
        <f>IF(AY34=0,0,AJ34/AY34)</f>
        <v>3.5685956439181155E-2</v>
      </c>
      <c r="BA34">
        <f t="shared" ref="BA34" si="233">1-AZ34</f>
        <v>0.96431404356081885</v>
      </c>
      <c r="BB34">
        <f>1+AZ34/2*(1-PRODUCT($BA$16:$BA$34)/BA34)</f>
        <v>1.0102350555463666</v>
      </c>
      <c r="BC34">
        <f>K70</f>
        <v>20000</v>
      </c>
      <c r="BD34">
        <f>AB34*BC34</f>
        <v>20000</v>
      </c>
      <c r="BG34">
        <f>IF(BD34=0,0,BD34/AU34*$Z$4*BB34)*IF(W39=S4,0,1)</f>
        <v>310.49155288492881</v>
      </c>
      <c r="BH34">
        <f>AY34</f>
        <v>92.026620516993717</v>
      </c>
      <c r="BI34">
        <f>IF(BH34=0,0,AJ34/BH34)*IF(W39=S4,0,1)</f>
        <v>3.5685956439181155E-2</v>
      </c>
      <c r="BJ34">
        <f t="shared" si="64"/>
        <v>0.96431404356081885</v>
      </c>
      <c r="BK34">
        <f t="shared" si="65"/>
        <v>1.0106413923685753</v>
      </c>
      <c r="BL34" s="44">
        <f>IF(BD34=0,0,BD34*$Z$4/AU34/BK34)*IF(W39=S4,0,1)</f>
        <v>304.10970038285103</v>
      </c>
      <c r="CA34">
        <f>L70</f>
        <v>58</v>
      </c>
      <c r="CB34">
        <v>1</v>
      </c>
      <c r="CC34">
        <f>CA34*CB34*$CC$13</f>
        <v>78.88000000000001</v>
      </c>
      <c r="CD34">
        <f>AJ34</f>
        <v>3.2840579710144926</v>
      </c>
      <c r="CE34">
        <f t="shared" ref="CE34" si="234">IFERROR(CC34/CD34,0)</f>
        <v>24.01906443071492</v>
      </c>
      <c r="CF34">
        <f>AF34</f>
        <v>92.026620516993717</v>
      </c>
      <c r="CG34">
        <f t="shared" ref="CG34" si="235">IFERROR(CC34/CF34,0)</f>
        <v>0.85714328698437814</v>
      </c>
    </row>
    <row r="35" spans="2:85" x14ac:dyDescent="0.45">
      <c r="C35" t="s">
        <v>22</v>
      </c>
      <c r="D35" t="s">
        <v>77</v>
      </c>
      <c r="F35">
        <v>1.45</v>
      </c>
      <c r="K35">
        <v>1020.6</v>
      </c>
      <c r="L35">
        <v>93</v>
      </c>
      <c r="M35" t="s">
        <v>268</v>
      </c>
      <c r="N35" t="s">
        <v>169</v>
      </c>
      <c r="O35">
        <v>3.4299999999999997E-2</v>
      </c>
    </row>
    <row r="36" spans="2:85" x14ac:dyDescent="0.45">
      <c r="B36" t="s">
        <v>15</v>
      </c>
      <c r="F36">
        <v>199</v>
      </c>
      <c r="G36">
        <v>363</v>
      </c>
      <c r="H36">
        <v>521</v>
      </c>
      <c r="I36">
        <v>24</v>
      </c>
      <c r="J36">
        <v>1.6</v>
      </c>
      <c r="K36">
        <v>929.7</v>
      </c>
      <c r="L36">
        <v>29</v>
      </c>
      <c r="N36" t="s">
        <v>170</v>
      </c>
      <c r="O36">
        <v>3.5700000000000003E-2</v>
      </c>
      <c r="V36" t="str">
        <f>앞면!O6</f>
        <v>해우물 밟는 비율</v>
      </c>
      <c r="W36">
        <f>앞면!P6</f>
        <v>0.5</v>
      </c>
    </row>
    <row r="37" spans="2:85" x14ac:dyDescent="0.45">
      <c r="C37" t="s">
        <v>50</v>
      </c>
      <c r="D37" t="s">
        <v>80</v>
      </c>
      <c r="E37" t="s">
        <v>83</v>
      </c>
      <c r="N37" t="s">
        <v>171</v>
      </c>
      <c r="O37">
        <f>1/58.2449</f>
        <v>1.7168885172779074E-2</v>
      </c>
      <c r="V37" t="str">
        <f>앞면!O7</f>
        <v>저무는 달 비율</v>
      </c>
      <c r="W37">
        <f>앞면!P7</f>
        <v>1</v>
      </c>
    </row>
    <row r="38" spans="2:85" x14ac:dyDescent="0.45">
      <c r="C38" t="s">
        <v>79</v>
      </c>
      <c r="D38" t="s">
        <v>81</v>
      </c>
      <c r="E38" t="s">
        <v>84</v>
      </c>
      <c r="F38">
        <v>0.12</v>
      </c>
      <c r="N38" t="s">
        <v>172</v>
      </c>
      <c r="O38">
        <f>1/46.5731</f>
        <v>2.1471622030743071E-2</v>
      </c>
      <c r="V38" t="str">
        <f>앞면!O8</f>
        <v>음식</v>
      </c>
      <c r="W38">
        <f>앞면!P8</f>
        <v>0</v>
      </c>
    </row>
    <row r="39" spans="2:85" x14ac:dyDescent="0.45">
      <c r="C39" t="s">
        <v>23</v>
      </c>
      <c r="D39" t="s">
        <v>82</v>
      </c>
      <c r="F39">
        <v>1.27</v>
      </c>
      <c r="V39" t="str">
        <f>앞면!O9</f>
        <v>각성기 사용</v>
      </c>
      <c r="W39" t="str">
        <f>앞면!P9</f>
        <v>O</v>
      </c>
    </row>
    <row r="40" spans="2:85" x14ac:dyDescent="0.45">
      <c r="B40" t="s">
        <v>14</v>
      </c>
      <c r="F40">
        <v>199</v>
      </c>
      <c r="G40">
        <v>363</v>
      </c>
      <c r="H40">
        <v>521</v>
      </c>
      <c r="I40">
        <v>24</v>
      </c>
      <c r="J40">
        <v>3</v>
      </c>
      <c r="K40">
        <v>960</v>
      </c>
      <c r="L40">
        <v>21</v>
      </c>
      <c r="O40">
        <v>0</v>
      </c>
      <c r="P40">
        <v>1</v>
      </c>
      <c r="Q40">
        <v>2</v>
      </c>
      <c r="R40">
        <v>3</v>
      </c>
      <c r="V40" t="str">
        <f>앞면!O10</f>
        <v>평소에 올려치기 봉인</v>
      </c>
      <c r="W40" t="str">
        <f>앞면!P10</f>
        <v>O</v>
      </c>
    </row>
    <row r="41" spans="2:85" x14ac:dyDescent="0.45">
      <c r="C41" t="s">
        <v>50</v>
      </c>
      <c r="D41" t="s">
        <v>86</v>
      </c>
      <c r="E41" t="s">
        <v>87</v>
      </c>
      <c r="N41" t="s">
        <v>173</v>
      </c>
      <c r="O41">
        <v>1</v>
      </c>
      <c r="P41">
        <v>1.03</v>
      </c>
      <c r="Q41">
        <v>1.08</v>
      </c>
      <c r="R41">
        <v>1.1499999999999999</v>
      </c>
      <c r="V41" t="str">
        <f>앞면!O11</f>
        <v>낙인스킬 적중률</v>
      </c>
      <c r="W41">
        <f>앞면!P11</f>
        <v>1</v>
      </c>
    </row>
    <row r="42" spans="2:85" x14ac:dyDescent="0.45">
      <c r="C42" t="s">
        <v>35</v>
      </c>
      <c r="D42" t="s">
        <v>40</v>
      </c>
      <c r="E42" t="s">
        <v>88</v>
      </c>
      <c r="N42" t="s">
        <v>174</v>
      </c>
      <c r="O42">
        <v>1</v>
      </c>
      <c r="P42">
        <v>1.06</v>
      </c>
      <c r="Q42">
        <v>1.18</v>
      </c>
      <c r="R42">
        <v>1.36</v>
      </c>
      <c r="V42" t="str">
        <f>앞면!O12</f>
        <v>단심발동확률</v>
      </c>
      <c r="W42">
        <f>앞면!P12</f>
        <v>0.95</v>
      </c>
    </row>
    <row r="43" spans="2:85" x14ac:dyDescent="0.45">
      <c r="C43" t="s">
        <v>23</v>
      </c>
      <c r="D43" t="s">
        <v>27</v>
      </c>
      <c r="F43">
        <v>1.27</v>
      </c>
      <c r="G43">
        <v>7</v>
      </c>
      <c r="N43" t="s">
        <v>175</v>
      </c>
      <c r="O43">
        <v>1</v>
      </c>
      <c r="P43">
        <v>1.1499999999999999</v>
      </c>
      <c r="Q43">
        <v>1.18</v>
      </c>
      <c r="R43">
        <v>1.2</v>
      </c>
      <c r="V43" t="str">
        <f>앞면!O13</f>
        <v>실전아덴</v>
      </c>
      <c r="W43">
        <f>앞면!P13</f>
        <v>1</v>
      </c>
    </row>
    <row r="44" spans="2:85" x14ac:dyDescent="0.45">
      <c r="B44" t="s">
        <v>16</v>
      </c>
      <c r="F44">
        <v>275</v>
      </c>
      <c r="G44">
        <v>479</v>
      </c>
      <c r="H44">
        <v>657</v>
      </c>
      <c r="I44">
        <v>36</v>
      </c>
      <c r="J44">
        <v>0.96599999999999997</v>
      </c>
      <c r="K44">
        <v>2400</v>
      </c>
      <c r="L44">
        <v>0</v>
      </c>
      <c r="N44" t="s">
        <v>251</v>
      </c>
      <c r="O44">
        <v>1</v>
      </c>
      <c r="P44">
        <v>1.05</v>
      </c>
      <c r="Q44">
        <v>1.1499999999999999</v>
      </c>
      <c r="R44">
        <v>1.3</v>
      </c>
      <c r="V44" t="str">
        <f>앞면!O14</f>
        <v>딜러 공격력/서폿 공격력</v>
      </c>
      <c r="W44">
        <f>앞면!P14</f>
        <v>1</v>
      </c>
    </row>
    <row r="45" spans="2:85" x14ac:dyDescent="0.45">
      <c r="C45" t="s">
        <v>23</v>
      </c>
      <c r="D45" t="s">
        <v>90</v>
      </c>
      <c r="E45" t="s">
        <v>94</v>
      </c>
      <c r="F45">
        <v>1.27</v>
      </c>
      <c r="N45" t="s">
        <v>252</v>
      </c>
      <c r="O45">
        <v>1</v>
      </c>
      <c r="P45">
        <v>1.05</v>
      </c>
      <c r="Q45">
        <v>1.1499999999999999</v>
      </c>
      <c r="R45">
        <v>1.3</v>
      </c>
      <c r="V45" t="str">
        <f>앞면!O15</f>
        <v>마나</v>
      </c>
      <c r="W45">
        <f>앞면!P15</f>
        <v>3267</v>
      </c>
    </row>
    <row r="46" spans="2:85" x14ac:dyDescent="0.45">
      <c r="C46" t="s">
        <v>29</v>
      </c>
      <c r="D46" t="s">
        <v>92</v>
      </c>
      <c r="E46" t="s">
        <v>96</v>
      </c>
      <c r="F46">
        <v>0.33</v>
      </c>
      <c r="N46" t="s">
        <v>254</v>
      </c>
      <c r="O46">
        <v>0</v>
      </c>
      <c r="P46">
        <v>0.05</v>
      </c>
      <c r="Q46">
        <v>0.1</v>
      </c>
      <c r="R46">
        <v>0.15</v>
      </c>
      <c r="V46" t="str">
        <f>앞면!O16</f>
        <v>순간 무력(초)</v>
      </c>
      <c r="W46">
        <f>앞면!P16</f>
        <v>5</v>
      </c>
    </row>
    <row r="47" spans="2:85" x14ac:dyDescent="0.45">
      <c r="C47" t="s">
        <v>89</v>
      </c>
      <c r="D47" t="s">
        <v>93</v>
      </c>
      <c r="N47" t="s">
        <v>255</v>
      </c>
      <c r="O47">
        <v>0</v>
      </c>
      <c r="P47">
        <v>0.03</v>
      </c>
      <c r="Q47">
        <v>0.06</v>
      </c>
      <c r="R47">
        <v>0.1</v>
      </c>
      <c r="V47" t="str">
        <f>앞면!O17</f>
        <v>순간무력 사용스킬</v>
      </c>
      <c r="W47" t="str">
        <f>앞면!P17</f>
        <v>X</v>
      </c>
    </row>
    <row r="48" spans="2:85" x14ac:dyDescent="0.45">
      <c r="B48" t="s">
        <v>17</v>
      </c>
      <c r="F48">
        <v>199</v>
      </c>
      <c r="G48">
        <v>363</v>
      </c>
      <c r="H48">
        <v>521</v>
      </c>
      <c r="I48">
        <v>24</v>
      </c>
      <c r="J48">
        <v>1.29</v>
      </c>
      <c r="K48">
        <v>923.28</v>
      </c>
      <c r="L48">
        <v>43</v>
      </c>
      <c r="V48" t="str">
        <f>앞면!O18</f>
        <v>마나효율증가LV</v>
      </c>
      <c r="W48">
        <f>앞면!P18</f>
        <v>0</v>
      </c>
    </row>
    <row r="49" spans="2:23" x14ac:dyDescent="0.45">
      <c r="C49" t="s">
        <v>71</v>
      </c>
      <c r="D49" t="s">
        <v>74</v>
      </c>
      <c r="E49" t="s">
        <v>98</v>
      </c>
      <c r="K49">
        <v>936.6</v>
      </c>
      <c r="L49">
        <v>57</v>
      </c>
      <c r="V49" t="str">
        <f>앞면!O19</f>
        <v>마나의 흐름LV</v>
      </c>
      <c r="W49">
        <f>앞면!P19</f>
        <v>0</v>
      </c>
    </row>
    <row r="50" spans="2:23" x14ac:dyDescent="0.45">
      <c r="C50" t="s">
        <v>22</v>
      </c>
      <c r="D50" t="s">
        <v>59</v>
      </c>
      <c r="E50" t="s">
        <v>99</v>
      </c>
      <c r="F50">
        <v>1.45</v>
      </c>
      <c r="G50">
        <v>0.1</v>
      </c>
      <c r="V50" t="str">
        <f>앞면!O20</f>
        <v>마흐 유지율</v>
      </c>
      <c r="W50">
        <f>앞면!P20</f>
        <v>0.5</v>
      </c>
    </row>
    <row r="51" spans="2:23" x14ac:dyDescent="0.45">
      <c r="C51" t="s">
        <v>97</v>
      </c>
      <c r="D51" t="s">
        <v>35</v>
      </c>
      <c r="V51" t="str">
        <f>앞면!O21</f>
        <v>깨달음</v>
      </c>
      <c r="W51">
        <f>앞면!P21</f>
        <v>0</v>
      </c>
    </row>
    <row r="52" spans="2:23" x14ac:dyDescent="0.45">
      <c r="B52" t="s">
        <v>5</v>
      </c>
      <c r="F52">
        <v>227</v>
      </c>
      <c r="G52">
        <v>412</v>
      </c>
      <c r="H52">
        <v>592</v>
      </c>
      <c r="I52">
        <v>30</v>
      </c>
      <c r="J52">
        <v>1.532</v>
      </c>
      <c r="K52">
        <v>560</v>
      </c>
      <c r="L52">
        <v>29</v>
      </c>
      <c r="V52" t="str">
        <f>앞면!O22</f>
        <v>마나회수</v>
      </c>
      <c r="W52">
        <f>앞면!P22</f>
        <v>0</v>
      </c>
    </row>
    <row r="53" spans="2:23" x14ac:dyDescent="0.45">
      <c r="C53" t="s">
        <v>27</v>
      </c>
      <c r="D53" t="s">
        <v>44</v>
      </c>
      <c r="E53" t="s">
        <v>102</v>
      </c>
      <c r="F53">
        <v>6</v>
      </c>
      <c r="G53">
        <v>0.12</v>
      </c>
      <c r="V53" t="str">
        <f>앞면!O23</f>
        <v>돌진팔찌</v>
      </c>
      <c r="W53">
        <f>앞면!P23</f>
        <v>0</v>
      </c>
    </row>
    <row r="54" spans="2:23" x14ac:dyDescent="0.45">
      <c r="C54" t="s">
        <v>23</v>
      </c>
      <c r="D54" t="s">
        <v>42</v>
      </c>
      <c r="E54" t="s">
        <v>103</v>
      </c>
      <c r="F54">
        <v>1.36</v>
      </c>
      <c r="V54" t="str">
        <f>앞면!O24</f>
        <v>자원의 축복</v>
      </c>
      <c r="W54">
        <f>앞면!P24</f>
        <v>0</v>
      </c>
    </row>
    <row r="55" spans="2:23" x14ac:dyDescent="0.45">
      <c r="C55" t="s">
        <v>22</v>
      </c>
      <c r="D55" t="s">
        <v>100</v>
      </c>
      <c r="F55">
        <v>1.45</v>
      </c>
      <c r="V55" t="str">
        <f>앞면!O25</f>
        <v>쿨감소 (선각자)</v>
      </c>
      <c r="W55">
        <f>앞면!P25</f>
        <v>0</v>
      </c>
    </row>
    <row r="56" spans="2:23" x14ac:dyDescent="0.45">
      <c r="B56" t="s">
        <v>18</v>
      </c>
      <c r="F56">
        <v>199</v>
      </c>
      <c r="G56">
        <v>363</v>
      </c>
      <c r="H56">
        <v>521</v>
      </c>
      <c r="I56">
        <v>24</v>
      </c>
      <c r="J56">
        <v>1.5</v>
      </c>
      <c r="K56">
        <v>868</v>
      </c>
      <c r="L56">
        <v>58</v>
      </c>
      <c r="V56" t="str">
        <f>앞면!O26</f>
        <v>아이덴티티 획득 (하의/신념)</v>
      </c>
      <c r="W56">
        <f>앞면!P26</f>
        <v>0</v>
      </c>
    </row>
    <row r="57" spans="2:23" x14ac:dyDescent="0.45">
      <c r="C57" t="s">
        <v>23</v>
      </c>
      <c r="D57" t="s">
        <v>104</v>
      </c>
      <c r="E57" t="s">
        <v>105</v>
      </c>
      <c r="F57">
        <v>1.27</v>
      </c>
      <c r="K57">
        <v>871</v>
      </c>
      <c r="L57">
        <v>81</v>
      </c>
      <c r="V57" t="str">
        <f>앞면!O27</f>
        <v>공버프효과 (아군강화/세트)</v>
      </c>
      <c r="W57">
        <f>앞면!P27</f>
        <v>0</v>
      </c>
    </row>
    <row r="58" spans="2:23" x14ac:dyDescent="0.45">
      <c r="C58" t="s">
        <v>71</v>
      </c>
      <c r="D58" t="s">
        <v>45</v>
      </c>
      <c r="E58" t="s">
        <v>106</v>
      </c>
    </row>
    <row r="59" spans="2:23" x14ac:dyDescent="0.45">
      <c r="C59" t="s">
        <v>29</v>
      </c>
      <c r="D59" t="s">
        <v>59</v>
      </c>
      <c r="F59">
        <v>0.33</v>
      </c>
      <c r="G59">
        <v>0.3</v>
      </c>
    </row>
    <row r="60" spans="2:23" x14ac:dyDescent="0.45">
      <c r="B60" t="s">
        <v>19</v>
      </c>
      <c r="F60">
        <v>158</v>
      </c>
      <c r="G60">
        <v>287</v>
      </c>
      <c r="H60">
        <v>412</v>
      </c>
      <c r="I60">
        <v>16</v>
      </c>
      <c r="J60">
        <v>1.833</v>
      </c>
      <c r="K60">
        <v>561.91</v>
      </c>
      <c r="L60">
        <v>41</v>
      </c>
    </row>
    <row r="61" spans="2:23" x14ac:dyDescent="0.45">
      <c r="C61" t="s">
        <v>20</v>
      </c>
      <c r="D61" t="s">
        <v>107</v>
      </c>
      <c r="E61" t="s">
        <v>45</v>
      </c>
    </row>
    <row r="62" spans="2:23" x14ac:dyDescent="0.45">
      <c r="C62" t="s">
        <v>22</v>
      </c>
      <c r="D62" t="s">
        <v>108</v>
      </c>
      <c r="E62" t="s">
        <v>74</v>
      </c>
      <c r="F62">
        <v>1.45</v>
      </c>
    </row>
    <row r="63" spans="2:23" x14ac:dyDescent="0.45">
      <c r="C63" t="s">
        <v>29</v>
      </c>
      <c r="D63" t="s">
        <v>86</v>
      </c>
      <c r="F63">
        <v>0.33</v>
      </c>
    </row>
    <row r="64" spans="2:23" x14ac:dyDescent="0.45">
      <c r="B64" t="s">
        <v>4</v>
      </c>
      <c r="F64">
        <v>213</v>
      </c>
      <c r="G64">
        <v>388</v>
      </c>
      <c r="H64">
        <v>557</v>
      </c>
      <c r="I64">
        <v>27</v>
      </c>
      <c r="J64">
        <v>1.367</v>
      </c>
      <c r="K64">
        <v>394.66</v>
      </c>
      <c r="L64">
        <v>21</v>
      </c>
    </row>
    <row r="65" spans="2:12" x14ac:dyDescent="0.45">
      <c r="C65" t="s">
        <v>86</v>
      </c>
      <c r="D65" t="s">
        <v>64</v>
      </c>
      <c r="E65" t="s">
        <v>113</v>
      </c>
    </row>
    <row r="66" spans="2:12" x14ac:dyDescent="0.45">
      <c r="C66" t="s">
        <v>23</v>
      </c>
      <c r="D66" t="s">
        <v>110</v>
      </c>
      <c r="E66" t="s">
        <v>114</v>
      </c>
      <c r="F66">
        <v>1.27</v>
      </c>
    </row>
    <row r="67" spans="2:12" x14ac:dyDescent="0.45">
      <c r="C67" t="s">
        <v>22</v>
      </c>
      <c r="D67" t="s">
        <v>111</v>
      </c>
      <c r="F67">
        <v>1.45</v>
      </c>
    </row>
    <row r="68" spans="2:12" x14ac:dyDescent="0.45">
      <c r="B68" t="s">
        <v>158</v>
      </c>
      <c r="J68">
        <v>1.583</v>
      </c>
      <c r="K68">
        <v>-20000</v>
      </c>
    </row>
    <row r="69" spans="2:12" x14ac:dyDescent="0.45">
      <c r="B69" t="s">
        <v>159</v>
      </c>
      <c r="J69">
        <v>1.2929999999999999</v>
      </c>
      <c r="K69">
        <v>-10000</v>
      </c>
    </row>
    <row r="70" spans="2:12" x14ac:dyDescent="0.45">
      <c r="B70" t="s">
        <v>157</v>
      </c>
      <c r="I70">
        <v>150</v>
      </c>
      <c r="J70">
        <v>4.532</v>
      </c>
      <c r="K70">
        <v>20000</v>
      </c>
      <c r="L70">
        <v>58</v>
      </c>
    </row>
    <row r="71" spans="2:12" x14ac:dyDescent="0.45">
      <c r="B71" t="s">
        <v>180</v>
      </c>
      <c r="K71">
        <v>14</v>
      </c>
    </row>
    <row r="72" spans="2:12" x14ac:dyDescent="0.45">
      <c r="B72" t="s">
        <v>271</v>
      </c>
      <c r="L72">
        <v>81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앞면</vt:lpstr>
      <vt:lpstr>뒷면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LG</cp:lastModifiedBy>
  <dcterms:created xsi:type="dcterms:W3CDTF">2015-06-05T18:19:34Z</dcterms:created>
  <dcterms:modified xsi:type="dcterms:W3CDTF">2023-03-15T15:09:13Z</dcterms:modified>
</cp:coreProperties>
</file>