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S-PLAN\Documents\"/>
    </mc:Choice>
  </mc:AlternateContent>
  <xr:revisionPtr revIDLastSave="0" documentId="8_{72713EE0-1E00-4700-B65F-7C5F54623D7A}" xr6:coauthVersionLast="47" xr6:coauthVersionMax="47" xr10:uidLastSave="{00000000-0000-0000-0000-000000000000}"/>
  <bookViews>
    <workbookView xWindow="35010" yWindow="3270" windowWidth="17415" windowHeight="11925" tabRatio="908" xr2:uid="{9BB01FF1-BE3C-4B12-9A82-C477ED5927AA}"/>
  </bookViews>
  <sheets>
    <sheet name="딜러 엘릭서 효율 계산" sheetId="2" r:id="rId1"/>
    <sheet name="서폿 엘릭서 효율계산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B3" i="8"/>
  <c r="B2" i="8" s="1"/>
  <c r="D26" i="8"/>
  <c r="D4" i="8" s="1"/>
  <c r="G22" i="8"/>
  <c r="C4" i="8" s="1"/>
  <c r="E22" i="8"/>
  <c r="F22" i="8" s="1"/>
  <c r="D22" i="8"/>
  <c r="C22" i="8"/>
  <c r="B22" i="8"/>
  <c r="G18" i="8"/>
  <c r="D18" i="8"/>
  <c r="E8" i="8" s="1"/>
  <c r="E69" i="2"/>
  <c r="E65" i="2"/>
  <c r="M41" i="2"/>
  <c r="K41" i="2"/>
  <c r="J41" i="2"/>
  <c r="J42" i="2" s="1"/>
  <c r="I41" i="2"/>
  <c r="H41" i="2"/>
  <c r="H42" i="2" s="1"/>
  <c r="J23" i="2"/>
  <c r="J24" i="2" s="1"/>
  <c r="H23" i="2"/>
  <c r="H24" i="2" s="1"/>
  <c r="E46" i="2"/>
  <c r="D46" i="2"/>
  <c r="G41" i="2"/>
  <c r="E41" i="2"/>
  <c r="C41" i="2"/>
  <c r="D64" i="2"/>
  <c r="D66" i="2" s="1"/>
  <c r="F84" i="2" s="1"/>
  <c r="E64" i="2"/>
  <c r="F64" i="2"/>
  <c r="F68" i="2" s="1"/>
  <c r="G64" i="2"/>
  <c r="G65" i="2" s="1"/>
  <c r="H64" i="2"/>
  <c r="H65" i="2" s="1"/>
  <c r="C64" i="2"/>
  <c r="C65" i="2" s="1"/>
  <c r="G74" i="2"/>
  <c r="H55" i="2"/>
  <c r="H56" i="2" s="1"/>
  <c r="G55" i="2"/>
  <c r="G56" i="2" s="1"/>
  <c r="F55" i="2"/>
  <c r="F59" i="2" s="1"/>
  <c r="E55" i="2"/>
  <c r="E60" i="2" s="1"/>
  <c r="D55" i="2"/>
  <c r="D58" i="2" s="1"/>
  <c r="C55" i="2"/>
  <c r="C56" i="2" s="1"/>
  <c r="E28" i="2"/>
  <c r="D28" i="2"/>
  <c r="E4" i="2" s="1"/>
  <c r="M23" i="2"/>
  <c r="K23" i="2"/>
  <c r="I23" i="2"/>
  <c r="G23" i="2"/>
  <c r="L4" i="2" s="1"/>
  <c r="E23" i="2"/>
  <c r="C23" i="2"/>
  <c r="D4" i="2" s="1"/>
  <c r="B7" i="2" s="1"/>
  <c r="M13" i="2"/>
  <c r="L13" i="2"/>
  <c r="K13" i="2"/>
  <c r="J13" i="2"/>
  <c r="E12" i="2"/>
  <c r="J4" i="2"/>
  <c r="B74" i="2" s="1"/>
  <c r="C3" i="8" l="1"/>
  <c r="C2" i="8" s="1"/>
  <c r="F8" i="8"/>
  <c r="D30" i="8"/>
  <c r="E4" i="8"/>
  <c r="F21" i="8"/>
  <c r="G84" i="2"/>
  <c r="B84" i="2"/>
  <c r="D67" i="2"/>
  <c r="H83" i="2" s="1"/>
  <c r="I83" i="2"/>
  <c r="N13" i="2"/>
  <c r="B79" i="2"/>
  <c r="D57" i="2"/>
  <c r="F79" i="2" s="1"/>
  <c r="E56" i="2"/>
  <c r="I78" i="2" s="1"/>
  <c r="C7" i="2"/>
  <c r="D7" i="2" s="1"/>
  <c r="B8" i="2" s="1"/>
  <c r="I4" i="2"/>
  <c r="F4" i="2" s="1"/>
  <c r="K4" i="2" s="1"/>
  <c r="M5" i="2" s="1"/>
  <c r="G79" i="2"/>
  <c r="H78" i="2"/>
  <c r="H73" i="2"/>
  <c r="C26" i="8" l="1"/>
  <c r="C30" i="8"/>
  <c r="B30" i="8" s="1"/>
  <c r="F30" i="8" s="1"/>
  <c r="C79" i="2"/>
  <c r="D79" i="2" s="1"/>
  <c r="C84" i="2"/>
  <c r="D84" i="2" s="1"/>
  <c r="E84" i="2" s="1"/>
  <c r="C74" i="2"/>
  <c r="D74" i="2" s="1"/>
  <c r="E74" i="2" s="1"/>
  <c r="K73" i="2" s="1"/>
  <c r="B26" i="8" l="1"/>
  <c r="F26" i="8" s="1"/>
  <c r="B32" i="8" s="1"/>
  <c r="D3" i="8"/>
  <c r="E79" i="2"/>
  <c r="K78" i="2" s="1"/>
  <c r="B30" i="2" s="1"/>
  <c r="K83" i="2"/>
  <c r="B48" i="2" s="1"/>
  <c r="D2" i="8" l="1"/>
  <c r="E26" i="8" s="1"/>
  <c r="E3" i="8"/>
  <c r="E2" i="8" s="1"/>
  <c r="E30" i="8" s="1"/>
  <c r="B3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CGS-PLAN</author>
  </authors>
  <commentList>
    <comment ref="B3" authorId="0" shapeId="0" xr:uid="{E582433A-1549-4C93-911C-B4E1377C588E}">
      <text>
        <r>
          <rPr>
            <b/>
            <sz val="9"/>
            <color indexed="81"/>
            <rFont val="돋움"/>
            <family val="3"/>
            <charset val="129"/>
          </rPr>
          <t>로아와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일로아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검색결과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  <comment ref="C3" authorId="0" shapeId="0" xr:uid="{8820217C-9E7D-478B-BC24-C465A7F21D7E}">
      <text>
        <r>
          <rPr>
            <b/>
            <sz val="9"/>
            <color indexed="81"/>
            <rFont val="돋움"/>
            <family val="3"/>
            <charset val="129"/>
          </rPr>
          <t>로아와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일로아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검색결과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  <comment ref="B11" authorId="0" shapeId="0" xr:uid="{E0F64893-3602-4C18-ADA3-7A11901E1559}">
      <text>
        <r>
          <rPr>
            <b/>
            <sz val="9"/>
            <color indexed="81"/>
            <rFont val="돋움"/>
            <family val="3"/>
            <charset val="129"/>
          </rPr>
          <t>엘릭서 달인 제외 수치로 입력해야함.(아드각인 치적은 포함)</t>
        </r>
      </text>
    </comment>
    <comment ref="C11" authorId="0" shapeId="0" xr:uid="{9CE692A9-1F16-4B57-9E42-DA27EDA864A4}">
      <text>
        <r>
          <rPr>
            <b/>
            <sz val="9"/>
            <color indexed="81"/>
            <rFont val="돋움"/>
            <family val="3"/>
            <charset val="129"/>
          </rPr>
          <t>엘릭서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제외수치로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입력해야함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CGS-PLAN</author>
  </authors>
  <commentList>
    <comment ref="B7" authorId="0" shapeId="0" xr:uid="{A68D6D24-F856-4EF7-817F-966887623818}">
      <text>
        <r>
          <rPr>
            <b/>
            <sz val="9"/>
            <color indexed="81"/>
            <rFont val="돋움"/>
            <family val="3"/>
            <charset val="129"/>
          </rPr>
          <t>로아와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일로아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검색결과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sharedStrings.xml><?xml version="1.0" encoding="utf-8"?>
<sst xmlns="http://schemas.openxmlformats.org/spreadsheetml/2006/main" count="251" uniqueCount="70">
  <si>
    <t>무기공격력</t>
    <phoneticPr fontId="2" type="noConversion"/>
  </si>
  <si>
    <t>무기</t>
    <phoneticPr fontId="2" type="noConversion"/>
  </si>
  <si>
    <t>팔찌</t>
    <phoneticPr fontId="2" type="noConversion"/>
  </si>
  <si>
    <t>엘릭서</t>
    <phoneticPr fontId="2" type="noConversion"/>
  </si>
  <si>
    <t>기타</t>
    <phoneticPr fontId="2" type="noConversion"/>
  </si>
  <si>
    <t>공격력</t>
    <phoneticPr fontId="2" type="noConversion"/>
  </si>
  <si>
    <t>최종공격력</t>
    <phoneticPr fontId="2" type="noConversion"/>
  </si>
  <si>
    <t>기본공격력</t>
    <phoneticPr fontId="2" type="noConversion"/>
  </si>
  <si>
    <t>힘민지</t>
    <phoneticPr fontId="2" type="noConversion"/>
  </si>
  <si>
    <t>총합</t>
    <phoneticPr fontId="2" type="noConversion"/>
  </si>
  <si>
    <t>기본</t>
    <phoneticPr fontId="2" type="noConversion"/>
  </si>
  <si>
    <t>엘릭서(수치)</t>
    <phoneticPr fontId="2" type="noConversion"/>
  </si>
  <si>
    <t>엘릭서(%)</t>
    <phoneticPr fontId="2" type="noConversion"/>
  </si>
  <si>
    <t>치명타</t>
    <phoneticPr fontId="2" type="noConversion"/>
  </si>
  <si>
    <t>치명타적중률</t>
    <phoneticPr fontId="2" type="noConversion"/>
  </si>
  <si>
    <t>치명타피해량</t>
    <phoneticPr fontId="2" type="noConversion"/>
  </si>
  <si>
    <t>추피</t>
    <phoneticPr fontId="2" type="noConversion"/>
  </si>
  <si>
    <t>추가피해</t>
    <phoneticPr fontId="2" type="noConversion"/>
  </si>
  <si>
    <t>갈망</t>
    <phoneticPr fontId="2" type="noConversion"/>
  </si>
  <si>
    <t>공증각인 레벨</t>
    <phoneticPr fontId="2" type="noConversion"/>
  </si>
  <si>
    <t>저받</t>
    <phoneticPr fontId="2" type="noConversion"/>
  </si>
  <si>
    <t>아드</t>
    <phoneticPr fontId="2" type="noConversion"/>
  </si>
  <si>
    <t>질증</t>
    <phoneticPr fontId="2" type="noConversion"/>
  </si>
  <si>
    <t>기타공증(%)</t>
    <phoneticPr fontId="2" type="noConversion"/>
  </si>
  <si>
    <t>보스피해</t>
    <phoneticPr fontId="2" type="noConversion"/>
  </si>
  <si>
    <t>치명타피해</t>
    <phoneticPr fontId="2" type="noConversion"/>
  </si>
  <si>
    <t>1Lv</t>
    <phoneticPr fontId="2" type="noConversion"/>
  </si>
  <si>
    <t>레벨</t>
    <phoneticPr fontId="2" type="noConversion"/>
  </si>
  <si>
    <t>보유수량</t>
    <phoneticPr fontId="2" type="noConversion"/>
  </si>
  <si>
    <t>2Lv</t>
    <phoneticPr fontId="2" type="noConversion"/>
  </si>
  <si>
    <t>3Lv</t>
    <phoneticPr fontId="2" type="noConversion"/>
  </si>
  <si>
    <t>4Lv</t>
    <phoneticPr fontId="2" type="noConversion"/>
  </si>
  <si>
    <t>5Lv</t>
    <phoneticPr fontId="2" type="noConversion"/>
  </si>
  <si>
    <t>세트옵션</t>
    <phoneticPr fontId="2" type="noConversion"/>
  </si>
  <si>
    <t>장갑(혼돈)</t>
    <phoneticPr fontId="2" type="noConversion"/>
  </si>
  <si>
    <t>투구(질서)</t>
    <phoneticPr fontId="2" type="noConversion"/>
  </si>
  <si>
    <t>종류</t>
    <phoneticPr fontId="2" type="noConversion"/>
  </si>
  <si>
    <t>행운</t>
    <phoneticPr fontId="2" type="noConversion"/>
  </si>
  <si>
    <t>단계</t>
    <phoneticPr fontId="2" type="noConversion"/>
  </si>
  <si>
    <t>선봉대와 칼날방패는 항시 풀가동 상태일때 기준으로 계산함
달인은 항시 5스택 기준으로 계산함
강맹은 항시 체력50% 초과상황일때 기준으로 계산함
행운은 단순하게 스킬 사용시마다 10%확률로 100%딜증이므로 딜증10%로 계산함</t>
    <phoneticPr fontId="2" type="noConversion"/>
  </si>
  <si>
    <t>강맹</t>
    <phoneticPr fontId="2" type="noConversion"/>
  </si>
  <si>
    <t>피증</t>
    <phoneticPr fontId="2" type="noConversion"/>
  </si>
  <si>
    <t>달인</t>
    <phoneticPr fontId="2" type="noConversion"/>
  </si>
  <si>
    <t>치적</t>
    <phoneticPr fontId="2" type="noConversion"/>
  </si>
  <si>
    <t>치적시피증</t>
    <phoneticPr fontId="2" type="noConversion"/>
  </si>
  <si>
    <t>선봉대</t>
    <phoneticPr fontId="2" type="noConversion"/>
  </si>
  <si>
    <t>공증</t>
    <phoneticPr fontId="2" type="noConversion"/>
  </si>
  <si>
    <t>회심</t>
    <phoneticPr fontId="2" type="noConversion"/>
  </si>
  <si>
    <t>칼날방패</t>
    <phoneticPr fontId="2" type="noConversion"/>
  </si>
  <si>
    <t>총 피증량</t>
    <phoneticPr fontId="2" type="noConversion"/>
  </si>
  <si>
    <t>▶▶▶</t>
    <phoneticPr fontId="2" type="noConversion"/>
  </si>
  <si>
    <t>딜기대치</t>
    <phoneticPr fontId="2" type="noConversion"/>
  </si>
  <si>
    <t>---------------------------------------------------------------------- 이하 계산 내용 ------------------------------------------------------------------------------</t>
    <phoneticPr fontId="2" type="noConversion"/>
  </si>
  <si>
    <t>: 입력칸</t>
    <phoneticPr fontId="2" type="noConversion"/>
  </si>
  <si>
    <t>증가율(압타)</t>
    <phoneticPr fontId="2" type="noConversion"/>
  </si>
  <si>
    <t>현재 엘릭서 세팅</t>
    <phoneticPr fontId="2" type="noConversion"/>
  </si>
  <si>
    <t>엘릭서 세팅 후</t>
    <phoneticPr fontId="2" type="noConversion"/>
  </si>
  <si>
    <t>엘릭서 제외</t>
    <phoneticPr fontId="2" type="noConversion"/>
  </si>
  <si>
    <t>현재세팅</t>
    <phoneticPr fontId="2" type="noConversion"/>
  </si>
  <si>
    <t>가상 엘릭서 세팅 후</t>
    <phoneticPr fontId="2" type="noConversion"/>
  </si>
  <si>
    <t>가상 세팅에 대한 엘릭서 효율 계산</t>
    <phoneticPr fontId="2" type="noConversion"/>
  </si>
  <si>
    <t>아군강화</t>
    <phoneticPr fontId="2" type="noConversion"/>
  </si>
  <si>
    <t>공격력기반 버프 증가율</t>
    <phoneticPr fontId="2" type="noConversion"/>
  </si>
  <si>
    <t>진군</t>
  </si>
  <si>
    <t>딜러공격력</t>
    <phoneticPr fontId="2" type="noConversion"/>
  </si>
  <si>
    <t>회심</t>
  </si>
  <si>
    <t>만렙딜러 공격력</t>
    <phoneticPr fontId="2" type="noConversion"/>
  </si>
  <si>
    <t>동스펙공격력</t>
    <phoneticPr fontId="2" type="noConversion"/>
  </si>
  <si>
    <t>동스펙</t>
    <phoneticPr fontId="2" type="noConversion"/>
  </si>
  <si>
    <t>만렙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</si>
</sst>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0&quot; Lv&quot;"/>
    <numFmt numFmtId="177" formatCode="0&quot; 단계&quot;"/>
    <numFmt numFmtId="178" formatCode="0.000%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u/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0" fillId="0" borderId="0" xfId="1" applyNumberFormat="1" applyFont="1">
      <alignment vertical="center"/>
    </xf>
    <xf numFmtId="10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0" fontId="0" fillId="0" borderId="0" xfId="1" applyNumberFormat="1" applyFont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78" fontId="0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10" fontId="0" fillId="0" borderId="0" xfId="1" applyNumberFormat="1" applyFont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1" fontId="0" fillId="0" borderId="0" xfId="0" applyNumberFormat="1">
      <alignment vertical="center"/>
    </xf>
    <xf numFmtId="10" fontId="0" fillId="0" borderId="0" xfId="0" applyNumberForma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9" fontId="11" fillId="4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7E4B-5780-4E8C-9EC2-05A4ED463284}">
  <dimension ref="B2:P84"/>
  <sheetViews>
    <sheetView showGridLines="0" tabSelected="1" zoomScale="85" zoomScaleNormal="85" workbookViewId="0">
      <selection activeCell="B4" sqref="B4"/>
    </sheetView>
  </sheetViews>
  <sheetFormatPr defaultRowHeight="16.5" x14ac:dyDescent="0.3"/>
  <cols>
    <col min="1" max="1" width="2.625" customWidth="1"/>
    <col min="2" max="13" width="10.625" customWidth="1"/>
    <col min="14" max="14" width="4.125" customWidth="1"/>
  </cols>
  <sheetData>
    <row r="2" spans="2:16" x14ac:dyDescent="0.3">
      <c r="B2" s="45" t="s">
        <v>5</v>
      </c>
      <c r="C2" s="45"/>
      <c r="D2" s="45"/>
      <c r="E2" s="45"/>
      <c r="F2" s="45" t="s">
        <v>0</v>
      </c>
      <c r="G2" s="45"/>
      <c r="H2" s="45"/>
      <c r="I2" s="45"/>
      <c r="J2" s="45"/>
      <c r="K2" s="45" t="s">
        <v>8</v>
      </c>
      <c r="L2" s="45"/>
      <c r="M2" s="45"/>
      <c r="O2" s="33"/>
      <c r="P2" t="s">
        <v>53</v>
      </c>
    </row>
    <row r="3" spans="2:16" x14ac:dyDescent="0.3">
      <c r="B3" s="6" t="s">
        <v>6</v>
      </c>
      <c r="C3" s="6" t="s">
        <v>7</v>
      </c>
      <c r="D3" s="6" t="s">
        <v>11</v>
      </c>
      <c r="E3" s="6" t="s">
        <v>12</v>
      </c>
      <c r="F3" s="6" t="s">
        <v>9</v>
      </c>
      <c r="G3" s="6" t="s">
        <v>1</v>
      </c>
      <c r="H3" s="6" t="s">
        <v>2</v>
      </c>
      <c r="I3" s="6" t="s">
        <v>3</v>
      </c>
      <c r="J3" s="6" t="s">
        <v>10</v>
      </c>
      <c r="K3" s="6" t="s">
        <v>9</v>
      </c>
      <c r="L3" s="6" t="s">
        <v>3</v>
      </c>
      <c r="M3" s="6" t="s">
        <v>54</v>
      </c>
    </row>
    <row r="4" spans="2:16" x14ac:dyDescent="0.3">
      <c r="B4" s="20">
        <v>73482</v>
      </c>
      <c r="C4" s="20">
        <v>60269</v>
      </c>
      <c r="D4" s="7">
        <f>C23</f>
        <v>2301</v>
      </c>
      <c r="E4" s="19">
        <f>D28</f>
        <v>1.44E-2</v>
      </c>
      <c r="F4" s="7">
        <f>G4+H4+I4</f>
        <v>75421</v>
      </c>
      <c r="G4" s="20">
        <v>75185</v>
      </c>
      <c r="H4" s="20">
        <v>0</v>
      </c>
      <c r="I4" s="7">
        <f>E23</f>
        <v>236</v>
      </c>
      <c r="J4" s="8">
        <f>G4+H4</f>
        <v>75185</v>
      </c>
      <c r="K4" s="8">
        <f>(C4^2*6)/F4</f>
        <v>288966.12569443526</v>
      </c>
      <c r="L4" s="7">
        <f>G23</f>
        <v>7182</v>
      </c>
      <c r="M4" s="31">
        <v>0.08</v>
      </c>
    </row>
    <row r="5" spans="2:16" hidden="1" x14ac:dyDescent="0.3">
      <c r="B5" s="27"/>
      <c r="C5" s="27"/>
      <c r="D5" s="27"/>
      <c r="E5" s="28"/>
      <c r="F5" s="1"/>
      <c r="G5" s="27"/>
      <c r="H5" s="27"/>
      <c r="I5" s="27"/>
      <c r="J5" s="29"/>
      <c r="K5" s="29"/>
      <c r="L5" s="27"/>
      <c r="M5" s="29">
        <f>(K4/(1+M4))-L4</f>
        <v>260379.22749484744</v>
      </c>
    </row>
    <row r="7" spans="2:16" hidden="1" x14ac:dyDescent="0.3">
      <c r="B7" s="4">
        <f>B4/(C4+D4)-1</f>
        <v>0.17439667572319006</v>
      </c>
      <c r="C7" s="5">
        <f>B7-E4</f>
        <v>0.15999667572319007</v>
      </c>
      <c r="D7">
        <f>IF(C7&lt;1%,0,IF(C7&lt;3.5%,11,IF(C7&lt;4.5%,21,IF(C7&lt;9%,12,IF(C7&lt;11%,22,IF(C7&lt;17,13,IF(C7&lt;19,23,1)))))))</f>
        <v>13</v>
      </c>
    </row>
    <row r="8" spans="2:16" x14ac:dyDescent="0.3">
      <c r="B8" s="45" t="str">
        <f>IF(D7=0,"공증각인 없는것으로 추정됨",IF(D7=1,"공증각인 많거나 입력오류로 추정됨",IF(D7=11,"저받1 각인으로 추정됨",IF(D7=12,"저받2 각인으로 추정됨",IF(D7=13,"저받3 각인으로 추정됨",IF(D7=21,"질증1 각인으로 추정됨",IF(D7=22,"질증2 각인으로 추정됨",IF(D7=23,"질증3 각인으로 추정됨","입력오류"))))))))</f>
        <v>저받3 각인으로 추정됨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10" spans="2:16" x14ac:dyDescent="0.3">
      <c r="B10" s="45" t="s">
        <v>13</v>
      </c>
      <c r="C10" s="45"/>
      <c r="D10" s="2"/>
      <c r="E10" s="45" t="s">
        <v>17</v>
      </c>
      <c r="F10" s="45"/>
      <c r="G10" s="45"/>
      <c r="H10" s="45"/>
      <c r="J10" s="45" t="s">
        <v>19</v>
      </c>
      <c r="K10" s="45"/>
      <c r="L10" s="45"/>
      <c r="M10" s="45"/>
    </row>
    <row r="11" spans="2:16" x14ac:dyDescent="0.3">
      <c r="B11" s="6" t="s">
        <v>14</v>
      </c>
      <c r="C11" s="6" t="s">
        <v>15</v>
      </c>
      <c r="D11" s="3"/>
      <c r="E11" s="6" t="s">
        <v>9</v>
      </c>
      <c r="F11" s="6" t="s">
        <v>1</v>
      </c>
      <c r="G11" s="6" t="s">
        <v>18</v>
      </c>
      <c r="H11" s="6" t="s">
        <v>4</v>
      </c>
      <c r="J11" s="6" t="s">
        <v>20</v>
      </c>
      <c r="K11" s="6" t="s">
        <v>21</v>
      </c>
      <c r="L11" s="6" t="s">
        <v>22</v>
      </c>
      <c r="M11" s="6" t="s">
        <v>23</v>
      </c>
    </row>
    <row r="12" spans="2:16" x14ac:dyDescent="0.3">
      <c r="B12" s="21">
        <v>0.86180000000000001</v>
      </c>
      <c r="C12" s="22">
        <v>3.23</v>
      </c>
      <c r="D12" s="10"/>
      <c r="E12" s="11">
        <f>F12+G12+H12</f>
        <v>0.42</v>
      </c>
      <c r="F12" s="22">
        <v>0.3</v>
      </c>
      <c r="G12" s="22">
        <v>0.12</v>
      </c>
      <c r="H12" s="22">
        <v>0</v>
      </c>
      <c r="J12" s="23">
        <v>3</v>
      </c>
      <c r="K12" s="23">
        <v>0</v>
      </c>
      <c r="L12" s="23">
        <v>0</v>
      </c>
      <c r="M12" s="24">
        <v>0</v>
      </c>
    </row>
    <row r="13" spans="2:16" hidden="1" x14ac:dyDescent="0.3">
      <c r="J13" s="12">
        <f>IF(J12=1,3%,IF(J12=2,8%,IF(J12=3,16%,0%)))</f>
        <v>0.16</v>
      </c>
      <c r="K13" s="12">
        <f>IF(K12=1,1.8%,IF(K12=2,3.6%,IF(K12=3,6%,0%)))</f>
        <v>0</v>
      </c>
      <c r="L13" s="12">
        <f>IF(L12=1,4%,IF(L12=2,10%,IF(L12=3,18%,0%)))</f>
        <v>0</v>
      </c>
      <c r="M13" s="12">
        <f>M12</f>
        <v>0</v>
      </c>
      <c r="N13" s="9">
        <f>J13+K13+L13+M13</f>
        <v>0.16</v>
      </c>
    </row>
    <row r="15" spans="2:16" x14ac:dyDescent="0.3">
      <c r="B15" s="45" t="s">
        <v>55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2:16" x14ac:dyDescent="0.3">
      <c r="B16" s="46" t="s">
        <v>5</v>
      </c>
      <c r="C16" s="46"/>
      <c r="D16" s="46" t="s">
        <v>0</v>
      </c>
      <c r="E16" s="46"/>
      <c r="F16" s="46" t="s">
        <v>8</v>
      </c>
      <c r="G16" s="46"/>
      <c r="H16" s="46" t="s">
        <v>24</v>
      </c>
      <c r="I16" s="46"/>
      <c r="J16" s="46" t="s">
        <v>17</v>
      </c>
      <c r="K16" s="46"/>
      <c r="L16" s="46" t="s">
        <v>25</v>
      </c>
      <c r="M16" s="46"/>
    </row>
    <row r="17" spans="2:13" x14ac:dyDescent="0.3">
      <c r="B17" s="6" t="s">
        <v>27</v>
      </c>
      <c r="C17" s="6" t="s">
        <v>28</v>
      </c>
      <c r="D17" s="6" t="s">
        <v>27</v>
      </c>
      <c r="E17" s="6" t="s">
        <v>28</v>
      </c>
      <c r="F17" s="6" t="s">
        <v>27</v>
      </c>
      <c r="G17" s="6" t="s">
        <v>28</v>
      </c>
      <c r="H17" s="6" t="s">
        <v>27</v>
      </c>
      <c r="I17" s="6" t="s">
        <v>28</v>
      </c>
      <c r="J17" s="6" t="s">
        <v>27</v>
      </c>
      <c r="K17" s="6" t="s">
        <v>28</v>
      </c>
      <c r="L17" s="6" t="s">
        <v>27</v>
      </c>
      <c r="M17" s="6" t="s">
        <v>28</v>
      </c>
    </row>
    <row r="18" spans="2:13" x14ac:dyDescent="0.3">
      <c r="B18" s="7" t="s">
        <v>26</v>
      </c>
      <c r="C18" s="20">
        <v>0</v>
      </c>
      <c r="D18" s="7" t="s">
        <v>26</v>
      </c>
      <c r="E18" s="20">
        <v>1</v>
      </c>
      <c r="F18" s="7" t="s">
        <v>26</v>
      </c>
      <c r="G18" s="20">
        <v>0</v>
      </c>
      <c r="H18" s="7" t="s">
        <v>26</v>
      </c>
      <c r="I18" s="20">
        <v>0</v>
      </c>
      <c r="J18" s="7" t="s">
        <v>26</v>
      </c>
      <c r="K18" s="20">
        <v>0</v>
      </c>
      <c r="L18" s="7" t="s">
        <v>26</v>
      </c>
      <c r="M18" s="20">
        <v>0</v>
      </c>
    </row>
    <row r="19" spans="2:13" x14ac:dyDescent="0.3">
      <c r="B19" s="7" t="s">
        <v>29</v>
      </c>
      <c r="C19" s="20">
        <v>0</v>
      </c>
      <c r="D19" s="7" t="s">
        <v>29</v>
      </c>
      <c r="E19" s="20">
        <v>0</v>
      </c>
      <c r="F19" s="7" t="s">
        <v>29</v>
      </c>
      <c r="G19" s="20">
        <v>1</v>
      </c>
      <c r="H19" s="7" t="s">
        <v>29</v>
      </c>
      <c r="I19" s="20">
        <v>0</v>
      </c>
      <c r="J19" s="7" t="s">
        <v>29</v>
      </c>
      <c r="K19" s="20">
        <v>0</v>
      </c>
      <c r="L19" s="7" t="s">
        <v>29</v>
      </c>
      <c r="M19" s="20">
        <v>0</v>
      </c>
    </row>
    <row r="20" spans="2:13" x14ac:dyDescent="0.3">
      <c r="B20" s="7" t="s">
        <v>30</v>
      </c>
      <c r="C20" s="20">
        <v>0</v>
      </c>
      <c r="D20" s="7" t="s">
        <v>30</v>
      </c>
      <c r="E20" s="20">
        <v>0</v>
      </c>
      <c r="F20" s="7" t="s">
        <v>30</v>
      </c>
      <c r="G20" s="20">
        <v>0</v>
      </c>
      <c r="H20" s="7" t="s">
        <v>30</v>
      </c>
      <c r="I20" s="20">
        <v>0</v>
      </c>
      <c r="J20" s="7" t="s">
        <v>30</v>
      </c>
      <c r="K20" s="20">
        <v>1</v>
      </c>
      <c r="L20" s="7" t="s">
        <v>30</v>
      </c>
      <c r="M20" s="20">
        <v>0</v>
      </c>
    </row>
    <row r="21" spans="2:13" x14ac:dyDescent="0.3">
      <c r="B21" s="7" t="s">
        <v>31</v>
      </c>
      <c r="C21" s="20">
        <v>0</v>
      </c>
      <c r="D21" s="7" t="s">
        <v>31</v>
      </c>
      <c r="E21" s="20">
        <v>0</v>
      </c>
      <c r="F21" s="7" t="s">
        <v>31</v>
      </c>
      <c r="G21" s="20">
        <v>0</v>
      </c>
      <c r="H21" s="7" t="s">
        <v>31</v>
      </c>
      <c r="I21" s="20">
        <v>0</v>
      </c>
      <c r="J21" s="7" t="s">
        <v>31</v>
      </c>
      <c r="K21" s="20">
        <v>0</v>
      </c>
      <c r="L21" s="7" t="s">
        <v>31</v>
      </c>
      <c r="M21" s="20">
        <v>0</v>
      </c>
    </row>
    <row r="22" spans="2:13" x14ac:dyDescent="0.3">
      <c r="B22" s="7" t="s">
        <v>32</v>
      </c>
      <c r="C22" s="20">
        <v>3</v>
      </c>
      <c r="D22" s="7" t="s">
        <v>32</v>
      </c>
      <c r="E22" s="20">
        <v>0</v>
      </c>
      <c r="F22" s="7" t="s">
        <v>32</v>
      </c>
      <c r="G22" s="20">
        <v>1</v>
      </c>
      <c r="H22" s="7" t="s">
        <v>32</v>
      </c>
      <c r="I22" s="20">
        <v>1</v>
      </c>
      <c r="J22" s="7" t="s">
        <v>32</v>
      </c>
      <c r="K22" s="20">
        <v>0</v>
      </c>
      <c r="L22" s="7" t="s">
        <v>32</v>
      </c>
      <c r="M22" s="20">
        <v>0</v>
      </c>
    </row>
    <row r="23" spans="2:13" hidden="1" x14ac:dyDescent="0.3">
      <c r="C23" s="1">
        <f>C18*122+C19*253+C20*383+C21*575+C22*767</f>
        <v>2301</v>
      </c>
      <c r="E23" s="1">
        <f>E18*236+E19*488+E20*740+E21*1110+E22*1480</f>
        <v>236</v>
      </c>
      <c r="G23" s="1">
        <f>G18*864+G19*1782+G20*2700+G21*4050+G22*5400</f>
        <v>7182</v>
      </c>
      <c r="H23">
        <f>I18+I19+I20+I21+I22</f>
        <v>1</v>
      </c>
      <c r="I23" s="15">
        <f>I18*0.38%+I19*0.79%+I20*1.2%+I21*1.8%+I22*2.4%</f>
        <v>2.4E-2</v>
      </c>
      <c r="J23">
        <f>K18+K19+K20+K21+K22+M18+M19+M20+M21+M22</f>
        <v>1</v>
      </c>
      <c r="K23" s="15">
        <f>K18*0.49%+K19*1.02%+K20*1.55%+K21*2.32%+K22*3.1%</f>
        <v>1.55E-2</v>
      </c>
      <c r="M23" s="15">
        <f>M18*1.12%+M19*2.31%+M20*3.5%+M21*5.25%+M22*7%</f>
        <v>0</v>
      </c>
    </row>
    <row r="24" spans="2:13" x14ac:dyDescent="0.3">
      <c r="B24" s="44"/>
      <c r="C24" s="44"/>
      <c r="D24" s="44"/>
      <c r="E24" s="44"/>
      <c r="F24" s="44"/>
      <c r="G24" s="44"/>
      <c r="H24" s="50" t="str">
        <f>IF(H23&gt;1,"어깨 보유량 합 초과","")</f>
        <v/>
      </c>
      <c r="I24" s="50"/>
      <c r="J24" s="50" t="str">
        <f>IF(J23&gt;1,"하의 보유량 합 초과","")</f>
        <v/>
      </c>
      <c r="K24" s="50"/>
      <c r="L24" s="50"/>
      <c r="M24" s="50"/>
    </row>
    <row r="25" spans="2:13" ht="16.5" customHeight="1" x14ac:dyDescent="0.3">
      <c r="B25" s="45" t="s">
        <v>33</v>
      </c>
      <c r="C25" s="45"/>
      <c r="D25" s="45"/>
      <c r="E25" s="45"/>
      <c r="F25" s="47" t="s">
        <v>39</v>
      </c>
      <c r="G25" s="48"/>
      <c r="H25" s="48"/>
      <c r="I25" s="48"/>
      <c r="J25" s="48"/>
      <c r="K25" s="48"/>
      <c r="L25" s="48"/>
      <c r="M25" s="48"/>
    </row>
    <row r="26" spans="2:13" x14ac:dyDescent="0.3">
      <c r="B26" s="6" t="s">
        <v>36</v>
      </c>
      <c r="C26" s="6" t="s">
        <v>38</v>
      </c>
      <c r="D26" s="6" t="s">
        <v>35</v>
      </c>
      <c r="E26" s="6" t="s">
        <v>34</v>
      </c>
      <c r="F26" s="47"/>
      <c r="G26" s="48"/>
      <c r="H26" s="48"/>
      <c r="I26" s="48"/>
      <c r="J26" s="48"/>
      <c r="K26" s="48"/>
      <c r="L26" s="48"/>
      <c r="M26" s="48"/>
    </row>
    <row r="27" spans="2:13" x14ac:dyDescent="0.3">
      <c r="B27" s="25" t="s">
        <v>65</v>
      </c>
      <c r="C27" s="26">
        <v>2</v>
      </c>
      <c r="D27" s="23">
        <v>5</v>
      </c>
      <c r="E27" s="23">
        <v>4</v>
      </c>
      <c r="F27" s="47"/>
      <c r="G27" s="48"/>
      <c r="H27" s="48"/>
      <c r="I27" s="48"/>
      <c r="J27" s="48"/>
      <c r="K27" s="48"/>
      <c r="L27" s="48"/>
      <c r="M27" s="48"/>
    </row>
    <row r="28" spans="2:13" hidden="1" x14ac:dyDescent="0.3">
      <c r="D28" s="17">
        <f>IF(D27=1,0.23%,IF(D27=2,0.47%,IF(D27=3,0.72%,IF(D27=4,1.08%,IF(D27=5,1.44%,0)))))</f>
        <v>1.44E-2</v>
      </c>
      <c r="E28" s="17">
        <f>IF(E27=1,0.23%,IF(E27=2,0.47%,IF(E27=3,0.72%,IF(E27=4,1.08%,IF(E27=5,1.44%,0)))))</f>
        <v>1.0800000000000001E-2</v>
      </c>
    </row>
    <row r="29" spans="2:13" x14ac:dyDescent="0.3">
      <c r="D29" s="17"/>
      <c r="E29" s="17"/>
    </row>
    <row r="30" spans="2:13" x14ac:dyDescent="0.3">
      <c r="B30" s="49" t="str">
        <f>"현재 엘릭서로 인해 증가한 딜기대량 "&amp;ROUNDUP(((K78/K73)-1)*100,2)&amp;"%"</f>
        <v>현재 엘릭서로 인해 증가한 딜기대량 24.43%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2:13" x14ac:dyDescent="0.3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3" spans="2:13" x14ac:dyDescent="0.3">
      <c r="B33" s="45" t="s">
        <v>60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2:13" x14ac:dyDescent="0.3">
      <c r="B34" s="46" t="s">
        <v>5</v>
      </c>
      <c r="C34" s="46"/>
      <c r="D34" s="46" t="s">
        <v>0</v>
      </c>
      <c r="E34" s="46"/>
      <c r="F34" s="46" t="s">
        <v>8</v>
      </c>
      <c r="G34" s="46"/>
      <c r="H34" s="46" t="s">
        <v>24</v>
      </c>
      <c r="I34" s="46"/>
      <c r="J34" s="46" t="s">
        <v>17</v>
      </c>
      <c r="K34" s="46"/>
      <c r="L34" s="46" t="s">
        <v>25</v>
      </c>
      <c r="M34" s="46"/>
    </row>
    <row r="35" spans="2:13" x14ac:dyDescent="0.3">
      <c r="B35" s="6" t="s">
        <v>27</v>
      </c>
      <c r="C35" s="6" t="s">
        <v>28</v>
      </c>
      <c r="D35" s="6" t="s">
        <v>27</v>
      </c>
      <c r="E35" s="6" t="s">
        <v>28</v>
      </c>
      <c r="F35" s="6" t="s">
        <v>27</v>
      </c>
      <c r="G35" s="6" t="s">
        <v>28</v>
      </c>
      <c r="H35" s="6" t="s">
        <v>27</v>
      </c>
      <c r="I35" s="6" t="s">
        <v>28</v>
      </c>
      <c r="J35" s="6" t="s">
        <v>27</v>
      </c>
      <c r="K35" s="6" t="s">
        <v>28</v>
      </c>
      <c r="L35" s="6" t="s">
        <v>27</v>
      </c>
      <c r="M35" s="6" t="s">
        <v>28</v>
      </c>
    </row>
    <row r="36" spans="2:13" x14ac:dyDescent="0.3">
      <c r="B36" s="7" t="s">
        <v>26</v>
      </c>
      <c r="C36" s="20">
        <v>0</v>
      </c>
      <c r="D36" s="7" t="s">
        <v>26</v>
      </c>
      <c r="E36" s="20">
        <v>0</v>
      </c>
      <c r="F36" s="7" t="s">
        <v>26</v>
      </c>
      <c r="G36" s="20">
        <v>0</v>
      </c>
      <c r="H36" s="7" t="s">
        <v>26</v>
      </c>
      <c r="I36" s="20">
        <v>0</v>
      </c>
      <c r="J36" s="7" t="s">
        <v>26</v>
      </c>
      <c r="K36" s="20">
        <v>0</v>
      </c>
      <c r="L36" s="7" t="s">
        <v>26</v>
      </c>
      <c r="M36" s="20">
        <v>0</v>
      </c>
    </row>
    <row r="37" spans="2:13" x14ac:dyDescent="0.3">
      <c r="B37" s="7" t="s">
        <v>29</v>
      </c>
      <c r="C37" s="20">
        <v>0</v>
      </c>
      <c r="D37" s="7" t="s">
        <v>29</v>
      </c>
      <c r="E37" s="20">
        <v>0</v>
      </c>
      <c r="F37" s="7" t="s">
        <v>29</v>
      </c>
      <c r="G37" s="20">
        <v>0</v>
      </c>
      <c r="H37" s="7" t="s">
        <v>29</v>
      </c>
      <c r="I37" s="20">
        <v>0</v>
      </c>
      <c r="J37" s="7" t="s">
        <v>29</v>
      </c>
      <c r="K37" s="20">
        <v>0</v>
      </c>
      <c r="L37" s="7" t="s">
        <v>29</v>
      </c>
      <c r="M37" s="20">
        <v>0</v>
      </c>
    </row>
    <row r="38" spans="2:13" x14ac:dyDescent="0.3">
      <c r="B38" s="7" t="s">
        <v>30</v>
      </c>
      <c r="C38" s="20">
        <v>0</v>
      </c>
      <c r="D38" s="7" t="s">
        <v>30</v>
      </c>
      <c r="E38" s="20">
        <v>0</v>
      </c>
      <c r="F38" s="7" t="s">
        <v>30</v>
      </c>
      <c r="G38" s="20">
        <v>0</v>
      </c>
      <c r="H38" s="7" t="s">
        <v>30</v>
      </c>
      <c r="I38" s="20">
        <v>0</v>
      </c>
      <c r="J38" s="7" t="s">
        <v>30</v>
      </c>
      <c r="K38" s="20">
        <v>0</v>
      </c>
      <c r="L38" s="7" t="s">
        <v>30</v>
      </c>
      <c r="M38" s="20">
        <v>0</v>
      </c>
    </row>
    <row r="39" spans="2:13" x14ac:dyDescent="0.3">
      <c r="B39" s="7" t="s">
        <v>31</v>
      </c>
      <c r="C39" s="20">
        <v>0</v>
      </c>
      <c r="D39" s="7" t="s">
        <v>31</v>
      </c>
      <c r="E39" s="20">
        <v>0</v>
      </c>
      <c r="F39" s="7" t="s">
        <v>31</v>
      </c>
      <c r="G39" s="20">
        <v>0</v>
      </c>
      <c r="H39" s="7" t="s">
        <v>31</v>
      </c>
      <c r="I39" s="20">
        <v>0</v>
      </c>
      <c r="J39" s="7" t="s">
        <v>31</v>
      </c>
      <c r="K39" s="20">
        <v>0</v>
      </c>
      <c r="L39" s="7" t="s">
        <v>31</v>
      </c>
      <c r="M39" s="20">
        <v>0</v>
      </c>
    </row>
    <row r="40" spans="2:13" x14ac:dyDescent="0.3">
      <c r="B40" s="7" t="s">
        <v>32</v>
      </c>
      <c r="C40" s="20">
        <v>3</v>
      </c>
      <c r="D40" s="7" t="s">
        <v>32</v>
      </c>
      <c r="E40" s="20">
        <v>1</v>
      </c>
      <c r="F40" s="7" t="s">
        <v>32</v>
      </c>
      <c r="G40" s="20">
        <v>2</v>
      </c>
      <c r="H40" s="7" t="s">
        <v>32</v>
      </c>
      <c r="I40" s="20">
        <v>1</v>
      </c>
      <c r="J40" s="7" t="s">
        <v>32</v>
      </c>
      <c r="K40" s="20">
        <v>1</v>
      </c>
      <c r="L40" s="7" t="s">
        <v>32</v>
      </c>
      <c r="M40" s="20">
        <v>0</v>
      </c>
    </row>
    <row r="41" spans="2:13" hidden="1" x14ac:dyDescent="0.3">
      <c r="C41" s="1">
        <f>C36*122+C37*253+C38*383+C39*575+C40*767</f>
        <v>2301</v>
      </c>
      <c r="E41" s="1">
        <f>E36*236+E37*488+E38*740+E39*1110+E40*1480</f>
        <v>1480</v>
      </c>
      <c r="G41" s="1">
        <f>G36*864+G37*1782+G38*2700+G39*4050+G40*5400</f>
        <v>10800</v>
      </c>
      <c r="H41">
        <f>I36+I37+I38+I39+I40</f>
        <v>1</v>
      </c>
      <c r="I41" s="15">
        <f>I36*0.38%+I37*0.79%+I38*1.2%+I39*1.8%+I40*2.4%</f>
        <v>2.4E-2</v>
      </c>
      <c r="J41">
        <f>K36+K37+K38+K39+K40+M36+M37+M38+M39+M40</f>
        <v>1</v>
      </c>
      <c r="K41" s="15">
        <f>K36*0.49%+K37*1.02%+K38*1.55%+K39*2.32%+K40*3.1%</f>
        <v>3.1E-2</v>
      </c>
      <c r="M41" s="15">
        <f>M36*1.12%+M37*2.31%+M38*3.5%+M39*5.25%+M40*7%</f>
        <v>0</v>
      </c>
    </row>
    <row r="42" spans="2:13" x14ac:dyDescent="0.3">
      <c r="H42" s="50" t="str">
        <f>IF(H41&gt;1,"어깨 보유량 합 초과","")</f>
        <v/>
      </c>
      <c r="I42" s="50"/>
      <c r="J42" s="50" t="str">
        <f>IF(J41&gt;1,"하의 보유량 합 초과","")</f>
        <v/>
      </c>
      <c r="K42" s="50"/>
      <c r="L42" s="50"/>
      <c r="M42" s="50"/>
    </row>
    <row r="43" spans="2:13" x14ac:dyDescent="0.3">
      <c r="B43" s="45" t="s">
        <v>33</v>
      </c>
      <c r="C43" s="45"/>
      <c r="D43" s="45"/>
      <c r="E43" s="45"/>
      <c r="F43" s="47" t="s">
        <v>39</v>
      </c>
      <c r="G43" s="48"/>
      <c r="H43" s="48"/>
      <c r="I43" s="48"/>
      <c r="J43" s="48"/>
      <c r="K43" s="48"/>
      <c r="L43" s="48"/>
      <c r="M43" s="48"/>
    </row>
    <row r="44" spans="2:13" x14ac:dyDescent="0.3">
      <c r="B44" s="6" t="s">
        <v>36</v>
      </c>
      <c r="C44" s="6" t="s">
        <v>38</v>
      </c>
      <c r="D44" s="6" t="s">
        <v>35</v>
      </c>
      <c r="E44" s="6" t="s">
        <v>34</v>
      </c>
      <c r="F44" s="47"/>
      <c r="G44" s="48"/>
      <c r="H44" s="48"/>
      <c r="I44" s="48"/>
      <c r="J44" s="48"/>
      <c r="K44" s="48"/>
      <c r="L44" s="48"/>
      <c r="M44" s="48"/>
    </row>
    <row r="45" spans="2:13" x14ac:dyDescent="0.3">
      <c r="B45" s="25" t="s">
        <v>65</v>
      </c>
      <c r="C45" s="26">
        <v>2</v>
      </c>
      <c r="D45" s="23">
        <v>5</v>
      </c>
      <c r="E45" s="23">
        <v>5</v>
      </c>
      <c r="F45" s="47"/>
      <c r="G45" s="48"/>
      <c r="H45" s="48"/>
      <c r="I45" s="48"/>
      <c r="J45" s="48"/>
      <c r="K45" s="48"/>
      <c r="L45" s="48"/>
      <c r="M45" s="48"/>
    </row>
    <row r="46" spans="2:13" hidden="1" x14ac:dyDescent="0.3">
      <c r="D46" s="17">
        <f>IF(D45=1,0.23%,IF(D45=2,0.47%,IF(D45=3,0.72%,IF(D45=4,1.08%,IF(D45=5,1.44%,0)))))</f>
        <v>1.44E-2</v>
      </c>
      <c r="E46" s="17">
        <f>IF(E45=1,0.23%,IF(E45=2,0.47%,IF(E45=3,0.72%,IF(E45=4,1.08%,IF(E45=5,1.44%,0)))))</f>
        <v>1.44E-2</v>
      </c>
      <c r="F46" s="30"/>
      <c r="G46" s="30"/>
      <c r="H46" s="30"/>
      <c r="I46" s="30"/>
      <c r="J46" s="30"/>
      <c r="K46" s="30"/>
      <c r="L46" s="30"/>
      <c r="M46" s="30"/>
    </row>
    <row r="48" spans="2:13" x14ac:dyDescent="0.3">
      <c r="B48" s="49" t="str">
        <f>"가상 엘릭서 세팅으로로 인해 증가되는 딜기대량 "&amp;ROUNDUP(((K83/K73)-1)*100,2)&amp;"%"</f>
        <v>가상 엘릭서 세팅으로로 인해 증가되는 딜기대량 28.05%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2:13" x14ac:dyDescent="0.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1" spans="2:13" x14ac:dyDescent="0.3">
      <c r="B51" s="43" t="s">
        <v>52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3" spans="2:13" x14ac:dyDescent="0.3">
      <c r="B53" s="38" t="s">
        <v>58</v>
      </c>
      <c r="C53" s="38"/>
      <c r="D53" s="38"/>
      <c r="E53" s="38"/>
      <c r="F53" s="38"/>
      <c r="G53" s="38"/>
      <c r="H53" s="38"/>
    </row>
    <row r="54" spans="2:13" s="1" customFormat="1" x14ac:dyDescent="0.3">
      <c r="B54" s="7"/>
      <c r="C54" s="7" t="s">
        <v>40</v>
      </c>
      <c r="D54" s="7" t="s">
        <v>42</v>
      </c>
      <c r="E54" s="7" t="s">
        <v>45</v>
      </c>
      <c r="F54" s="7" t="s">
        <v>47</v>
      </c>
      <c r="G54" s="7" t="s">
        <v>48</v>
      </c>
      <c r="H54" s="7" t="s">
        <v>37</v>
      </c>
    </row>
    <row r="55" spans="2:13" s="1" customFormat="1" x14ac:dyDescent="0.3">
      <c r="B55" s="7"/>
      <c r="C55" s="7">
        <f t="shared" ref="C55:H55" si="0">IF($B$27=C54,1,0)</f>
        <v>0</v>
      </c>
      <c r="D55" s="7">
        <f t="shared" si="0"/>
        <v>0</v>
      </c>
      <c r="E55" s="7">
        <f t="shared" si="0"/>
        <v>0</v>
      </c>
      <c r="F55" s="7">
        <f t="shared" si="0"/>
        <v>1</v>
      </c>
      <c r="G55" s="7">
        <f t="shared" si="0"/>
        <v>0</v>
      </c>
      <c r="H55" s="7">
        <f t="shared" si="0"/>
        <v>0</v>
      </c>
    </row>
    <row r="56" spans="2:13" x14ac:dyDescent="0.3">
      <c r="B56" s="7" t="s">
        <v>41</v>
      </c>
      <c r="C56" s="16">
        <f>C55*IF(C27=1,4%,IF(C27=2,8%,0))</f>
        <v>0</v>
      </c>
      <c r="D56" s="14"/>
      <c r="E56" s="16">
        <f>E55*IF(C27=1,3%,IF(C27=2,(1.03*1.05)-1,0))</f>
        <v>0</v>
      </c>
      <c r="F56" s="14"/>
      <c r="G56" s="16">
        <f>G55*IF(C27=1,4%,IF(C27=2,8%,0))</f>
        <v>0</v>
      </c>
      <c r="H56" s="16">
        <f>H55*IF(C27=1,5%,IF(C27=2,10%,0))</f>
        <v>0</v>
      </c>
    </row>
    <row r="57" spans="2:13" s="1" customFormat="1" x14ac:dyDescent="0.3">
      <c r="B57" s="7" t="s">
        <v>43</v>
      </c>
      <c r="C57" s="7"/>
      <c r="D57" s="16">
        <f>D55*IF(C27=1,7%,IF(C27=2,7%,0))</f>
        <v>0</v>
      </c>
      <c r="E57" s="7"/>
      <c r="F57" s="7"/>
      <c r="G57" s="7"/>
      <c r="H57" s="7"/>
    </row>
    <row r="58" spans="2:13" s="1" customFormat="1" x14ac:dyDescent="0.3">
      <c r="B58" s="7" t="s">
        <v>16</v>
      </c>
      <c r="C58" s="7"/>
      <c r="D58" s="16">
        <f>D55*IF(C27=1,0%,IF(C27=2,8.5%,0))</f>
        <v>0</v>
      </c>
      <c r="E58" s="7"/>
      <c r="F58" s="7"/>
      <c r="G58" s="7"/>
      <c r="H58" s="7"/>
    </row>
    <row r="59" spans="2:13" s="1" customFormat="1" x14ac:dyDescent="0.3">
      <c r="B59" s="7" t="s">
        <v>44</v>
      </c>
      <c r="C59" s="7"/>
      <c r="D59" s="7"/>
      <c r="E59" s="7"/>
      <c r="F59" s="16">
        <f>F55*IF(C27=1,6%,IF(C27=2,12%,0))</f>
        <v>0.12</v>
      </c>
      <c r="G59" s="7"/>
      <c r="H59" s="7"/>
    </row>
    <row r="60" spans="2:13" s="1" customFormat="1" x14ac:dyDescent="0.3">
      <c r="B60" s="7" t="s">
        <v>46</v>
      </c>
      <c r="C60" s="7"/>
      <c r="D60" s="7"/>
      <c r="E60" s="16">
        <f>E55*IF(C27=1,3%,IF(C27=2,3%,0))</f>
        <v>0</v>
      </c>
      <c r="F60" s="7"/>
      <c r="G60" s="7"/>
      <c r="H60" s="7"/>
    </row>
    <row r="61" spans="2:13" s="1" customFormat="1" x14ac:dyDescent="0.3">
      <c r="E61" s="32"/>
    </row>
    <row r="62" spans="2:13" s="1" customFormat="1" x14ac:dyDescent="0.3">
      <c r="B62" s="38" t="s">
        <v>58</v>
      </c>
      <c r="C62" s="38"/>
      <c r="D62" s="38"/>
      <c r="E62" s="38"/>
      <c r="F62" s="38"/>
      <c r="G62" s="38"/>
      <c r="H62" s="38"/>
    </row>
    <row r="63" spans="2:13" s="1" customFormat="1" x14ac:dyDescent="0.3">
      <c r="B63" s="7"/>
      <c r="C63" s="7" t="s">
        <v>40</v>
      </c>
      <c r="D63" s="7" t="s">
        <v>42</v>
      </c>
      <c r="E63" s="7" t="s">
        <v>45</v>
      </c>
      <c r="F63" s="7" t="s">
        <v>47</v>
      </c>
      <c r="G63" s="7" t="s">
        <v>48</v>
      </c>
      <c r="H63" s="7" t="s">
        <v>37</v>
      </c>
    </row>
    <row r="64" spans="2:13" s="1" customFormat="1" x14ac:dyDescent="0.3">
      <c r="B64" s="7"/>
      <c r="C64" s="7">
        <f>IF($B$45=C63,1,0)</f>
        <v>0</v>
      </c>
      <c r="D64" s="7">
        <f t="shared" ref="D64:H64" si="1">IF($B$45=D63,1,0)</f>
        <v>0</v>
      </c>
      <c r="E64" s="7">
        <f t="shared" si="1"/>
        <v>0</v>
      </c>
      <c r="F64" s="7">
        <f t="shared" si="1"/>
        <v>1</v>
      </c>
      <c r="G64" s="7">
        <f t="shared" si="1"/>
        <v>0</v>
      </c>
      <c r="H64" s="7">
        <f t="shared" si="1"/>
        <v>0</v>
      </c>
    </row>
    <row r="65" spans="2:13" s="1" customFormat="1" x14ac:dyDescent="0.3">
      <c r="B65" s="7" t="s">
        <v>41</v>
      </c>
      <c r="C65" s="16">
        <f>C64*IF(C45=1,4%,IF(C45=2,8%,0))</f>
        <v>0</v>
      </c>
      <c r="D65" s="14"/>
      <c r="E65" s="16">
        <f>E64*IF(C45=1,3%,IF(C45=2,(1.03*1.05)-1,0))</f>
        <v>0</v>
      </c>
      <c r="F65" s="14"/>
      <c r="G65" s="16">
        <f>G64*IF(C45=1,4%,IF(C45=2,8%,0))</f>
        <v>0</v>
      </c>
      <c r="H65" s="16">
        <f>H64*IF(C45=1,5%,IF(C45=2,10%,0))</f>
        <v>0</v>
      </c>
    </row>
    <row r="66" spans="2:13" s="1" customFormat="1" x14ac:dyDescent="0.3">
      <c r="B66" s="7" t="s">
        <v>43</v>
      </c>
      <c r="C66" s="7"/>
      <c r="D66" s="16">
        <f>D64*IF(C45=1,7%,IF(C45=2,7%,0))</f>
        <v>0</v>
      </c>
      <c r="E66" s="7"/>
      <c r="F66" s="7"/>
      <c r="G66" s="7"/>
      <c r="H66" s="7"/>
    </row>
    <row r="67" spans="2:13" s="1" customFormat="1" x14ac:dyDescent="0.3">
      <c r="B67" s="7" t="s">
        <v>16</v>
      </c>
      <c r="C67" s="7"/>
      <c r="D67" s="16">
        <f>D64*IF(C45=1,0%,IF(C45=2,8.5%,0))</f>
        <v>0</v>
      </c>
      <c r="E67" s="7"/>
      <c r="F67" s="7"/>
      <c r="G67" s="7"/>
      <c r="H67" s="7"/>
    </row>
    <row r="68" spans="2:13" s="1" customFormat="1" x14ac:dyDescent="0.3">
      <c r="B68" s="7" t="s">
        <v>44</v>
      </c>
      <c r="C68" s="7"/>
      <c r="D68" s="7"/>
      <c r="E68" s="7"/>
      <c r="F68" s="16">
        <f>F64*IF(C45=1,6%,IF(C45=2,12%,0))</f>
        <v>0.12</v>
      </c>
      <c r="G68" s="7"/>
      <c r="H68" s="7"/>
    </row>
    <row r="69" spans="2:13" s="1" customFormat="1" x14ac:dyDescent="0.3">
      <c r="B69" s="7" t="s">
        <v>46</v>
      </c>
      <c r="C69" s="7"/>
      <c r="D69" s="7"/>
      <c r="E69" s="16">
        <f>E64*IF(C45=1,3%,IF(C45=2,3%,0))</f>
        <v>0</v>
      </c>
      <c r="F69" s="7"/>
      <c r="G69" s="7"/>
      <c r="H69" s="7"/>
    </row>
    <row r="71" spans="2:13" s="1" customFormat="1" x14ac:dyDescent="0.3">
      <c r="B71" s="38" t="s">
        <v>57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s="1" customFormat="1" x14ac:dyDescent="0.3">
      <c r="B72" s="38" t="s">
        <v>5</v>
      </c>
      <c r="C72" s="38"/>
      <c r="D72" s="38"/>
      <c r="E72" s="38"/>
      <c r="F72" s="38" t="s">
        <v>13</v>
      </c>
      <c r="G72" s="38"/>
      <c r="H72" s="7" t="s">
        <v>17</v>
      </c>
      <c r="I72" s="7" t="s">
        <v>49</v>
      </c>
      <c r="J72" s="38" t="s">
        <v>50</v>
      </c>
      <c r="K72" s="38" t="s">
        <v>51</v>
      </c>
      <c r="L72" s="38"/>
      <c r="M72" s="38"/>
    </row>
    <row r="73" spans="2:13" s="1" customFormat="1" x14ac:dyDescent="0.3">
      <c r="B73" s="18" t="s">
        <v>0</v>
      </c>
      <c r="C73" s="13" t="s">
        <v>8</v>
      </c>
      <c r="D73" s="13" t="s">
        <v>7</v>
      </c>
      <c r="E73" s="13" t="s">
        <v>6</v>
      </c>
      <c r="F73" s="13" t="s">
        <v>14</v>
      </c>
      <c r="G73" s="13" t="s">
        <v>15</v>
      </c>
      <c r="H73" s="39">
        <f>E12</f>
        <v>0.42</v>
      </c>
      <c r="I73" s="40">
        <v>0</v>
      </c>
      <c r="J73" s="38"/>
      <c r="K73" s="42">
        <f>E74*(1+H73)*(1+I73)*(1*(1-F74)+G74*F74)</f>
        <v>285695.84281560237</v>
      </c>
      <c r="L73" s="42"/>
      <c r="M73" s="42"/>
    </row>
    <row r="74" spans="2:13" s="1" customFormat="1" x14ac:dyDescent="0.3">
      <c r="B74" s="8">
        <f>J4</f>
        <v>75185</v>
      </c>
      <c r="C74" s="8">
        <f>M5*(1+M4)</f>
        <v>281209.56569443527</v>
      </c>
      <c r="D74" s="8">
        <f>SQRT(B74*C74/6)</f>
        <v>59361.521202341326</v>
      </c>
      <c r="E74" s="8">
        <f>D74*(1+N13)</f>
        <v>68859.364594715938</v>
      </c>
      <c r="F74" s="19">
        <f>MIN(B12,100%)</f>
        <v>0.86180000000000001</v>
      </c>
      <c r="G74" s="19">
        <f>C12</f>
        <v>3.23</v>
      </c>
      <c r="H74" s="39"/>
      <c r="I74" s="41"/>
      <c r="J74" s="38"/>
      <c r="K74" s="42"/>
      <c r="L74" s="42"/>
      <c r="M74" s="42"/>
    </row>
    <row r="75" spans="2:13" s="1" customFormat="1" x14ac:dyDescent="0.3"/>
    <row r="76" spans="2:13" s="1" customFormat="1" x14ac:dyDescent="0.3">
      <c r="B76" s="38" t="s">
        <v>56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s="1" customFormat="1" x14ac:dyDescent="0.3">
      <c r="B77" s="38" t="s">
        <v>5</v>
      </c>
      <c r="C77" s="38"/>
      <c r="D77" s="38"/>
      <c r="E77" s="38"/>
      <c r="F77" s="38" t="s">
        <v>13</v>
      </c>
      <c r="G77" s="38"/>
      <c r="H77" s="7" t="s">
        <v>17</v>
      </c>
      <c r="I77" s="7" t="s">
        <v>49</v>
      </c>
      <c r="J77" s="38" t="s">
        <v>50</v>
      </c>
      <c r="K77" s="38" t="s">
        <v>51</v>
      </c>
      <c r="L77" s="38"/>
      <c r="M77" s="38"/>
    </row>
    <row r="78" spans="2:13" s="1" customFormat="1" x14ac:dyDescent="0.3">
      <c r="B78" s="18" t="s">
        <v>0</v>
      </c>
      <c r="C78" s="13" t="s">
        <v>8</v>
      </c>
      <c r="D78" s="13" t="s">
        <v>7</v>
      </c>
      <c r="E78" s="13" t="s">
        <v>6</v>
      </c>
      <c r="F78" s="13" t="s">
        <v>14</v>
      </c>
      <c r="G78" s="13" t="s">
        <v>15</v>
      </c>
      <c r="H78" s="39">
        <f>E12+K23+D58</f>
        <v>0.4355</v>
      </c>
      <c r="I78" s="40">
        <f>((1+I23)*(1+E28)*(1+C56)*(1+E56)*(1+G56)*(1+H56))-1</f>
        <v>3.5059199999999846E-2</v>
      </c>
      <c r="J78" s="38"/>
      <c r="K78" s="42">
        <f>E79*(1+H78)*(1+I78)*(1*(1-F79)+G79*F79)</f>
        <v>355479.58389865491</v>
      </c>
      <c r="L78" s="42"/>
      <c r="M78" s="42"/>
    </row>
    <row r="79" spans="2:13" s="1" customFormat="1" x14ac:dyDescent="0.3">
      <c r="B79" s="8">
        <f>J4+E23</f>
        <v>75421</v>
      </c>
      <c r="C79" s="8">
        <f>(M5+G23)*(1+M4)</f>
        <v>288966.12569443526</v>
      </c>
      <c r="D79" s="8">
        <f>SQRT(B79*C79/6)</f>
        <v>60269.000000000007</v>
      </c>
      <c r="E79" s="8">
        <f>(D79+C23)*(1+N13+D28+E60)</f>
        <v>73482.207999999999</v>
      </c>
      <c r="F79" s="19">
        <f>MIN(B12+D57,100%)</f>
        <v>0.86180000000000001</v>
      </c>
      <c r="G79" s="19">
        <f>(C12+M23)*(1+F59)</f>
        <v>3.6176000000000004</v>
      </c>
      <c r="H79" s="39"/>
      <c r="I79" s="41"/>
      <c r="J79" s="38"/>
      <c r="K79" s="42"/>
      <c r="L79" s="42"/>
      <c r="M79" s="42"/>
    </row>
    <row r="81" spans="2:13" x14ac:dyDescent="0.3">
      <c r="B81" s="38" t="s">
        <v>59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x14ac:dyDescent="0.3">
      <c r="B82" s="38" t="s">
        <v>5</v>
      </c>
      <c r="C82" s="38"/>
      <c r="D82" s="38"/>
      <c r="E82" s="38"/>
      <c r="F82" s="38" t="s">
        <v>13</v>
      </c>
      <c r="G82" s="38"/>
      <c r="H82" s="7" t="s">
        <v>17</v>
      </c>
      <c r="I82" s="7" t="s">
        <v>49</v>
      </c>
      <c r="J82" s="38" t="s">
        <v>50</v>
      </c>
      <c r="K82" s="38" t="s">
        <v>51</v>
      </c>
      <c r="L82" s="38"/>
      <c r="M82" s="38"/>
    </row>
    <row r="83" spans="2:13" x14ac:dyDescent="0.3">
      <c r="B83" s="18" t="s">
        <v>0</v>
      </c>
      <c r="C83" s="13" t="s">
        <v>8</v>
      </c>
      <c r="D83" s="13" t="s">
        <v>7</v>
      </c>
      <c r="E83" s="13" t="s">
        <v>6</v>
      </c>
      <c r="F83" s="13" t="s">
        <v>14</v>
      </c>
      <c r="G83" s="13" t="s">
        <v>15</v>
      </c>
      <c r="H83" s="39">
        <f>E12+K41+D67</f>
        <v>0.45099999999999996</v>
      </c>
      <c r="I83" s="40">
        <f>((1+I41)*(1+E46)*(1+C65)*(1+E65)*(1+G65)*(1+H65))-1</f>
        <v>3.8745599999999936E-2</v>
      </c>
      <c r="J83" s="38"/>
      <c r="K83" s="42">
        <f>E84*(1+H83)*(1+I83)*(1*(1-F84)+G84*F84)</f>
        <v>365810.13479435112</v>
      </c>
      <c r="L83" s="42"/>
      <c r="M83" s="42"/>
    </row>
    <row r="84" spans="2:13" x14ac:dyDescent="0.3">
      <c r="B84" s="8">
        <f>J4+E41</f>
        <v>76665</v>
      </c>
      <c r="C84" s="8">
        <f>(M5+G41)*(1+M4)</f>
        <v>292873.56569443527</v>
      </c>
      <c r="D84" s="8">
        <f>SQRT(B84*C84/6)</f>
        <v>61173.458179676636</v>
      </c>
      <c r="E84" s="8">
        <f>(D84+C41)*(1+N13+D46+E69)</f>
        <v>74544.40368621223</v>
      </c>
      <c r="F84" s="19">
        <f>MIN(B12+D66,100%)</f>
        <v>0.86180000000000001</v>
      </c>
      <c r="G84" s="19">
        <f>(C12+M41)*(1+F68)</f>
        <v>3.6176000000000004</v>
      </c>
      <c r="H84" s="39"/>
      <c r="I84" s="41"/>
      <c r="J84" s="38"/>
      <c r="K84" s="42"/>
      <c r="L84" s="42"/>
      <c r="M84" s="42"/>
    </row>
  </sheetData>
  <sheetProtection algorithmName="SHA-512" hashValue="mfIshBYFcEoc3DPDCee7vWv0KiPx0tHvG8VS1e/4WoYjxf/EYQUqRKirLXFlXYFQHWflgEjdkYT9ihHJ7mmxhQ==" saltValue="QZE7DqCtE3fuML9s2B+BEw==" spinCount="100000" sheet="1" objects="1" scenarios="1" selectLockedCells="1"/>
  <mergeCells count="59">
    <mergeCell ref="B2:E2"/>
    <mergeCell ref="F2:J2"/>
    <mergeCell ref="K2:M2"/>
    <mergeCell ref="B8:M8"/>
    <mergeCell ref="B10:C10"/>
    <mergeCell ref="E10:H10"/>
    <mergeCell ref="J10:M10"/>
    <mergeCell ref="B24:G24"/>
    <mergeCell ref="H24:I24"/>
    <mergeCell ref="J24:M24"/>
    <mergeCell ref="H42:I42"/>
    <mergeCell ref="J42:M42"/>
    <mergeCell ref="B25:E25"/>
    <mergeCell ref="F25:M27"/>
    <mergeCell ref="B30:M31"/>
    <mergeCell ref="B15:M15"/>
    <mergeCell ref="B16:C16"/>
    <mergeCell ref="D16:E16"/>
    <mergeCell ref="F16:G16"/>
    <mergeCell ref="H16:I16"/>
    <mergeCell ref="J16:K16"/>
    <mergeCell ref="L16:M16"/>
    <mergeCell ref="B72:E72"/>
    <mergeCell ref="F72:G72"/>
    <mergeCell ref="J72:J74"/>
    <mergeCell ref="K72:M72"/>
    <mergeCell ref="H73:H74"/>
    <mergeCell ref="I73:I74"/>
    <mergeCell ref="K73:M74"/>
    <mergeCell ref="B51:M51"/>
    <mergeCell ref="B71:M71"/>
    <mergeCell ref="B33:M33"/>
    <mergeCell ref="B34:C34"/>
    <mergeCell ref="D34:E34"/>
    <mergeCell ref="F34:G34"/>
    <mergeCell ref="H34:I34"/>
    <mergeCell ref="J34:K34"/>
    <mergeCell ref="L34:M34"/>
    <mergeCell ref="B43:E43"/>
    <mergeCell ref="F43:M45"/>
    <mergeCell ref="B48:M49"/>
    <mergeCell ref="B53:H53"/>
    <mergeCell ref="B62:H62"/>
    <mergeCell ref="B81:M81"/>
    <mergeCell ref="B82:E82"/>
    <mergeCell ref="F82:G82"/>
    <mergeCell ref="J82:J84"/>
    <mergeCell ref="K82:M82"/>
    <mergeCell ref="H83:H84"/>
    <mergeCell ref="I83:I84"/>
    <mergeCell ref="K83:M84"/>
    <mergeCell ref="B76:M76"/>
    <mergeCell ref="B77:E77"/>
    <mergeCell ref="F77:G77"/>
    <mergeCell ref="J77:J79"/>
    <mergeCell ref="K77:M77"/>
    <mergeCell ref="H78:H79"/>
    <mergeCell ref="I78:I79"/>
    <mergeCell ref="K78:M79"/>
  </mergeCells>
  <phoneticPr fontId="2" type="noConversion"/>
  <dataValidations count="8">
    <dataValidation type="whole" allowBlank="1" showInputMessage="1" showErrorMessage="1" errorTitle="빡대가리야" error="미활성이면 0, 1단계면 1, 2단계면 2를 입력해 다른거 입력하지말고" sqref="C27 C45" xr:uid="{F9CC35C9-478C-4DA1-9DE7-E180BB8983BF}">
      <formula1>0</formula1>
      <formula2>2</formula2>
    </dataValidation>
    <dataValidation type="whole" allowBlank="1" showInputMessage="1" showErrorMessage="1" errorTitle="빡대가리야" error="추가피해를 어떻게 여러개 끼냐" sqref="K18:K22 K36:K40" xr:uid="{3E819BB0-FBF3-40C9-A8BB-26577CBA8273}">
      <formula1>0</formula1>
      <formula2>1</formula2>
    </dataValidation>
    <dataValidation type="whole" allowBlank="1" showInputMessage="1" showErrorMessage="1" errorTitle="빡대가리야" error="보스피해를 어떻게 여러개 끼냐" sqref="I18:I22 I36:I40" xr:uid="{2C443460-038D-479B-9134-1DB273437600}">
      <formula1>0</formula1>
      <formula2>1</formula2>
    </dataValidation>
    <dataValidation type="whole" allowBlank="1" showInputMessage="1" showErrorMessage="1" errorTitle="빡대가리야" error="치명타피해를 어떻게 여러개 끼냐" sqref="M18:M22 M36:M40" xr:uid="{9605B5B5-EFE8-4601-BAE5-00E5081F8761}">
      <formula1>0</formula1>
      <formula2>1</formula2>
    </dataValidation>
    <dataValidation type="whole" allowBlank="1" showInputMessage="1" showErrorMessage="1" errorTitle="빡대가리야" error="1~5레벨 까지밖에 없는데 뭘입력하고 있누" sqref="D27:E27 D45:E45" xr:uid="{1966B353-2F53-4F47-B36F-6EBD21F8175D}">
      <formula1>0</formula1>
      <formula2>5</formula2>
    </dataValidation>
    <dataValidation type="list" allowBlank="1" showInputMessage="1" showErrorMessage="1" errorTitle="빡대가리야" error="목록에 있는걸 골라라 좀" sqref="B45 B27" xr:uid="{8AC83228-6D35-4A2C-9C3C-F377792D80F9}">
      <formula1>"강맹, 달인, 선봉대, 회심, 칼날방패, 행운"</formula1>
    </dataValidation>
    <dataValidation type="whole" allowBlank="1" showInputMessage="1" showErrorMessage="1" errorTitle="빡대가리야" error="각인레벨은 0~3까지야" sqref="J12:L12" xr:uid="{11A0B7B3-B5B3-46F0-9E4F-0C6009FF6940}">
      <formula1>0</formula1>
      <formula2>3</formula2>
    </dataValidation>
    <dataValidation type="whole" allowBlank="1" showInputMessage="1" showErrorMessage="1" errorTitle="빡대가리야" error="추가피해 보유수량이 1개를 초과하는데?" sqref="J23 H23 L23 J41 H41 L41" xr:uid="{28D3C3E5-D170-44B2-929B-ECE5A164D425}">
      <formula1>1</formula1>
      <formula2>1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8E11-0056-4B6B-B16F-B1136B6064F6}">
  <dimension ref="B1:G36"/>
  <sheetViews>
    <sheetView showGridLines="0" topLeftCell="A5" zoomScale="85" zoomScaleNormal="85" workbookViewId="0">
      <selection activeCell="B8" sqref="B8"/>
    </sheetView>
  </sheetViews>
  <sheetFormatPr defaultRowHeight="16.5" x14ac:dyDescent="0.3"/>
  <cols>
    <col min="1" max="1" width="3" customWidth="1"/>
    <col min="2" max="9" width="10.625" customWidth="1"/>
  </cols>
  <sheetData>
    <row r="1" spans="2:7" hidden="1" x14ac:dyDescent="0.3">
      <c r="B1" s="44" t="s">
        <v>69</v>
      </c>
      <c r="C1" s="44"/>
      <c r="D1" s="44" t="s">
        <v>68</v>
      </c>
      <c r="E1" s="44"/>
    </row>
    <row r="2" spans="2:7" hidden="1" x14ac:dyDescent="0.3">
      <c r="B2" s="34">
        <f>SQRT(B3*B4/6)</f>
        <v>59720.111645575482</v>
      </c>
      <c r="C2" s="34">
        <f>SQRT(C3*C4/6)</f>
        <v>60603.657709415529</v>
      </c>
      <c r="D2" s="34">
        <f>SQRT(D3*D4/6)</f>
        <v>53904.641479189901</v>
      </c>
      <c r="E2" s="34">
        <f>SQRT(E3*E4/6)</f>
        <v>54784.417909300202</v>
      </c>
    </row>
    <row r="3" spans="2:7" hidden="1" x14ac:dyDescent="0.3">
      <c r="B3" s="34">
        <f>(43150+45924+34520+37294+51780+12546+9758+9758+9061+9061+2000)*1.08</f>
        <v>286040.16000000003</v>
      </c>
      <c r="C3" s="34">
        <f>B3</f>
        <v>286040.16000000003</v>
      </c>
      <c r="D3" s="34">
        <f>C26</f>
        <v>257279.11926686738</v>
      </c>
      <c r="E3" s="34">
        <f>D3</f>
        <v>257279.11926686738</v>
      </c>
    </row>
    <row r="4" spans="2:7" hidden="1" x14ac:dyDescent="0.3">
      <c r="B4">
        <v>74811</v>
      </c>
      <c r="C4">
        <f>B4+G22</f>
        <v>77041</v>
      </c>
      <c r="D4">
        <f>D26</f>
        <v>67764</v>
      </c>
      <c r="E4">
        <f>D26+G22</f>
        <v>69994</v>
      </c>
    </row>
    <row r="6" spans="2:7" x14ac:dyDescent="0.3">
      <c r="B6" s="37" t="s">
        <v>5</v>
      </c>
      <c r="C6" s="51" t="s">
        <v>0</v>
      </c>
      <c r="D6" s="52"/>
      <c r="E6" s="52"/>
      <c r="F6" s="51" t="s">
        <v>8</v>
      </c>
      <c r="G6" s="53"/>
    </row>
    <row r="7" spans="2:7" x14ac:dyDescent="0.3">
      <c r="B7" s="6" t="s">
        <v>7</v>
      </c>
      <c r="C7" s="6" t="s">
        <v>1</v>
      </c>
      <c r="D7" s="6" t="s">
        <v>2</v>
      </c>
      <c r="E7" s="6" t="s">
        <v>3</v>
      </c>
      <c r="F7" s="6" t="s">
        <v>9</v>
      </c>
      <c r="G7" s="6" t="s">
        <v>54</v>
      </c>
    </row>
    <row r="8" spans="2:7" x14ac:dyDescent="0.3">
      <c r="B8" s="20">
        <v>54091</v>
      </c>
      <c r="C8" s="20">
        <v>67764</v>
      </c>
      <c r="D8" s="20">
        <v>0</v>
      </c>
      <c r="E8" s="7">
        <f>D18</f>
        <v>0</v>
      </c>
      <c r="F8" s="8">
        <f>(B8^2*6)/(C8+D8+E8)</f>
        <v>259061.11926686738</v>
      </c>
      <c r="G8" s="31">
        <v>0.08</v>
      </c>
    </row>
    <row r="10" spans="2:7" x14ac:dyDescent="0.3">
      <c r="B10" s="51" t="s">
        <v>55</v>
      </c>
      <c r="C10" s="52"/>
      <c r="D10" s="52"/>
      <c r="E10" s="52"/>
      <c r="F10" s="52"/>
      <c r="G10" s="53"/>
    </row>
    <row r="11" spans="2:7" x14ac:dyDescent="0.3">
      <c r="B11" s="56" t="s">
        <v>0</v>
      </c>
      <c r="C11" s="57"/>
      <c r="D11" s="58"/>
      <c r="E11" s="56" t="s">
        <v>8</v>
      </c>
      <c r="F11" s="57"/>
      <c r="G11" s="58"/>
    </row>
    <row r="12" spans="2:7" x14ac:dyDescent="0.3">
      <c r="B12" s="61" t="s">
        <v>27</v>
      </c>
      <c r="C12" s="62"/>
      <c r="D12" s="6" t="s">
        <v>28</v>
      </c>
      <c r="E12" s="61" t="s">
        <v>27</v>
      </c>
      <c r="F12" s="62"/>
      <c r="G12" s="6" t="s">
        <v>28</v>
      </c>
    </row>
    <row r="13" spans="2:7" x14ac:dyDescent="0.3">
      <c r="B13" s="59" t="s">
        <v>26</v>
      </c>
      <c r="C13" s="60"/>
      <c r="D13" s="20">
        <v>0</v>
      </c>
      <c r="E13" s="59" t="s">
        <v>26</v>
      </c>
      <c r="F13" s="60"/>
      <c r="G13" s="20">
        <v>0</v>
      </c>
    </row>
    <row r="14" spans="2:7" x14ac:dyDescent="0.3">
      <c r="B14" s="59" t="s">
        <v>29</v>
      </c>
      <c r="C14" s="60"/>
      <c r="D14" s="20">
        <v>0</v>
      </c>
      <c r="E14" s="59" t="s">
        <v>29</v>
      </c>
      <c r="F14" s="60"/>
      <c r="G14" s="20">
        <v>1</v>
      </c>
    </row>
    <row r="15" spans="2:7" x14ac:dyDescent="0.3">
      <c r="B15" s="59" t="s">
        <v>30</v>
      </c>
      <c r="C15" s="60"/>
      <c r="D15" s="20">
        <v>0</v>
      </c>
      <c r="E15" s="59" t="s">
        <v>30</v>
      </c>
      <c r="F15" s="60"/>
      <c r="G15" s="20">
        <v>0</v>
      </c>
    </row>
    <row r="16" spans="2:7" x14ac:dyDescent="0.3">
      <c r="B16" s="59" t="s">
        <v>31</v>
      </c>
      <c r="C16" s="60"/>
      <c r="D16" s="20">
        <v>0</v>
      </c>
      <c r="E16" s="59" t="s">
        <v>31</v>
      </c>
      <c r="F16" s="60"/>
      <c r="G16" s="20">
        <v>0</v>
      </c>
    </row>
    <row r="17" spans="2:7" x14ac:dyDescent="0.3">
      <c r="B17" s="59" t="s">
        <v>32</v>
      </c>
      <c r="C17" s="60"/>
      <c r="D17" s="20">
        <v>0</v>
      </c>
      <c r="E17" s="59" t="s">
        <v>32</v>
      </c>
      <c r="F17" s="60"/>
      <c r="G17" s="20">
        <v>0</v>
      </c>
    </row>
    <row r="18" spans="2:7" hidden="1" x14ac:dyDescent="0.3">
      <c r="D18" s="1">
        <f>D13*236+D14*488+D15*740+D16*1110+D17*1480</f>
        <v>0</v>
      </c>
      <c r="E18" s="1"/>
      <c r="G18" s="1">
        <f>G13*864+G14*1782+G15*2700+G16*4050+G17*5400</f>
        <v>1782</v>
      </c>
    </row>
    <row r="20" spans="2:7" x14ac:dyDescent="0.3">
      <c r="B20" s="6" t="s">
        <v>61</v>
      </c>
      <c r="C20" s="6" t="s">
        <v>35</v>
      </c>
      <c r="D20" s="6" t="s">
        <v>36</v>
      </c>
      <c r="E20" s="6" t="s">
        <v>38</v>
      </c>
      <c r="F20" s="54" t="s">
        <v>62</v>
      </c>
      <c r="G20" s="54"/>
    </row>
    <row r="21" spans="2:7" x14ac:dyDescent="0.3">
      <c r="B21" s="23">
        <v>5</v>
      </c>
      <c r="C21" s="23">
        <v>5</v>
      </c>
      <c r="D21" s="25" t="s">
        <v>63</v>
      </c>
      <c r="E21" s="26">
        <v>2</v>
      </c>
      <c r="F21" s="55">
        <f>B22+C22+F22</f>
        <v>0.16</v>
      </c>
      <c r="G21" s="38"/>
    </row>
    <row r="22" spans="2:7" hidden="1" x14ac:dyDescent="0.3">
      <c r="B22" s="15">
        <f>IF(B21=1,0.96%,IF(B21=2,1.98%,IF(B21=3,3%,IF(B21=4,4.5%,IF(B21=5,6%,0)))))</f>
        <v>0.06</v>
      </c>
      <c r="C22" s="15">
        <f>IF(C21=1,0.64%,IF(C21=2,1.32%,IF(C21=3,2%,IF(C21=4,3%,IF(C21=5,4%,0)))))</f>
        <v>0.04</v>
      </c>
      <c r="D22" s="15">
        <f>IF(D21="선각자",8%,IF(D21="신념",8%,IF(D21="진군",0%,0)))</f>
        <v>0</v>
      </c>
      <c r="E22" s="15">
        <f>IF(D21="선각자",14%,IF(D21="신념",14%,IF(D21="진군",6%,0)))</f>
        <v>0.06</v>
      </c>
      <c r="F22" s="35">
        <f>IF(E21=1,D22,IF(E21=2,E22,0))</f>
        <v>0.06</v>
      </c>
      <c r="G22" s="1">
        <f>IF(D21="진군",IF(E21&gt;=1,2230,0),0)</f>
        <v>2230</v>
      </c>
    </row>
    <row r="23" spans="2:7" x14ac:dyDescent="0.3">
      <c r="D23" s="15"/>
    </row>
    <row r="24" spans="2:7" x14ac:dyDescent="0.3">
      <c r="B24" s="56" t="s">
        <v>57</v>
      </c>
      <c r="C24" s="57"/>
      <c r="D24" s="57"/>
      <c r="E24" s="57"/>
      <c r="F24" s="57"/>
      <c r="G24" s="58"/>
    </row>
    <row r="25" spans="2:7" x14ac:dyDescent="0.3">
      <c r="B25" s="36" t="s">
        <v>7</v>
      </c>
      <c r="C25" s="36" t="s">
        <v>8</v>
      </c>
      <c r="D25" s="36" t="s">
        <v>0</v>
      </c>
      <c r="E25" s="36" t="s">
        <v>67</v>
      </c>
      <c r="F25" s="56" t="s">
        <v>66</v>
      </c>
      <c r="G25" s="58"/>
    </row>
    <row r="26" spans="2:7" x14ac:dyDescent="0.3">
      <c r="B26" s="8">
        <f>SQRT(C26*D26/6)</f>
        <v>53904.641479189901</v>
      </c>
      <c r="C26" s="8">
        <f>F8-G18</f>
        <v>257279.11926686738</v>
      </c>
      <c r="D26" s="7">
        <f>C8</f>
        <v>67764</v>
      </c>
      <c r="E26" s="8">
        <f>(D2+(B26*0.15))*1.06</f>
        <v>65709.757963132492</v>
      </c>
      <c r="F26" s="69">
        <f>(B2+(B26*0.15))*1.06</f>
        <v>71874.15633950122</v>
      </c>
      <c r="G26" s="70"/>
    </row>
    <row r="28" spans="2:7" x14ac:dyDescent="0.3">
      <c r="B28" s="56" t="s">
        <v>56</v>
      </c>
      <c r="C28" s="57"/>
      <c r="D28" s="57"/>
      <c r="E28" s="57"/>
      <c r="F28" s="57"/>
      <c r="G28" s="58"/>
    </row>
    <row r="29" spans="2:7" x14ac:dyDescent="0.3">
      <c r="B29" s="36" t="s">
        <v>7</v>
      </c>
      <c r="C29" s="36" t="s">
        <v>8</v>
      </c>
      <c r="D29" s="36" t="s">
        <v>0</v>
      </c>
      <c r="E29" s="36" t="s">
        <v>67</v>
      </c>
      <c r="F29" s="56" t="s">
        <v>64</v>
      </c>
      <c r="G29" s="58"/>
    </row>
    <row r="30" spans="2:7" x14ac:dyDescent="0.3">
      <c r="B30" s="8">
        <f>SQRT(C30*D30/6)</f>
        <v>54091</v>
      </c>
      <c r="C30" s="8">
        <f>F8</f>
        <v>259061.11926686738</v>
      </c>
      <c r="D30" s="7">
        <f>C8+D8+E8</f>
        <v>67764</v>
      </c>
      <c r="E30" s="8">
        <f>(E2+(B30*0.15*(1+F21)))*1.06</f>
        <v>68048.027023858216</v>
      </c>
      <c r="F30" s="69">
        <f>(C2+(B30*0.15*(1+F21)))*1.06</f>
        <v>74216.421211980458</v>
      </c>
      <c r="G30" s="70"/>
    </row>
    <row r="32" spans="2:7" x14ac:dyDescent="0.3">
      <c r="B32" s="63" t="str">
        <f>"올25강 딜러 대상으로 "&amp;ROUNDUP(((F30/F26)-1)*100,2)&amp;"% 딜 증가"</f>
        <v>올25강 딜러 대상으로 3.26% 딜 증가</v>
      </c>
      <c r="C32" s="64"/>
      <c r="D32" s="64"/>
      <c r="E32" s="64"/>
      <c r="F32" s="64"/>
      <c r="G32" s="65"/>
    </row>
    <row r="33" spans="2:7" x14ac:dyDescent="0.3">
      <c r="B33" s="66"/>
      <c r="C33" s="67"/>
      <c r="D33" s="67"/>
      <c r="E33" s="67"/>
      <c r="F33" s="67"/>
      <c r="G33" s="68"/>
    </row>
    <row r="35" spans="2:7" x14ac:dyDescent="0.3">
      <c r="B35" s="63" t="str">
        <f>"동스펙 딜러 대상으로 "&amp;ROUNDUP(((E30/E26)-1)*100,2)&amp;"% 딜 증가"</f>
        <v>동스펙 딜러 대상으로 3.56% 딜 증가</v>
      </c>
      <c r="C35" s="64"/>
      <c r="D35" s="64"/>
      <c r="E35" s="64"/>
      <c r="F35" s="64"/>
      <c r="G35" s="65"/>
    </row>
    <row r="36" spans="2:7" x14ac:dyDescent="0.3">
      <c r="B36" s="66"/>
      <c r="C36" s="67"/>
      <c r="D36" s="67"/>
      <c r="E36" s="67"/>
      <c r="F36" s="67"/>
      <c r="G36" s="68"/>
    </row>
  </sheetData>
  <sheetProtection algorithmName="SHA-512" hashValue="NfVroGRGanWYYOflZPb2pFvUXjKuUE7Laywm/mifhm2StQepydSuHwNUH3o07VJgZmIXgr+q2RrjWFgekEzfVQ==" saltValue="YdaHK2CI8GZBpA4eo6yCnw==" spinCount="100000" sheet="1" objects="1" scenarios="1" selectLockedCells="1"/>
  <mergeCells count="29">
    <mergeCell ref="C6:E6"/>
    <mergeCell ref="F6:G6"/>
    <mergeCell ref="B1:C1"/>
    <mergeCell ref="D1:E1"/>
    <mergeCell ref="B35:G36"/>
    <mergeCell ref="B32:G33"/>
    <mergeCell ref="F25:G25"/>
    <mergeCell ref="F26:G26"/>
    <mergeCell ref="B24:G24"/>
    <mergeCell ref="F29:G29"/>
    <mergeCell ref="F30:G30"/>
    <mergeCell ref="B28:G28"/>
    <mergeCell ref="B10:G10"/>
    <mergeCell ref="F20:G20"/>
    <mergeCell ref="F21:G21"/>
    <mergeCell ref="E11:G11"/>
    <mergeCell ref="B11:D11"/>
    <mergeCell ref="E15:F15"/>
    <mergeCell ref="E16:F16"/>
    <mergeCell ref="E17:F17"/>
    <mergeCell ref="B12:C12"/>
    <mergeCell ref="B13:C13"/>
    <mergeCell ref="B14:C14"/>
    <mergeCell ref="B15:C15"/>
    <mergeCell ref="B16:C16"/>
    <mergeCell ref="B17:C17"/>
    <mergeCell ref="E12:F12"/>
    <mergeCell ref="E13:F13"/>
    <mergeCell ref="E14:F14"/>
  </mergeCells>
  <phoneticPr fontId="2" type="noConversion"/>
  <dataValidations count="3">
    <dataValidation type="whole" allowBlank="1" showInputMessage="1" showErrorMessage="1" errorTitle="빡대가리야" error="미활성이면 0, 1단계면 1, 2단계면 2를 입력해 다른거 입력하지말고" sqref="E21" xr:uid="{41FE0236-E4F4-43CC-A8F4-B08E03AC4B44}">
      <formula1>0</formula1>
      <formula2>2</formula2>
    </dataValidation>
    <dataValidation type="list" allowBlank="1" showInputMessage="1" showErrorMessage="1" errorTitle="빡대가리야" error="목록에 있는걸 골라라 좀" sqref="D21" xr:uid="{3E0619EF-62BF-48A9-84C4-64160DA81FDF}">
      <formula1>"선각자, 신념, 진군"</formula1>
    </dataValidation>
    <dataValidation type="whole" allowBlank="1" showInputMessage="1" showErrorMessage="1" errorTitle="빡대가리야" error="1~5레벨 까지밖에 없는데 뭘입력하고 있누" sqref="B21:C21" xr:uid="{DFC14D52-26FD-4818-A479-99A0F9926C64}">
      <formula1>0</formula1>
      <formula2>5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딜러 엘릭서 효율 계산</vt:lpstr>
      <vt:lpstr>서폿 엘릭서 효율계산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CGS-PLAN</dc:creator>
  <cp:lastModifiedBy>CGS-PLAN</cp:lastModifiedBy>
  <dcterms:created xsi:type="dcterms:W3CDTF">2023-03-23T23:38:12Z</dcterms:created>
  <dcterms:modified xsi:type="dcterms:W3CDTF">2023-05-02T00:24:52Z</dcterms:modified>
</cp:coreProperties>
</file>