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박중민\t\"/>
    </mc:Choice>
  </mc:AlternateContent>
  <xr:revisionPtr revIDLastSave="0" documentId="13_ncr:1_{B603035C-4B12-4691-A04A-E6335CFE86F6}" xr6:coauthVersionLast="47" xr6:coauthVersionMax="47" xr10:uidLastSave="{00000000-0000-0000-0000-000000000000}"/>
  <bookViews>
    <workbookView xWindow="-51" yWindow="-51" windowWidth="33017" windowHeight="18617" xr2:uid="{00000000-000D-0000-FFFF-FFFF00000000}"/>
  </bookViews>
  <sheets>
    <sheet name="입력란" sheetId="7" r:id="rId1"/>
    <sheet name="DPS표" sheetId="1" r:id="rId2"/>
    <sheet name="트라이포드" sheetId="6" r:id="rId3"/>
    <sheet name="스킬 계수" sheetId="2" r:id="rId4"/>
    <sheet name="업데이트 내역" sheetId="8" r:id="rId5"/>
  </sheets>
  <definedNames>
    <definedName name="_xlnm._FilterDatabase" localSheetId="1" hidden="1">DPS표!$B$15:$AQ$688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" l="1"/>
  <c r="P21" i="2"/>
  <c r="P22" i="2"/>
  <c r="P23" i="2"/>
  <c r="P24" i="2"/>
  <c r="P19" i="2"/>
  <c r="S20" i="2"/>
  <c r="S21" i="2"/>
  <c r="S22" i="2"/>
  <c r="S23" i="2"/>
  <c r="S24" i="2"/>
  <c r="S19" i="2"/>
  <c r="AI19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C20" i="2"/>
  <c r="AC21" i="2"/>
  <c r="AC22" i="2"/>
  <c r="AC23" i="2"/>
  <c r="AC24" i="2"/>
  <c r="AC19" i="2"/>
  <c r="AA19" i="2"/>
  <c r="AA20" i="2"/>
  <c r="AA21" i="2"/>
  <c r="AA22" i="2"/>
  <c r="AA23" i="2"/>
  <c r="AA24" i="2"/>
  <c r="Z20" i="2"/>
  <c r="Z21" i="2"/>
  <c r="Z22" i="2"/>
  <c r="Z23" i="2"/>
  <c r="Z24" i="2"/>
  <c r="Z19" i="2"/>
  <c r="U19" i="2"/>
  <c r="V19" i="2"/>
  <c r="U20" i="2"/>
  <c r="V20" i="2"/>
  <c r="U21" i="2"/>
  <c r="V21" i="2"/>
  <c r="U22" i="2"/>
  <c r="V22" i="2"/>
  <c r="U23" i="2"/>
  <c r="V23" i="2"/>
  <c r="U24" i="2"/>
  <c r="V24" i="2"/>
  <c r="T20" i="2"/>
  <c r="T21" i="2"/>
  <c r="T22" i="2"/>
  <c r="T23" i="2"/>
  <c r="T24" i="2"/>
  <c r="T19" i="2"/>
  <c r="P8" i="7"/>
  <c r="P22" i="7"/>
  <c r="R16" i="6" l="1"/>
  <c r="P16" i="6"/>
  <c r="N16" i="6"/>
  <c r="L16" i="6"/>
  <c r="I16" i="6"/>
  <c r="AL236" i="1"/>
  <c r="AJ236" i="1"/>
  <c r="AL235" i="1"/>
  <c r="AJ235" i="1"/>
  <c r="AL234" i="1"/>
  <c r="AJ234" i="1"/>
  <c r="AL233" i="1"/>
  <c r="AJ233" i="1"/>
  <c r="AL232" i="1"/>
  <c r="AJ232" i="1"/>
  <c r="AL231" i="1"/>
  <c r="AJ231" i="1"/>
  <c r="AL230" i="1"/>
  <c r="AJ230" i="1"/>
  <c r="AL229" i="1"/>
  <c r="AJ229" i="1"/>
  <c r="AL228" i="1"/>
  <c r="AJ228" i="1"/>
  <c r="AL227" i="1"/>
  <c r="AJ227" i="1"/>
  <c r="AL226" i="1"/>
  <c r="AJ226" i="1"/>
  <c r="AL225" i="1"/>
  <c r="AJ225" i="1"/>
  <c r="AL224" i="1"/>
  <c r="AJ224" i="1"/>
  <c r="AL223" i="1"/>
  <c r="AJ223" i="1"/>
  <c r="AL222" i="1"/>
  <c r="AJ222" i="1"/>
  <c r="AJ237" i="1"/>
  <c r="AL237" i="1"/>
  <c r="AJ238" i="1"/>
  <c r="AL238" i="1"/>
  <c r="AJ239" i="1"/>
  <c r="AL239" i="1"/>
  <c r="AJ240" i="1"/>
  <c r="AL240" i="1"/>
  <c r="AJ241" i="1"/>
  <c r="AL241" i="1"/>
  <c r="AJ242" i="1"/>
  <c r="AL242" i="1"/>
  <c r="AL243" i="1"/>
  <c r="AJ244" i="1"/>
  <c r="AL244" i="1"/>
  <c r="AJ245" i="1"/>
  <c r="AL245" i="1"/>
  <c r="AL246" i="1"/>
  <c r="AL247" i="1"/>
  <c r="AJ248" i="1"/>
  <c r="AL248" i="1"/>
  <c r="AJ249" i="1"/>
  <c r="AL249" i="1"/>
  <c r="AJ250" i="1"/>
  <c r="AL250" i="1"/>
  <c r="AJ251" i="1"/>
  <c r="AL251" i="1"/>
  <c r="AJ252" i="1"/>
  <c r="AL252" i="1"/>
  <c r="AL253" i="1"/>
  <c r="AL254" i="1"/>
  <c r="AJ255" i="1"/>
  <c r="AL255" i="1"/>
  <c r="AJ256" i="1"/>
  <c r="AL256" i="1"/>
  <c r="AJ257" i="1"/>
  <c r="AL257" i="1"/>
  <c r="AJ258" i="1"/>
  <c r="AL258" i="1"/>
  <c r="R18" i="6"/>
  <c r="P18" i="6"/>
  <c r="K18" i="6" l="1"/>
  <c r="J18" i="6"/>
  <c r="I18" i="6"/>
  <c r="AL318" i="1"/>
  <c r="AJ318" i="1"/>
  <c r="AL317" i="1"/>
  <c r="AJ317" i="1"/>
  <c r="AL316" i="1"/>
  <c r="AJ316" i="1"/>
  <c r="AL315" i="1"/>
  <c r="AJ315" i="1"/>
  <c r="AL314" i="1"/>
  <c r="AJ314" i="1"/>
  <c r="AL313" i="1"/>
  <c r="AJ313" i="1"/>
  <c r="AL312" i="1"/>
  <c r="AJ312" i="1"/>
  <c r="AL311" i="1"/>
  <c r="AJ311" i="1"/>
  <c r="AL310" i="1"/>
  <c r="AJ310" i="1"/>
  <c r="AL309" i="1"/>
  <c r="AJ309" i="1"/>
  <c r="AL308" i="1"/>
  <c r="AJ308" i="1"/>
  <c r="AL307" i="1"/>
  <c r="AJ307" i="1"/>
  <c r="AL306" i="1"/>
  <c r="AJ306" i="1"/>
  <c r="AL305" i="1"/>
  <c r="AJ305" i="1"/>
  <c r="AL304" i="1"/>
  <c r="AJ304" i="1"/>
  <c r="Q19" i="2"/>
  <c r="Q20" i="2"/>
  <c r="Q21" i="2"/>
  <c r="Q22" i="2"/>
  <c r="Q23" i="2"/>
  <c r="Q24" i="2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289" i="1"/>
  <c r="AL291" i="1"/>
  <c r="R24" i="6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44" i="1"/>
  <c r="P24" i="6"/>
  <c r="AL571" i="1"/>
  <c r="AL570" i="1"/>
  <c r="AL569" i="1"/>
  <c r="N24" i="6"/>
  <c r="N25" i="6"/>
  <c r="L24" i="6"/>
  <c r="J24" i="6"/>
  <c r="J26" i="6"/>
  <c r="R25" i="6"/>
  <c r="P25" i="6"/>
  <c r="AL595" i="1"/>
  <c r="AJ595" i="1"/>
  <c r="AG595" i="1"/>
  <c r="AF595" i="1"/>
  <c r="AL594" i="1"/>
  <c r="AJ594" i="1"/>
  <c r="AG594" i="1"/>
  <c r="AF594" i="1"/>
  <c r="AL593" i="1"/>
  <c r="AJ593" i="1"/>
  <c r="AG593" i="1"/>
  <c r="AF593" i="1"/>
  <c r="AL592" i="1"/>
  <c r="AJ592" i="1"/>
  <c r="AG592" i="1"/>
  <c r="AF592" i="1"/>
  <c r="AL591" i="1"/>
  <c r="AJ591" i="1"/>
  <c r="AG591" i="1"/>
  <c r="AF591" i="1"/>
  <c r="AL590" i="1"/>
  <c r="AJ590" i="1"/>
  <c r="AG590" i="1"/>
  <c r="AF590" i="1"/>
  <c r="AL589" i="1"/>
  <c r="AJ589" i="1"/>
  <c r="AG589" i="1"/>
  <c r="AF589" i="1"/>
  <c r="AL588" i="1"/>
  <c r="AJ588" i="1"/>
  <c r="AG588" i="1"/>
  <c r="AF588" i="1"/>
  <c r="AL587" i="1"/>
  <c r="AJ587" i="1"/>
  <c r="AG587" i="1"/>
  <c r="AF587" i="1"/>
  <c r="AL586" i="1"/>
  <c r="AJ586" i="1"/>
  <c r="AG586" i="1"/>
  <c r="AF586" i="1"/>
  <c r="AL585" i="1"/>
  <c r="AJ585" i="1"/>
  <c r="AG585" i="1"/>
  <c r="AF585" i="1"/>
  <c r="AL584" i="1"/>
  <c r="AJ584" i="1"/>
  <c r="AG584" i="1"/>
  <c r="AF584" i="1"/>
  <c r="AL583" i="1"/>
  <c r="AJ583" i="1"/>
  <c r="AG583" i="1"/>
  <c r="AF583" i="1"/>
  <c r="AL582" i="1"/>
  <c r="AJ582" i="1"/>
  <c r="AG582" i="1"/>
  <c r="AF582" i="1"/>
  <c r="AL581" i="1"/>
  <c r="AJ581" i="1"/>
  <c r="AG581" i="1"/>
  <c r="AF581" i="1"/>
  <c r="J25" i="6"/>
  <c r="N22" i="6"/>
  <c r="J21" i="6"/>
  <c r="P21" i="6"/>
  <c r="N21" i="6"/>
  <c r="E21" i="6"/>
  <c r="AL420" i="1"/>
  <c r="AJ420" i="1"/>
  <c r="AL419" i="1"/>
  <c r="AJ419" i="1"/>
  <c r="AL418" i="1"/>
  <c r="AJ418" i="1"/>
  <c r="AL417" i="1"/>
  <c r="AJ417" i="1"/>
  <c r="AL416" i="1"/>
  <c r="AJ416" i="1"/>
  <c r="AL415" i="1"/>
  <c r="AJ415" i="1"/>
  <c r="AL414" i="1"/>
  <c r="AJ414" i="1"/>
  <c r="AL413" i="1"/>
  <c r="AJ413" i="1"/>
  <c r="AL412" i="1"/>
  <c r="AJ412" i="1"/>
  <c r="AL411" i="1"/>
  <c r="AJ411" i="1"/>
  <c r="AL410" i="1"/>
  <c r="AJ410" i="1"/>
  <c r="AL409" i="1"/>
  <c r="AJ409" i="1"/>
  <c r="AL408" i="1"/>
  <c r="AJ408" i="1"/>
  <c r="AL407" i="1"/>
  <c r="AJ407" i="1"/>
  <c r="AL406" i="1"/>
  <c r="AJ406" i="1"/>
  <c r="AL405" i="1"/>
  <c r="AJ405" i="1"/>
  <c r="AL404" i="1"/>
  <c r="AJ404" i="1"/>
  <c r="AL403" i="1"/>
  <c r="AJ403" i="1"/>
  <c r="AL402" i="1"/>
  <c r="AJ402" i="1"/>
  <c r="AL401" i="1"/>
  <c r="AJ401" i="1"/>
  <c r="AL400" i="1"/>
  <c r="AJ400" i="1"/>
  <c r="AL399" i="1"/>
  <c r="AJ399" i="1"/>
  <c r="AL398" i="1"/>
  <c r="AJ398" i="1"/>
  <c r="AL397" i="1"/>
  <c r="AJ397" i="1"/>
  <c r="AL396" i="1"/>
  <c r="AJ396" i="1"/>
  <c r="AL395" i="1"/>
  <c r="AJ395" i="1"/>
  <c r="AL394" i="1"/>
  <c r="AJ394" i="1"/>
  <c r="AL393" i="1"/>
  <c r="AJ393" i="1"/>
  <c r="AL392" i="1"/>
  <c r="AJ392" i="1"/>
  <c r="AL391" i="1"/>
  <c r="AJ391" i="1"/>
  <c r="AL390" i="1"/>
  <c r="AJ390" i="1"/>
  <c r="AL389" i="1"/>
  <c r="AJ389" i="1"/>
  <c r="AL388" i="1"/>
  <c r="AJ388" i="1"/>
  <c r="F20" i="6"/>
  <c r="AL387" i="1"/>
  <c r="AJ387" i="1"/>
  <c r="AL386" i="1"/>
  <c r="AJ386" i="1"/>
  <c r="AL383" i="1"/>
  <c r="AJ383" i="1"/>
  <c r="AL382" i="1"/>
  <c r="AJ382" i="1"/>
  <c r="AL379" i="1"/>
  <c r="AJ379" i="1"/>
  <c r="AL378" i="1"/>
  <c r="AJ378" i="1"/>
  <c r="AL375" i="1"/>
  <c r="AJ375" i="1"/>
  <c r="AL374" i="1"/>
  <c r="AJ374" i="1"/>
  <c r="AL368" i="1"/>
  <c r="AJ368" i="1"/>
  <c r="AL367" i="1"/>
  <c r="AJ367" i="1"/>
  <c r="AL366" i="1"/>
  <c r="AJ366" i="1"/>
  <c r="AL365" i="1"/>
  <c r="AJ365" i="1"/>
  <c r="AL381" i="1"/>
  <c r="AJ381" i="1"/>
  <c r="AL380" i="1"/>
  <c r="AJ380" i="1"/>
  <c r="AL363" i="1"/>
  <c r="AJ363" i="1"/>
  <c r="AJ364" i="1"/>
  <c r="AL364" i="1"/>
  <c r="AL358" i="1"/>
  <c r="AJ358" i="1"/>
  <c r="P19" i="6"/>
  <c r="AL354" i="1" l="1"/>
  <c r="AL353" i="1"/>
  <c r="AL352" i="1"/>
  <c r="AL351" i="1"/>
  <c r="AJ351" i="1"/>
  <c r="AL350" i="1"/>
  <c r="AJ350" i="1"/>
  <c r="AL349" i="1"/>
  <c r="AJ349" i="1"/>
  <c r="AL348" i="1"/>
  <c r="AJ348" i="1"/>
  <c r="AL347" i="1"/>
  <c r="AJ347" i="1"/>
  <c r="AL346" i="1"/>
  <c r="AJ346" i="1"/>
  <c r="AL345" i="1"/>
  <c r="AJ345" i="1"/>
  <c r="AL344" i="1"/>
  <c r="AJ344" i="1"/>
  <c r="AL343" i="1"/>
  <c r="AJ343" i="1"/>
  <c r="AL342" i="1"/>
  <c r="AL341" i="1"/>
  <c r="AJ341" i="1"/>
  <c r="AL340" i="1"/>
  <c r="AJ340" i="1"/>
  <c r="AL339" i="1"/>
  <c r="AJ339" i="1"/>
  <c r="AL338" i="1"/>
  <c r="AJ338" i="1"/>
  <c r="AL337" i="1"/>
  <c r="AJ337" i="1"/>
  <c r="AL323" i="1"/>
  <c r="AJ323" i="1"/>
  <c r="L19" i="6"/>
  <c r="J19" i="6"/>
  <c r="P17" i="6"/>
  <c r="R12" i="6"/>
  <c r="P12" i="6"/>
  <c r="Q11" i="6"/>
  <c r="O11" i="6"/>
  <c r="P11" i="6"/>
  <c r="N11" i="6"/>
  <c r="J12" i="6"/>
  <c r="AL454" i="1"/>
  <c r="AL452" i="1"/>
  <c r="AL446" i="1"/>
  <c r="AL444" i="1"/>
  <c r="AL436" i="1"/>
  <c r="AL432" i="1"/>
  <c r="AL431" i="1"/>
  <c r="AL428" i="1"/>
  <c r="Y20" i="2" l="1"/>
  <c r="Y21" i="2"/>
  <c r="Y22" i="2"/>
  <c r="Y23" i="2"/>
  <c r="Y24" i="2"/>
  <c r="Y19" i="2"/>
  <c r="K19" i="2"/>
  <c r="K20" i="2"/>
  <c r="K21" i="2"/>
  <c r="K22" i="2"/>
  <c r="K23" i="2"/>
  <c r="K24" i="2"/>
  <c r="J20" i="2"/>
  <c r="J21" i="2"/>
  <c r="J22" i="2"/>
  <c r="J23" i="2"/>
  <c r="J24" i="2"/>
  <c r="J19" i="2"/>
  <c r="G20" i="2"/>
  <c r="G21" i="2"/>
  <c r="G22" i="2"/>
  <c r="G23" i="2"/>
  <c r="G24" i="2"/>
  <c r="G19" i="2"/>
  <c r="I20" i="2"/>
  <c r="I21" i="2"/>
  <c r="I22" i="2"/>
  <c r="I23" i="2"/>
  <c r="I24" i="2"/>
  <c r="I19" i="2"/>
  <c r="L21" i="6" l="1"/>
  <c r="AK224" i="1" l="1"/>
  <c r="AK234" i="1"/>
  <c r="AK233" i="1"/>
  <c r="AK248" i="1"/>
  <c r="AK236" i="1"/>
  <c r="AK222" i="1"/>
  <c r="AK238" i="1"/>
  <c r="AK249" i="1"/>
  <c r="AK229" i="1"/>
  <c r="AK256" i="1"/>
  <c r="AK251" i="1"/>
  <c r="AK232" i="1"/>
  <c r="AK231" i="1"/>
  <c r="AK230" i="1"/>
  <c r="AK255" i="1"/>
  <c r="AK242" i="1"/>
  <c r="AK258" i="1"/>
  <c r="AK254" i="1"/>
  <c r="AK235" i="1"/>
  <c r="AK223" i="1"/>
  <c r="AK240" i="1"/>
  <c r="AK245" i="1"/>
  <c r="AK250" i="1"/>
  <c r="AK246" i="1"/>
  <c r="AK241" i="1"/>
  <c r="AK237" i="1"/>
  <c r="AK257" i="1"/>
  <c r="AK253" i="1"/>
  <c r="AK244" i="1"/>
  <c r="AK227" i="1"/>
  <c r="AK228" i="1"/>
  <c r="AK226" i="1"/>
  <c r="AK243" i="1"/>
  <c r="AK225" i="1"/>
  <c r="AK247" i="1"/>
  <c r="AK252" i="1"/>
  <c r="AK239" i="1"/>
  <c r="AK318" i="1"/>
  <c r="AK307" i="1"/>
  <c r="AK591" i="1"/>
  <c r="AK570" i="1"/>
  <c r="AK311" i="1"/>
  <c r="AK590" i="1"/>
  <c r="AK305" i="1"/>
  <c r="AK584" i="1"/>
  <c r="AK312" i="1"/>
  <c r="AK571" i="1"/>
  <c r="AK594" i="1"/>
  <c r="AK317" i="1"/>
  <c r="AK306" i="1"/>
  <c r="AK587" i="1"/>
  <c r="AK583" i="1"/>
  <c r="AK316" i="1"/>
  <c r="AK569" i="1"/>
  <c r="AK582" i="1"/>
  <c r="AK291" i="1"/>
  <c r="AK588" i="1"/>
  <c r="AK581" i="1"/>
  <c r="AK593" i="1"/>
  <c r="AK314" i="1"/>
  <c r="AK313" i="1"/>
  <c r="AK310" i="1"/>
  <c r="AK586" i="1"/>
  <c r="AK595" i="1"/>
  <c r="AK304" i="1"/>
  <c r="AK308" i="1"/>
  <c r="AK315" i="1"/>
  <c r="AK592" i="1"/>
  <c r="AK585" i="1"/>
  <c r="AK589" i="1"/>
  <c r="AK309" i="1"/>
  <c r="AK410" i="1"/>
  <c r="AK396" i="1"/>
  <c r="AK414" i="1"/>
  <c r="AK392" i="1"/>
  <c r="AK403" i="1"/>
  <c r="AK388" i="1"/>
  <c r="AK382" i="1"/>
  <c r="AK401" i="1"/>
  <c r="AK389" i="1"/>
  <c r="AK406" i="1"/>
  <c r="AK368" i="1"/>
  <c r="AK364" i="1"/>
  <c r="AK397" i="1"/>
  <c r="AK415" i="1"/>
  <c r="AK404" i="1"/>
  <c r="AK383" i="1"/>
  <c r="AK407" i="1"/>
  <c r="AK381" i="1"/>
  <c r="AK380" i="1"/>
  <c r="AK413" i="1"/>
  <c r="AK395" i="1"/>
  <c r="AK409" i="1"/>
  <c r="AK417" i="1"/>
  <c r="AK391" i="1"/>
  <c r="AK379" i="1"/>
  <c r="AK420" i="1"/>
  <c r="AK399" i="1"/>
  <c r="AK367" i="1"/>
  <c r="AK363" i="1"/>
  <c r="AK412" i="1"/>
  <c r="AK358" i="1"/>
  <c r="AK387" i="1"/>
  <c r="AK394" i="1"/>
  <c r="AK378" i="1"/>
  <c r="AK365" i="1"/>
  <c r="AK402" i="1"/>
  <c r="AK398" i="1"/>
  <c r="AK366" i="1"/>
  <c r="AK390" i="1"/>
  <c r="AK416" i="1"/>
  <c r="AK411" i="1"/>
  <c r="AK386" i="1"/>
  <c r="AK419" i="1"/>
  <c r="AK408" i="1"/>
  <c r="AK375" i="1"/>
  <c r="AK405" i="1"/>
  <c r="AK393" i="1"/>
  <c r="AK374" i="1"/>
  <c r="AK418" i="1"/>
  <c r="AK400" i="1"/>
  <c r="AK338" i="1"/>
  <c r="AK353" i="1"/>
  <c r="AK352" i="1"/>
  <c r="AK350" i="1"/>
  <c r="AK340" i="1"/>
  <c r="AK348" i="1"/>
  <c r="AK339" i="1"/>
  <c r="AK345" i="1"/>
  <c r="AK343" i="1"/>
  <c r="AK347" i="1"/>
  <c r="AK346" i="1"/>
  <c r="AK354" i="1"/>
  <c r="AK337" i="1"/>
  <c r="AK323" i="1"/>
  <c r="AK351" i="1"/>
  <c r="AK341" i="1"/>
  <c r="AK344" i="1"/>
  <c r="AK342" i="1"/>
  <c r="AK349" i="1"/>
  <c r="AK153" i="1"/>
  <c r="AK159" i="1"/>
  <c r="AK168" i="1"/>
  <c r="AK165" i="1"/>
  <c r="AK156" i="1"/>
  <c r="AK163" i="1"/>
  <c r="AK162" i="1"/>
  <c r="AK452" i="1"/>
  <c r="AK428" i="1"/>
  <c r="AK446" i="1"/>
  <c r="AK444" i="1"/>
  <c r="AK436" i="1"/>
  <c r="AK432" i="1"/>
  <c r="AK431" i="1"/>
  <c r="AK454" i="1"/>
  <c r="P14" i="6" l="1"/>
  <c r="L14" i="6"/>
  <c r="D26" i="6" l="1"/>
  <c r="P12" i="7" l="1"/>
  <c r="P13" i="7" l="1"/>
  <c r="AL657" i="1"/>
  <c r="AL656" i="1"/>
  <c r="AL573" i="1"/>
  <c r="AL574" i="1"/>
  <c r="AL575" i="1"/>
  <c r="AL576" i="1"/>
  <c r="AL577" i="1"/>
  <c r="AL578" i="1"/>
  <c r="AL579" i="1"/>
  <c r="AL580" i="1"/>
  <c r="AL608" i="1"/>
  <c r="AL609" i="1"/>
  <c r="AL610" i="1"/>
  <c r="AL611" i="1"/>
  <c r="AL612" i="1"/>
  <c r="AL613" i="1"/>
  <c r="AL614" i="1"/>
  <c r="AL615" i="1"/>
  <c r="AL616" i="1"/>
  <c r="AL617" i="1"/>
  <c r="AL618" i="1"/>
  <c r="AL619" i="1"/>
  <c r="AL620" i="1"/>
  <c r="AL621" i="1"/>
  <c r="AL622" i="1"/>
  <c r="AL623" i="1"/>
  <c r="AL624" i="1"/>
  <c r="AL625" i="1"/>
  <c r="AL626" i="1"/>
  <c r="AL627" i="1"/>
  <c r="AL628" i="1"/>
  <c r="AL629" i="1"/>
  <c r="AL630" i="1"/>
  <c r="AL631" i="1"/>
  <c r="AL632" i="1"/>
  <c r="AL633" i="1"/>
  <c r="AL634" i="1"/>
  <c r="AL635" i="1"/>
  <c r="AL636" i="1"/>
  <c r="AL637" i="1"/>
  <c r="AL638" i="1"/>
  <c r="AL639" i="1"/>
  <c r="AL572" i="1"/>
  <c r="AL568" i="1"/>
  <c r="AL567" i="1"/>
  <c r="AL566" i="1"/>
  <c r="AL565" i="1"/>
  <c r="AL564" i="1"/>
  <c r="AL563" i="1"/>
  <c r="AL562" i="1"/>
  <c r="AL561" i="1"/>
  <c r="AL560" i="1"/>
  <c r="AL559" i="1"/>
  <c r="AL558" i="1"/>
  <c r="AL557" i="1"/>
  <c r="AL556" i="1"/>
  <c r="AL555" i="1"/>
  <c r="AL554" i="1"/>
  <c r="AL553" i="1"/>
  <c r="AL552" i="1"/>
  <c r="AL551" i="1"/>
  <c r="AL550" i="1"/>
  <c r="AL549" i="1"/>
  <c r="AL548" i="1"/>
  <c r="AL547" i="1"/>
  <c r="AL546" i="1"/>
  <c r="AL545" i="1"/>
  <c r="AL544" i="1"/>
  <c r="AL531" i="1"/>
  <c r="AL530" i="1"/>
  <c r="AL529" i="1"/>
  <c r="AL528" i="1"/>
  <c r="AL527" i="1"/>
  <c r="AL526" i="1"/>
  <c r="AL525" i="1"/>
  <c r="AL524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19" i="1"/>
  <c r="AL320" i="1"/>
  <c r="AL321" i="1"/>
  <c r="AL322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55" i="1"/>
  <c r="AL356" i="1"/>
  <c r="AL357" i="1"/>
  <c r="AL359" i="1"/>
  <c r="AL360" i="1"/>
  <c r="AL361" i="1"/>
  <c r="AL362" i="1"/>
  <c r="AL369" i="1"/>
  <c r="AL370" i="1"/>
  <c r="AL371" i="1"/>
  <c r="AL372" i="1"/>
  <c r="AL373" i="1"/>
  <c r="AL376" i="1"/>
  <c r="AL377" i="1"/>
  <c r="AL384" i="1"/>
  <c r="AL385" i="1"/>
  <c r="AL421" i="1"/>
  <c r="AL422" i="1"/>
  <c r="AL423" i="1"/>
  <c r="AL424" i="1"/>
  <c r="AL425" i="1"/>
  <c r="AL426" i="1"/>
  <c r="AL427" i="1"/>
  <c r="AL429" i="1"/>
  <c r="AL430" i="1"/>
  <c r="AL433" i="1"/>
  <c r="AL434" i="1"/>
  <c r="AL435" i="1"/>
  <c r="AL437" i="1"/>
  <c r="AL438" i="1"/>
  <c r="AL439" i="1"/>
  <c r="AL440" i="1"/>
  <c r="AL441" i="1"/>
  <c r="AL442" i="1"/>
  <c r="AL443" i="1"/>
  <c r="AL445" i="1"/>
  <c r="AL447" i="1"/>
  <c r="AL448" i="1"/>
  <c r="AL449" i="1"/>
  <c r="AL450" i="1"/>
  <c r="AL451" i="1"/>
  <c r="AL453" i="1"/>
  <c r="AL455" i="1"/>
  <c r="AL456" i="1"/>
  <c r="AL457" i="1"/>
  <c r="AL458" i="1"/>
  <c r="AL459" i="1"/>
  <c r="AL460" i="1"/>
  <c r="AL461" i="1"/>
  <c r="AL462" i="1"/>
  <c r="AL463" i="1"/>
  <c r="AL464" i="1"/>
  <c r="AL465" i="1"/>
  <c r="AL466" i="1"/>
  <c r="AL467" i="1"/>
  <c r="AL468" i="1"/>
  <c r="AL469" i="1"/>
  <c r="AL470" i="1"/>
  <c r="AL471" i="1"/>
  <c r="AL472" i="1"/>
  <c r="AL473" i="1"/>
  <c r="AL474" i="1"/>
  <c r="AL475" i="1"/>
  <c r="AL476" i="1"/>
  <c r="AL477" i="1"/>
  <c r="AL478" i="1"/>
  <c r="AL479" i="1"/>
  <c r="AL480" i="1"/>
  <c r="AL481" i="1"/>
  <c r="AL482" i="1"/>
  <c r="AL483" i="1"/>
  <c r="AL484" i="1"/>
  <c r="AL485" i="1"/>
  <c r="AL486" i="1"/>
  <c r="AL487" i="1"/>
  <c r="AL488" i="1"/>
  <c r="AL489" i="1"/>
  <c r="AL490" i="1"/>
  <c r="P14" i="7"/>
  <c r="L15" i="6" l="1"/>
  <c r="R15" i="6"/>
  <c r="P15" i="6"/>
  <c r="H20" i="6"/>
  <c r="D17" i="6"/>
  <c r="P5" i="7"/>
  <c r="P6" i="7" s="1"/>
  <c r="AH5" i="2"/>
  <c r="AH12" i="2"/>
  <c r="AK574" i="1" l="1"/>
  <c r="AK577" i="1"/>
  <c r="AK608" i="1"/>
  <c r="AK612" i="1"/>
  <c r="AK616" i="1"/>
  <c r="AK620" i="1"/>
  <c r="AK624" i="1"/>
  <c r="AK628" i="1"/>
  <c r="AK632" i="1"/>
  <c r="AK636" i="1"/>
  <c r="AK572" i="1"/>
  <c r="AK548" i="1"/>
  <c r="AK552" i="1"/>
  <c r="AK556" i="1"/>
  <c r="AK560" i="1"/>
  <c r="AK564" i="1"/>
  <c r="AK568" i="1"/>
  <c r="AK510" i="1"/>
  <c r="AK514" i="1"/>
  <c r="AK518" i="1"/>
  <c r="AK522" i="1"/>
  <c r="AK526" i="1"/>
  <c r="AK530" i="1"/>
  <c r="AK18" i="1"/>
  <c r="AK22" i="1"/>
  <c r="AK26" i="1"/>
  <c r="AK30" i="1"/>
  <c r="AK34" i="1"/>
  <c r="AK38" i="1"/>
  <c r="AK42" i="1"/>
  <c r="AK46" i="1"/>
  <c r="AK50" i="1"/>
  <c r="AK54" i="1"/>
  <c r="AK58" i="1"/>
  <c r="AK62" i="1"/>
  <c r="AK66" i="1"/>
  <c r="AK70" i="1"/>
  <c r="AK74" i="1"/>
  <c r="AK78" i="1"/>
  <c r="AK82" i="1"/>
  <c r="AK86" i="1"/>
  <c r="AK90" i="1"/>
  <c r="AK94" i="1"/>
  <c r="AK98" i="1"/>
  <c r="AK102" i="1"/>
  <c r="AK106" i="1"/>
  <c r="AK110" i="1"/>
  <c r="AK114" i="1"/>
  <c r="AK118" i="1"/>
  <c r="AK122" i="1"/>
  <c r="AK126" i="1"/>
  <c r="AK130" i="1"/>
  <c r="AK134" i="1"/>
  <c r="AK138" i="1"/>
  <c r="AK142" i="1"/>
  <c r="AK146" i="1"/>
  <c r="AK150" i="1"/>
  <c r="AK155" i="1"/>
  <c r="AK161" i="1"/>
  <c r="AK169" i="1"/>
  <c r="AK173" i="1"/>
  <c r="AK177" i="1"/>
  <c r="AK181" i="1"/>
  <c r="AK185" i="1"/>
  <c r="AK189" i="1"/>
  <c r="AK193" i="1"/>
  <c r="AK197" i="1"/>
  <c r="AK201" i="1"/>
  <c r="AK205" i="1"/>
  <c r="AK209" i="1"/>
  <c r="AK213" i="1"/>
  <c r="AK217" i="1"/>
  <c r="AK221" i="1"/>
  <c r="AK260" i="1"/>
  <c r="AK264" i="1"/>
  <c r="AK268" i="1"/>
  <c r="AK272" i="1"/>
  <c r="AK276" i="1"/>
  <c r="AK280" i="1"/>
  <c r="AK284" i="1"/>
  <c r="AK657" i="1"/>
  <c r="AK575" i="1"/>
  <c r="AK578" i="1"/>
  <c r="AK609" i="1"/>
  <c r="AK613" i="1"/>
  <c r="AK617" i="1"/>
  <c r="AK621" i="1"/>
  <c r="AK625" i="1"/>
  <c r="AK629" i="1"/>
  <c r="AK633" i="1"/>
  <c r="AK637" i="1"/>
  <c r="AK545" i="1"/>
  <c r="AK549" i="1"/>
  <c r="AK553" i="1"/>
  <c r="AK557" i="1"/>
  <c r="AK561" i="1"/>
  <c r="AK565" i="1"/>
  <c r="AK511" i="1"/>
  <c r="AK515" i="1"/>
  <c r="AK519" i="1"/>
  <c r="AK523" i="1"/>
  <c r="AK527" i="1"/>
  <c r="AK531" i="1"/>
  <c r="AK19" i="1"/>
  <c r="AK23" i="1"/>
  <c r="AK27" i="1"/>
  <c r="AK31" i="1"/>
  <c r="AK35" i="1"/>
  <c r="AK39" i="1"/>
  <c r="AK43" i="1"/>
  <c r="AK47" i="1"/>
  <c r="AK51" i="1"/>
  <c r="AK55" i="1"/>
  <c r="AK59" i="1"/>
  <c r="AK63" i="1"/>
  <c r="AK67" i="1"/>
  <c r="AK71" i="1"/>
  <c r="AK75" i="1"/>
  <c r="AK79" i="1"/>
  <c r="AK83" i="1"/>
  <c r="AK87" i="1"/>
  <c r="AK91" i="1"/>
  <c r="AK95" i="1"/>
  <c r="AK99" i="1"/>
  <c r="AK103" i="1"/>
  <c r="AK107" i="1"/>
  <c r="AK111" i="1"/>
  <c r="AK115" i="1"/>
  <c r="AK119" i="1"/>
  <c r="AK123" i="1"/>
  <c r="AK127" i="1"/>
  <c r="AK131" i="1"/>
  <c r="AK135" i="1"/>
  <c r="AK139" i="1"/>
  <c r="AK143" i="1"/>
  <c r="AK147" i="1"/>
  <c r="AK151" i="1"/>
  <c r="AK157" i="1"/>
  <c r="AK164" i="1"/>
  <c r="AK170" i="1"/>
  <c r="AK174" i="1"/>
  <c r="AK178" i="1"/>
  <c r="AK182" i="1"/>
  <c r="AK186" i="1"/>
  <c r="AK190" i="1"/>
  <c r="AK194" i="1"/>
  <c r="AK198" i="1"/>
  <c r="AK202" i="1"/>
  <c r="AK206" i="1"/>
  <c r="AK210" i="1"/>
  <c r="AK214" i="1"/>
  <c r="AK218" i="1"/>
  <c r="AK261" i="1"/>
  <c r="AK265" i="1"/>
  <c r="AK269" i="1"/>
  <c r="AK273" i="1"/>
  <c r="AK277" i="1"/>
  <c r="AK281" i="1"/>
  <c r="AK656" i="1"/>
  <c r="AK576" i="1"/>
  <c r="AK579" i="1"/>
  <c r="AK610" i="1"/>
  <c r="AK614" i="1"/>
  <c r="AK618" i="1"/>
  <c r="AK622" i="1"/>
  <c r="AK626" i="1"/>
  <c r="AK630" i="1"/>
  <c r="AK634" i="1"/>
  <c r="AK638" i="1"/>
  <c r="AK546" i="1"/>
  <c r="AK550" i="1"/>
  <c r="AK554" i="1"/>
  <c r="AK558" i="1"/>
  <c r="AK562" i="1"/>
  <c r="AK566" i="1"/>
  <c r="AK544" i="1"/>
  <c r="AK512" i="1"/>
  <c r="AK516" i="1"/>
  <c r="AK520" i="1"/>
  <c r="AK524" i="1"/>
  <c r="AK528" i="1"/>
  <c r="AK508" i="1"/>
  <c r="AK20" i="1"/>
  <c r="AK24" i="1"/>
  <c r="AK28" i="1"/>
  <c r="AK32" i="1"/>
  <c r="AK36" i="1"/>
  <c r="AK40" i="1"/>
  <c r="AK44" i="1"/>
  <c r="AK48" i="1"/>
  <c r="AK52" i="1"/>
  <c r="AK56" i="1"/>
  <c r="AK60" i="1"/>
  <c r="AK64" i="1"/>
  <c r="AK68" i="1"/>
  <c r="AK72" i="1"/>
  <c r="AK76" i="1"/>
  <c r="AK80" i="1"/>
  <c r="AK84" i="1"/>
  <c r="AK88" i="1"/>
  <c r="AK92" i="1"/>
  <c r="AK96" i="1"/>
  <c r="AK100" i="1"/>
  <c r="AK104" i="1"/>
  <c r="AK108" i="1"/>
  <c r="AK112" i="1"/>
  <c r="AK116" i="1"/>
  <c r="AK120" i="1"/>
  <c r="AK124" i="1"/>
  <c r="AK128" i="1"/>
  <c r="AK132" i="1"/>
  <c r="AK136" i="1"/>
  <c r="AK140" i="1"/>
  <c r="AK144" i="1"/>
  <c r="AK148" i="1"/>
  <c r="AK152" i="1"/>
  <c r="AK158" i="1"/>
  <c r="AK166" i="1"/>
  <c r="AK171" i="1"/>
  <c r="AK175" i="1"/>
  <c r="AK179" i="1"/>
  <c r="AK183" i="1"/>
  <c r="AK187" i="1"/>
  <c r="AK191" i="1"/>
  <c r="AK195" i="1"/>
  <c r="AK199" i="1"/>
  <c r="AK203" i="1"/>
  <c r="AK207" i="1"/>
  <c r="AK211" i="1"/>
  <c r="AK215" i="1"/>
  <c r="AK219" i="1"/>
  <c r="AK262" i="1"/>
  <c r="AK266" i="1"/>
  <c r="AK270" i="1"/>
  <c r="AK274" i="1"/>
  <c r="AK278" i="1"/>
  <c r="AK282" i="1"/>
  <c r="AK611" i="1"/>
  <c r="AK627" i="1"/>
  <c r="AK547" i="1"/>
  <c r="AK563" i="1"/>
  <c r="AK517" i="1"/>
  <c r="AK17" i="1"/>
  <c r="AK33" i="1"/>
  <c r="AK49" i="1"/>
  <c r="AK65" i="1"/>
  <c r="AK81" i="1"/>
  <c r="AK97" i="1"/>
  <c r="AK113" i="1"/>
  <c r="AK129" i="1"/>
  <c r="AK145" i="1"/>
  <c r="AK167" i="1"/>
  <c r="AK184" i="1"/>
  <c r="AK200" i="1"/>
  <c r="AK216" i="1"/>
  <c r="AK263" i="1"/>
  <c r="AK279" i="1"/>
  <c r="AK287" i="1"/>
  <c r="AK292" i="1"/>
  <c r="AK296" i="1"/>
  <c r="AK300" i="1"/>
  <c r="AK320" i="1"/>
  <c r="AK322" i="1"/>
  <c r="AK325" i="1"/>
  <c r="AK329" i="1"/>
  <c r="AK333" i="1"/>
  <c r="AK356" i="1"/>
  <c r="AK361" i="1"/>
  <c r="AK370" i="1"/>
  <c r="AK376" i="1"/>
  <c r="AK424" i="1"/>
  <c r="AK429" i="1"/>
  <c r="AK434" i="1"/>
  <c r="AK439" i="1"/>
  <c r="AK443" i="1"/>
  <c r="AK449" i="1"/>
  <c r="AK455" i="1"/>
  <c r="AK459" i="1"/>
  <c r="AK463" i="1"/>
  <c r="AK467" i="1"/>
  <c r="AK471" i="1"/>
  <c r="AK475" i="1"/>
  <c r="AK479" i="1"/>
  <c r="AK483" i="1"/>
  <c r="AK487" i="1"/>
  <c r="AK16" i="1"/>
  <c r="AK623" i="1"/>
  <c r="AK559" i="1"/>
  <c r="AK529" i="1"/>
  <c r="AK45" i="1"/>
  <c r="AK77" i="1"/>
  <c r="AK109" i="1"/>
  <c r="AK141" i="1"/>
  <c r="AK180" i="1"/>
  <c r="AK212" i="1"/>
  <c r="AK259" i="1"/>
  <c r="AK286" i="1"/>
  <c r="AK295" i="1"/>
  <c r="AK303" i="1"/>
  <c r="AK321" i="1"/>
  <c r="AK332" i="1"/>
  <c r="AK573" i="1"/>
  <c r="AK615" i="1"/>
  <c r="AK631" i="1"/>
  <c r="AK551" i="1"/>
  <c r="AK567" i="1"/>
  <c r="AK521" i="1"/>
  <c r="AK21" i="1"/>
  <c r="AK37" i="1"/>
  <c r="AK53" i="1"/>
  <c r="AK69" i="1"/>
  <c r="AK85" i="1"/>
  <c r="AK101" i="1"/>
  <c r="AK117" i="1"/>
  <c r="AK133" i="1"/>
  <c r="AK149" i="1"/>
  <c r="AK172" i="1"/>
  <c r="AK188" i="1"/>
  <c r="AK204" i="1"/>
  <c r="AK220" i="1"/>
  <c r="AK267" i="1"/>
  <c r="AK283" i="1"/>
  <c r="AK288" i="1"/>
  <c r="AK293" i="1"/>
  <c r="AK297" i="1"/>
  <c r="AK301" i="1"/>
  <c r="AK324" i="1"/>
  <c r="AK326" i="1"/>
  <c r="AK330" i="1"/>
  <c r="AK334" i="1"/>
  <c r="AK357" i="1"/>
  <c r="AK362" i="1"/>
  <c r="AK371" i="1"/>
  <c r="AK377" i="1"/>
  <c r="AK421" i="1"/>
  <c r="AK425" i="1"/>
  <c r="AK430" i="1"/>
  <c r="AK435" i="1"/>
  <c r="AK440" i="1"/>
  <c r="AK445" i="1"/>
  <c r="AK450" i="1"/>
  <c r="AK456" i="1"/>
  <c r="AK460" i="1"/>
  <c r="AK464" i="1"/>
  <c r="AK468" i="1"/>
  <c r="AK472" i="1"/>
  <c r="AK476" i="1"/>
  <c r="AK480" i="1"/>
  <c r="AK484" i="1"/>
  <c r="AK488" i="1"/>
  <c r="AK580" i="1"/>
  <c r="AK639" i="1"/>
  <c r="AK513" i="1"/>
  <c r="AK29" i="1"/>
  <c r="AK61" i="1"/>
  <c r="AK93" i="1"/>
  <c r="AK125" i="1"/>
  <c r="AK160" i="1"/>
  <c r="AK196" i="1"/>
  <c r="AK275" i="1"/>
  <c r="AK290" i="1"/>
  <c r="AK299" i="1"/>
  <c r="AK319" i="1"/>
  <c r="AK328" i="1"/>
  <c r="AK336" i="1"/>
  <c r="AK619" i="1"/>
  <c r="AK635" i="1"/>
  <c r="AK555" i="1"/>
  <c r="AK509" i="1"/>
  <c r="AK525" i="1"/>
  <c r="AK25" i="1"/>
  <c r="AK41" i="1"/>
  <c r="AK57" i="1"/>
  <c r="AK73" i="1"/>
  <c r="AK89" i="1"/>
  <c r="AK105" i="1"/>
  <c r="AK121" i="1"/>
  <c r="AK137" i="1"/>
  <c r="AK154" i="1"/>
  <c r="AK176" i="1"/>
  <c r="AK192" i="1"/>
  <c r="AK208" i="1"/>
  <c r="AK271" i="1"/>
  <c r="AK285" i="1"/>
  <c r="AK289" i="1"/>
  <c r="AK294" i="1"/>
  <c r="AK298" i="1"/>
  <c r="AK302" i="1"/>
  <c r="AK327" i="1"/>
  <c r="AK331" i="1"/>
  <c r="AK335" i="1"/>
  <c r="AK359" i="1"/>
  <c r="AK372" i="1"/>
  <c r="AK384" i="1"/>
  <c r="AK422" i="1"/>
  <c r="AK426" i="1"/>
  <c r="AK437" i="1"/>
  <c r="AK441" i="1"/>
  <c r="AK447" i="1"/>
  <c r="AK451" i="1"/>
  <c r="AK457" i="1"/>
  <c r="AK461" i="1"/>
  <c r="AK465" i="1"/>
  <c r="AK469" i="1"/>
  <c r="AK473" i="1"/>
  <c r="AK477" i="1"/>
  <c r="AK481" i="1"/>
  <c r="AK485" i="1"/>
  <c r="AK489" i="1"/>
  <c r="AK369" i="1"/>
  <c r="AK427" i="1"/>
  <c r="AK448" i="1"/>
  <c r="AK466" i="1"/>
  <c r="AK482" i="1"/>
  <c r="AK373" i="1"/>
  <c r="AK433" i="1"/>
  <c r="AK453" i="1"/>
  <c r="AK470" i="1"/>
  <c r="AK486" i="1"/>
  <c r="AK360" i="1"/>
  <c r="AK423" i="1"/>
  <c r="AK478" i="1"/>
  <c r="AK355" i="1"/>
  <c r="AK385" i="1"/>
  <c r="AK438" i="1"/>
  <c r="AK458" i="1"/>
  <c r="AK474" i="1"/>
  <c r="AK490" i="1"/>
  <c r="AK442" i="1"/>
  <c r="AK462" i="1"/>
  <c r="R26" i="6" l="1"/>
  <c r="N26" i="6"/>
  <c r="J23" i="6"/>
  <c r="L20" i="6"/>
  <c r="D20" i="6"/>
  <c r="F17" i="6"/>
  <c r="L11" i="6"/>
  <c r="J11" i="6"/>
  <c r="R21" i="6"/>
  <c r="P18" i="7" l="1"/>
  <c r="D21" i="6" l="1"/>
  <c r="R20" i="6"/>
  <c r="P20" i="6"/>
  <c r="J20" i="6"/>
  <c r="R19" i="6"/>
  <c r="N19" i="6"/>
  <c r="R17" i="6"/>
  <c r="N17" i="6"/>
  <c r="J17" i="6"/>
  <c r="AJ247" i="1" l="1"/>
  <c r="AJ253" i="1"/>
  <c r="AJ246" i="1"/>
  <c r="AJ254" i="1"/>
  <c r="AJ243" i="1"/>
  <c r="AJ352" i="1"/>
  <c r="AJ353" i="1"/>
  <c r="AJ342" i="1"/>
  <c r="AJ354" i="1"/>
  <c r="Y143" i="1"/>
  <c r="X143" i="1"/>
  <c r="W143" i="1"/>
  <c r="Y141" i="1"/>
  <c r="X141" i="1"/>
  <c r="W141" i="1"/>
  <c r="Y135" i="1"/>
  <c r="X135" i="1"/>
  <c r="W135" i="1"/>
  <c r="Y133" i="1"/>
  <c r="X133" i="1"/>
  <c r="W133" i="1"/>
  <c r="Y126" i="1"/>
  <c r="X126" i="1"/>
  <c r="W126" i="1"/>
  <c r="Y122" i="1"/>
  <c r="X122" i="1"/>
  <c r="W122" i="1"/>
  <c r="W117" i="1"/>
  <c r="X117" i="1"/>
  <c r="Y117" i="1"/>
  <c r="W118" i="1"/>
  <c r="X118" i="1"/>
  <c r="Y118" i="1"/>
  <c r="W119" i="1"/>
  <c r="X119" i="1"/>
  <c r="Y119" i="1"/>
  <c r="W121" i="1"/>
  <c r="X121" i="1"/>
  <c r="Y121" i="1"/>
  <c r="W123" i="1"/>
  <c r="X123" i="1"/>
  <c r="Y123" i="1"/>
  <c r="W125" i="1"/>
  <c r="X125" i="1"/>
  <c r="Y125" i="1"/>
  <c r="W127" i="1"/>
  <c r="X127" i="1"/>
  <c r="Y127" i="1"/>
  <c r="W128" i="1"/>
  <c r="X128" i="1"/>
  <c r="Y128" i="1"/>
  <c r="W129" i="1"/>
  <c r="X129" i="1"/>
  <c r="Y129" i="1"/>
  <c r="W132" i="1"/>
  <c r="X132" i="1"/>
  <c r="Y132" i="1"/>
  <c r="W134" i="1"/>
  <c r="X134" i="1"/>
  <c r="Y134" i="1"/>
  <c r="W136" i="1"/>
  <c r="X136" i="1"/>
  <c r="Y136" i="1"/>
  <c r="W137" i="1"/>
  <c r="X137" i="1"/>
  <c r="Y137" i="1"/>
  <c r="W140" i="1"/>
  <c r="X140" i="1"/>
  <c r="Y140" i="1"/>
  <c r="W142" i="1"/>
  <c r="X142" i="1"/>
  <c r="Y142" i="1"/>
  <c r="X116" i="1"/>
  <c r="Y116" i="1"/>
  <c r="W116" i="1"/>
  <c r="C19" i="2"/>
  <c r="D19" i="2"/>
  <c r="E19" i="2"/>
  <c r="F19" i="2"/>
  <c r="H19" i="2"/>
  <c r="L19" i="2"/>
  <c r="M19" i="2"/>
  <c r="N19" i="2"/>
  <c r="O19" i="2"/>
  <c r="R19" i="2"/>
  <c r="W19" i="2"/>
  <c r="X19" i="2"/>
  <c r="AB19" i="2"/>
  <c r="C20" i="2"/>
  <c r="D20" i="2"/>
  <c r="E20" i="2"/>
  <c r="F20" i="2"/>
  <c r="H20" i="2"/>
  <c r="L20" i="2"/>
  <c r="M20" i="2"/>
  <c r="N20" i="2"/>
  <c r="O20" i="2"/>
  <c r="R20" i="2"/>
  <c r="W20" i="2"/>
  <c r="X20" i="2"/>
  <c r="AB20" i="2"/>
  <c r="C21" i="2"/>
  <c r="D21" i="2"/>
  <c r="E21" i="2"/>
  <c r="F21" i="2"/>
  <c r="H21" i="2"/>
  <c r="L21" i="2"/>
  <c r="M21" i="2"/>
  <c r="N21" i="2"/>
  <c r="O21" i="2"/>
  <c r="R21" i="2"/>
  <c r="W21" i="2"/>
  <c r="X21" i="2"/>
  <c r="AB21" i="2"/>
  <c r="C22" i="2"/>
  <c r="D22" i="2"/>
  <c r="E22" i="2"/>
  <c r="F22" i="2"/>
  <c r="H22" i="2"/>
  <c r="L22" i="2"/>
  <c r="M22" i="2"/>
  <c r="N22" i="2"/>
  <c r="O22" i="2"/>
  <c r="R22" i="2"/>
  <c r="W22" i="2"/>
  <c r="X22" i="2"/>
  <c r="AB22" i="2"/>
  <c r="C23" i="2"/>
  <c r="D23" i="2"/>
  <c r="E23" i="2"/>
  <c r="F23" i="2"/>
  <c r="H23" i="2"/>
  <c r="L23" i="2"/>
  <c r="M23" i="2"/>
  <c r="N23" i="2"/>
  <c r="O23" i="2"/>
  <c r="R23" i="2"/>
  <c r="W23" i="2"/>
  <c r="X23" i="2"/>
  <c r="AB23" i="2"/>
  <c r="C24" i="2"/>
  <c r="D24" i="2"/>
  <c r="E24" i="2"/>
  <c r="F24" i="2"/>
  <c r="H24" i="2"/>
  <c r="L24" i="2"/>
  <c r="M24" i="2"/>
  <c r="N24" i="2"/>
  <c r="O24" i="2"/>
  <c r="R24" i="2"/>
  <c r="W24" i="2"/>
  <c r="X24" i="2"/>
  <c r="AB24" i="2"/>
  <c r="AH117" i="1" l="1"/>
  <c r="AG117" i="1"/>
  <c r="AG122" i="1"/>
  <c r="AH122" i="1"/>
  <c r="AH118" i="1"/>
  <c r="AG126" i="1"/>
  <c r="AH126" i="1"/>
  <c r="AG132" i="1"/>
  <c r="AG133" i="1"/>
  <c r="AG135" i="1"/>
  <c r="AG118" i="1"/>
  <c r="AG127" i="1"/>
  <c r="AH140" i="1"/>
  <c r="AH135" i="1"/>
  <c r="AH129" i="1"/>
  <c r="AH116" i="1"/>
  <c r="AH142" i="1"/>
  <c r="AH133" i="1"/>
  <c r="AG123" i="1"/>
  <c r="AH121" i="1"/>
  <c r="AG116" i="1"/>
  <c r="AH125" i="1"/>
  <c r="AG121" i="1"/>
  <c r="AG141" i="1"/>
  <c r="AH132" i="1"/>
  <c r="AH136" i="1"/>
  <c r="AH141" i="1"/>
  <c r="AG129" i="1"/>
  <c r="AG128" i="1"/>
  <c r="AH127" i="1"/>
  <c r="AG140" i="1"/>
  <c r="AH137" i="1"/>
  <c r="AH134" i="1"/>
  <c r="AH119" i="1"/>
  <c r="AG142" i="1"/>
  <c r="AG125" i="1"/>
  <c r="AH123" i="1"/>
  <c r="AG136" i="1"/>
  <c r="AG134" i="1"/>
  <c r="AG119" i="1"/>
  <c r="AG143" i="1"/>
  <c r="AH128" i="1"/>
  <c r="AG137" i="1"/>
  <c r="AH143" i="1"/>
  <c r="AF118" i="1"/>
  <c r="AF129" i="1"/>
  <c r="AF117" i="1"/>
  <c r="AF122" i="1"/>
  <c r="AF128" i="1"/>
  <c r="AF126" i="1"/>
  <c r="AF133" i="1"/>
  <c r="AF135" i="1"/>
  <c r="AF142" i="1"/>
  <c r="AF116" i="1"/>
  <c r="AF140" i="1"/>
  <c r="AF141" i="1"/>
  <c r="AF132" i="1"/>
  <c r="AF123" i="1"/>
  <c r="AF136" i="1"/>
  <c r="AF121" i="1"/>
  <c r="AF137" i="1"/>
  <c r="AF143" i="1"/>
  <c r="AF125" i="1"/>
  <c r="AF127" i="1"/>
  <c r="AF134" i="1"/>
  <c r="AF119" i="1"/>
  <c r="B23" i="2"/>
  <c r="B24" i="2"/>
  <c r="R23" i="6" l="1"/>
  <c r="L23" i="6"/>
  <c r="R22" i="6"/>
  <c r="P22" i="6"/>
  <c r="J22" i="6"/>
  <c r="F22" i="6"/>
  <c r="J15" i="6"/>
  <c r="N14" i="6"/>
  <c r="J13" i="6"/>
  <c r="H13" i="6"/>
  <c r="R10" i="6"/>
  <c r="L10" i="6"/>
  <c r="R9" i="6"/>
  <c r="P9" i="6"/>
  <c r="N9" i="6"/>
  <c r="L9" i="6"/>
  <c r="H9" i="6"/>
  <c r="R8" i="6"/>
  <c r="P8" i="6"/>
  <c r="N8" i="6"/>
  <c r="R7" i="6"/>
  <c r="P7" i="6"/>
  <c r="N7" i="6"/>
  <c r="H7" i="6"/>
  <c r="R6" i="6" l="1"/>
  <c r="P6" i="6"/>
  <c r="N6" i="6"/>
  <c r="L6" i="6"/>
  <c r="J6" i="6"/>
  <c r="N5" i="6"/>
  <c r="P9" i="7"/>
  <c r="P10" i="7"/>
  <c r="P16" i="7"/>
  <c r="P17" i="7"/>
  <c r="P19" i="7"/>
  <c r="P20" i="7"/>
  <c r="L5" i="6"/>
  <c r="AL21" i="1" l="1"/>
  <c r="AL45" i="1"/>
  <c r="AL69" i="1"/>
  <c r="AL93" i="1"/>
  <c r="AL117" i="1"/>
  <c r="AL141" i="1"/>
  <c r="AL172" i="1"/>
  <c r="AL196" i="1"/>
  <c r="AL220" i="1"/>
  <c r="AL97" i="1"/>
  <c r="AL176" i="1"/>
  <c r="AL50" i="1"/>
  <c r="AL98" i="1"/>
  <c r="AL146" i="1"/>
  <c r="AL201" i="1"/>
  <c r="AL123" i="1"/>
  <c r="AL28" i="1"/>
  <c r="AL100" i="1"/>
  <c r="AL148" i="1"/>
  <c r="AL203" i="1"/>
  <c r="AL53" i="1"/>
  <c r="AL149" i="1"/>
  <c r="AL54" i="1"/>
  <c r="AL102" i="1"/>
  <c r="AL150" i="1"/>
  <c r="AL57" i="1"/>
  <c r="AL84" i="1"/>
  <c r="AL187" i="1"/>
  <c r="AL111" i="1"/>
  <c r="AL40" i="1"/>
  <c r="AL166" i="1"/>
  <c r="AL41" i="1"/>
  <c r="AL192" i="1"/>
  <c r="AL42" i="1"/>
  <c r="AL67" i="1"/>
  <c r="AL44" i="1"/>
  <c r="AL159" i="1"/>
  <c r="AL22" i="1"/>
  <c r="AL46" i="1"/>
  <c r="AL70" i="1"/>
  <c r="AL94" i="1"/>
  <c r="AL118" i="1"/>
  <c r="AL142" i="1"/>
  <c r="AL173" i="1"/>
  <c r="AL197" i="1"/>
  <c r="AL221" i="1"/>
  <c r="AL73" i="1"/>
  <c r="AL145" i="1"/>
  <c r="AL26" i="1"/>
  <c r="AL122" i="1"/>
  <c r="AL153" i="1"/>
  <c r="AL51" i="1"/>
  <c r="AL99" i="1"/>
  <c r="AL178" i="1"/>
  <c r="AL76" i="1"/>
  <c r="AL29" i="1"/>
  <c r="AL77" i="1"/>
  <c r="AL101" i="1"/>
  <c r="AL125" i="1"/>
  <c r="AL180" i="1"/>
  <c r="AL30" i="1"/>
  <c r="AL78" i="1"/>
  <c r="AL126" i="1"/>
  <c r="AL205" i="1"/>
  <c r="AL127" i="1"/>
  <c r="AL156" i="1"/>
  <c r="AL80" i="1"/>
  <c r="AL183" i="1"/>
  <c r="AL208" i="1"/>
  <c r="AL107" i="1"/>
  <c r="AL162" i="1"/>
  <c r="AL132" i="1"/>
  <c r="AL37" i="1"/>
  <c r="AL133" i="1"/>
  <c r="AL189" i="1"/>
  <c r="AL63" i="1"/>
  <c r="AL135" i="1"/>
  <c r="AL214" i="1"/>
  <c r="AL16" i="1"/>
  <c r="AL112" i="1"/>
  <c r="AL191" i="1"/>
  <c r="AL163" i="1"/>
  <c r="AL137" i="1"/>
  <c r="AL66" i="1"/>
  <c r="AL138" i="1"/>
  <c r="AL19" i="1"/>
  <c r="AL194" i="1"/>
  <c r="AL92" i="1"/>
  <c r="AL171" i="1"/>
  <c r="AL168" i="1"/>
  <c r="AL23" i="1"/>
  <c r="AL47" i="1"/>
  <c r="AL71" i="1"/>
  <c r="AL95" i="1"/>
  <c r="AL119" i="1"/>
  <c r="AL143" i="1"/>
  <c r="AL174" i="1"/>
  <c r="AL198" i="1"/>
  <c r="AL200" i="1"/>
  <c r="AL177" i="1"/>
  <c r="AL27" i="1"/>
  <c r="AL75" i="1"/>
  <c r="AL147" i="1"/>
  <c r="AL52" i="1"/>
  <c r="AL124" i="1"/>
  <c r="AL179" i="1"/>
  <c r="AL55" i="1"/>
  <c r="AL151" i="1"/>
  <c r="AL56" i="1"/>
  <c r="AL152" i="1"/>
  <c r="AL81" i="1"/>
  <c r="AL129" i="1"/>
  <c r="AL35" i="1"/>
  <c r="AL131" i="1"/>
  <c r="AL36" i="1"/>
  <c r="AL158" i="1"/>
  <c r="AL61" i="1"/>
  <c r="AL188" i="1"/>
  <c r="AL88" i="1"/>
  <c r="AL215" i="1"/>
  <c r="AL65" i="1"/>
  <c r="AL167" i="1"/>
  <c r="AL18" i="1"/>
  <c r="AL115" i="1"/>
  <c r="AL24" i="1"/>
  <c r="AL48" i="1"/>
  <c r="AL72" i="1"/>
  <c r="AL96" i="1"/>
  <c r="AL120" i="1"/>
  <c r="AL144" i="1"/>
  <c r="AL175" i="1"/>
  <c r="AL199" i="1"/>
  <c r="AL202" i="1"/>
  <c r="AL181" i="1"/>
  <c r="AL165" i="1"/>
  <c r="AL31" i="1"/>
  <c r="AL79" i="1"/>
  <c r="AL103" i="1"/>
  <c r="AL182" i="1"/>
  <c r="AL206" i="1"/>
  <c r="AL104" i="1"/>
  <c r="AL207" i="1"/>
  <c r="AL105" i="1"/>
  <c r="AL184" i="1"/>
  <c r="AL59" i="1"/>
  <c r="AL186" i="1"/>
  <c r="AL160" i="1"/>
  <c r="AL62" i="1"/>
  <c r="AL161" i="1"/>
  <c r="AL39" i="1"/>
  <c r="AL164" i="1"/>
  <c r="AL113" i="1"/>
  <c r="AL216" i="1"/>
  <c r="AL169" i="1"/>
  <c r="AL91" i="1"/>
  <c r="AL170" i="1"/>
  <c r="AL20" i="1"/>
  <c r="AL195" i="1"/>
  <c r="AL25" i="1"/>
  <c r="AL49" i="1"/>
  <c r="AL121" i="1"/>
  <c r="AL74" i="1"/>
  <c r="AL204" i="1"/>
  <c r="AL32" i="1"/>
  <c r="AL128" i="1"/>
  <c r="AL33" i="1"/>
  <c r="AL154" i="1"/>
  <c r="AL157" i="1"/>
  <c r="AL210" i="1"/>
  <c r="AL60" i="1"/>
  <c r="AL109" i="1"/>
  <c r="AL212" i="1"/>
  <c r="AL86" i="1"/>
  <c r="AL89" i="1"/>
  <c r="AL193" i="1"/>
  <c r="AL83" i="1"/>
  <c r="AL108" i="1"/>
  <c r="AL110" i="1"/>
  <c r="AL134" i="1"/>
  <c r="AL114" i="1"/>
  <c r="AL43" i="1"/>
  <c r="AL68" i="1"/>
  <c r="AL140" i="1"/>
  <c r="AL34" i="1"/>
  <c r="AL58" i="1"/>
  <c r="AL82" i="1"/>
  <c r="AL106" i="1"/>
  <c r="AL130" i="1"/>
  <c r="AL155" i="1"/>
  <c r="AL185" i="1"/>
  <c r="AL209" i="1"/>
  <c r="AL211" i="1"/>
  <c r="AL85" i="1"/>
  <c r="AL38" i="1"/>
  <c r="AL213" i="1"/>
  <c r="AL87" i="1"/>
  <c r="AL190" i="1"/>
  <c r="AL64" i="1"/>
  <c r="AL136" i="1"/>
  <c r="AL17" i="1"/>
  <c r="AL90" i="1"/>
  <c r="AL217" i="1"/>
  <c r="AL139" i="1"/>
  <c r="AL218" i="1"/>
  <c r="AL116" i="1"/>
  <c r="AL219" i="1"/>
  <c r="AJ153" i="1"/>
  <c r="AJ436" i="1"/>
  <c r="AJ165" i="1"/>
  <c r="AJ162" i="1"/>
  <c r="AJ159" i="1"/>
  <c r="AJ454" i="1"/>
  <c r="AJ168" i="1"/>
  <c r="AJ452" i="1"/>
  <c r="AJ163" i="1"/>
  <c r="AJ156" i="1"/>
  <c r="AJ428" i="1"/>
  <c r="AJ432" i="1"/>
  <c r="AJ446" i="1"/>
  <c r="AJ431" i="1"/>
  <c r="AJ444" i="1"/>
  <c r="AJ638" i="1"/>
  <c r="AJ634" i="1"/>
  <c r="AJ630" i="1"/>
  <c r="AJ626" i="1"/>
  <c r="AJ530" i="1"/>
  <c r="AJ526" i="1"/>
  <c r="AJ522" i="1"/>
  <c r="AJ489" i="1"/>
  <c r="AJ485" i="1"/>
  <c r="AJ481" i="1"/>
  <c r="AJ477" i="1"/>
  <c r="AJ639" i="1"/>
  <c r="AJ635" i="1"/>
  <c r="AJ631" i="1"/>
  <c r="AJ627" i="1"/>
  <c r="AJ531" i="1"/>
  <c r="AJ527" i="1"/>
  <c r="AJ523" i="1"/>
  <c r="AJ490" i="1"/>
  <c r="AJ486" i="1"/>
  <c r="AJ482" i="1"/>
  <c r="AJ478" i="1"/>
  <c r="AJ474" i="1"/>
  <c r="AJ525" i="1"/>
  <c r="AJ521" i="1"/>
  <c r="AJ488" i="1"/>
  <c r="AJ484" i="1"/>
  <c r="AJ480" i="1"/>
  <c r="AJ636" i="1"/>
  <c r="AJ632" i="1"/>
  <c r="AJ628" i="1"/>
  <c r="AJ624" i="1"/>
  <c r="AJ528" i="1"/>
  <c r="AJ524" i="1"/>
  <c r="AJ520" i="1"/>
  <c r="AJ487" i="1"/>
  <c r="AJ483" i="1"/>
  <c r="AJ479" i="1"/>
  <c r="AJ475" i="1"/>
  <c r="AJ637" i="1"/>
  <c r="AJ633" i="1"/>
  <c r="AJ629" i="1"/>
  <c r="AJ625" i="1"/>
  <c r="AJ529" i="1"/>
  <c r="AJ476" i="1"/>
  <c r="AJ614" i="1"/>
  <c r="AJ192" i="1"/>
  <c r="AJ196" i="1"/>
  <c r="AJ188" i="1"/>
  <c r="AJ194" i="1"/>
  <c r="AJ191" i="1"/>
  <c r="AJ199" i="1"/>
  <c r="AJ189" i="1"/>
  <c r="AJ193" i="1"/>
  <c r="AJ197" i="1"/>
  <c r="AJ190" i="1"/>
  <c r="AJ198" i="1"/>
  <c r="AJ195" i="1"/>
  <c r="AJ287" i="1"/>
  <c r="AJ618" i="1"/>
  <c r="AJ620" i="1"/>
  <c r="AJ609" i="1"/>
  <c r="AJ622" i="1"/>
  <c r="AJ612" i="1"/>
  <c r="AJ615" i="1"/>
  <c r="AJ376" i="1"/>
  <c r="AJ370" i="1"/>
  <c r="AJ361" i="1"/>
  <c r="AJ356" i="1"/>
  <c r="AJ385" i="1"/>
  <c r="AJ373" i="1"/>
  <c r="AJ369" i="1"/>
  <c r="AJ360" i="1"/>
  <c r="AJ384" i="1"/>
  <c r="AJ372" i="1"/>
  <c r="AJ359" i="1"/>
  <c r="AJ377" i="1"/>
  <c r="AJ371" i="1"/>
  <c r="AJ362" i="1"/>
  <c r="AJ357" i="1"/>
  <c r="AJ260" i="1"/>
  <c r="AJ106" i="1"/>
  <c r="AJ355" i="1"/>
  <c r="AJ329" i="1"/>
  <c r="AJ335" i="1"/>
  <c r="AJ331" i="1"/>
  <c r="AJ333" i="1"/>
  <c r="AJ281" i="1"/>
  <c r="AJ135" i="1"/>
  <c r="AJ270" i="1"/>
  <c r="AJ122" i="1"/>
  <c r="AJ265" i="1"/>
  <c r="AJ143" i="1"/>
  <c r="AJ126" i="1"/>
  <c r="AJ283" i="1"/>
  <c r="AJ133" i="1"/>
  <c r="AJ141" i="1"/>
  <c r="AJ285" i="1"/>
  <c r="AJ262" i="1"/>
  <c r="AJ272" i="1"/>
  <c r="AJ108" i="1"/>
  <c r="AJ110" i="1"/>
  <c r="AJ114" i="1"/>
  <c r="AJ105" i="1"/>
  <c r="AJ111" i="1"/>
  <c r="AJ115" i="1"/>
  <c r="AJ112" i="1"/>
  <c r="AJ107" i="1"/>
  <c r="AJ109" i="1"/>
  <c r="AJ113" i="1"/>
  <c r="AJ104" i="1"/>
  <c r="AJ457" i="1"/>
  <c r="AJ461" i="1"/>
  <c r="AJ465" i="1"/>
  <c r="AJ469" i="1"/>
  <c r="AJ458" i="1"/>
  <c r="AJ462" i="1"/>
  <c r="AJ466" i="1"/>
  <c r="AJ470" i="1"/>
  <c r="AJ459" i="1"/>
  <c r="AJ463" i="1"/>
  <c r="AJ467" i="1"/>
  <c r="AJ471" i="1"/>
  <c r="AJ460" i="1"/>
  <c r="AJ464" i="1"/>
  <c r="AJ468" i="1"/>
  <c r="AJ472" i="1"/>
  <c r="P4" i="7"/>
  <c r="AN227" i="1" l="1"/>
  <c r="AO247" i="1"/>
  <c r="AO253" i="1"/>
  <c r="AO248" i="1"/>
  <c r="AN233" i="1"/>
  <c r="AN255" i="1"/>
  <c r="AO243" i="1"/>
  <c r="AN250" i="1"/>
  <c r="AO250" i="1"/>
  <c r="AN238" i="1"/>
  <c r="AN245" i="1"/>
  <c r="AO245" i="1"/>
  <c r="AN228" i="1"/>
  <c r="AO242" i="1"/>
  <c r="AN244" i="1"/>
  <c r="AO239" i="1"/>
  <c r="AN252" i="1"/>
  <c r="AO252" i="1"/>
  <c r="AN240" i="1"/>
  <c r="AN247" i="1"/>
  <c r="AN229" i="1"/>
  <c r="AN241" i="1"/>
  <c r="AN254" i="1"/>
  <c r="S254" i="1" s="1"/>
  <c r="AN232" i="1"/>
  <c r="AN242" i="1"/>
  <c r="AN249" i="1"/>
  <c r="AN256" i="1"/>
  <c r="AO257" i="1"/>
  <c r="AN251" i="1"/>
  <c r="AN239" i="1"/>
  <c r="AO258" i="1"/>
  <c r="AN224" i="1"/>
  <c r="AN226" i="1"/>
  <c r="AN230" i="1"/>
  <c r="AO241" i="1"/>
  <c r="AO254" i="1"/>
  <c r="AN235" i="1"/>
  <c r="AO256" i="1"/>
  <c r="AN246" i="1"/>
  <c r="AN225" i="1"/>
  <c r="AN253" i="1"/>
  <c r="AN231" i="1"/>
  <c r="AN248" i="1"/>
  <c r="AN234" i="1"/>
  <c r="AO255" i="1"/>
  <c r="AO244" i="1"/>
  <c r="AO238" i="1"/>
  <c r="AO251" i="1"/>
  <c r="AN258" i="1"/>
  <c r="AO246" i="1"/>
  <c r="AN236" i="1"/>
  <c r="AN237" i="1"/>
  <c r="AN243" i="1"/>
  <c r="AO249" i="1"/>
  <c r="AN222" i="1"/>
  <c r="AO237" i="1"/>
  <c r="AN257" i="1"/>
  <c r="AN223" i="1"/>
  <c r="AO240" i="1"/>
  <c r="AN308" i="1"/>
  <c r="AN292" i="1"/>
  <c r="AN318" i="1"/>
  <c r="AN298" i="1"/>
  <c r="AN309" i="1"/>
  <c r="AN291" i="1"/>
  <c r="AN289" i="1"/>
  <c r="AN297" i="1"/>
  <c r="AN299" i="1"/>
  <c r="AN304" i="1"/>
  <c r="AN310" i="1"/>
  <c r="AN314" i="1"/>
  <c r="AN311" i="1"/>
  <c r="AN315" i="1"/>
  <c r="AN316" i="1"/>
  <c r="AN300" i="1"/>
  <c r="AN301" i="1"/>
  <c r="AN312" i="1"/>
  <c r="AN317" i="1"/>
  <c r="AN295" i="1"/>
  <c r="AN306" i="1"/>
  <c r="AN313" i="1"/>
  <c r="AN290" i="1"/>
  <c r="AN293" i="1"/>
  <c r="AN296" i="1"/>
  <c r="AN302" i="1"/>
  <c r="AN303" i="1"/>
  <c r="AN307" i="1"/>
  <c r="AN294" i="1"/>
  <c r="AN305" i="1"/>
  <c r="AP340" i="1"/>
  <c r="U340" i="1" s="1"/>
  <c r="AP348" i="1"/>
  <c r="U348" i="1" s="1"/>
  <c r="AO262" i="1"/>
  <c r="AO274" i="1"/>
  <c r="AO286" i="1"/>
  <c r="AN325" i="1"/>
  <c r="S325" i="1" s="1"/>
  <c r="AN333" i="1"/>
  <c r="S333" i="1" s="1"/>
  <c r="AN358" i="1"/>
  <c r="AN370" i="1"/>
  <c r="AN382" i="1"/>
  <c r="AN394" i="1"/>
  <c r="AN406" i="1"/>
  <c r="AN418" i="1"/>
  <c r="AN439" i="1"/>
  <c r="AP352" i="1"/>
  <c r="U352" i="1" s="1"/>
  <c r="AN400" i="1"/>
  <c r="AO364" i="1"/>
  <c r="T364" i="1" s="1"/>
  <c r="AO353" i="1"/>
  <c r="T353" i="1" s="1"/>
  <c r="AN429" i="1"/>
  <c r="AN454" i="1"/>
  <c r="AN432" i="1"/>
  <c r="AO259" i="1"/>
  <c r="AN391" i="1"/>
  <c r="AO347" i="1"/>
  <c r="T347" i="1" s="1"/>
  <c r="AN261" i="1"/>
  <c r="S261" i="1" s="1"/>
  <c r="J261" i="1" s="1"/>
  <c r="AN348" i="1"/>
  <c r="AN341" i="1"/>
  <c r="AN349" i="1"/>
  <c r="AN263" i="1"/>
  <c r="S263" i="1" s="1"/>
  <c r="J263" i="1" s="1"/>
  <c r="AN275" i="1"/>
  <c r="S275" i="1" s="1"/>
  <c r="J275" i="1" s="1"/>
  <c r="AN287" i="1"/>
  <c r="S287" i="1" s="1"/>
  <c r="J287" i="1" s="1"/>
  <c r="AO325" i="1"/>
  <c r="T325" i="1" s="1"/>
  <c r="AO333" i="1"/>
  <c r="T333" i="1" s="1"/>
  <c r="AO358" i="1"/>
  <c r="T358" i="1" s="1"/>
  <c r="AO370" i="1"/>
  <c r="AO382" i="1"/>
  <c r="T382" i="1" s="1"/>
  <c r="AO394" i="1"/>
  <c r="T394" i="1" s="1"/>
  <c r="AO406" i="1"/>
  <c r="T406" i="1" s="1"/>
  <c r="AO418" i="1"/>
  <c r="T418" i="1" s="1"/>
  <c r="AN440" i="1"/>
  <c r="AO594" i="1"/>
  <c r="V594" i="1" s="1"/>
  <c r="AO590" i="1"/>
  <c r="V590" i="1" s="1"/>
  <c r="AO586" i="1"/>
  <c r="V586" i="1" s="1"/>
  <c r="AO582" i="1"/>
  <c r="V582" i="1" s="1"/>
  <c r="AP320" i="1"/>
  <c r="U320" i="1" s="1"/>
  <c r="AP328" i="1"/>
  <c r="U328" i="1" s="1"/>
  <c r="AP336" i="1"/>
  <c r="U336" i="1" s="1"/>
  <c r="AO363" i="1"/>
  <c r="T363" i="1" s="1"/>
  <c r="AO375" i="1"/>
  <c r="T375" i="1" s="1"/>
  <c r="AO387" i="1"/>
  <c r="T387" i="1" s="1"/>
  <c r="AN426" i="1"/>
  <c r="AN364" i="1"/>
  <c r="AO388" i="1"/>
  <c r="T388" i="1" s="1"/>
  <c r="AO345" i="1"/>
  <c r="T345" i="1" s="1"/>
  <c r="AP329" i="1"/>
  <c r="U329" i="1" s="1"/>
  <c r="AN377" i="1"/>
  <c r="AN401" i="1"/>
  <c r="AN592" i="1"/>
  <c r="AO365" i="1"/>
  <c r="T365" i="1" s="1"/>
  <c r="AN346" i="1"/>
  <c r="AO330" i="1"/>
  <c r="T330" i="1" s="1"/>
  <c r="AN378" i="1"/>
  <c r="AP338" i="1"/>
  <c r="U338" i="1" s="1"/>
  <c r="AN331" i="1"/>
  <c r="S331" i="1" s="1"/>
  <c r="AN367" i="1"/>
  <c r="AN272" i="1"/>
  <c r="S272" i="1" s="1"/>
  <c r="J272" i="1" s="1"/>
  <c r="AO331" i="1"/>
  <c r="T331" i="1" s="1"/>
  <c r="AO367" i="1"/>
  <c r="T367" i="1" s="1"/>
  <c r="AN434" i="1"/>
  <c r="AO339" i="1"/>
  <c r="T339" i="1" s="1"/>
  <c r="AP331" i="1"/>
  <c r="U331" i="1" s="1"/>
  <c r="AN368" i="1"/>
  <c r="AN392" i="1"/>
  <c r="AN416" i="1"/>
  <c r="AN591" i="1"/>
  <c r="AP339" i="1"/>
  <c r="U339" i="1" s="1"/>
  <c r="AN324" i="1"/>
  <c r="S324" i="1" s="1"/>
  <c r="AO356" i="1"/>
  <c r="AO380" i="1"/>
  <c r="T380" i="1" s="1"/>
  <c r="AO285" i="1"/>
  <c r="AN369" i="1"/>
  <c r="AN393" i="1"/>
  <c r="AN274" i="1"/>
  <c r="S274" i="1" s="1"/>
  <c r="J274" i="1" s="1"/>
  <c r="AO369" i="1"/>
  <c r="AO405" i="1"/>
  <c r="T405" i="1" s="1"/>
  <c r="AO341" i="1"/>
  <c r="T341" i="1" s="1"/>
  <c r="AO349" i="1"/>
  <c r="T349" i="1" s="1"/>
  <c r="AO263" i="1"/>
  <c r="AO275" i="1"/>
  <c r="AO287" i="1"/>
  <c r="AP325" i="1"/>
  <c r="U325" i="1" s="1"/>
  <c r="AP333" i="1"/>
  <c r="U333" i="1" s="1"/>
  <c r="AN359" i="1"/>
  <c r="AN371" i="1"/>
  <c r="AN383" i="1"/>
  <c r="AN395" i="1"/>
  <c r="AN407" i="1"/>
  <c r="AN419" i="1"/>
  <c r="AN441" i="1"/>
  <c r="AN594" i="1"/>
  <c r="AN590" i="1"/>
  <c r="AN586" i="1"/>
  <c r="AN582" i="1"/>
  <c r="AN427" i="1"/>
  <c r="AN345" i="1"/>
  <c r="AO389" i="1"/>
  <c r="T389" i="1" s="1"/>
  <c r="AN390" i="1"/>
  <c r="AO402" i="1"/>
  <c r="T402" i="1" s="1"/>
  <c r="AN379" i="1"/>
  <c r="AN347" i="1"/>
  <c r="AO415" i="1"/>
  <c r="T415" i="1" s="1"/>
  <c r="AN435" i="1"/>
  <c r="AO392" i="1"/>
  <c r="T392" i="1" s="1"/>
  <c r="AN417" i="1"/>
  <c r="AO348" i="1"/>
  <c r="T348" i="1" s="1"/>
  <c r="AP341" i="1"/>
  <c r="U341" i="1" s="1"/>
  <c r="AP349" i="1"/>
  <c r="U349" i="1" s="1"/>
  <c r="AN264" i="1"/>
  <c r="S264" i="1" s="1"/>
  <c r="J264" i="1" s="1"/>
  <c r="AN276" i="1"/>
  <c r="S276" i="1" s="1"/>
  <c r="J276" i="1" s="1"/>
  <c r="AN288" i="1"/>
  <c r="S288" i="1" s="1"/>
  <c r="J288" i="1" s="1"/>
  <c r="AN326" i="1"/>
  <c r="S326" i="1" s="1"/>
  <c r="AN334" i="1"/>
  <c r="S334" i="1" s="1"/>
  <c r="AO359" i="1"/>
  <c r="AO371" i="1"/>
  <c r="AO383" i="1"/>
  <c r="T383" i="1" s="1"/>
  <c r="AO395" i="1"/>
  <c r="T395" i="1" s="1"/>
  <c r="AO407" i="1"/>
  <c r="T407" i="1" s="1"/>
  <c r="AO419" i="1"/>
  <c r="T419" i="1" s="1"/>
  <c r="AN442" i="1"/>
  <c r="AN388" i="1"/>
  <c r="AN452" i="1"/>
  <c r="AN365" i="1"/>
  <c r="AN453" i="1"/>
  <c r="AP345" i="1"/>
  <c r="U345" i="1" s="1"/>
  <c r="AO401" i="1"/>
  <c r="T401" i="1" s="1"/>
  <c r="AN366" i="1"/>
  <c r="AO346" i="1"/>
  <c r="T346" i="1" s="1"/>
  <c r="AN342" i="1"/>
  <c r="AN350" i="1"/>
  <c r="AO264" i="1"/>
  <c r="AO276" i="1"/>
  <c r="AO288" i="1"/>
  <c r="AO326" i="1"/>
  <c r="T326" i="1" s="1"/>
  <c r="AO334" i="1"/>
  <c r="T334" i="1" s="1"/>
  <c r="AN360" i="1"/>
  <c r="AN372" i="1"/>
  <c r="AN384" i="1"/>
  <c r="AN396" i="1"/>
  <c r="AN408" i="1"/>
  <c r="AN420" i="1"/>
  <c r="AN443" i="1"/>
  <c r="AO400" i="1"/>
  <c r="T400" i="1" s="1"/>
  <c r="AN389" i="1"/>
  <c r="AP353" i="1"/>
  <c r="U353" i="1" s="1"/>
  <c r="AN430" i="1"/>
  <c r="AO282" i="1"/>
  <c r="AN414" i="1"/>
  <c r="AO354" i="1"/>
  <c r="T354" i="1" s="1"/>
  <c r="AO378" i="1"/>
  <c r="T378" i="1" s="1"/>
  <c r="AP354" i="1"/>
  <c r="U354" i="1" s="1"/>
  <c r="AN403" i="1"/>
  <c r="AP337" i="1"/>
  <c r="U337" i="1" s="1"/>
  <c r="AO391" i="1"/>
  <c r="T391" i="1" s="1"/>
  <c r="AO583" i="1"/>
  <c r="V583" i="1" s="1"/>
  <c r="AN337" i="1"/>
  <c r="AO404" i="1"/>
  <c r="T404" i="1" s="1"/>
  <c r="AO342" i="1"/>
  <c r="T342" i="1" s="1"/>
  <c r="AO350" i="1"/>
  <c r="T350" i="1" s="1"/>
  <c r="AN265" i="1"/>
  <c r="S265" i="1" s="1"/>
  <c r="J265" i="1" s="1"/>
  <c r="AN277" i="1"/>
  <c r="S277" i="1" s="1"/>
  <c r="J277" i="1" s="1"/>
  <c r="AP326" i="1"/>
  <c r="U326" i="1" s="1"/>
  <c r="AP334" i="1"/>
  <c r="U334" i="1" s="1"/>
  <c r="AO360" i="1"/>
  <c r="AO372" i="1"/>
  <c r="AO384" i="1"/>
  <c r="AO396" i="1"/>
  <c r="T396" i="1" s="1"/>
  <c r="AO408" i="1"/>
  <c r="T408" i="1" s="1"/>
  <c r="AO420" i="1"/>
  <c r="T420" i="1" s="1"/>
  <c r="AN444" i="1"/>
  <c r="AO268" i="1"/>
  <c r="AN353" i="1"/>
  <c r="AO412" i="1"/>
  <c r="T412" i="1" s="1"/>
  <c r="AO377" i="1"/>
  <c r="AN354" i="1"/>
  <c r="AN402" i="1"/>
  <c r="AN259" i="1"/>
  <c r="S259" i="1" s="1"/>
  <c r="J259" i="1" s="1"/>
  <c r="AO414" i="1"/>
  <c r="T414" i="1" s="1"/>
  <c r="AP346" i="1"/>
  <c r="U346" i="1" s="1"/>
  <c r="AO379" i="1"/>
  <c r="T379" i="1" s="1"/>
  <c r="AO595" i="1"/>
  <c r="V595" i="1" s="1"/>
  <c r="AO337" i="1"/>
  <c r="T337" i="1" s="1"/>
  <c r="AP347" i="1"/>
  <c r="U347" i="1" s="1"/>
  <c r="AN436" i="1"/>
  <c r="AN437" i="1"/>
  <c r="AN438" i="1"/>
  <c r="AP342" i="1"/>
  <c r="U342" i="1" s="1"/>
  <c r="AP350" i="1"/>
  <c r="U350" i="1" s="1"/>
  <c r="AO265" i="1"/>
  <c r="AO277" i="1"/>
  <c r="AN319" i="1"/>
  <c r="S319" i="1" s="1"/>
  <c r="AN327" i="1"/>
  <c r="S327" i="1" s="1"/>
  <c r="AN335" i="1"/>
  <c r="S335" i="1" s="1"/>
  <c r="AN361" i="1"/>
  <c r="AN373" i="1"/>
  <c r="AN385" i="1"/>
  <c r="AN397" i="1"/>
  <c r="AN409" i="1"/>
  <c r="AN421" i="1"/>
  <c r="AN445" i="1"/>
  <c r="AN571" i="1"/>
  <c r="AN280" i="1"/>
  <c r="S280" i="1" s="1"/>
  <c r="J280" i="1" s="1"/>
  <c r="AO411" i="1"/>
  <c r="T411" i="1" s="1"/>
  <c r="AN412" i="1"/>
  <c r="AO321" i="1"/>
  <c r="T321" i="1" s="1"/>
  <c r="AO584" i="1"/>
  <c r="V584" i="1" s="1"/>
  <c r="AN322" i="1"/>
  <c r="AN455" i="1"/>
  <c r="AP330" i="1"/>
  <c r="U330" i="1" s="1"/>
  <c r="AN260" i="1"/>
  <c r="S260" i="1" s="1"/>
  <c r="J260" i="1" s="1"/>
  <c r="AN273" i="1"/>
  <c r="S273" i="1" s="1"/>
  <c r="J273" i="1" s="1"/>
  <c r="AN286" i="1"/>
  <c r="S286" i="1" s="1"/>
  <c r="J286" i="1" s="1"/>
  <c r="AN343" i="1"/>
  <c r="AN351" i="1"/>
  <c r="AN266" i="1"/>
  <c r="S266" i="1" s="1"/>
  <c r="J266" i="1" s="1"/>
  <c r="AN278" i="1"/>
  <c r="S278" i="1" s="1"/>
  <c r="J278" i="1" s="1"/>
  <c r="AO319" i="1"/>
  <c r="T319" i="1" s="1"/>
  <c r="AO327" i="1"/>
  <c r="T327" i="1" s="1"/>
  <c r="AO335" i="1"/>
  <c r="T335" i="1" s="1"/>
  <c r="AO361" i="1"/>
  <c r="AO373" i="1"/>
  <c r="AO385" i="1"/>
  <c r="AO397" i="1"/>
  <c r="T397" i="1" s="1"/>
  <c r="AO409" i="1"/>
  <c r="T409" i="1" s="1"/>
  <c r="AN422" i="1"/>
  <c r="AN446" i="1"/>
  <c r="AO593" i="1"/>
  <c r="V593" i="1" s="1"/>
  <c r="AO589" i="1"/>
  <c r="V589" i="1" s="1"/>
  <c r="AO585" i="1"/>
  <c r="V585" i="1" s="1"/>
  <c r="AO581" i="1"/>
  <c r="V581" i="1" s="1"/>
  <c r="AO352" i="1"/>
  <c r="T352" i="1" s="1"/>
  <c r="AN450" i="1"/>
  <c r="AN321" i="1"/>
  <c r="S321" i="1" s="1"/>
  <c r="AN269" i="1"/>
  <c r="S269" i="1" s="1"/>
  <c r="J269" i="1" s="1"/>
  <c r="AO592" i="1"/>
  <c r="V592" i="1" s="1"/>
  <c r="AO281" i="1"/>
  <c r="AO322" i="1"/>
  <c r="T322" i="1" s="1"/>
  <c r="AO271" i="1"/>
  <c r="AO260" i="1"/>
  <c r="AO332" i="1"/>
  <c r="T332" i="1" s="1"/>
  <c r="AO343" i="1"/>
  <c r="T343" i="1" s="1"/>
  <c r="AO351" i="1"/>
  <c r="T351" i="1" s="1"/>
  <c r="AO266" i="1"/>
  <c r="AO278" i="1"/>
  <c r="AP319" i="1"/>
  <c r="U319" i="1" s="1"/>
  <c r="AP327" i="1"/>
  <c r="U327" i="1" s="1"/>
  <c r="AP335" i="1"/>
  <c r="U335" i="1" s="1"/>
  <c r="AN362" i="1"/>
  <c r="AN374" i="1"/>
  <c r="AN386" i="1"/>
  <c r="AN398" i="1"/>
  <c r="AN410" i="1"/>
  <c r="AN423" i="1"/>
  <c r="AN447" i="1"/>
  <c r="AN570" i="1"/>
  <c r="AN593" i="1"/>
  <c r="AN589" i="1"/>
  <c r="AN585" i="1"/>
  <c r="AN581" i="1"/>
  <c r="AN268" i="1"/>
  <c r="S268" i="1" s="1"/>
  <c r="J268" i="1" s="1"/>
  <c r="AO399" i="1"/>
  <c r="T399" i="1" s="1"/>
  <c r="AO588" i="1"/>
  <c r="V588" i="1" s="1"/>
  <c r="AP321" i="1"/>
  <c r="AN588" i="1"/>
  <c r="AN282" i="1"/>
  <c r="S282" i="1" s="1"/>
  <c r="J282" i="1" s="1"/>
  <c r="AN283" i="1"/>
  <c r="S283" i="1" s="1"/>
  <c r="J283" i="1" s="1"/>
  <c r="AN433" i="1"/>
  <c r="AN284" i="1"/>
  <c r="S284" i="1" s="1"/>
  <c r="J284" i="1" s="1"/>
  <c r="AO587" i="1"/>
  <c r="V587" i="1" s="1"/>
  <c r="AO272" i="1"/>
  <c r="AN595" i="1"/>
  <c r="AN285" i="1"/>
  <c r="S285" i="1" s="1"/>
  <c r="J285" i="1" s="1"/>
  <c r="AO261" i="1"/>
  <c r="AP324" i="1"/>
  <c r="U324" i="1" s="1"/>
  <c r="AP343" i="1"/>
  <c r="U343" i="1" s="1"/>
  <c r="AP351" i="1"/>
  <c r="U351" i="1" s="1"/>
  <c r="AN267" i="1"/>
  <c r="S267" i="1" s="1"/>
  <c r="J267" i="1" s="1"/>
  <c r="AN279" i="1"/>
  <c r="S279" i="1" s="1"/>
  <c r="J279" i="1" s="1"/>
  <c r="AN320" i="1"/>
  <c r="S320" i="1" s="1"/>
  <c r="AN328" i="1"/>
  <c r="S328" i="1" s="1"/>
  <c r="AN336" i="1"/>
  <c r="S336" i="1" s="1"/>
  <c r="AO362" i="1"/>
  <c r="AO374" i="1"/>
  <c r="T374" i="1" s="1"/>
  <c r="AO386" i="1"/>
  <c r="T386" i="1" s="1"/>
  <c r="AO398" i="1"/>
  <c r="T398" i="1" s="1"/>
  <c r="AO410" i="1"/>
  <c r="T410" i="1" s="1"/>
  <c r="AN424" i="1"/>
  <c r="AN448" i="1"/>
  <c r="AO344" i="1"/>
  <c r="T344" i="1" s="1"/>
  <c r="AO280" i="1"/>
  <c r="AN281" i="1"/>
  <c r="S281" i="1" s="1"/>
  <c r="J281" i="1" s="1"/>
  <c r="AO269" i="1"/>
  <c r="AN584" i="1"/>
  <c r="AN270" i="1"/>
  <c r="S270" i="1" s="1"/>
  <c r="J270" i="1" s="1"/>
  <c r="AO270" i="1"/>
  <c r="AN271" i="1"/>
  <c r="S271" i="1" s="1"/>
  <c r="J271" i="1" s="1"/>
  <c r="AN456" i="1"/>
  <c r="AO283" i="1"/>
  <c r="AO591" i="1"/>
  <c r="V591" i="1" s="1"/>
  <c r="AP323" i="1"/>
  <c r="U323" i="1" s="1"/>
  <c r="AN583" i="1"/>
  <c r="AO324" i="1"/>
  <c r="T324" i="1" s="1"/>
  <c r="AN344" i="1"/>
  <c r="AN352" i="1"/>
  <c r="AO267" i="1"/>
  <c r="AO279" i="1"/>
  <c r="AO320" i="1"/>
  <c r="T320" i="1" s="1"/>
  <c r="AO328" i="1"/>
  <c r="T328" i="1" s="1"/>
  <c r="AO336" i="1"/>
  <c r="T336" i="1" s="1"/>
  <c r="AN363" i="1"/>
  <c r="AN375" i="1"/>
  <c r="AN387" i="1"/>
  <c r="AN399" i="1"/>
  <c r="AN411" i="1"/>
  <c r="AN425" i="1"/>
  <c r="AN449" i="1"/>
  <c r="AN569" i="1"/>
  <c r="AP344" i="1"/>
  <c r="U344" i="1" s="1"/>
  <c r="AN329" i="1"/>
  <c r="S329" i="1" s="1"/>
  <c r="AN376" i="1"/>
  <c r="AN451" i="1"/>
  <c r="AO329" i="1"/>
  <c r="T329" i="1" s="1"/>
  <c r="AO376" i="1"/>
  <c r="AN428" i="1"/>
  <c r="AN413" i="1"/>
  <c r="AN330" i="1"/>
  <c r="AO413" i="1"/>
  <c r="T413" i="1" s="1"/>
  <c r="AN338" i="1"/>
  <c r="AN431" i="1"/>
  <c r="AO338" i="1"/>
  <c r="T338" i="1" s="1"/>
  <c r="AP322" i="1"/>
  <c r="U322" i="1" s="1"/>
  <c r="AO366" i="1"/>
  <c r="T366" i="1" s="1"/>
  <c r="AO390" i="1"/>
  <c r="T390" i="1" s="1"/>
  <c r="AN323" i="1"/>
  <c r="AN355" i="1"/>
  <c r="AN415" i="1"/>
  <c r="AN339" i="1"/>
  <c r="AO323" i="1"/>
  <c r="T323" i="1" s="1"/>
  <c r="AO355" i="1"/>
  <c r="AO403" i="1"/>
  <c r="T403" i="1" s="1"/>
  <c r="AO284" i="1"/>
  <c r="AN356" i="1"/>
  <c r="AN380" i="1"/>
  <c r="AN404" i="1"/>
  <c r="AN587" i="1"/>
  <c r="AN332" i="1"/>
  <c r="S332" i="1" s="1"/>
  <c r="AO368" i="1"/>
  <c r="T368" i="1" s="1"/>
  <c r="AO416" i="1"/>
  <c r="T416" i="1" s="1"/>
  <c r="AN340" i="1"/>
  <c r="AO273" i="1"/>
  <c r="AN357" i="1"/>
  <c r="AN381" i="1"/>
  <c r="AN405" i="1"/>
  <c r="AO340" i="1"/>
  <c r="T340" i="1" s="1"/>
  <c r="AN262" i="1"/>
  <c r="S262" i="1" s="1"/>
  <c r="J262" i="1" s="1"/>
  <c r="AP332" i="1"/>
  <c r="U332" i="1" s="1"/>
  <c r="AO357" i="1"/>
  <c r="AO381" i="1"/>
  <c r="T381" i="1" s="1"/>
  <c r="AO393" i="1"/>
  <c r="T393" i="1" s="1"/>
  <c r="AO417" i="1"/>
  <c r="T417" i="1" s="1"/>
  <c r="P129" i="1"/>
  <c r="N129" i="1"/>
  <c r="O129" i="1"/>
  <c r="O123" i="1"/>
  <c r="P123" i="1"/>
  <c r="N123" i="1"/>
  <c r="P140" i="1"/>
  <c r="O140" i="1"/>
  <c r="N140" i="1"/>
  <c r="P126" i="1"/>
  <c r="O126" i="1"/>
  <c r="N126" i="1"/>
  <c r="P127" i="1"/>
  <c r="N127" i="1"/>
  <c r="O127" i="1"/>
  <c r="P134" i="1"/>
  <c r="O134" i="1"/>
  <c r="N134" i="1"/>
  <c r="P137" i="1"/>
  <c r="O137" i="1"/>
  <c r="N137" i="1"/>
  <c r="P125" i="1"/>
  <c r="O125" i="1"/>
  <c r="N125" i="1"/>
  <c r="N141" i="1"/>
  <c r="O141" i="1"/>
  <c r="P141" i="1"/>
  <c r="AO168" i="1"/>
  <c r="T168" i="1" s="1"/>
  <c r="AN159" i="1"/>
  <c r="S159" i="1" s="1"/>
  <c r="AN153" i="1"/>
  <c r="S153" i="1" s="1"/>
  <c r="AN168" i="1"/>
  <c r="S168" i="1" s="1"/>
  <c r="AN156" i="1"/>
  <c r="S156" i="1" s="1"/>
  <c r="AN165" i="1"/>
  <c r="S165" i="1" s="1"/>
  <c r="AO159" i="1"/>
  <c r="T159" i="1" s="1"/>
  <c r="AO165" i="1"/>
  <c r="T165" i="1" s="1"/>
  <c r="AN163" i="1"/>
  <c r="S163" i="1" s="1"/>
  <c r="AO153" i="1"/>
  <c r="T153" i="1" s="1"/>
  <c r="AO156" i="1"/>
  <c r="T156" i="1" s="1"/>
  <c r="AO163" i="1"/>
  <c r="T163" i="1" s="1"/>
  <c r="AO162" i="1"/>
  <c r="T162" i="1" s="1"/>
  <c r="AN162" i="1"/>
  <c r="S162" i="1" s="1"/>
  <c r="O135" i="1"/>
  <c r="N135" i="1"/>
  <c r="P135" i="1"/>
  <c r="O117" i="1"/>
  <c r="P117" i="1"/>
  <c r="N117" i="1"/>
  <c r="P132" i="1"/>
  <c r="N132" i="1"/>
  <c r="O132" i="1"/>
  <c r="N118" i="1"/>
  <c r="P118" i="1"/>
  <c r="O118" i="1"/>
  <c r="N142" i="1"/>
  <c r="O142" i="1"/>
  <c r="P142" i="1"/>
  <c r="N133" i="1"/>
  <c r="O133" i="1"/>
  <c r="P133" i="1"/>
  <c r="P122" i="1"/>
  <c r="N122" i="1"/>
  <c r="O122" i="1"/>
  <c r="N143" i="1"/>
  <c r="P143" i="1"/>
  <c r="O143" i="1"/>
  <c r="P119" i="1"/>
  <c r="O119" i="1"/>
  <c r="N119" i="1"/>
  <c r="P128" i="1"/>
  <c r="N128" i="1"/>
  <c r="O128" i="1"/>
  <c r="O121" i="1"/>
  <c r="N121" i="1"/>
  <c r="P121" i="1"/>
  <c r="P116" i="1"/>
  <c r="N116" i="1"/>
  <c r="O116" i="1"/>
  <c r="P136" i="1"/>
  <c r="N136" i="1"/>
  <c r="O136" i="1"/>
  <c r="AF572" i="1"/>
  <c r="AG572" i="1"/>
  <c r="AN568" i="1"/>
  <c r="AN567" i="1"/>
  <c r="AN566" i="1"/>
  <c r="AN565" i="1"/>
  <c r="AN564" i="1"/>
  <c r="AN563" i="1"/>
  <c r="AN562" i="1"/>
  <c r="AN561" i="1"/>
  <c r="AN560" i="1"/>
  <c r="AN559" i="1"/>
  <c r="AN558" i="1"/>
  <c r="AN557" i="1"/>
  <c r="AN639" i="1"/>
  <c r="S639" i="1" s="1"/>
  <c r="J639" i="1" s="1"/>
  <c r="AN638" i="1"/>
  <c r="S638" i="1" s="1"/>
  <c r="J638" i="1" s="1"/>
  <c r="AN637" i="1"/>
  <c r="S637" i="1" s="1"/>
  <c r="J637" i="1" s="1"/>
  <c r="AN636" i="1"/>
  <c r="S636" i="1" s="1"/>
  <c r="J636" i="1" s="1"/>
  <c r="AN528" i="1"/>
  <c r="AN527" i="1"/>
  <c r="AN526" i="1"/>
  <c r="AN525" i="1"/>
  <c r="AN524" i="1"/>
  <c r="AN523" i="1"/>
  <c r="AN488" i="1"/>
  <c r="S488" i="1" s="1"/>
  <c r="J488" i="1" s="1"/>
  <c r="AO487" i="1"/>
  <c r="T487" i="1" s="1"/>
  <c r="K487" i="1" s="1"/>
  <c r="AN484" i="1"/>
  <c r="S484" i="1" s="1"/>
  <c r="J484" i="1" s="1"/>
  <c r="AO483" i="1"/>
  <c r="T483" i="1" s="1"/>
  <c r="K483" i="1" s="1"/>
  <c r="AN480" i="1"/>
  <c r="S480" i="1" s="1"/>
  <c r="J480" i="1" s="1"/>
  <c r="AO479" i="1"/>
  <c r="T479" i="1" s="1"/>
  <c r="K479" i="1" s="1"/>
  <c r="AN476" i="1"/>
  <c r="S476" i="1" s="1"/>
  <c r="J476" i="1" s="1"/>
  <c r="AO475" i="1"/>
  <c r="T475" i="1" s="1"/>
  <c r="K475" i="1" s="1"/>
  <c r="AN522" i="1"/>
  <c r="AO490" i="1"/>
  <c r="T490" i="1" s="1"/>
  <c r="K490" i="1" s="1"/>
  <c r="AO482" i="1"/>
  <c r="T482" i="1" s="1"/>
  <c r="K482" i="1" s="1"/>
  <c r="AN479" i="1"/>
  <c r="S479" i="1" s="1"/>
  <c r="J479" i="1" s="1"/>
  <c r="AO474" i="1"/>
  <c r="T474" i="1" s="1"/>
  <c r="K474" i="1" s="1"/>
  <c r="AN635" i="1"/>
  <c r="S635" i="1" s="1"/>
  <c r="J635" i="1" s="1"/>
  <c r="AN634" i="1"/>
  <c r="S634" i="1" s="1"/>
  <c r="J634" i="1" s="1"/>
  <c r="AN633" i="1"/>
  <c r="S633" i="1" s="1"/>
  <c r="J633" i="1" s="1"/>
  <c r="AN632" i="1"/>
  <c r="S632" i="1" s="1"/>
  <c r="J632" i="1" s="1"/>
  <c r="AN631" i="1"/>
  <c r="S631" i="1" s="1"/>
  <c r="J631" i="1" s="1"/>
  <c r="AN630" i="1"/>
  <c r="S630" i="1" s="1"/>
  <c r="J630" i="1" s="1"/>
  <c r="AN629" i="1"/>
  <c r="S629" i="1" s="1"/>
  <c r="J629" i="1" s="1"/>
  <c r="AN628" i="1"/>
  <c r="S628" i="1" s="1"/>
  <c r="J628" i="1" s="1"/>
  <c r="AN627" i="1"/>
  <c r="S627" i="1" s="1"/>
  <c r="J627" i="1" s="1"/>
  <c r="AN626" i="1"/>
  <c r="S626" i="1" s="1"/>
  <c r="J626" i="1" s="1"/>
  <c r="AN625" i="1"/>
  <c r="S625" i="1" s="1"/>
  <c r="J625" i="1" s="1"/>
  <c r="AN624" i="1"/>
  <c r="S624" i="1" s="1"/>
  <c r="J624" i="1" s="1"/>
  <c r="AN531" i="1"/>
  <c r="AN490" i="1"/>
  <c r="S490" i="1" s="1"/>
  <c r="J490" i="1" s="1"/>
  <c r="AO489" i="1"/>
  <c r="T489" i="1" s="1"/>
  <c r="K489" i="1" s="1"/>
  <c r="AN486" i="1"/>
  <c r="S486" i="1" s="1"/>
  <c r="J486" i="1" s="1"/>
  <c r="AO485" i="1"/>
  <c r="T485" i="1" s="1"/>
  <c r="K485" i="1" s="1"/>
  <c r="AN482" i="1"/>
  <c r="S482" i="1" s="1"/>
  <c r="J482" i="1" s="1"/>
  <c r="AO481" i="1"/>
  <c r="T481" i="1" s="1"/>
  <c r="K481" i="1" s="1"/>
  <c r="AN478" i="1"/>
  <c r="S478" i="1" s="1"/>
  <c r="J478" i="1" s="1"/>
  <c r="AO477" i="1"/>
  <c r="T477" i="1" s="1"/>
  <c r="K477" i="1" s="1"/>
  <c r="AN474" i="1"/>
  <c r="S474" i="1" s="1"/>
  <c r="J474" i="1" s="1"/>
  <c r="AN521" i="1"/>
  <c r="AN487" i="1"/>
  <c r="S487" i="1" s="1"/>
  <c r="J487" i="1" s="1"/>
  <c r="AN530" i="1"/>
  <c r="AN529" i="1"/>
  <c r="AN489" i="1"/>
  <c r="S489" i="1" s="1"/>
  <c r="J489" i="1" s="1"/>
  <c r="AO488" i="1"/>
  <c r="T488" i="1" s="1"/>
  <c r="K488" i="1" s="1"/>
  <c r="AN485" i="1"/>
  <c r="S485" i="1" s="1"/>
  <c r="J485" i="1" s="1"/>
  <c r="AO484" i="1"/>
  <c r="T484" i="1" s="1"/>
  <c r="K484" i="1" s="1"/>
  <c r="AN481" i="1"/>
  <c r="S481" i="1" s="1"/>
  <c r="J481" i="1" s="1"/>
  <c r="AO480" i="1"/>
  <c r="T480" i="1" s="1"/>
  <c r="K480" i="1" s="1"/>
  <c r="AN477" i="1"/>
  <c r="S477" i="1" s="1"/>
  <c r="J477" i="1" s="1"/>
  <c r="AO476" i="1"/>
  <c r="T476" i="1" s="1"/>
  <c r="K476" i="1" s="1"/>
  <c r="AN520" i="1"/>
  <c r="AO486" i="1"/>
  <c r="T486" i="1" s="1"/>
  <c r="K486" i="1" s="1"/>
  <c r="AN483" i="1"/>
  <c r="S483" i="1" s="1"/>
  <c r="J483" i="1" s="1"/>
  <c r="AO478" i="1"/>
  <c r="T478" i="1" s="1"/>
  <c r="K478" i="1" s="1"/>
  <c r="AN475" i="1"/>
  <c r="S475" i="1" s="1"/>
  <c r="J475" i="1" s="1"/>
  <c r="AN614" i="1"/>
  <c r="AN106" i="1"/>
  <c r="AN622" i="1"/>
  <c r="S622" i="1" s="1"/>
  <c r="J622" i="1" s="1"/>
  <c r="AN618" i="1"/>
  <c r="S618" i="1" s="1"/>
  <c r="J618" i="1" s="1"/>
  <c r="AN612" i="1"/>
  <c r="S612" i="1" s="1"/>
  <c r="J612" i="1" s="1"/>
  <c r="U321" i="1"/>
  <c r="S322" i="1"/>
  <c r="S330" i="1"/>
  <c r="AN620" i="1"/>
  <c r="S620" i="1" s="1"/>
  <c r="J620" i="1" s="1"/>
  <c r="AN615" i="1"/>
  <c r="S615" i="1" s="1"/>
  <c r="J615" i="1" s="1"/>
  <c r="AN609" i="1"/>
  <c r="S609" i="1" s="1"/>
  <c r="J609" i="1" s="1"/>
  <c r="AN143" i="1"/>
  <c r="AN141" i="1"/>
  <c r="AN135" i="1"/>
  <c r="AN133" i="1"/>
  <c r="AN126" i="1"/>
  <c r="AN122" i="1"/>
  <c r="AN458" i="1"/>
  <c r="S458" i="1" s="1"/>
  <c r="J458" i="1" s="1"/>
  <c r="AN462" i="1"/>
  <c r="S462" i="1" s="1"/>
  <c r="J462" i="1" s="1"/>
  <c r="AN466" i="1"/>
  <c r="S466" i="1" s="1"/>
  <c r="J466" i="1" s="1"/>
  <c r="AN470" i="1"/>
  <c r="S470" i="1" s="1"/>
  <c r="J470" i="1" s="1"/>
  <c r="AO457" i="1"/>
  <c r="AO461" i="1"/>
  <c r="AO465" i="1"/>
  <c r="AO469" i="1"/>
  <c r="AO473" i="1"/>
  <c r="AN511" i="1"/>
  <c r="AN515" i="1"/>
  <c r="AN519" i="1"/>
  <c r="AN547" i="1"/>
  <c r="AN556" i="1"/>
  <c r="AN575" i="1"/>
  <c r="AN578" i="1"/>
  <c r="AO573" i="1"/>
  <c r="V573" i="1" s="1"/>
  <c r="M573" i="1" s="1"/>
  <c r="AO580" i="1"/>
  <c r="V580" i="1" s="1"/>
  <c r="M580" i="1" s="1"/>
  <c r="AN613" i="1"/>
  <c r="S613" i="1" s="1"/>
  <c r="J613" i="1" s="1"/>
  <c r="AN621" i="1"/>
  <c r="S621" i="1" s="1"/>
  <c r="J621" i="1" s="1"/>
  <c r="AN473" i="1"/>
  <c r="S473" i="1" s="1"/>
  <c r="J473" i="1" s="1"/>
  <c r="AO468" i="1"/>
  <c r="AN514" i="1"/>
  <c r="AN550" i="1"/>
  <c r="AN574" i="1"/>
  <c r="AO576" i="1"/>
  <c r="V576" i="1" s="1"/>
  <c r="M576" i="1" s="1"/>
  <c r="AN619" i="1"/>
  <c r="S619" i="1" s="1"/>
  <c r="J619" i="1" s="1"/>
  <c r="AN459" i="1"/>
  <c r="S459" i="1" s="1"/>
  <c r="J459" i="1" s="1"/>
  <c r="AN463" i="1"/>
  <c r="S463" i="1" s="1"/>
  <c r="J463" i="1" s="1"/>
  <c r="AN467" i="1"/>
  <c r="S467" i="1" s="1"/>
  <c r="J467" i="1" s="1"/>
  <c r="AN471" i="1"/>
  <c r="S471" i="1" s="1"/>
  <c r="J471" i="1" s="1"/>
  <c r="AO458" i="1"/>
  <c r="AO462" i="1"/>
  <c r="AO466" i="1"/>
  <c r="AO470" i="1"/>
  <c r="AN508" i="1"/>
  <c r="AN512" i="1"/>
  <c r="AN516" i="1"/>
  <c r="AN544" i="1"/>
  <c r="AN548" i="1"/>
  <c r="AN551" i="1"/>
  <c r="AN554" i="1"/>
  <c r="AN572" i="1"/>
  <c r="AN576" i="1"/>
  <c r="AN579" i="1"/>
  <c r="AO574" i="1"/>
  <c r="V574" i="1" s="1"/>
  <c r="M574" i="1" s="1"/>
  <c r="AO577" i="1"/>
  <c r="V577" i="1" s="1"/>
  <c r="M577" i="1" s="1"/>
  <c r="AN608" i="1"/>
  <c r="S608" i="1" s="1"/>
  <c r="J608" i="1" s="1"/>
  <c r="AN616" i="1"/>
  <c r="S616" i="1" s="1"/>
  <c r="J616" i="1" s="1"/>
  <c r="AN623" i="1"/>
  <c r="S623" i="1" s="1"/>
  <c r="J623" i="1" s="1"/>
  <c r="AN461" i="1"/>
  <c r="S461" i="1" s="1"/>
  <c r="J461" i="1" s="1"/>
  <c r="AN469" i="1"/>
  <c r="S469" i="1" s="1"/>
  <c r="J469" i="1" s="1"/>
  <c r="AO464" i="1"/>
  <c r="AN510" i="1"/>
  <c r="AN546" i="1"/>
  <c r="AN577" i="1"/>
  <c r="AN611" i="1"/>
  <c r="S611" i="1" s="1"/>
  <c r="J611" i="1" s="1"/>
  <c r="AN460" i="1"/>
  <c r="S460" i="1" s="1"/>
  <c r="J460" i="1" s="1"/>
  <c r="AN464" i="1"/>
  <c r="S464" i="1" s="1"/>
  <c r="J464" i="1" s="1"/>
  <c r="AN468" i="1"/>
  <c r="S468" i="1" s="1"/>
  <c r="J468" i="1" s="1"/>
  <c r="AN472" i="1"/>
  <c r="S472" i="1" s="1"/>
  <c r="J472" i="1" s="1"/>
  <c r="AO459" i="1"/>
  <c r="AO463" i="1"/>
  <c r="AO467" i="1"/>
  <c r="AO471" i="1"/>
  <c r="AN509" i="1"/>
  <c r="AN513" i="1"/>
  <c r="AN517" i="1"/>
  <c r="AN545" i="1"/>
  <c r="AN549" i="1"/>
  <c r="AN552" i="1"/>
  <c r="AN555" i="1"/>
  <c r="AN573" i="1"/>
  <c r="AN580" i="1"/>
  <c r="AO575" i="1"/>
  <c r="V575" i="1" s="1"/>
  <c r="M575" i="1" s="1"/>
  <c r="AO578" i="1"/>
  <c r="V578" i="1" s="1"/>
  <c r="M578" i="1" s="1"/>
  <c r="AN610" i="1"/>
  <c r="S610" i="1" s="1"/>
  <c r="J610" i="1" s="1"/>
  <c r="AN617" i="1"/>
  <c r="S617" i="1" s="1"/>
  <c r="J617" i="1" s="1"/>
  <c r="AN656" i="1"/>
  <c r="AN457" i="1"/>
  <c r="S457" i="1" s="1"/>
  <c r="J457" i="1" s="1"/>
  <c r="AN465" i="1"/>
  <c r="S465" i="1" s="1"/>
  <c r="J465" i="1" s="1"/>
  <c r="AO460" i="1"/>
  <c r="AO472" i="1"/>
  <c r="AN518" i="1"/>
  <c r="AN553" i="1"/>
  <c r="AO572" i="1"/>
  <c r="V572" i="1" s="1"/>
  <c r="M572" i="1" s="1"/>
  <c r="AO579" i="1"/>
  <c r="V579" i="1" s="1"/>
  <c r="M579" i="1" s="1"/>
  <c r="AN657" i="1"/>
  <c r="S229" i="1" l="1"/>
  <c r="J229" i="1" s="1"/>
  <c r="T229" i="1"/>
  <c r="K229" i="1" s="1"/>
  <c r="T234" i="1"/>
  <c r="K234" i="1" s="1"/>
  <c r="S234" i="1"/>
  <c r="J234" i="1" s="1"/>
  <c r="T225" i="1"/>
  <c r="K225" i="1" s="1"/>
  <c r="S225" i="1"/>
  <c r="J225" i="1" s="1"/>
  <c r="S231" i="1"/>
  <c r="J231" i="1" s="1"/>
  <c r="T231" i="1"/>
  <c r="K231" i="1" s="1"/>
  <c r="T230" i="1"/>
  <c r="K230" i="1" s="1"/>
  <c r="S230" i="1"/>
  <c r="J230" i="1" s="1"/>
  <c r="S223" i="1"/>
  <c r="J223" i="1" s="1"/>
  <c r="T223" i="1"/>
  <c r="K223" i="1" s="1"/>
  <c r="T232" i="1"/>
  <c r="K232" i="1" s="1"/>
  <c r="S232" i="1"/>
  <c r="J232" i="1" s="1"/>
  <c r="T235" i="1"/>
  <c r="K235" i="1" s="1"/>
  <c r="S235" i="1"/>
  <c r="J235" i="1" s="1"/>
  <c r="S228" i="1"/>
  <c r="J228" i="1" s="1"/>
  <c r="T228" i="1"/>
  <c r="K228" i="1" s="1"/>
  <c r="S224" i="1"/>
  <c r="J224" i="1" s="1"/>
  <c r="T224" i="1"/>
  <c r="K224" i="1" s="1"/>
  <c r="T233" i="1"/>
  <c r="K233" i="1" s="1"/>
  <c r="S233" i="1"/>
  <c r="J233" i="1" s="1"/>
  <c r="T236" i="1"/>
  <c r="K236" i="1" s="1"/>
  <c r="S236" i="1"/>
  <c r="J236" i="1" s="1"/>
  <c r="T226" i="1"/>
  <c r="S226" i="1"/>
  <c r="T222" i="1"/>
  <c r="K222" i="1" s="1"/>
  <c r="S222" i="1"/>
  <c r="J222" i="1" s="1"/>
  <c r="T227" i="1"/>
  <c r="K227" i="1" s="1"/>
  <c r="S227" i="1"/>
  <c r="J227" i="1" s="1"/>
  <c r="AM247" i="1"/>
  <c r="S247" i="1"/>
  <c r="AM246" i="1"/>
  <c r="S246" i="1"/>
  <c r="AM244" i="1"/>
  <c r="S244" i="1"/>
  <c r="T256" i="1"/>
  <c r="U256" i="1"/>
  <c r="U242" i="1"/>
  <c r="T242" i="1"/>
  <c r="AM235" i="1"/>
  <c r="AM228" i="1"/>
  <c r="AM231" i="1"/>
  <c r="AM252" i="1"/>
  <c r="S252" i="1"/>
  <c r="AM230" i="1"/>
  <c r="U250" i="1"/>
  <c r="T250" i="1"/>
  <c r="T243" i="1"/>
  <c r="U243" i="1"/>
  <c r="T249" i="1"/>
  <c r="U249" i="1"/>
  <c r="AM239" i="1"/>
  <c r="S239" i="1"/>
  <c r="AM255" i="1"/>
  <c r="S255" i="1"/>
  <c r="U255" i="1"/>
  <c r="T255" i="1"/>
  <c r="S253" i="1"/>
  <c r="AM253" i="1"/>
  <c r="T237" i="1"/>
  <c r="U237" i="1"/>
  <c r="U258" i="1"/>
  <c r="T258" i="1"/>
  <c r="S243" i="1"/>
  <c r="AM243" i="1"/>
  <c r="AM251" i="1"/>
  <c r="S251" i="1"/>
  <c r="AM233" i="1"/>
  <c r="S248" i="1"/>
  <c r="AM248" i="1"/>
  <c r="AM225" i="1"/>
  <c r="AM254" i="1"/>
  <c r="U254" i="1"/>
  <c r="T254" i="1"/>
  <c r="AM245" i="1"/>
  <c r="S245" i="1"/>
  <c r="AM250" i="1"/>
  <c r="S250" i="1"/>
  <c r="AM222" i="1"/>
  <c r="S237" i="1"/>
  <c r="AM237" i="1"/>
  <c r="T257" i="1"/>
  <c r="U257" i="1"/>
  <c r="T248" i="1"/>
  <c r="U248" i="1"/>
  <c r="T251" i="1"/>
  <c r="U251" i="1"/>
  <c r="S241" i="1"/>
  <c r="AM241" i="1"/>
  <c r="AM240" i="1"/>
  <c r="S240" i="1"/>
  <c r="T239" i="1"/>
  <c r="U239" i="1"/>
  <c r="AM257" i="1"/>
  <c r="S257" i="1"/>
  <c r="AM236" i="1"/>
  <c r="AM256" i="1"/>
  <c r="S256" i="1"/>
  <c r="T253" i="1"/>
  <c r="U253" i="1"/>
  <c r="AM232" i="1"/>
  <c r="T238" i="1"/>
  <c r="U238" i="1"/>
  <c r="T252" i="1"/>
  <c r="U252" i="1"/>
  <c r="T245" i="1"/>
  <c r="U245" i="1"/>
  <c r="U240" i="1"/>
  <c r="T240" i="1"/>
  <c r="S238" i="1"/>
  <c r="AM238" i="1"/>
  <c r="J226" i="1"/>
  <c r="AM226" i="1"/>
  <c r="K226" i="1"/>
  <c r="AM224" i="1"/>
  <c r="T246" i="1"/>
  <c r="U246" i="1"/>
  <c r="S249" i="1"/>
  <c r="AM249" i="1"/>
  <c r="U247" i="1"/>
  <c r="T247" i="1"/>
  <c r="J254" i="1"/>
  <c r="AB254" i="1"/>
  <c r="T244" i="1"/>
  <c r="U244" i="1"/>
  <c r="AM229" i="1"/>
  <c r="AM234" i="1"/>
  <c r="T241" i="1"/>
  <c r="U241" i="1"/>
  <c r="AM223" i="1"/>
  <c r="AM258" i="1"/>
  <c r="S258" i="1"/>
  <c r="AM242" i="1"/>
  <c r="S242" i="1"/>
  <c r="AM227" i="1"/>
  <c r="V301" i="1"/>
  <c r="M301" i="1" s="1"/>
  <c r="U301" i="1"/>
  <c r="L301" i="1" s="1"/>
  <c r="T301" i="1"/>
  <c r="K301" i="1" s="1"/>
  <c r="W301" i="1"/>
  <c r="N301" i="1" s="1"/>
  <c r="S301" i="1"/>
  <c r="J301" i="1" s="1"/>
  <c r="S300" i="1"/>
  <c r="J300" i="1" s="1"/>
  <c r="T300" i="1"/>
  <c r="K300" i="1" s="1"/>
  <c r="U300" i="1"/>
  <c r="L300" i="1" s="1"/>
  <c r="W300" i="1"/>
  <c r="N300" i="1" s="1"/>
  <c r="V300" i="1"/>
  <c r="M300" i="1" s="1"/>
  <c r="S316" i="1"/>
  <c r="J316" i="1" s="1"/>
  <c r="V316" i="1"/>
  <c r="M316" i="1" s="1"/>
  <c r="U316" i="1"/>
  <c r="L316" i="1" s="1"/>
  <c r="W316" i="1"/>
  <c r="N316" i="1" s="1"/>
  <c r="T316" i="1"/>
  <c r="K316" i="1" s="1"/>
  <c r="W315" i="1"/>
  <c r="N315" i="1" s="1"/>
  <c r="V315" i="1"/>
  <c r="M315" i="1" s="1"/>
  <c r="U315" i="1"/>
  <c r="L315" i="1" s="1"/>
  <c r="T315" i="1"/>
  <c r="K315" i="1" s="1"/>
  <c r="S315" i="1"/>
  <c r="J315" i="1" s="1"/>
  <c r="V293" i="1"/>
  <c r="M293" i="1" s="1"/>
  <c r="T293" i="1"/>
  <c r="K293" i="1" s="1"/>
  <c r="U293" i="1"/>
  <c r="L293" i="1" s="1"/>
  <c r="S293" i="1"/>
  <c r="J293" i="1" s="1"/>
  <c r="W293" i="1"/>
  <c r="N293" i="1" s="1"/>
  <c r="T304" i="1"/>
  <c r="K304" i="1" s="1"/>
  <c r="W304" i="1"/>
  <c r="N304" i="1" s="1"/>
  <c r="V304" i="1"/>
  <c r="M304" i="1" s="1"/>
  <c r="U304" i="1"/>
  <c r="L304" i="1" s="1"/>
  <c r="S304" i="1"/>
  <c r="J304" i="1" s="1"/>
  <c r="T289" i="1"/>
  <c r="K289" i="1" s="1"/>
  <c r="W289" i="1"/>
  <c r="N289" i="1" s="1"/>
  <c r="S289" i="1"/>
  <c r="J289" i="1" s="1"/>
  <c r="U289" i="1"/>
  <c r="L289" i="1" s="1"/>
  <c r="V289" i="1"/>
  <c r="M289" i="1" s="1"/>
  <c r="U306" i="1"/>
  <c r="L306" i="1" s="1"/>
  <c r="T306" i="1"/>
  <c r="K306" i="1" s="1"/>
  <c r="V306" i="1"/>
  <c r="M306" i="1" s="1"/>
  <c r="S306" i="1"/>
  <c r="J306" i="1" s="1"/>
  <c r="W306" i="1"/>
  <c r="N306" i="1" s="1"/>
  <c r="W299" i="1"/>
  <c r="N299" i="1" s="1"/>
  <c r="V299" i="1"/>
  <c r="M299" i="1" s="1"/>
  <c r="U299" i="1"/>
  <c r="L299" i="1" s="1"/>
  <c r="T299" i="1"/>
  <c r="K299" i="1" s="1"/>
  <c r="S299" i="1"/>
  <c r="J299" i="1" s="1"/>
  <c r="V297" i="1"/>
  <c r="M297" i="1" s="1"/>
  <c r="S297" i="1"/>
  <c r="J297" i="1" s="1"/>
  <c r="W297" i="1"/>
  <c r="N297" i="1" s="1"/>
  <c r="U297" i="1"/>
  <c r="L297" i="1" s="1"/>
  <c r="T297" i="1"/>
  <c r="K297" i="1" s="1"/>
  <c r="S305" i="1"/>
  <c r="J305" i="1" s="1"/>
  <c r="W305" i="1"/>
  <c r="N305" i="1" s="1"/>
  <c r="V305" i="1"/>
  <c r="M305" i="1" s="1"/>
  <c r="T305" i="1"/>
  <c r="K305" i="1" s="1"/>
  <c r="U305" i="1"/>
  <c r="L305" i="1" s="1"/>
  <c r="W291" i="1"/>
  <c r="N291" i="1" s="1"/>
  <c r="V291" i="1"/>
  <c r="M291" i="1" s="1"/>
  <c r="U291" i="1"/>
  <c r="L291" i="1" s="1"/>
  <c r="T291" i="1"/>
  <c r="K291" i="1" s="1"/>
  <c r="S291" i="1"/>
  <c r="J291" i="1" s="1"/>
  <c r="W312" i="1"/>
  <c r="N312" i="1" s="1"/>
  <c r="U312" i="1"/>
  <c r="L312" i="1" s="1"/>
  <c r="S312" i="1"/>
  <c r="J312" i="1" s="1"/>
  <c r="V312" i="1"/>
  <c r="M312" i="1" s="1"/>
  <c r="T312" i="1"/>
  <c r="K312" i="1" s="1"/>
  <c r="W294" i="1"/>
  <c r="N294" i="1" s="1"/>
  <c r="V294" i="1"/>
  <c r="M294" i="1" s="1"/>
  <c r="U294" i="1"/>
  <c r="L294" i="1" s="1"/>
  <c r="T294" i="1"/>
  <c r="S294" i="1"/>
  <c r="J294" i="1" s="1"/>
  <c r="S309" i="1"/>
  <c r="J309" i="1" s="1"/>
  <c r="T309" i="1"/>
  <c r="K309" i="1" s="1"/>
  <c r="U309" i="1"/>
  <c r="L309" i="1" s="1"/>
  <c r="V309" i="1"/>
  <c r="M309" i="1" s="1"/>
  <c r="W309" i="1"/>
  <c r="N309" i="1" s="1"/>
  <c r="V307" i="1"/>
  <c r="M307" i="1" s="1"/>
  <c r="W307" i="1"/>
  <c r="N307" i="1" s="1"/>
  <c r="U307" i="1"/>
  <c r="L307" i="1" s="1"/>
  <c r="T307" i="1"/>
  <c r="K307" i="1" s="1"/>
  <c r="S307" i="1"/>
  <c r="J307" i="1" s="1"/>
  <c r="V298" i="1"/>
  <c r="M298" i="1" s="1"/>
  <c r="U298" i="1"/>
  <c r="L298" i="1" s="1"/>
  <c r="T298" i="1"/>
  <c r="K298" i="1" s="1"/>
  <c r="S298" i="1"/>
  <c r="J298" i="1" s="1"/>
  <c r="W298" i="1"/>
  <c r="N298" i="1" s="1"/>
  <c r="S290" i="1"/>
  <c r="J290" i="1" s="1"/>
  <c r="V290" i="1"/>
  <c r="M290" i="1" s="1"/>
  <c r="T290" i="1"/>
  <c r="K290" i="1" s="1"/>
  <c r="W290" i="1"/>
  <c r="N290" i="1" s="1"/>
  <c r="U290" i="1"/>
  <c r="L290" i="1" s="1"/>
  <c r="T311" i="1"/>
  <c r="K311" i="1" s="1"/>
  <c r="S311" i="1"/>
  <c r="J311" i="1" s="1"/>
  <c r="W311" i="1"/>
  <c r="N311" i="1" s="1"/>
  <c r="V311" i="1"/>
  <c r="M311" i="1" s="1"/>
  <c r="U311" i="1"/>
  <c r="L311" i="1" s="1"/>
  <c r="U303" i="1"/>
  <c r="L303" i="1" s="1"/>
  <c r="T303" i="1"/>
  <c r="S303" i="1"/>
  <c r="J303" i="1" s="1"/>
  <c r="W303" i="1"/>
  <c r="N303" i="1" s="1"/>
  <c r="V303" i="1"/>
  <c r="M303" i="1" s="1"/>
  <c r="W318" i="1"/>
  <c r="N318" i="1" s="1"/>
  <c r="U318" i="1"/>
  <c r="L318" i="1" s="1"/>
  <c r="V318" i="1"/>
  <c r="M318" i="1" s="1"/>
  <c r="T318" i="1"/>
  <c r="K318" i="1" s="1"/>
  <c r="S318" i="1"/>
  <c r="J318" i="1" s="1"/>
  <c r="S295" i="1"/>
  <c r="J295" i="1" s="1"/>
  <c r="U295" i="1"/>
  <c r="L295" i="1" s="1"/>
  <c r="T295" i="1"/>
  <c r="K295" i="1" s="1"/>
  <c r="V295" i="1"/>
  <c r="M295" i="1" s="1"/>
  <c r="W295" i="1"/>
  <c r="N295" i="1" s="1"/>
  <c r="U317" i="1"/>
  <c r="L317" i="1" s="1"/>
  <c r="T317" i="1"/>
  <c r="K317" i="1" s="1"/>
  <c r="W317" i="1"/>
  <c r="N317" i="1" s="1"/>
  <c r="V317" i="1"/>
  <c r="M317" i="1" s="1"/>
  <c r="S317" i="1"/>
  <c r="J317" i="1" s="1"/>
  <c r="U314" i="1"/>
  <c r="L314" i="1" s="1"/>
  <c r="T314" i="1"/>
  <c r="K314" i="1" s="1"/>
  <c r="V314" i="1"/>
  <c r="M314" i="1" s="1"/>
  <c r="S314" i="1"/>
  <c r="J314" i="1" s="1"/>
  <c r="W314" i="1"/>
  <c r="N314" i="1" s="1"/>
  <c r="T302" i="1"/>
  <c r="K302" i="1" s="1"/>
  <c r="S302" i="1"/>
  <c r="J302" i="1" s="1"/>
  <c r="V302" i="1"/>
  <c r="M302" i="1" s="1"/>
  <c r="U302" i="1"/>
  <c r="L302" i="1" s="1"/>
  <c r="W302" i="1"/>
  <c r="N302" i="1" s="1"/>
  <c r="S292" i="1"/>
  <c r="J292" i="1" s="1"/>
  <c r="W292" i="1"/>
  <c r="N292" i="1" s="1"/>
  <c r="V292" i="1"/>
  <c r="M292" i="1" s="1"/>
  <c r="U292" i="1"/>
  <c r="L292" i="1" s="1"/>
  <c r="T292" i="1"/>
  <c r="K292" i="1" s="1"/>
  <c r="V313" i="1"/>
  <c r="M313" i="1" s="1"/>
  <c r="S313" i="1"/>
  <c r="J313" i="1" s="1"/>
  <c r="W313" i="1"/>
  <c r="N313" i="1" s="1"/>
  <c r="U313" i="1"/>
  <c r="L313" i="1" s="1"/>
  <c r="T313" i="1"/>
  <c r="K313" i="1" s="1"/>
  <c r="W310" i="1"/>
  <c r="N310" i="1" s="1"/>
  <c r="V310" i="1"/>
  <c r="M310" i="1" s="1"/>
  <c r="S310" i="1"/>
  <c r="J310" i="1" s="1"/>
  <c r="U310" i="1"/>
  <c r="L310" i="1" s="1"/>
  <c r="T310" i="1"/>
  <c r="K310" i="1" s="1"/>
  <c r="W296" i="1"/>
  <c r="N296" i="1" s="1"/>
  <c r="V296" i="1"/>
  <c r="M296" i="1" s="1"/>
  <c r="U296" i="1"/>
  <c r="L296" i="1" s="1"/>
  <c r="T296" i="1"/>
  <c r="S296" i="1"/>
  <c r="J296" i="1" s="1"/>
  <c r="W308" i="1"/>
  <c r="N308" i="1" s="1"/>
  <c r="T308" i="1"/>
  <c r="K308" i="1" s="1"/>
  <c r="V308" i="1"/>
  <c r="M308" i="1" s="1"/>
  <c r="U308" i="1"/>
  <c r="L308" i="1" s="1"/>
  <c r="S308" i="1"/>
  <c r="J308" i="1" s="1"/>
  <c r="S340" i="1"/>
  <c r="AM340" i="1"/>
  <c r="AC365" i="1"/>
  <c r="K365" i="1"/>
  <c r="K383" i="1"/>
  <c r="AC383" i="1"/>
  <c r="AC368" i="1"/>
  <c r="K368" i="1"/>
  <c r="AM306" i="1"/>
  <c r="Z306" i="1"/>
  <c r="Q306" i="1" s="1"/>
  <c r="AM583" i="1"/>
  <c r="S583" i="1"/>
  <c r="U583" i="1"/>
  <c r="T583" i="1"/>
  <c r="S590" i="1"/>
  <c r="T590" i="1"/>
  <c r="U590" i="1"/>
  <c r="AM590" i="1"/>
  <c r="AM570" i="1"/>
  <c r="Z570" i="1"/>
  <c r="T570" i="1"/>
  <c r="S570" i="1"/>
  <c r="Z300" i="1"/>
  <c r="Q300" i="1" s="1"/>
  <c r="K412" i="1"/>
  <c r="AC412" i="1"/>
  <c r="AE592" i="1"/>
  <c r="M592" i="1"/>
  <c r="AM343" i="1"/>
  <c r="S343" i="1"/>
  <c r="S353" i="1"/>
  <c r="AM353" i="1"/>
  <c r="AC378" i="1"/>
  <c r="K378" i="1"/>
  <c r="S342" i="1"/>
  <c r="AM342" i="1"/>
  <c r="AM383" i="1"/>
  <c r="S383" i="1"/>
  <c r="S392" i="1"/>
  <c r="AM392" i="1"/>
  <c r="AC375" i="1"/>
  <c r="K375" i="1"/>
  <c r="AM341" i="1"/>
  <c r="S341" i="1"/>
  <c r="Z315" i="1"/>
  <c r="Q315" i="1" s="1"/>
  <c r="AM315" i="1"/>
  <c r="AC323" i="1"/>
  <c r="K323" i="1"/>
  <c r="AM411" i="1"/>
  <c r="S411" i="1"/>
  <c r="AM410" i="1"/>
  <c r="S410" i="1"/>
  <c r="K354" i="1"/>
  <c r="AC354" i="1"/>
  <c r="AC346" i="1"/>
  <c r="K346" i="1"/>
  <c r="AD349" i="1"/>
  <c r="L349" i="1"/>
  <c r="AM368" i="1"/>
  <c r="S368" i="1"/>
  <c r="AC363" i="1"/>
  <c r="K363" i="1"/>
  <c r="AM348" i="1"/>
  <c r="S348" i="1"/>
  <c r="AM311" i="1"/>
  <c r="Z311" i="1"/>
  <c r="Q311" i="1" s="1"/>
  <c r="AC399" i="1"/>
  <c r="K399" i="1"/>
  <c r="AD346" i="1"/>
  <c r="L346" i="1"/>
  <c r="AC345" i="1"/>
  <c r="K345" i="1"/>
  <c r="AD337" i="1"/>
  <c r="L337" i="1"/>
  <c r="AD351" i="1"/>
  <c r="L351" i="1"/>
  <c r="AM387" i="1"/>
  <c r="S387" i="1"/>
  <c r="AC393" i="1"/>
  <c r="K393" i="1"/>
  <c r="AM375" i="1"/>
  <c r="S375" i="1"/>
  <c r="AM374" i="1"/>
  <c r="S374" i="1"/>
  <c r="AC352" i="1"/>
  <c r="K352" i="1"/>
  <c r="AC408" i="1"/>
  <c r="K408" i="1"/>
  <c r="AD345" i="1"/>
  <c r="L345" i="1"/>
  <c r="AM417" i="1"/>
  <c r="S417" i="1"/>
  <c r="AM391" i="1"/>
  <c r="S391" i="1"/>
  <c r="Z304" i="1"/>
  <c r="Q304" i="1" s="1"/>
  <c r="AM304" i="1"/>
  <c r="AC337" i="1"/>
  <c r="K337" i="1"/>
  <c r="AD323" i="1"/>
  <c r="L323" i="1"/>
  <c r="Z316" i="1"/>
  <c r="Q316" i="1" s="1"/>
  <c r="AM316" i="1"/>
  <c r="AC401" i="1"/>
  <c r="K401" i="1"/>
  <c r="AC381" i="1"/>
  <c r="K381" i="1"/>
  <c r="S323" i="1"/>
  <c r="AM323" i="1"/>
  <c r="AM363" i="1"/>
  <c r="S363" i="1"/>
  <c r="AE587" i="1"/>
  <c r="M587" i="1"/>
  <c r="AE581" i="1"/>
  <c r="M581" i="1"/>
  <c r="K396" i="1"/>
  <c r="AC396" i="1"/>
  <c r="AD353" i="1"/>
  <c r="L353" i="1"/>
  <c r="AC392" i="1"/>
  <c r="K392" i="1"/>
  <c r="AC367" i="1"/>
  <c r="K367" i="1"/>
  <c r="AE582" i="1"/>
  <c r="M582" i="1"/>
  <c r="Z299" i="1"/>
  <c r="Q299" i="1" s="1"/>
  <c r="AC395" i="1"/>
  <c r="K395" i="1"/>
  <c r="AC350" i="1"/>
  <c r="K350" i="1"/>
  <c r="AC342" i="1"/>
  <c r="K342" i="1"/>
  <c r="K404" i="1"/>
  <c r="AC404" i="1"/>
  <c r="S337" i="1"/>
  <c r="AM337" i="1"/>
  <c r="Z317" i="1"/>
  <c r="Q317" i="1" s="1"/>
  <c r="AM317" i="1"/>
  <c r="AM364" i="1"/>
  <c r="S364" i="1"/>
  <c r="AM569" i="1"/>
  <c r="T569" i="1"/>
  <c r="Z569" i="1"/>
  <c r="S569" i="1"/>
  <c r="L354" i="1"/>
  <c r="AD354" i="1"/>
  <c r="AC347" i="1"/>
  <c r="K347" i="1"/>
  <c r="AC390" i="1"/>
  <c r="K390" i="1"/>
  <c r="AE585" i="1"/>
  <c r="M585" i="1"/>
  <c r="S389" i="1"/>
  <c r="AM389" i="1"/>
  <c r="AM365" i="1"/>
  <c r="S365" i="1"/>
  <c r="AE586" i="1"/>
  <c r="M586" i="1"/>
  <c r="AD348" i="1"/>
  <c r="L348" i="1"/>
  <c r="Z297" i="1"/>
  <c r="Q297" i="1" s="1"/>
  <c r="AC411" i="1"/>
  <c r="K411" i="1"/>
  <c r="S404" i="1"/>
  <c r="AM404" i="1"/>
  <c r="AC388" i="1"/>
  <c r="K388" i="1"/>
  <c r="S595" i="1"/>
  <c r="U595" i="1"/>
  <c r="T595" i="1"/>
  <c r="AM595" i="1"/>
  <c r="K366" i="1"/>
  <c r="AC366" i="1"/>
  <c r="AE589" i="1"/>
  <c r="M589" i="1"/>
  <c r="AD350" i="1"/>
  <c r="L350" i="1"/>
  <c r="K400" i="1"/>
  <c r="AC400" i="1"/>
  <c r="AC415" i="1"/>
  <c r="K415" i="1"/>
  <c r="AE590" i="1"/>
  <c r="M590" i="1"/>
  <c r="AD340" i="1"/>
  <c r="L340" i="1"/>
  <c r="Z289" i="1"/>
  <c r="Q289" i="1" s="1"/>
  <c r="AM345" i="1"/>
  <c r="S345" i="1"/>
  <c r="U592" i="1"/>
  <c r="AM592" i="1"/>
  <c r="S592" i="1"/>
  <c r="T592" i="1"/>
  <c r="AM406" i="1"/>
  <c r="S406" i="1"/>
  <c r="AM594" i="1"/>
  <c r="T594" i="1"/>
  <c r="U594" i="1"/>
  <c r="S594" i="1"/>
  <c r="AC391" i="1"/>
  <c r="K391" i="1"/>
  <c r="AD344" i="1"/>
  <c r="L344" i="1"/>
  <c r="AM419" i="1"/>
  <c r="S419" i="1"/>
  <c r="AD343" i="1"/>
  <c r="L343" i="1"/>
  <c r="AM350" i="1"/>
  <c r="S350" i="1"/>
  <c r="S339" i="1"/>
  <c r="AM339" i="1"/>
  <c r="AM386" i="1"/>
  <c r="S386" i="1"/>
  <c r="AC348" i="1"/>
  <c r="K348" i="1"/>
  <c r="AC344" i="1"/>
  <c r="K344" i="1"/>
  <c r="AE593" i="1"/>
  <c r="M593" i="1"/>
  <c r="AD342" i="1"/>
  <c r="L342" i="1"/>
  <c r="S347" i="1"/>
  <c r="AM347" i="1"/>
  <c r="AM367" i="1"/>
  <c r="S367" i="1"/>
  <c r="AE594" i="1"/>
  <c r="M594" i="1"/>
  <c r="Z305" i="1"/>
  <c r="Q305" i="1" s="1"/>
  <c r="AM305" i="1"/>
  <c r="Z291" i="1"/>
  <c r="Q291" i="1" s="1"/>
  <c r="AM291" i="1"/>
  <c r="AM413" i="1"/>
  <c r="S413" i="1"/>
  <c r="Z293" i="1"/>
  <c r="Q293" i="1" s="1"/>
  <c r="AE595" i="1"/>
  <c r="M595" i="1"/>
  <c r="Z313" i="1"/>
  <c r="Q313" i="1" s="1"/>
  <c r="AM313" i="1"/>
  <c r="AC414" i="1"/>
  <c r="K414" i="1"/>
  <c r="Z295" i="1"/>
  <c r="Q295" i="1" s="1"/>
  <c r="AM409" i="1"/>
  <c r="S409" i="1"/>
  <c r="AE591" i="1"/>
  <c r="M591" i="1"/>
  <c r="Z301" i="1"/>
  <c r="Q301" i="1" s="1"/>
  <c r="AM407" i="1"/>
  <c r="S407" i="1"/>
  <c r="AC387" i="1"/>
  <c r="K387" i="1"/>
  <c r="AM415" i="1"/>
  <c r="S415" i="1"/>
  <c r="AC340" i="1"/>
  <c r="K340" i="1"/>
  <c r="AC338" i="1"/>
  <c r="K338" i="1"/>
  <c r="S388" i="1"/>
  <c r="AM388" i="1"/>
  <c r="AM379" i="1"/>
  <c r="S379" i="1"/>
  <c r="Z294" i="1"/>
  <c r="Q294" i="1" s="1"/>
  <c r="Z309" i="1"/>
  <c r="Q309" i="1" s="1"/>
  <c r="AM309" i="1"/>
  <c r="AM344" i="1"/>
  <c r="S344" i="1"/>
  <c r="AD352" i="1"/>
  <c r="L352" i="1"/>
  <c r="AC379" i="1"/>
  <c r="K379" i="1"/>
  <c r="U581" i="1"/>
  <c r="T581" i="1"/>
  <c r="AM581" i="1"/>
  <c r="S581" i="1"/>
  <c r="T585" i="1"/>
  <c r="S585" i="1"/>
  <c r="AM585" i="1"/>
  <c r="U585" i="1"/>
  <c r="AM354" i="1"/>
  <c r="S354" i="1"/>
  <c r="T591" i="1"/>
  <c r="S591" i="1"/>
  <c r="U591" i="1"/>
  <c r="AM591" i="1"/>
  <c r="AM395" i="1"/>
  <c r="S395" i="1"/>
  <c r="AD341" i="1"/>
  <c r="L341" i="1"/>
  <c r="Z310" i="1"/>
  <c r="Q310" i="1" s="1"/>
  <c r="AM310" i="1"/>
  <c r="AM405" i="1"/>
  <c r="S405" i="1"/>
  <c r="AC410" i="1"/>
  <c r="K410" i="1"/>
  <c r="AM420" i="1"/>
  <c r="S420" i="1"/>
  <c r="AC402" i="1"/>
  <c r="K402" i="1"/>
  <c r="AC349" i="1"/>
  <c r="K349" i="1"/>
  <c r="AD338" i="1"/>
  <c r="L338" i="1"/>
  <c r="AC418" i="1"/>
  <c r="K418" i="1"/>
  <c r="Z307" i="1"/>
  <c r="Q307" i="1" s="1"/>
  <c r="AM307" i="1"/>
  <c r="Z298" i="1"/>
  <c r="Q298" i="1" s="1"/>
  <c r="AC343" i="1"/>
  <c r="K343" i="1"/>
  <c r="AC358" i="1"/>
  <c r="K358" i="1"/>
  <c r="AM586" i="1"/>
  <c r="S586" i="1"/>
  <c r="T586" i="1"/>
  <c r="U586" i="1"/>
  <c r="K380" i="1"/>
  <c r="AC380" i="1"/>
  <c r="AE583" i="1"/>
  <c r="M583" i="1"/>
  <c r="AM380" i="1"/>
  <c r="S380" i="1"/>
  <c r="AM589" i="1"/>
  <c r="S589" i="1"/>
  <c r="U589" i="1"/>
  <c r="T589" i="1"/>
  <c r="S402" i="1"/>
  <c r="AM402" i="1"/>
  <c r="AM382" i="1"/>
  <c r="S382" i="1"/>
  <c r="AD339" i="1"/>
  <c r="L339" i="1"/>
  <c r="AM358" i="1"/>
  <c r="S358" i="1"/>
  <c r="AM399" i="1"/>
  <c r="S399" i="1"/>
  <c r="AM366" i="1"/>
  <c r="S366" i="1"/>
  <c r="AC420" i="1"/>
  <c r="K420" i="1"/>
  <c r="AM381" i="1"/>
  <c r="S381" i="1"/>
  <c r="S338" i="1"/>
  <c r="AM338" i="1"/>
  <c r="K398" i="1"/>
  <c r="AC398" i="1"/>
  <c r="T588" i="1"/>
  <c r="U588" i="1"/>
  <c r="AM588" i="1"/>
  <c r="S588" i="1"/>
  <c r="K409" i="1"/>
  <c r="AC409" i="1"/>
  <c r="AE584" i="1"/>
  <c r="M584" i="1"/>
  <c r="AM408" i="1"/>
  <c r="S408" i="1"/>
  <c r="AM390" i="1"/>
  <c r="S390" i="1"/>
  <c r="AC341" i="1"/>
  <c r="K341" i="1"/>
  <c r="AM378" i="1"/>
  <c r="S378" i="1"/>
  <c r="AC406" i="1"/>
  <c r="K406" i="1"/>
  <c r="AC353" i="1"/>
  <c r="K353" i="1"/>
  <c r="Z303" i="1"/>
  <c r="Q303" i="1" s="1"/>
  <c r="AM318" i="1"/>
  <c r="Z318" i="1"/>
  <c r="Q318" i="1" s="1"/>
  <c r="AC416" i="1"/>
  <c r="K416" i="1"/>
  <c r="Z290" i="1"/>
  <c r="Q290" i="1" s="1"/>
  <c r="Z571" i="1"/>
  <c r="AM571" i="1"/>
  <c r="T571" i="1"/>
  <c r="S571" i="1"/>
  <c r="AM401" i="1"/>
  <c r="S401" i="1"/>
  <c r="AM418" i="1"/>
  <c r="S418" i="1"/>
  <c r="U587" i="1"/>
  <c r="T587" i="1"/>
  <c r="S587" i="1"/>
  <c r="AM587" i="1"/>
  <c r="AM397" i="1"/>
  <c r="S397" i="1"/>
  <c r="Z312" i="1"/>
  <c r="Q312" i="1" s="1"/>
  <c r="AM312" i="1"/>
  <c r="AM403" i="1"/>
  <c r="S403" i="1"/>
  <c r="AC403" i="1"/>
  <c r="K403" i="1"/>
  <c r="AM351" i="1"/>
  <c r="S351" i="1"/>
  <c r="AM416" i="1"/>
  <c r="S416" i="1"/>
  <c r="AM398" i="1"/>
  <c r="S398" i="1"/>
  <c r="AC417" i="1"/>
  <c r="K417" i="1"/>
  <c r="K413" i="1"/>
  <c r="AC413" i="1"/>
  <c r="K386" i="1"/>
  <c r="AC386" i="1"/>
  <c r="AC397" i="1"/>
  <c r="K397" i="1"/>
  <c r="AM396" i="1"/>
  <c r="S396" i="1"/>
  <c r="AC419" i="1"/>
  <c r="K419" i="1"/>
  <c r="AC389" i="1"/>
  <c r="K389" i="1"/>
  <c r="AC405" i="1"/>
  <c r="K405" i="1"/>
  <c r="AC394" i="1"/>
  <c r="K394" i="1"/>
  <c r="K364" i="1"/>
  <c r="AC364" i="1"/>
  <c r="Z302" i="1"/>
  <c r="Q302" i="1" s="1"/>
  <c r="Z292" i="1"/>
  <c r="Q292" i="1" s="1"/>
  <c r="S393" i="1"/>
  <c r="AM393" i="1"/>
  <c r="U582" i="1"/>
  <c r="T582" i="1"/>
  <c r="S582" i="1"/>
  <c r="AM582" i="1"/>
  <c r="AM394" i="1"/>
  <c r="S394" i="1"/>
  <c r="AM593" i="1"/>
  <c r="U593" i="1"/>
  <c r="S593" i="1"/>
  <c r="T593" i="1"/>
  <c r="AM349" i="1"/>
  <c r="S349" i="1"/>
  <c r="AM414" i="1"/>
  <c r="S414" i="1"/>
  <c r="Z314" i="1"/>
  <c r="Q314" i="1" s="1"/>
  <c r="AM314" i="1"/>
  <c r="U584" i="1"/>
  <c r="S584" i="1"/>
  <c r="T584" i="1"/>
  <c r="AM584" i="1"/>
  <c r="AC339" i="1"/>
  <c r="K339" i="1"/>
  <c r="S352" i="1"/>
  <c r="AM352" i="1"/>
  <c r="AC374" i="1"/>
  <c r="K374" i="1"/>
  <c r="AE588" i="1"/>
  <c r="M588" i="1"/>
  <c r="AC351" i="1"/>
  <c r="K351" i="1"/>
  <c r="AM412" i="1"/>
  <c r="S412" i="1"/>
  <c r="AD347" i="1"/>
  <c r="L347" i="1"/>
  <c r="K407" i="1"/>
  <c r="AC407" i="1"/>
  <c r="AM346" i="1"/>
  <c r="S346" i="1"/>
  <c r="AC382" i="1"/>
  <c r="K382" i="1"/>
  <c r="AM400" i="1"/>
  <c r="S400" i="1"/>
  <c r="Z296" i="1"/>
  <c r="Q296" i="1" s="1"/>
  <c r="AM308" i="1"/>
  <c r="Z308" i="1"/>
  <c r="Q308" i="1" s="1"/>
  <c r="S656" i="1"/>
  <c r="J656" i="1" s="1"/>
  <c r="I656" i="1" s="1"/>
  <c r="S546" i="1"/>
  <c r="J546" i="1" s="1"/>
  <c r="T546" i="1"/>
  <c r="K546" i="1" s="1"/>
  <c r="S657" i="1"/>
  <c r="J657" i="1" s="1"/>
  <c r="I657" i="1" s="1"/>
  <c r="Z141" i="1"/>
  <c r="Q141" i="1" s="1"/>
  <c r="S141" i="1"/>
  <c r="J141" i="1" s="1"/>
  <c r="T568" i="1"/>
  <c r="K568" i="1" s="1"/>
  <c r="S568" i="1"/>
  <c r="J568" i="1" s="1"/>
  <c r="S566" i="1"/>
  <c r="J566" i="1" s="1"/>
  <c r="T566" i="1"/>
  <c r="K566" i="1" s="1"/>
  <c r="T553" i="1"/>
  <c r="K553" i="1" s="1"/>
  <c r="S553" i="1"/>
  <c r="J553" i="1" s="1"/>
  <c r="S135" i="1"/>
  <c r="J135" i="1" s="1"/>
  <c r="Z135" i="1"/>
  <c r="Q135" i="1" s="1"/>
  <c r="T557" i="1"/>
  <c r="K557" i="1" s="1"/>
  <c r="S557" i="1"/>
  <c r="J557" i="1" s="1"/>
  <c r="S551" i="1"/>
  <c r="J551" i="1" s="1"/>
  <c r="T551" i="1"/>
  <c r="K551" i="1" s="1"/>
  <c r="S550" i="1"/>
  <c r="J550" i="1" s="1"/>
  <c r="T550" i="1"/>
  <c r="K550" i="1" s="1"/>
  <c r="S558" i="1"/>
  <c r="J558" i="1" s="1"/>
  <c r="T558" i="1"/>
  <c r="K558" i="1" s="1"/>
  <c r="S556" i="1"/>
  <c r="J556" i="1" s="1"/>
  <c r="T556" i="1"/>
  <c r="K556" i="1" s="1"/>
  <c r="Z143" i="1"/>
  <c r="S143" i="1"/>
  <c r="J143" i="1" s="1"/>
  <c r="S567" i="1"/>
  <c r="J567" i="1" s="1"/>
  <c r="T567" i="1"/>
  <c r="K567" i="1" s="1"/>
  <c r="S545" i="1"/>
  <c r="J545" i="1" s="1"/>
  <c r="T545" i="1"/>
  <c r="K545" i="1" s="1"/>
  <c r="T559" i="1"/>
  <c r="K559" i="1" s="1"/>
  <c r="S559" i="1"/>
  <c r="J559" i="1" s="1"/>
  <c r="Z106" i="1"/>
  <c r="Q106" i="1" s="1"/>
  <c r="S106" i="1"/>
  <c r="J106" i="1" s="1"/>
  <c r="T563" i="1"/>
  <c r="K563" i="1" s="1"/>
  <c r="S563" i="1"/>
  <c r="J563" i="1" s="1"/>
  <c r="T564" i="1"/>
  <c r="K564" i="1" s="1"/>
  <c r="S564" i="1"/>
  <c r="J564" i="1" s="1"/>
  <c r="S560" i="1"/>
  <c r="J560" i="1" s="1"/>
  <c r="T560" i="1"/>
  <c r="K560" i="1" s="1"/>
  <c r="Z133" i="1"/>
  <c r="Q133" i="1" s="1"/>
  <c r="S133" i="1"/>
  <c r="J133" i="1" s="1"/>
  <c r="T565" i="1"/>
  <c r="K565" i="1" s="1"/>
  <c r="S565" i="1"/>
  <c r="J565" i="1" s="1"/>
  <c r="S547" i="1"/>
  <c r="J547" i="1" s="1"/>
  <c r="T547" i="1"/>
  <c r="K547" i="1" s="1"/>
  <c r="S552" i="1"/>
  <c r="J552" i="1" s="1"/>
  <c r="T552" i="1"/>
  <c r="K552" i="1" s="1"/>
  <c r="T549" i="1"/>
  <c r="K549" i="1" s="1"/>
  <c r="S549" i="1"/>
  <c r="J549" i="1" s="1"/>
  <c r="Z122" i="1"/>
  <c r="Q122" i="1" s="1"/>
  <c r="S122" i="1"/>
  <c r="J122" i="1" s="1"/>
  <c r="S561" i="1"/>
  <c r="J561" i="1" s="1"/>
  <c r="T561" i="1"/>
  <c r="K561" i="1" s="1"/>
  <c r="T548" i="1"/>
  <c r="K548" i="1" s="1"/>
  <c r="S548" i="1"/>
  <c r="J548" i="1" s="1"/>
  <c r="T544" i="1"/>
  <c r="K544" i="1" s="1"/>
  <c r="S544" i="1"/>
  <c r="J544" i="1" s="1"/>
  <c r="T555" i="1"/>
  <c r="K555" i="1" s="1"/>
  <c r="S555" i="1"/>
  <c r="J555" i="1" s="1"/>
  <c r="T554" i="1"/>
  <c r="K554" i="1" s="1"/>
  <c r="S554" i="1"/>
  <c r="J554" i="1" s="1"/>
  <c r="Z126" i="1"/>
  <c r="Q126" i="1" s="1"/>
  <c r="S126" i="1"/>
  <c r="J126" i="1" s="1"/>
  <c r="S562" i="1"/>
  <c r="J562" i="1" s="1"/>
  <c r="T562" i="1"/>
  <c r="K562" i="1" s="1"/>
  <c r="Z544" i="1"/>
  <c r="Q544" i="1" s="1"/>
  <c r="Z546" i="1"/>
  <c r="Q546" i="1" s="1"/>
  <c r="Z548" i="1"/>
  <c r="Q548" i="1" s="1"/>
  <c r="Z547" i="1"/>
  <c r="Q547" i="1" s="1"/>
  <c r="Z567" i="1"/>
  <c r="Q567" i="1" s="1"/>
  <c r="Z568" i="1"/>
  <c r="Q568" i="1" s="1"/>
  <c r="Z549" i="1"/>
  <c r="Q549" i="1" s="1"/>
  <c r="Z545" i="1"/>
  <c r="Q545" i="1" s="1"/>
  <c r="Z566" i="1"/>
  <c r="Q566" i="1" s="1"/>
  <c r="Z558" i="1"/>
  <c r="Q558" i="1" s="1"/>
  <c r="Z559" i="1"/>
  <c r="Q559" i="1" s="1"/>
  <c r="Z564" i="1"/>
  <c r="Q564" i="1" s="1"/>
  <c r="Z560" i="1"/>
  <c r="Q560" i="1" s="1"/>
  <c r="Z565" i="1"/>
  <c r="Q565" i="1" s="1"/>
  <c r="Z561" i="1"/>
  <c r="Q561" i="1" s="1"/>
  <c r="Z562" i="1"/>
  <c r="Q562" i="1" s="1"/>
  <c r="Z563" i="1"/>
  <c r="Q563" i="1" s="1"/>
  <c r="Z557" i="1"/>
  <c r="Q557" i="1" s="1"/>
  <c r="Z556" i="1"/>
  <c r="Q556" i="1" s="1"/>
  <c r="Z555" i="1"/>
  <c r="Q555" i="1" s="1"/>
  <c r="Z554" i="1"/>
  <c r="Q554" i="1" s="1"/>
  <c r="Z553" i="1"/>
  <c r="Q553" i="1" s="1"/>
  <c r="Z552" i="1"/>
  <c r="Q552" i="1" s="1"/>
  <c r="Z551" i="1"/>
  <c r="Q551" i="1" s="1"/>
  <c r="Z550" i="1"/>
  <c r="Q550" i="1" s="1"/>
  <c r="AM614" i="1"/>
  <c r="S614" i="1"/>
  <c r="J614" i="1" s="1"/>
  <c r="U579" i="1"/>
  <c r="L579" i="1" s="1"/>
  <c r="T579" i="1"/>
  <c r="K579" i="1" s="1"/>
  <c r="S579" i="1"/>
  <c r="J579" i="1" s="1"/>
  <c r="T580" i="1"/>
  <c r="K580" i="1" s="1"/>
  <c r="S580" i="1"/>
  <c r="J580" i="1" s="1"/>
  <c r="U580" i="1"/>
  <c r="L580" i="1" s="1"/>
  <c r="T573" i="1"/>
  <c r="K573" i="1" s="1"/>
  <c r="U573" i="1"/>
  <c r="L573" i="1" s="1"/>
  <c r="S573" i="1"/>
  <c r="J573" i="1" s="1"/>
  <c r="T574" i="1"/>
  <c r="K574" i="1" s="1"/>
  <c r="U574" i="1"/>
  <c r="L574" i="1" s="1"/>
  <c r="S574" i="1"/>
  <c r="J574" i="1" s="1"/>
  <c r="U576" i="1"/>
  <c r="L576" i="1" s="1"/>
  <c r="S576" i="1"/>
  <c r="J576" i="1" s="1"/>
  <c r="T576" i="1"/>
  <c r="K576" i="1" s="1"/>
  <c r="T572" i="1"/>
  <c r="K572" i="1" s="1"/>
  <c r="U572" i="1"/>
  <c r="L572" i="1" s="1"/>
  <c r="S572" i="1"/>
  <c r="J572" i="1" s="1"/>
  <c r="U575" i="1"/>
  <c r="L575" i="1" s="1"/>
  <c r="T575" i="1"/>
  <c r="K575" i="1" s="1"/>
  <c r="S575" i="1"/>
  <c r="J575" i="1" s="1"/>
  <c r="S578" i="1"/>
  <c r="J578" i="1" s="1"/>
  <c r="U578" i="1"/>
  <c r="L578" i="1" s="1"/>
  <c r="T578" i="1"/>
  <c r="K578" i="1" s="1"/>
  <c r="U577" i="1"/>
  <c r="L577" i="1" s="1"/>
  <c r="T577" i="1"/>
  <c r="K577" i="1" s="1"/>
  <c r="S577" i="1"/>
  <c r="J577" i="1" s="1"/>
  <c r="S431" i="1"/>
  <c r="Z431" i="1"/>
  <c r="S444" i="1"/>
  <c r="Z444" i="1"/>
  <c r="S446" i="1"/>
  <c r="Z446" i="1"/>
  <c r="S452" i="1"/>
  <c r="Z452" i="1"/>
  <c r="Z454" i="1"/>
  <c r="S454" i="1"/>
  <c r="Z428" i="1"/>
  <c r="S428" i="1"/>
  <c r="Z432" i="1"/>
  <c r="S432" i="1"/>
  <c r="Z436" i="1"/>
  <c r="S436" i="1"/>
  <c r="S357" i="1"/>
  <c r="J357" i="1" s="1"/>
  <c r="S355" i="1"/>
  <c r="J355" i="1" s="1"/>
  <c r="T385" i="1"/>
  <c r="K385" i="1" s="1"/>
  <c r="T373" i="1"/>
  <c r="K373" i="1" s="1"/>
  <c r="T360" i="1"/>
  <c r="K360" i="1" s="1"/>
  <c r="T355" i="1"/>
  <c r="K355" i="1" s="1"/>
  <c r="T372" i="1"/>
  <c r="K372" i="1" s="1"/>
  <c r="S377" i="1"/>
  <c r="J377" i="1" s="1"/>
  <c r="T370" i="1"/>
  <c r="K370" i="1" s="1"/>
  <c r="S359" i="1"/>
  <c r="J359" i="1" s="1"/>
  <c r="S360" i="1"/>
  <c r="J360" i="1" s="1"/>
  <c r="T377" i="1"/>
  <c r="K377" i="1" s="1"/>
  <c r="T371" i="1"/>
  <c r="K371" i="1" s="1"/>
  <c r="T369" i="1"/>
  <c r="K369" i="1" s="1"/>
  <c r="T384" i="1"/>
  <c r="K384" i="1" s="1"/>
  <c r="S370" i="1"/>
  <c r="J370" i="1" s="1"/>
  <c r="S361" i="1"/>
  <c r="J361" i="1" s="1"/>
  <c r="S373" i="1"/>
  <c r="J373" i="1" s="1"/>
  <c r="T361" i="1"/>
  <c r="K361" i="1" s="1"/>
  <c r="S356" i="1"/>
  <c r="J356" i="1" s="1"/>
  <c r="S384" i="1"/>
  <c r="J384" i="1" s="1"/>
  <c r="S376" i="1"/>
  <c r="J376" i="1" s="1"/>
  <c r="S371" i="1"/>
  <c r="J371" i="1" s="1"/>
  <c r="T359" i="1"/>
  <c r="K359" i="1" s="1"/>
  <c r="T362" i="1"/>
  <c r="K362" i="1" s="1"/>
  <c r="S372" i="1"/>
  <c r="J372" i="1" s="1"/>
  <c r="T376" i="1"/>
  <c r="K376" i="1" s="1"/>
  <c r="S369" i="1"/>
  <c r="J369" i="1" s="1"/>
  <c r="T356" i="1"/>
  <c r="K356" i="1" s="1"/>
  <c r="T357" i="1"/>
  <c r="K357" i="1" s="1"/>
  <c r="S385" i="1"/>
  <c r="J385" i="1" s="1"/>
  <c r="S362" i="1"/>
  <c r="J362" i="1" s="1"/>
  <c r="L329" i="1"/>
  <c r="L322" i="1"/>
  <c r="J336" i="1"/>
  <c r="J322" i="1"/>
  <c r="L336" i="1"/>
  <c r="K330" i="1"/>
  <c r="K334" i="1"/>
  <c r="L320" i="1"/>
  <c r="J328" i="1"/>
  <c r="J332" i="1"/>
  <c r="K326" i="1"/>
  <c r="L332" i="1"/>
  <c r="K325" i="1"/>
  <c r="K319" i="1"/>
  <c r="AC333" i="1"/>
  <c r="L324" i="1"/>
  <c r="J335" i="1"/>
  <c r="K328" i="1"/>
  <c r="L327" i="1"/>
  <c r="L319" i="1"/>
  <c r="L333" i="1"/>
  <c r="K331" i="1"/>
  <c r="K324" i="1"/>
  <c r="K327" i="1"/>
  <c r="J326" i="1"/>
  <c r="J331" i="1"/>
  <c r="K322" i="1"/>
  <c r="L331" i="1"/>
  <c r="J330" i="1"/>
  <c r="L326" i="1"/>
  <c r="J320" i="1"/>
  <c r="J321" i="1"/>
  <c r="AC329" i="1"/>
  <c r="J324" i="1"/>
  <c r="K332" i="1"/>
  <c r="L325" i="1"/>
  <c r="K335" i="1"/>
  <c r="J319" i="1"/>
  <c r="J329" i="1"/>
  <c r="K321" i="1"/>
  <c r="K336" i="1"/>
  <c r="L321" i="1"/>
  <c r="L330" i="1"/>
  <c r="J327" i="1"/>
  <c r="J325" i="1"/>
  <c r="J333" i="1"/>
  <c r="L328" i="1"/>
  <c r="L335" i="1"/>
  <c r="J334" i="1"/>
  <c r="K320" i="1"/>
  <c r="L334" i="1"/>
  <c r="AC162" i="1"/>
  <c r="K162" i="1"/>
  <c r="AC156" i="1"/>
  <c r="K156" i="1"/>
  <c r="AC153" i="1"/>
  <c r="K153" i="1"/>
  <c r="AM163" i="1"/>
  <c r="Z163" i="1" s="1"/>
  <c r="AC165" i="1"/>
  <c r="K165" i="1"/>
  <c r="AM162" i="1"/>
  <c r="Z162" i="1" s="1"/>
  <c r="AC159" i="1"/>
  <c r="K159" i="1"/>
  <c r="AM153" i="1"/>
  <c r="Z153" i="1" s="1"/>
  <c r="AM159" i="1"/>
  <c r="Z159" i="1" s="1"/>
  <c r="AC163" i="1"/>
  <c r="K163" i="1"/>
  <c r="AM165" i="1"/>
  <c r="Z165" i="1" s="1"/>
  <c r="AC168" i="1"/>
  <c r="K168" i="1"/>
  <c r="AM168" i="1"/>
  <c r="Z168" i="1" s="1"/>
  <c r="AM156" i="1"/>
  <c r="Z156" i="1" s="1"/>
  <c r="Q143" i="1"/>
  <c r="T431" i="1"/>
  <c r="AM431" i="1"/>
  <c r="AM444" i="1"/>
  <c r="T444" i="1"/>
  <c r="AM446" i="1"/>
  <c r="T446" i="1"/>
  <c r="AM452" i="1"/>
  <c r="T452" i="1"/>
  <c r="AM454" i="1"/>
  <c r="T454" i="1"/>
  <c r="AM428" i="1"/>
  <c r="T428" i="1"/>
  <c r="AM432" i="1"/>
  <c r="T432" i="1"/>
  <c r="T436" i="1"/>
  <c r="AM436" i="1"/>
  <c r="T278" i="1"/>
  <c r="K278" i="1" s="1"/>
  <c r="U278" i="1"/>
  <c r="L278" i="1" s="1"/>
  <c r="U268" i="1"/>
  <c r="L268" i="1" s="1"/>
  <c r="T268" i="1"/>
  <c r="K268" i="1" s="1"/>
  <c r="T270" i="1"/>
  <c r="K270" i="1" s="1"/>
  <c r="U270" i="1"/>
  <c r="L270" i="1" s="1"/>
  <c r="U265" i="1"/>
  <c r="L265" i="1" s="1"/>
  <c r="T265" i="1"/>
  <c r="K265" i="1" s="1"/>
  <c r="U277" i="1"/>
  <c r="L277" i="1" s="1"/>
  <c r="T277" i="1"/>
  <c r="K277" i="1" s="1"/>
  <c r="U267" i="1"/>
  <c r="L267" i="1" s="1"/>
  <c r="T267" i="1"/>
  <c r="K267" i="1" s="1"/>
  <c r="U281" i="1"/>
  <c r="L281" i="1" s="1"/>
  <c r="T281" i="1"/>
  <c r="K281" i="1" s="1"/>
  <c r="U272" i="1"/>
  <c r="L272" i="1" s="1"/>
  <c r="T272" i="1"/>
  <c r="K272" i="1" s="1"/>
  <c r="U288" i="1"/>
  <c r="L288" i="1" s="1"/>
  <c r="T288" i="1"/>
  <c r="K288" i="1" s="1"/>
  <c r="U276" i="1"/>
  <c r="L276" i="1" s="1"/>
  <c r="T276" i="1"/>
  <c r="K276" i="1" s="1"/>
  <c r="T266" i="1"/>
  <c r="K266" i="1" s="1"/>
  <c r="U266" i="1"/>
  <c r="L266" i="1" s="1"/>
  <c r="T286" i="1"/>
  <c r="K286" i="1" s="1"/>
  <c r="U286" i="1"/>
  <c r="L286" i="1" s="1"/>
  <c r="U275" i="1"/>
  <c r="L275" i="1" s="1"/>
  <c r="T275" i="1"/>
  <c r="K275" i="1" s="1"/>
  <c r="U264" i="1"/>
  <c r="L264" i="1" s="1"/>
  <c r="T264" i="1"/>
  <c r="K264" i="1" s="1"/>
  <c r="U284" i="1"/>
  <c r="L284" i="1" s="1"/>
  <c r="T284" i="1"/>
  <c r="K284" i="1" s="1"/>
  <c r="T274" i="1"/>
  <c r="K274" i="1" s="1"/>
  <c r="U274" i="1"/>
  <c r="L274" i="1" s="1"/>
  <c r="T263" i="1"/>
  <c r="K263" i="1" s="1"/>
  <c r="U263" i="1"/>
  <c r="L263" i="1" s="1"/>
  <c r="U285" i="1"/>
  <c r="L285" i="1" s="1"/>
  <c r="T285" i="1"/>
  <c r="K285" i="1" s="1"/>
  <c r="U283" i="1"/>
  <c r="L283" i="1" s="1"/>
  <c r="T283" i="1"/>
  <c r="K283" i="1" s="1"/>
  <c r="T282" i="1"/>
  <c r="K282" i="1" s="1"/>
  <c r="U282" i="1"/>
  <c r="L282" i="1" s="1"/>
  <c r="U273" i="1"/>
  <c r="L273" i="1" s="1"/>
  <c r="T273" i="1"/>
  <c r="K273" i="1" s="1"/>
  <c r="T261" i="1"/>
  <c r="K261" i="1" s="1"/>
  <c r="U261" i="1"/>
  <c r="L261" i="1" s="1"/>
  <c r="U262" i="1"/>
  <c r="L262" i="1" s="1"/>
  <c r="T262" i="1"/>
  <c r="K262" i="1" s="1"/>
  <c r="U260" i="1"/>
  <c r="L260" i="1" s="1"/>
  <c r="T260" i="1"/>
  <c r="K260" i="1" s="1"/>
  <c r="U287" i="1"/>
  <c r="L287" i="1" s="1"/>
  <c r="T287" i="1"/>
  <c r="K287" i="1" s="1"/>
  <c r="U280" i="1"/>
  <c r="L280" i="1" s="1"/>
  <c r="T280" i="1"/>
  <c r="K280" i="1" s="1"/>
  <c r="U271" i="1"/>
  <c r="L271" i="1" s="1"/>
  <c r="T271" i="1"/>
  <c r="K271" i="1" s="1"/>
  <c r="T259" i="1"/>
  <c r="K259" i="1" s="1"/>
  <c r="U259" i="1"/>
  <c r="L259" i="1" s="1"/>
  <c r="U279" i="1"/>
  <c r="L279" i="1" s="1"/>
  <c r="T279" i="1"/>
  <c r="K279" i="1" s="1"/>
  <c r="U269" i="1"/>
  <c r="L269" i="1" s="1"/>
  <c r="T269" i="1"/>
  <c r="K269" i="1" s="1"/>
  <c r="AD335" i="1"/>
  <c r="AD329" i="1"/>
  <c r="AC486" i="1"/>
  <c r="AC480" i="1"/>
  <c r="AC488" i="1"/>
  <c r="AM487" i="1"/>
  <c r="Z487" i="1"/>
  <c r="Q487" i="1" s="1"/>
  <c r="I487" i="1" s="1"/>
  <c r="AM478" i="1"/>
  <c r="Z478" i="1"/>
  <c r="Q478" i="1" s="1"/>
  <c r="I478" i="1" s="1"/>
  <c r="AM486" i="1"/>
  <c r="Z486" i="1"/>
  <c r="Q486" i="1" s="1"/>
  <c r="I486" i="1" s="1"/>
  <c r="AM624" i="1"/>
  <c r="Z624" i="1"/>
  <c r="Q624" i="1" s="1"/>
  <c r="I624" i="1" s="1"/>
  <c r="AM628" i="1"/>
  <c r="Z628" i="1"/>
  <c r="Q628" i="1" s="1"/>
  <c r="I628" i="1" s="1"/>
  <c r="Z632" i="1"/>
  <c r="Q632" i="1" s="1"/>
  <c r="I632" i="1" s="1"/>
  <c r="AM632" i="1"/>
  <c r="AC474" i="1"/>
  <c r="AM522" i="1"/>
  <c r="T522" i="1"/>
  <c r="K522" i="1" s="1"/>
  <c r="V522" i="1"/>
  <c r="M522" i="1" s="1"/>
  <c r="U522" i="1"/>
  <c r="L522" i="1" s="1"/>
  <c r="S522" i="1"/>
  <c r="J522" i="1" s="1"/>
  <c r="Z480" i="1"/>
  <c r="Q480" i="1" s="1"/>
  <c r="I480" i="1" s="1"/>
  <c r="AM480" i="1"/>
  <c r="Z488" i="1"/>
  <c r="Q488" i="1" s="1"/>
  <c r="I488" i="1" s="1"/>
  <c r="AM488" i="1"/>
  <c r="T526" i="1"/>
  <c r="K526" i="1" s="1"/>
  <c r="S526" i="1"/>
  <c r="J526" i="1" s="1"/>
  <c r="U526" i="1"/>
  <c r="L526" i="1" s="1"/>
  <c r="AM526" i="1"/>
  <c r="V526" i="1"/>
  <c r="M526" i="1" s="1"/>
  <c r="AM637" i="1"/>
  <c r="Z637" i="1"/>
  <c r="Q637" i="1" s="1"/>
  <c r="I637" i="1" s="1"/>
  <c r="AM558" i="1"/>
  <c r="AM562" i="1"/>
  <c r="AM566" i="1"/>
  <c r="AM475" i="1"/>
  <c r="Z475" i="1"/>
  <c r="Q475" i="1" s="1"/>
  <c r="I475" i="1" s="1"/>
  <c r="AM520" i="1"/>
  <c r="T520" i="1"/>
  <c r="K520" i="1" s="1"/>
  <c r="V520" i="1"/>
  <c r="M520" i="1" s="1"/>
  <c r="S520" i="1"/>
  <c r="J520" i="1" s="1"/>
  <c r="U520" i="1"/>
  <c r="L520" i="1" s="1"/>
  <c r="Z481" i="1"/>
  <c r="Q481" i="1" s="1"/>
  <c r="I481" i="1" s="1"/>
  <c r="AM481" i="1"/>
  <c r="Z489" i="1"/>
  <c r="Q489" i="1" s="1"/>
  <c r="I489" i="1" s="1"/>
  <c r="AM489" i="1"/>
  <c r="U521" i="1"/>
  <c r="L521" i="1" s="1"/>
  <c r="S521" i="1"/>
  <c r="J521" i="1" s="1"/>
  <c r="AM521" i="1"/>
  <c r="T521" i="1"/>
  <c r="K521" i="1" s="1"/>
  <c r="V521" i="1"/>
  <c r="M521" i="1" s="1"/>
  <c r="AC481" i="1"/>
  <c r="AC489" i="1"/>
  <c r="Z625" i="1"/>
  <c r="Q625" i="1" s="1"/>
  <c r="I625" i="1" s="1"/>
  <c r="AM625" i="1"/>
  <c r="Z629" i="1"/>
  <c r="Q629" i="1" s="1"/>
  <c r="I629" i="1" s="1"/>
  <c r="AM629" i="1"/>
  <c r="Z633" i="1"/>
  <c r="Q633" i="1" s="1"/>
  <c r="I633" i="1" s="1"/>
  <c r="AM633" i="1"/>
  <c r="AM479" i="1"/>
  <c r="Z479" i="1"/>
  <c r="Q479" i="1" s="1"/>
  <c r="I479" i="1" s="1"/>
  <c r="AC475" i="1"/>
  <c r="AC483" i="1"/>
  <c r="AM523" i="1"/>
  <c r="T523" i="1"/>
  <c r="K523" i="1" s="1"/>
  <c r="V523" i="1"/>
  <c r="M523" i="1" s="1"/>
  <c r="S523" i="1"/>
  <c r="J523" i="1" s="1"/>
  <c r="U523" i="1"/>
  <c r="L523" i="1" s="1"/>
  <c r="AM527" i="1"/>
  <c r="T527" i="1"/>
  <c r="K527" i="1" s="1"/>
  <c r="U527" i="1"/>
  <c r="L527" i="1" s="1"/>
  <c r="V527" i="1"/>
  <c r="M527" i="1" s="1"/>
  <c r="S527" i="1"/>
  <c r="J527" i="1" s="1"/>
  <c r="AM638" i="1"/>
  <c r="Z638" i="1"/>
  <c r="Q638" i="1" s="1"/>
  <c r="I638" i="1" s="1"/>
  <c r="AM559" i="1"/>
  <c r="AM563" i="1"/>
  <c r="AM567" i="1"/>
  <c r="AC478" i="1"/>
  <c r="AC476" i="1"/>
  <c r="AC484" i="1"/>
  <c r="AM529" i="1"/>
  <c r="V529" i="1"/>
  <c r="M529" i="1" s="1"/>
  <c r="U529" i="1"/>
  <c r="L529" i="1" s="1"/>
  <c r="T529" i="1"/>
  <c r="K529" i="1" s="1"/>
  <c r="S529" i="1"/>
  <c r="J529" i="1" s="1"/>
  <c r="Z474" i="1"/>
  <c r="Q474" i="1" s="1"/>
  <c r="I474" i="1" s="1"/>
  <c r="AM474" i="1"/>
  <c r="Z482" i="1"/>
  <c r="Q482" i="1" s="1"/>
  <c r="I482" i="1" s="1"/>
  <c r="AM482" i="1"/>
  <c r="Z490" i="1"/>
  <c r="Q490" i="1" s="1"/>
  <c r="I490" i="1" s="1"/>
  <c r="AM490" i="1"/>
  <c r="Z626" i="1"/>
  <c r="Q626" i="1" s="1"/>
  <c r="I626" i="1" s="1"/>
  <c r="AM626" i="1"/>
  <c r="AM630" i="1"/>
  <c r="Z630" i="1"/>
  <c r="Q630" i="1" s="1"/>
  <c r="I630" i="1" s="1"/>
  <c r="Z634" i="1"/>
  <c r="Q634" i="1" s="1"/>
  <c r="I634" i="1" s="1"/>
  <c r="AM634" i="1"/>
  <c r="AC482" i="1"/>
  <c r="AM476" i="1"/>
  <c r="Z476" i="1"/>
  <c r="Q476" i="1" s="1"/>
  <c r="I476" i="1" s="1"/>
  <c r="AM484" i="1"/>
  <c r="Z484" i="1"/>
  <c r="Q484" i="1" s="1"/>
  <c r="I484" i="1" s="1"/>
  <c r="S524" i="1"/>
  <c r="J524" i="1" s="1"/>
  <c r="T524" i="1"/>
  <c r="K524" i="1" s="1"/>
  <c r="U524" i="1"/>
  <c r="L524" i="1" s="1"/>
  <c r="V524" i="1"/>
  <c r="M524" i="1" s="1"/>
  <c r="AM524" i="1"/>
  <c r="U528" i="1"/>
  <c r="L528" i="1" s="1"/>
  <c r="S528" i="1"/>
  <c r="J528" i="1" s="1"/>
  <c r="V528" i="1"/>
  <c r="M528" i="1" s="1"/>
  <c r="T528" i="1"/>
  <c r="K528" i="1" s="1"/>
  <c r="AM528" i="1"/>
  <c r="Z639" i="1"/>
  <c r="Q639" i="1" s="1"/>
  <c r="I639" i="1" s="1"/>
  <c r="AM639" i="1"/>
  <c r="AM560" i="1"/>
  <c r="AM564" i="1"/>
  <c r="AM568" i="1"/>
  <c r="Z483" i="1"/>
  <c r="Q483" i="1" s="1"/>
  <c r="I483" i="1" s="1"/>
  <c r="AM483" i="1"/>
  <c r="Z477" i="1"/>
  <c r="Q477" i="1" s="1"/>
  <c r="I477" i="1" s="1"/>
  <c r="AM477" i="1"/>
  <c r="AM485" i="1"/>
  <c r="Z485" i="1"/>
  <c r="Q485" i="1" s="1"/>
  <c r="I485" i="1" s="1"/>
  <c r="U530" i="1"/>
  <c r="L530" i="1" s="1"/>
  <c r="T530" i="1"/>
  <c r="K530" i="1" s="1"/>
  <c r="AM530" i="1"/>
  <c r="V530" i="1"/>
  <c r="M530" i="1" s="1"/>
  <c r="S530" i="1"/>
  <c r="J530" i="1" s="1"/>
  <c r="AC477" i="1"/>
  <c r="AC485" i="1"/>
  <c r="AM531" i="1"/>
  <c r="T531" i="1"/>
  <c r="K531" i="1" s="1"/>
  <c r="V531" i="1"/>
  <c r="M531" i="1" s="1"/>
  <c r="U531" i="1"/>
  <c r="L531" i="1" s="1"/>
  <c r="S531" i="1"/>
  <c r="J531" i="1" s="1"/>
  <c r="Z627" i="1"/>
  <c r="Q627" i="1" s="1"/>
  <c r="I627" i="1" s="1"/>
  <c r="AM627" i="1"/>
  <c r="AM631" i="1"/>
  <c r="Z631" i="1"/>
  <c r="Q631" i="1" s="1"/>
  <c r="I631" i="1" s="1"/>
  <c r="Z635" i="1"/>
  <c r="Q635" i="1" s="1"/>
  <c r="I635" i="1" s="1"/>
  <c r="AM635" i="1"/>
  <c r="AC490" i="1"/>
  <c r="AC479" i="1"/>
  <c r="AC487" i="1"/>
  <c r="AM525" i="1"/>
  <c r="V525" i="1"/>
  <c r="M525" i="1" s="1"/>
  <c r="S525" i="1"/>
  <c r="J525" i="1" s="1"/>
  <c r="U525" i="1"/>
  <c r="L525" i="1" s="1"/>
  <c r="T525" i="1"/>
  <c r="K525" i="1" s="1"/>
  <c r="AM636" i="1"/>
  <c r="Z636" i="1"/>
  <c r="Q636" i="1" s="1"/>
  <c r="I636" i="1" s="1"/>
  <c r="AM557" i="1"/>
  <c r="AM561" i="1"/>
  <c r="AM565" i="1"/>
  <c r="Z614" i="1"/>
  <c r="Q614" i="1" s="1"/>
  <c r="AM106" i="1"/>
  <c r="Z623" i="1"/>
  <c r="Z611" i="1"/>
  <c r="Z617" i="1"/>
  <c r="Z610" i="1"/>
  <c r="Z619" i="1"/>
  <c r="Z613" i="1"/>
  <c r="AM270" i="1"/>
  <c r="AM296" i="1"/>
  <c r="AM135" i="1"/>
  <c r="AM262" i="1"/>
  <c r="AM297" i="1"/>
  <c r="AM333" i="1"/>
  <c r="AM615" i="1"/>
  <c r="Z615" i="1"/>
  <c r="Q615" i="1" s="1"/>
  <c r="I615" i="1" s="1"/>
  <c r="AM612" i="1"/>
  <c r="Z612" i="1"/>
  <c r="Q612" i="1" s="1"/>
  <c r="I612" i="1" s="1"/>
  <c r="AM265" i="1"/>
  <c r="AM122" i="1"/>
  <c r="AM260" i="1"/>
  <c r="AM620" i="1"/>
  <c r="Z620" i="1"/>
  <c r="Q620" i="1" s="1"/>
  <c r="I620" i="1" s="1"/>
  <c r="AM335" i="1"/>
  <c r="AM618" i="1"/>
  <c r="Z618" i="1"/>
  <c r="Q618" i="1" s="1"/>
  <c r="I618" i="1" s="1"/>
  <c r="AM299" i="1"/>
  <c r="AM141" i="1"/>
  <c r="Z616" i="1"/>
  <c r="AM285" i="1"/>
  <c r="AM126" i="1"/>
  <c r="AM143" i="1"/>
  <c r="AM281" i="1"/>
  <c r="AM294" i="1"/>
  <c r="AM331" i="1"/>
  <c r="AM622" i="1"/>
  <c r="Z622" i="1"/>
  <c r="Q622" i="1" s="1"/>
  <c r="I622" i="1" s="1"/>
  <c r="AM287" i="1"/>
  <c r="Z608" i="1"/>
  <c r="Z621" i="1"/>
  <c r="AM283" i="1"/>
  <c r="AM303" i="1"/>
  <c r="AM133" i="1"/>
  <c r="AM272" i="1"/>
  <c r="AM298" i="1"/>
  <c r="AM609" i="1"/>
  <c r="Z609" i="1"/>
  <c r="Q609" i="1" s="1"/>
  <c r="I609" i="1" s="1"/>
  <c r="AM329" i="1"/>
  <c r="U509" i="1"/>
  <c r="L509" i="1" s="1"/>
  <c r="V509" i="1"/>
  <c r="M509" i="1" s="1"/>
  <c r="T509" i="1"/>
  <c r="K509" i="1" s="1"/>
  <c r="S509" i="1"/>
  <c r="J509" i="1" s="1"/>
  <c r="V514" i="1"/>
  <c r="M514" i="1" s="1"/>
  <c r="S514" i="1"/>
  <c r="J514" i="1" s="1"/>
  <c r="T514" i="1"/>
  <c r="K514" i="1" s="1"/>
  <c r="U514" i="1"/>
  <c r="L514" i="1" s="1"/>
  <c r="T511" i="1"/>
  <c r="K511" i="1" s="1"/>
  <c r="S511" i="1"/>
  <c r="J511" i="1" s="1"/>
  <c r="U511" i="1"/>
  <c r="L511" i="1" s="1"/>
  <c r="V511" i="1"/>
  <c r="M511" i="1" s="1"/>
  <c r="V518" i="1"/>
  <c r="M518" i="1" s="1"/>
  <c r="S518" i="1"/>
  <c r="J518" i="1" s="1"/>
  <c r="T518" i="1"/>
  <c r="K518" i="1" s="1"/>
  <c r="U518" i="1"/>
  <c r="L518" i="1" s="1"/>
  <c r="V510" i="1"/>
  <c r="M510" i="1" s="1"/>
  <c r="S510" i="1"/>
  <c r="J510" i="1" s="1"/>
  <c r="T510" i="1"/>
  <c r="K510" i="1" s="1"/>
  <c r="U510" i="1"/>
  <c r="L510" i="1" s="1"/>
  <c r="T516" i="1"/>
  <c r="K516" i="1" s="1"/>
  <c r="U516" i="1"/>
  <c r="L516" i="1" s="1"/>
  <c r="V516" i="1"/>
  <c r="M516" i="1" s="1"/>
  <c r="S516" i="1"/>
  <c r="J516" i="1" s="1"/>
  <c r="U517" i="1"/>
  <c r="L517" i="1" s="1"/>
  <c r="V517" i="1"/>
  <c r="M517" i="1" s="1"/>
  <c r="T517" i="1"/>
  <c r="K517" i="1" s="1"/>
  <c r="S517" i="1"/>
  <c r="J517" i="1" s="1"/>
  <c r="T512" i="1"/>
  <c r="K512" i="1" s="1"/>
  <c r="U512" i="1"/>
  <c r="L512" i="1" s="1"/>
  <c r="V512" i="1"/>
  <c r="M512" i="1" s="1"/>
  <c r="S512" i="1"/>
  <c r="J512" i="1" s="1"/>
  <c r="T519" i="1"/>
  <c r="K519" i="1" s="1"/>
  <c r="S519" i="1"/>
  <c r="J519" i="1" s="1"/>
  <c r="U519" i="1"/>
  <c r="L519" i="1" s="1"/>
  <c r="V519" i="1"/>
  <c r="M519" i="1" s="1"/>
  <c r="U513" i="1"/>
  <c r="L513" i="1" s="1"/>
  <c r="V513" i="1"/>
  <c r="M513" i="1" s="1"/>
  <c r="T513" i="1"/>
  <c r="K513" i="1" s="1"/>
  <c r="S513" i="1"/>
  <c r="J513" i="1" s="1"/>
  <c r="V508" i="1"/>
  <c r="M508" i="1" s="1"/>
  <c r="U508" i="1"/>
  <c r="L508" i="1" s="1"/>
  <c r="T508" i="1"/>
  <c r="K508" i="1" s="1"/>
  <c r="S508" i="1"/>
  <c r="J508" i="1" s="1"/>
  <c r="T515" i="1"/>
  <c r="K515" i="1" s="1"/>
  <c r="S515" i="1"/>
  <c r="J515" i="1" s="1"/>
  <c r="U515" i="1"/>
  <c r="L515" i="1" s="1"/>
  <c r="V515" i="1"/>
  <c r="M515" i="1" s="1"/>
  <c r="AM610" i="1"/>
  <c r="AM623" i="1"/>
  <c r="AM616" i="1"/>
  <c r="AM580" i="1"/>
  <c r="AM578" i="1"/>
  <c r="AM657" i="1"/>
  <c r="I272" i="1" l="1"/>
  <c r="I517" i="1"/>
  <c r="I509" i="1"/>
  <c r="I512" i="1"/>
  <c r="I229" i="1"/>
  <c r="I276" i="1"/>
  <c r="I384" i="1"/>
  <c r="I230" i="1"/>
  <c r="I564" i="1"/>
  <c r="I529" i="1"/>
  <c r="I280" i="1"/>
  <c r="I264" i="1"/>
  <c r="I268" i="1"/>
  <c r="I106" i="1"/>
  <c r="I370" i="1"/>
  <c r="I284" i="1"/>
  <c r="I327" i="1"/>
  <c r="I263" i="1"/>
  <c r="I271" i="1"/>
  <c r="I287" i="1"/>
  <c r="I270" i="1"/>
  <c r="I552" i="1"/>
  <c r="I385" i="1"/>
  <c r="I262" i="1"/>
  <c r="I269" i="1"/>
  <c r="I285" i="1"/>
  <c r="I275" i="1"/>
  <c r="I267" i="1"/>
  <c r="I265" i="1"/>
  <c r="I266" i="1"/>
  <c r="I283" i="1"/>
  <c r="R254" i="1"/>
  <c r="I223" i="1"/>
  <c r="I225" i="1"/>
  <c r="I576" i="1"/>
  <c r="I259" i="1"/>
  <c r="I556" i="1"/>
  <c r="I316" i="1"/>
  <c r="I325" i="1"/>
  <c r="I614" i="1"/>
  <c r="I288" i="1"/>
  <c r="I307" i="1"/>
  <c r="I369" i="1"/>
  <c r="I565" i="1"/>
  <c r="I516" i="1"/>
  <c r="I260" i="1"/>
  <c r="I575" i="1"/>
  <c r="I308" i="1"/>
  <c r="I304" i="1"/>
  <c r="I282" i="1"/>
  <c r="I274" i="1"/>
  <c r="I530" i="1"/>
  <c r="I335" i="1"/>
  <c r="I508" i="1"/>
  <c r="I371" i="1"/>
  <c r="I572" i="1"/>
  <c r="I261" i="1"/>
  <c r="I273" i="1"/>
  <c r="I281" i="1"/>
  <c r="I559" i="1"/>
  <c r="I568" i="1"/>
  <c r="I311" i="1"/>
  <c r="I278" i="1"/>
  <c r="I317" i="1"/>
  <c r="I522" i="1"/>
  <c r="I561" i="1"/>
  <c r="I279" i="1"/>
  <c r="I277" i="1"/>
  <c r="I521" i="1"/>
  <c r="I523" i="1"/>
  <c r="I580" i="1"/>
  <c r="I549" i="1"/>
  <c r="I286" i="1"/>
  <c r="I560" i="1"/>
  <c r="I524" i="1"/>
  <c r="I557" i="1"/>
  <c r="I515" i="1"/>
  <c r="I551" i="1"/>
  <c r="I302" i="1"/>
  <c r="I525" i="1"/>
  <c r="I356" i="1"/>
  <c r="I555" i="1"/>
  <c r="I563" i="1"/>
  <c r="I553" i="1"/>
  <c r="I293" i="1"/>
  <c r="I528" i="1"/>
  <c r="I562" i="1"/>
  <c r="I513" i="1"/>
  <c r="I309" i="1"/>
  <c r="I324" i="1"/>
  <c r="I332" i="1"/>
  <c r="I373" i="1"/>
  <c r="I544" i="1"/>
  <c r="I305" i="1"/>
  <c r="I376" i="1"/>
  <c r="I554" i="1"/>
  <c r="I510" i="1"/>
  <c r="I526" i="1"/>
  <c r="I314" i="1"/>
  <c r="I297" i="1"/>
  <c r="I518" i="1"/>
  <c r="I527" i="1"/>
  <c r="I328" i="1"/>
  <c r="I361" i="1"/>
  <c r="I574" i="1"/>
  <c r="I566" i="1"/>
  <c r="I299" i="1"/>
  <c r="I236" i="1"/>
  <c r="I233" i="1"/>
  <c r="I558" i="1"/>
  <c r="I321" i="1"/>
  <c r="I315" i="1"/>
  <c r="I573" i="1"/>
  <c r="I310" i="1"/>
  <c r="H310" i="1" s="1"/>
  <c r="I224" i="1"/>
  <c r="I550" i="1"/>
  <c r="I357" i="1"/>
  <c r="I548" i="1"/>
  <c r="I330" i="1"/>
  <c r="I545" i="1"/>
  <c r="I318" i="1"/>
  <c r="I301" i="1"/>
  <c r="I322" i="1"/>
  <c r="I295" i="1"/>
  <c r="I355" i="1"/>
  <c r="I336" i="1"/>
  <c r="I360" i="1"/>
  <c r="I567" i="1"/>
  <c r="I312" i="1"/>
  <c r="I306" i="1"/>
  <c r="I519" i="1"/>
  <c r="I331" i="1"/>
  <c r="I359" i="1"/>
  <c r="I546" i="1"/>
  <c r="I290" i="1"/>
  <c r="I547" i="1"/>
  <c r="I514" i="1"/>
  <c r="I520" i="1"/>
  <c r="I334" i="1"/>
  <c r="I326" i="1"/>
  <c r="I289" i="1"/>
  <c r="I578" i="1"/>
  <c r="I372" i="1"/>
  <c r="I292" i="1"/>
  <c r="I300" i="1"/>
  <c r="I319" i="1"/>
  <c r="I320" i="1"/>
  <c r="I511" i="1"/>
  <c r="I531" i="1"/>
  <c r="I362" i="1"/>
  <c r="I377" i="1"/>
  <c r="I577" i="1"/>
  <c r="I579" i="1"/>
  <c r="I313" i="1"/>
  <c r="I298" i="1"/>
  <c r="I291" i="1"/>
  <c r="I232" i="1"/>
  <c r="H232" i="1" s="1"/>
  <c r="I231" i="1"/>
  <c r="H231" i="1" s="1"/>
  <c r="I228" i="1"/>
  <c r="H228" i="1" s="1"/>
  <c r="I227" i="1"/>
  <c r="I235" i="1"/>
  <c r="H235" i="1" s="1"/>
  <c r="I226" i="1"/>
  <c r="H226" i="1" s="1"/>
  <c r="I234" i="1"/>
  <c r="I222" i="1"/>
  <c r="AC294" i="1"/>
  <c r="K294" i="1"/>
  <c r="I294" i="1" s="1"/>
  <c r="AC296" i="1"/>
  <c r="K296" i="1"/>
  <c r="I296" i="1" s="1"/>
  <c r="AC303" i="1"/>
  <c r="K303" i="1"/>
  <c r="I303" i="1" s="1"/>
  <c r="AB229" i="1"/>
  <c r="R229" i="1"/>
  <c r="AC238" i="1"/>
  <c r="K238" i="1"/>
  <c r="AB232" i="1"/>
  <c r="R232" i="1"/>
  <c r="L258" i="1"/>
  <c r="AD258" i="1"/>
  <c r="R237" i="1"/>
  <c r="AD237" i="1"/>
  <c r="L237" i="1"/>
  <c r="AC227" i="1"/>
  <c r="AD253" i="1"/>
  <c r="L253" i="1"/>
  <c r="AC237" i="1"/>
  <c r="K237" i="1"/>
  <c r="AC253" i="1"/>
  <c r="K253" i="1"/>
  <c r="AC297" i="1"/>
  <c r="AB249" i="1"/>
  <c r="R249" i="1"/>
  <c r="J249" i="1"/>
  <c r="J256" i="1"/>
  <c r="R256" i="1"/>
  <c r="AB256" i="1"/>
  <c r="J250" i="1"/>
  <c r="R250" i="1"/>
  <c r="AB250" i="1"/>
  <c r="AB253" i="1"/>
  <c r="R253" i="1"/>
  <c r="J253" i="1"/>
  <c r="AC228" i="1"/>
  <c r="AC245" i="1"/>
  <c r="K245" i="1"/>
  <c r="AD252" i="1"/>
  <c r="L252" i="1"/>
  <c r="L257" i="1"/>
  <c r="AD257" i="1"/>
  <c r="AB237" i="1"/>
  <c r="J237" i="1"/>
  <c r="AB231" i="1"/>
  <c r="R231" i="1"/>
  <c r="AC247" i="1"/>
  <c r="K247" i="1"/>
  <c r="AC222" i="1"/>
  <c r="L247" i="1"/>
  <c r="AD247" i="1"/>
  <c r="R222" i="1"/>
  <c r="AB222" i="1"/>
  <c r="R227" i="1"/>
  <c r="AB227" i="1"/>
  <c r="AB228" i="1"/>
  <c r="R228" i="1"/>
  <c r="J242" i="1"/>
  <c r="R242" i="1"/>
  <c r="AB242" i="1"/>
  <c r="AD246" i="1"/>
  <c r="L246" i="1"/>
  <c r="K255" i="1"/>
  <c r="AC255" i="1"/>
  <c r="AB235" i="1"/>
  <c r="R235" i="1"/>
  <c r="AC252" i="1"/>
  <c r="K252" i="1"/>
  <c r="AC235" i="1"/>
  <c r="J255" i="1"/>
  <c r="AB255" i="1"/>
  <c r="R255" i="1"/>
  <c r="AC224" i="1"/>
  <c r="R224" i="1"/>
  <c r="AB224" i="1"/>
  <c r="AD249" i="1"/>
  <c r="L249" i="1"/>
  <c r="AC249" i="1"/>
  <c r="K249" i="1"/>
  <c r="AC241" i="1"/>
  <c r="K241" i="1"/>
  <c r="AB240" i="1"/>
  <c r="R240" i="1"/>
  <c r="J240" i="1"/>
  <c r="AC225" i="1"/>
  <c r="R243" i="1"/>
  <c r="AD243" i="1"/>
  <c r="L243" i="1"/>
  <c r="K251" i="1"/>
  <c r="AC251" i="1"/>
  <c r="AC229" i="1"/>
  <c r="L244" i="1"/>
  <c r="AD244" i="1"/>
  <c r="K244" i="1"/>
  <c r="AC244" i="1"/>
  <c r="K257" i="1"/>
  <c r="AC257" i="1"/>
  <c r="L255" i="1"/>
  <c r="AD255" i="1"/>
  <c r="AC236" i="1"/>
  <c r="R257" i="1"/>
  <c r="J257" i="1"/>
  <c r="AB257" i="1"/>
  <c r="AC226" i="1"/>
  <c r="AD241" i="1"/>
  <c r="L241" i="1"/>
  <c r="AB238" i="1"/>
  <c r="R238" i="1"/>
  <c r="J238" i="1"/>
  <c r="AC243" i="1"/>
  <c r="K243" i="1"/>
  <c r="AB246" i="1"/>
  <c r="J246" i="1"/>
  <c r="R246" i="1"/>
  <c r="AC248" i="1"/>
  <c r="K248" i="1"/>
  <c r="AD238" i="1"/>
  <c r="L238" i="1"/>
  <c r="AC231" i="1"/>
  <c r="R245" i="1"/>
  <c r="J245" i="1"/>
  <c r="AB245" i="1"/>
  <c r="K254" i="1"/>
  <c r="AC254" i="1"/>
  <c r="J239" i="1"/>
  <c r="AB239" i="1"/>
  <c r="R239" i="1"/>
  <c r="AD256" i="1"/>
  <c r="L256" i="1"/>
  <c r="L239" i="1"/>
  <c r="AD239" i="1"/>
  <c r="R244" i="1"/>
  <c r="AB244" i="1"/>
  <c r="J244" i="1"/>
  <c r="AB234" i="1"/>
  <c r="R234" i="1"/>
  <c r="K240" i="1"/>
  <c r="AC240" i="1"/>
  <c r="AB248" i="1"/>
  <c r="R248" i="1"/>
  <c r="J248" i="1"/>
  <c r="AC250" i="1"/>
  <c r="K250" i="1"/>
  <c r="AC230" i="1"/>
  <c r="J251" i="1"/>
  <c r="AB251" i="1"/>
  <c r="R251" i="1"/>
  <c r="AB252" i="1"/>
  <c r="R252" i="1"/>
  <c r="J252" i="1"/>
  <c r="AB243" i="1"/>
  <c r="J243" i="1"/>
  <c r="AC232" i="1"/>
  <c r="AB236" i="1"/>
  <c r="R236" i="1"/>
  <c r="K242" i="1"/>
  <c r="AC242" i="1"/>
  <c r="L242" i="1"/>
  <c r="AD242" i="1"/>
  <c r="AC223" i="1"/>
  <c r="AC256" i="1"/>
  <c r="K256" i="1"/>
  <c r="K239" i="1"/>
  <c r="AC239" i="1"/>
  <c r="AC234" i="1"/>
  <c r="AD240" i="1"/>
  <c r="L240" i="1"/>
  <c r="AB241" i="1"/>
  <c r="R241" i="1"/>
  <c r="J241" i="1"/>
  <c r="AC233" i="1"/>
  <c r="AD250" i="1"/>
  <c r="L250" i="1"/>
  <c r="R247" i="1"/>
  <c r="AB247" i="1"/>
  <c r="J247" i="1"/>
  <c r="AD248" i="1"/>
  <c r="L248" i="1"/>
  <c r="AC258" i="1"/>
  <c r="K258" i="1"/>
  <c r="AC246" i="1"/>
  <c r="K246" i="1"/>
  <c r="J258" i="1"/>
  <c r="R258" i="1"/>
  <c r="AB258" i="1"/>
  <c r="AB223" i="1"/>
  <c r="R223" i="1"/>
  <c r="AD254" i="1"/>
  <c r="L254" i="1"/>
  <c r="AB225" i="1"/>
  <c r="R225" i="1"/>
  <c r="AB226" i="1"/>
  <c r="R226" i="1"/>
  <c r="AD245" i="1"/>
  <c r="L245" i="1"/>
  <c r="L251" i="1"/>
  <c r="AD251" i="1"/>
  <c r="R233" i="1"/>
  <c r="AB233" i="1"/>
  <c r="AB230" i="1"/>
  <c r="R230" i="1"/>
  <c r="AC299" i="1"/>
  <c r="AC298" i="1"/>
  <c r="R581" i="1"/>
  <c r="AB581" i="1"/>
  <c r="J581" i="1"/>
  <c r="AD590" i="1"/>
  <c r="L590" i="1"/>
  <c r="R397" i="1"/>
  <c r="AB397" i="1"/>
  <c r="AA397" i="1" s="1"/>
  <c r="J397" i="1"/>
  <c r="I397" i="1" s="1"/>
  <c r="R304" i="1"/>
  <c r="AB304" i="1"/>
  <c r="AB342" i="1"/>
  <c r="AA342" i="1" s="1"/>
  <c r="R342" i="1"/>
  <c r="J342" i="1"/>
  <c r="I342" i="1" s="1"/>
  <c r="AB402" i="1"/>
  <c r="AA402" i="1" s="1"/>
  <c r="R402" i="1"/>
  <c r="J402" i="1"/>
  <c r="I402" i="1" s="1"/>
  <c r="R588" i="1"/>
  <c r="AB588" i="1"/>
  <c r="J588" i="1"/>
  <c r="AB391" i="1"/>
  <c r="AA391" i="1" s="1"/>
  <c r="R391" i="1"/>
  <c r="J391" i="1"/>
  <c r="I391" i="1" s="1"/>
  <c r="AB418" i="1"/>
  <c r="AA418" i="1" s="1"/>
  <c r="R418" i="1"/>
  <c r="J418" i="1"/>
  <c r="I418" i="1" s="1"/>
  <c r="AB404" i="1"/>
  <c r="AA404" i="1" s="1"/>
  <c r="J404" i="1"/>
  <c r="I404" i="1" s="1"/>
  <c r="R404" i="1"/>
  <c r="J414" i="1"/>
  <c r="I414" i="1" s="1"/>
  <c r="R414" i="1"/>
  <c r="AB414" i="1"/>
  <c r="AA414" i="1" s="1"/>
  <c r="J398" i="1"/>
  <c r="I398" i="1" s="1"/>
  <c r="R398" i="1"/>
  <c r="AB398" i="1"/>
  <c r="AA398" i="1" s="1"/>
  <c r="R380" i="1"/>
  <c r="J380" i="1"/>
  <c r="I380" i="1" s="1"/>
  <c r="AB380" i="1"/>
  <c r="AA380" i="1" s="1"/>
  <c r="AC313" i="1"/>
  <c r="AB569" i="1"/>
  <c r="R569" i="1"/>
  <c r="J569" i="1"/>
  <c r="AB412" i="1"/>
  <c r="AA412" i="1" s="1"/>
  <c r="J412" i="1"/>
  <c r="I412" i="1" s="1"/>
  <c r="R412" i="1"/>
  <c r="R401" i="1"/>
  <c r="AB401" i="1"/>
  <c r="AA401" i="1" s="1"/>
  <c r="J401" i="1"/>
  <c r="I401" i="1" s="1"/>
  <c r="AB307" i="1"/>
  <c r="R307" i="1"/>
  <c r="J407" i="1"/>
  <c r="I407" i="1" s="1"/>
  <c r="AB407" i="1"/>
  <c r="AA407" i="1" s="1"/>
  <c r="R407" i="1"/>
  <c r="R313" i="1"/>
  <c r="AB313" i="1"/>
  <c r="AC305" i="1"/>
  <c r="AI569" i="1"/>
  <c r="Q569" i="1"/>
  <c r="AB595" i="1"/>
  <c r="R595" i="1"/>
  <c r="J595" i="1"/>
  <c r="AC593" i="1"/>
  <c r="K593" i="1"/>
  <c r="R351" i="1"/>
  <c r="AB351" i="1"/>
  <c r="AA351" i="1" s="1"/>
  <c r="J351" i="1"/>
  <c r="I351" i="1" s="1"/>
  <c r="AC571" i="1"/>
  <c r="K571" i="1"/>
  <c r="AB381" i="1"/>
  <c r="AA381" i="1" s="1"/>
  <c r="J381" i="1"/>
  <c r="I381" i="1" s="1"/>
  <c r="R381" i="1"/>
  <c r="AB364" i="1"/>
  <c r="AA364" i="1" s="1"/>
  <c r="J364" i="1"/>
  <c r="I364" i="1" s="1"/>
  <c r="R364" i="1"/>
  <c r="AB315" i="1"/>
  <c r="R315" i="1"/>
  <c r="AC306" i="1"/>
  <c r="R382" i="1"/>
  <c r="AB382" i="1"/>
  <c r="AA382" i="1" s="1"/>
  <c r="J382" i="1"/>
  <c r="I382" i="1" s="1"/>
  <c r="AB338" i="1"/>
  <c r="AA338" i="1" s="1"/>
  <c r="R338" i="1"/>
  <c r="J338" i="1"/>
  <c r="I338" i="1" s="1"/>
  <c r="AB593" i="1"/>
  <c r="R593" i="1"/>
  <c r="J593" i="1"/>
  <c r="AD591" i="1"/>
  <c r="L591" i="1"/>
  <c r="R306" i="1"/>
  <c r="AB306" i="1"/>
  <c r="R345" i="1"/>
  <c r="J345" i="1"/>
  <c r="I345" i="1" s="1"/>
  <c r="AB345" i="1"/>
  <c r="AA345" i="1" s="1"/>
  <c r="AB339" i="1"/>
  <c r="AA339" i="1" s="1"/>
  <c r="R339" i="1"/>
  <c r="J339" i="1"/>
  <c r="I339" i="1" s="1"/>
  <c r="AC569" i="1"/>
  <c r="K569" i="1"/>
  <c r="AD593" i="1"/>
  <c r="L593" i="1"/>
  <c r="AI571" i="1"/>
  <c r="Q571" i="1"/>
  <c r="AD586" i="1"/>
  <c r="L586" i="1"/>
  <c r="R591" i="1"/>
  <c r="AB591" i="1"/>
  <c r="J591" i="1"/>
  <c r="AC309" i="1"/>
  <c r="R367" i="1"/>
  <c r="J367" i="1"/>
  <c r="I367" i="1" s="1"/>
  <c r="AB367" i="1"/>
  <c r="AA367" i="1" s="1"/>
  <c r="AB316" i="1"/>
  <c r="R316" i="1"/>
  <c r="AB311" i="1"/>
  <c r="R311" i="1"/>
  <c r="AB592" i="1"/>
  <c r="R592" i="1"/>
  <c r="J592" i="1"/>
  <c r="AD592" i="1"/>
  <c r="L592" i="1"/>
  <c r="AD595" i="1"/>
  <c r="L595" i="1"/>
  <c r="R314" i="1"/>
  <c r="AB314" i="1"/>
  <c r="R571" i="1"/>
  <c r="AB571" i="1"/>
  <c r="J571" i="1"/>
  <c r="AC308" i="1"/>
  <c r="AC586" i="1"/>
  <c r="K586" i="1"/>
  <c r="AC591" i="1"/>
  <c r="K591" i="1"/>
  <c r="AC316" i="1"/>
  <c r="J374" i="1"/>
  <c r="I374" i="1" s="1"/>
  <c r="AB374" i="1"/>
  <c r="AA374" i="1" s="1"/>
  <c r="R374" i="1"/>
  <c r="AB396" i="1"/>
  <c r="AA396" i="1" s="1"/>
  <c r="R396" i="1"/>
  <c r="J396" i="1"/>
  <c r="I396" i="1" s="1"/>
  <c r="AC590" i="1"/>
  <c r="K590" i="1"/>
  <c r="AC318" i="1"/>
  <c r="R587" i="1"/>
  <c r="AB587" i="1"/>
  <c r="J587" i="1"/>
  <c r="AD588" i="1"/>
  <c r="L588" i="1"/>
  <c r="R411" i="1"/>
  <c r="J411" i="1"/>
  <c r="I411" i="1" s="1"/>
  <c r="AB411" i="1"/>
  <c r="AA411" i="1" s="1"/>
  <c r="AC307" i="1"/>
  <c r="AB419" i="1"/>
  <c r="AA419" i="1" s="1"/>
  <c r="R419" i="1"/>
  <c r="J419" i="1"/>
  <c r="I419" i="1" s="1"/>
  <c r="AB308" i="1"/>
  <c r="R308" i="1"/>
  <c r="AB394" i="1"/>
  <c r="AA394" i="1" s="1"/>
  <c r="R394" i="1"/>
  <c r="J394" i="1"/>
  <c r="I394" i="1" s="1"/>
  <c r="J403" i="1"/>
  <c r="I403" i="1" s="1"/>
  <c r="AB403" i="1"/>
  <c r="AA403" i="1" s="1"/>
  <c r="R403" i="1"/>
  <c r="AB378" i="1"/>
  <c r="AA378" i="1" s="1"/>
  <c r="J378" i="1"/>
  <c r="I378" i="1" s="1"/>
  <c r="R378" i="1"/>
  <c r="AB366" i="1"/>
  <c r="AA366" i="1" s="1"/>
  <c r="R366" i="1"/>
  <c r="J366" i="1"/>
  <c r="I366" i="1" s="1"/>
  <c r="R586" i="1"/>
  <c r="AB586" i="1"/>
  <c r="J586" i="1"/>
  <c r="J354" i="1"/>
  <c r="I354" i="1" s="1"/>
  <c r="AB354" i="1"/>
  <c r="AA354" i="1" s="1"/>
  <c r="R354" i="1"/>
  <c r="R594" i="1"/>
  <c r="AB594" i="1"/>
  <c r="J594" i="1"/>
  <c r="R348" i="1"/>
  <c r="AB348" i="1"/>
  <c r="AA348" i="1" s="1"/>
  <c r="J348" i="1"/>
  <c r="I348" i="1" s="1"/>
  <c r="AC315" i="1"/>
  <c r="AB408" i="1"/>
  <c r="AA408" i="1" s="1"/>
  <c r="J408" i="1"/>
  <c r="I408" i="1" s="1"/>
  <c r="R408" i="1"/>
  <c r="R392" i="1"/>
  <c r="AB392" i="1"/>
  <c r="AA392" i="1" s="1"/>
  <c r="J392" i="1"/>
  <c r="I392" i="1" s="1"/>
  <c r="AC312" i="1"/>
  <c r="AC291" i="1"/>
  <c r="AB291" i="1"/>
  <c r="R291" i="1"/>
  <c r="J386" i="1"/>
  <c r="I386" i="1" s="1"/>
  <c r="AB386" i="1"/>
  <c r="AA386" i="1" s="1"/>
  <c r="R386" i="1"/>
  <c r="R346" i="1"/>
  <c r="AB346" i="1"/>
  <c r="AA346" i="1" s="1"/>
  <c r="J346" i="1"/>
  <c r="I346" i="1" s="1"/>
  <c r="AC310" i="1"/>
  <c r="R363" i="1"/>
  <c r="J363" i="1"/>
  <c r="I363" i="1" s="1"/>
  <c r="AB363" i="1"/>
  <c r="AA363" i="1" s="1"/>
  <c r="AB310" i="1"/>
  <c r="R310" i="1"/>
  <c r="AB410" i="1"/>
  <c r="AA410" i="1" s="1"/>
  <c r="J410" i="1"/>
  <c r="I410" i="1" s="1"/>
  <c r="R410" i="1"/>
  <c r="AC314" i="1"/>
  <c r="AB589" i="1"/>
  <c r="R589" i="1"/>
  <c r="J589" i="1"/>
  <c r="AB343" i="1"/>
  <c r="AA343" i="1" s="1"/>
  <c r="R343" i="1"/>
  <c r="J343" i="1"/>
  <c r="I343" i="1" s="1"/>
  <c r="R305" i="1"/>
  <c r="AB305" i="1"/>
  <c r="AC311" i="1"/>
  <c r="AB347" i="1"/>
  <c r="AA347" i="1" s="1"/>
  <c r="R347" i="1"/>
  <c r="J347" i="1"/>
  <c r="I347" i="1" s="1"/>
  <c r="AD594" i="1"/>
  <c r="L594" i="1"/>
  <c r="R317" i="1"/>
  <c r="AB317" i="1"/>
  <c r="J375" i="1"/>
  <c r="I375" i="1" s="1"/>
  <c r="AB375" i="1"/>
  <c r="AA375" i="1" s="1"/>
  <c r="R375" i="1"/>
  <c r="AB341" i="1"/>
  <c r="AA341" i="1" s="1"/>
  <c r="R341" i="1"/>
  <c r="J341" i="1"/>
  <c r="I341" i="1" s="1"/>
  <c r="AC584" i="1"/>
  <c r="K584" i="1"/>
  <c r="AC304" i="1"/>
  <c r="R590" i="1"/>
  <c r="AB590" i="1"/>
  <c r="J590" i="1"/>
  <c r="AC589" i="1"/>
  <c r="K589" i="1"/>
  <c r="AD589" i="1"/>
  <c r="L589" i="1"/>
  <c r="AD587" i="1"/>
  <c r="L587" i="1"/>
  <c r="R344" i="1"/>
  <c r="AB344" i="1"/>
  <c r="AA344" i="1" s="1"/>
  <c r="J344" i="1"/>
  <c r="I344" i="1" s="1"/>
  <c r="AB309" i="1"/>
  <c r="R309" i="1"/>
  <c r="R352" i="1"/>
  <c r="AB352" i="1"/>
  <c r="AA352" i="1" s="1"/>
  <c r="J352" i="1"/>
  <c r="I352" i="1" s="1"/>
  <c r="AB399" i="1"/>
  <c r="AA399" i="1" s="1"/>
  <c r="R399" i="1"/>
  <c r="J399" i="1"/>
  <c r="I399" i="1" s="1"/>
  <c r="AD585" i="1"/>
  <c r="L585" i="1"/>
  <c r="AC594" i="1"/>
  <c r="K594" i="1"/>
  <c r="AB337" i="1"/>
  <c r="AA337" i="1" s="1"/>
  <c r="R337" i="1"/>
  <c r="J337" i="1"/>
  <c r="I337" i="1" s="1"/>
  <c r="AB393" i="1"/>
  <c r="AA393" i="1" s="1"/>
  <c r="R393" i="1"/>
  <c r="J393" i="1"/>
  <c r="I393" i="1" s="1"/>
  <c r="R405" i="1"/>
  <c r="J405" i="1"/>
  <c r="I405" i="1" s="1"/>
  <c r="AB405" i="1"/>
  <c r="AA405" i="1" s="1"/>
  <c r="AB388" i="1"/>
  <c r="AA388" i="1" s="1"/>
  <c r="R388" i="1"/>
  <c r="J388" i="1"/>
  <c r="I388" i="1" s="1"/>
  <c r="AD583" i="1"/>
  <c r="L583" i="1"/>
  <c r="J415" i="1"/>
  <c r="I415" i="1" s="1"/>
  <c r="AB415" i="1"/>
  <c r="AA415" i="1" s="1"/>
  <c r="R415" i="1"/>
  <c r="AB350" i="1"/>
  <c r="AA350" i="1" s="1"/>
  <c r="R350" i="1"/>
  <c r="J350" i="1"/>
  <c r="I350" i="1" s="1"/>
  <c r="J417" i="1"/>
  <c r="I417" i="1" s="1"/>
  <c r="AB417" i="1"/>
  <c r="AA417" i="1" s="1"/>
  <c r="R417" i="1"/>
  <c r="AB582" i="1"/>
  <c r="R582" i="1"/>
  <c r="J582" i="1"/>
  <c r="J420" i="1"/>
  <c r="I420" i="1" s="1"/>
  <c r="AB420" i="1"/>
  <c r="AA420" i="1" s="1"/>
  <c r="R420" i="1"/>
  <c r="AB409" i="1"/>
  <c r="AA409" i="1" s="1"/>
  <c r="R409" i="1"/>
  <c r="J409" i="1"/>
  <c r="I409" i="1" s="1"/>
  <c r="AC317" i="1"/>
  <c r="R570" i="1"/>
  <c r="AB570" i="1"/>
  <c r="J570" i="1"/>
  <c r="AC592" i="1"/>
  <c r="K592" i="1"/>
  <c r="AB400" i="1"/>
  <c r="AA400" i="1" s="1"/>
  <c r="R400" i="1"/>
  <c r="J400" i="1"/>
  <c r="I400" i="1" s="1"/>
  <c r="J383" i="1"/>
  <c r="I383" i="1" s="1"/>
  <c r="AB383" i="1"/>
  <c r="AA383" i="1" s="1"/>
  <c r="R383" i="1"/>
  <c r="AC595" i="1"/>
  <c r="K595" i="1"/>
  <c r="AC583" i="1"/>
  <c r="K583" i="1"/>
  <c r="R583" i="1"/>
  <c r="AB583" i="1"/>
  <c r="J583" i="1"/>
  <c r="AB323" i="1"/>
  <c r="AA323" i="1" s="1"/>
  <c r="R323" i="1"/>
  <c r="J323" i="1"/>
  <c r="I323" i="1" s="1"/>
  <c r="AB416" i="1"/>
  <c r="AA416" i="1" s="1"/>
  <c r="J416" i="1"/>
  <c r="I416" i="1" s="1"/>
  <c r="R416" i="1"/>
  <c r="AC582" i="1"/>
  <c r="K582" i="1"/>
  <c r="AB312" i="1"/>
  <c r="R312" i="1"/>
  <c r="J390" i="1"/>
  <c r="I390" i="1" s="1"/>
  <c r="AB390" i="1"/>
  <c r="AA390" i="1" s="1"/>
  <c r="R390" i="1"/>
  <c r="AB358" i="1"/>
  <c r="AA358" i="1" s="1"/>
  <c r="R358" i="1"/>
  <c r="J358" i="1"/>
  <c r="I358" i="1" s="1"/>
  <c r="AB585" i="1"/>
  <c r="R585" i="1"/>
  <c r="J585" i="1"/>
  <c r="J413" i="1"/>
  <c r="I413" i="1" s="1"/>
  <c r="R413" i="1"/>
  <c r="AB413" i="1"/>
  <c r="AA413" i="1" s="1"/>
  <c r="J406" i="1"/>
  <c r="I406" i="1" s="1"/>
  <c r="AB406" i="1"/>
  <c r="AA406" i="1" s="1"/>
  <c r="R406" i="1"/>
  <c r="J365" i="1"/>
  <c r="I365" i="1" s="1"/>
  <c r="R365" i="1"/>
  <c r="AB365" i="1"/>
  <c r="AA365" i="1" s="1"/>
  <c r="AB368" i="1"/>
  <c r="AA368" i="1" s="1"/>
  <c r="R368" i="1"/>
  <c r="J368" i="1"/>
  <c r="I368" i="1" s="1"/>
  <c r="AC570" i="1"/>
  <c r="K570" i="1"/>
  <c r="AB584" i="1"/>
  <c r="R584" i="1"/>
  <c r="J584" i="1"/>
  <c r="R389" i="1"/>
  <c r="AB389" i="1"/>
  <c r="AA389" i="1" s="1"/>
  <c r="J389" i="1"/>
  <c r="I389" i="1" s="1"/>
  <c r="AD584" i="1"/>
  <c r="L584" i="1"/>
  <c r="AC581" i="1"/>
  <c r="K581" i="1"/>
  <c r="AD581" i="1"/>
  <c r="L581" i="1"/>
  <c r="AB318" i="1"/>
  <c r="R318" i="1"/>
  <c r="AC587" i="1"/>
  <c r="K587" i="1"/>
  <c r="AB353" i="1"/>
  <c r="AA353" i="1" s="1"/>
  <c r="R353" i="1"/>
  <c r="J353" i="1"/>
  <c r="I353" i="1" s="1"/>
  <c r="AC588" i="1"/>
  <c r="K588" i="1"/>
  <c r="AB349" i="1"/>
  <c r="AA349" i="1" s="1"/>
  <c r="R349" i="1"/>
  <c r="J349" i="1"/>
  <c r="I349" i="1" s="1"/>
  <c r="AB395" i="1"/>
  <c r="AA395" i="1" s="1"/>
  <c r="J395" i="1"/>
  <c r="I395" i="1" s="1"/>
  <c r="R395" i="1"/>
  <c r="AD582" i="1"/>
  <c r="L582" i="1"/>
  <c r="AC585" i="1"/>
  <c r="K585" i="1"/>
  <c r="J379" i="1"/>
  <c r="I379" i="1" s="1"/>
  <c r="AB379" i="1"/>
  <c r="AA379" i="1" s="1"/>
  <c r="R379" i="1"/>
  <c r="AB387" i="1"/>
  <c r="AA387" i="1" s="1"/>
  <c r="J387" i="1"/>
  <c r="I387" i="1" s="1"/>
  <c r="R387" i="1"/>
  <c r="AI570" i="1"/>
  <c r="Q570" i="1"/>
  <c r="R340" i="1"/>
  <c r="AB340" i="1"/>
  <c r="AA340" i="1" s="1"/>
  <c r="J340" i="1"/>
  <c r="I340" i="1" s="1"/>
  <c r="AB657" i="1"/>
  <c r="AA657" i="1" s="1"/>
  <c r="R657" i="1"/>
  <c r="AC335" i="1"/>
  <c r="AD333" i="1"/>
  <c r="AC331" i="1"/>
  <c r="AD331" i="1"/>
  <c r="K333" i="1"/>
  <c r="I333" i="1" s="1"/>
  <c r="K329" i="1"/>
  <c r="I329" i="1" s="1"/>
  <c r="AB159" i="1"/>
  <c r="R159" i="1"/>
  <c r="J159" i="1"/>
  <c r="Q153" i="1"/>
  <c r="AI153" i="1"/>
  <c r="AB153" i="1"/>
  <c r="J153" i="1"/>
  <c r="R153" i="1"/>
  <c r="AB165" i="1"/>
  <c r="R165" i="1"/>
  <c r="J165" i="1"/>
  <c r="Q159" i="1"/>
  <c r="AI159" i="1"/>
  <c r="Q162" i="1"/>
  <c r="AI162" i="1"/>
  <c r="AI163" i="1"/>
  <c r="Q163" i="1"/>
  <c r="J162" i="1"/>
  <c r="R162" i="1"/>
  <c r="AB162" i="1"/>
  <c r="R156" i="1"/>
  <c r="AB156" i="1"/>
  <c r="J156" i="1"/>
  <c r="Q156" i="1"/>
  <c r="AI156" i="1"/>
  <c r="Q165" i="1"/>
  <c r="AI165" i="1"/>
  <c r="AB163" i="1"/>
  <c r="J163" i="1"/>
  <c r="R163" i="1"/>
  <c r="J168" i="1"/>
  <c r="AB168" i="1"/>
  <c r="R168" i="1"/>
  <c r="Q168" i="1"/>
  <c r="AI168" i="1"/>
  <c r="AB106" i="1"/>
  <c r="AB444" i="1"/>
  <c r="R444" i="1"/>
  <c r="J444" i="1"/>
  <c r="AI444" i="1"/>
  <c r="Q444" i="1"/>
  <c r="AC444" i="1"/>
  <c r="K444" i="1"/>
  <c r="AC436" i="1"/>
  <c r="K436" i="1"/>
  <c r="AB454" i="1"/>
  <c r="R454" i="1"/>
  <c r="J454" i="1"/>
  <c r="AI454" i="1"/>
  <c r="Q454" i="1"/>
  <c r="AC431" i="1"/>
  <c r="K431" i="1"/>
  <c r="AB431" i="1"/>
  <c r="R431" i="1"/>
  <c r="J431" i="1"/>
  <c r="AI431" i="1"/>
  <c r="Q431" i="1"/>
  <c r="AI613" i="1"/>
  <c r="Q613" i="1"/>
  <c r="I613" i="1" s="1"/>
  <c r="AC432" i="1"/>
  <c r="K432" i="1"/>
  <c r="AI619" i="1"/>
  <c r="Q619" i="1"/>
  <c r="I619" i="1" s="1"/>
  <c r="R432" i="1"/>
  <c r="AB432" i="1"/>
  <c r="J432" i="1"/>
  <c r="AB436" i="1"/>
  <c r="R436" i="1"/>
  <c r="J436" i="1"/>
  <c r="AI610" i="1"/>
  <c r="Q610" i="1"/>
  <c r="I610" i="1" s="1"/>
  <c r="AI432" i="1"/>
  <c r="Q432" i="1"/>
  <c r="AC452" i="1"/>
  <c r="K452" i="1"/>
  <c r="AC454" i="1"/>
  <c r="K454" i="1"/>
  <c r="AI617" i="1"/>
  <c r="Q617" i="1"/>
  <c r="I617" i="1" s="1"/>
  <c r="AB452" i="1"/>
  <c r="R452" i="1"/>
  <c r="J452" i="1"/>
  <c r="AI611" i="1"/>
  <c r="Q611" i="1"/>
  <c r="I611" i="1" s="1"/>
  <c r="AI452" i="1"/>
  <c r="Q452" i="1"/>
  <c r="AI623" i="1"/>
  <c r="Q623" i="1"/>
  <c r="I623" i="1" s="1"/>
  <c r="AI616" i="1"/>
  <c r="Q616" i="1"/>
  <c r="I616" i="1" s="1"/>
  <c r="AI621" i="1"/>
  <c r="Q621" i="1"/>
  <c r="I621" i="1" s="1"/>
  <c r="AB614" i="1"/>
  <c r="AB446" i="1"/>
  <c r="R446" i="1"/>
  <c r="J446" i="1"/>
  <c r="AI436" i="1"/>
  <c r="Q436" i="1"/>
  <c r="AI608" i="1"/>
  <c r="Q608" i="1"/>
  <c r="I608" i="1" s="1"/>
  <c r="AI446" i="1"/>
  <c r="Q446" i="1"/>
  <c r="AC428" i="1"/>
  <c r="K428" i="1"/>
  <c r="AC446" i="1"/>
  <c r="K446" i="1"/>
  <c r="R428" i="1"/>
  <c r="AB428" i="1"/>
  <c r="J428" i="1"/>
  <c r="AI428" i="1"/>
  <c r="Q428" i="1"/>
  <c r="AI614" i="1"/>
  <c r="AI565" i="1"/>
  <c r="AI557" i="1"/>
  <c r="AC525" i="1"/>
  <c r="AI635" i="1"/>
  <c r="AB631" i="1"/>
  <c r="R631" i="1"/>
  <c r="AB531" i="1"/>
  <c r="R531" i="1"/>
  <c r="AC530" i="1"/>
  <c r="AB485" i="1"/>
  <c r="R568" i="1"/>
  <c r="AB568" i="1"/>
  <c r="AC560" i="1"/>
  <c r="R560" i="1"/>
  <c r="AB560" i="1"/>
  <c r="AD528" i="1"/>
  <c r="AC524" i="1"/>
  <c r="AB484" i="1"/>
  <c r="R484" i="1"/>
  <c r="AB634" i="1"/>
  <c r="R634" i="1"/>
  <c r="R490" i="1"/>
  <c r="AI490" i="1"/>
  <c r="AB482" i="1"/>
  <c r="R529" i="1"/>
  <c r="AB529" i="1"/>
  <c r="AB567" i="1"/>
  <c r="R567" i="1"/>
  <c r="AC563" i="1"/>
  <c r="AB559" i="1"/>
  <c r="R559" i="1"/>
  <c r="AB527" i="1"/>
  <c r="R527" i="1"/>
  <c r="AC523" i="1"/>
  <c r="AB479" i="1"/>
  <c r="AI625" i="1"/>
  <c r="R489" i="1"/>
  <c r="AI489" i="1"/>
  <c r="AB481" i="1"/>
  <c r="R481" i="1"/>
  <c r="AC520" i="1"/>
  <c r="AB475" i="1"/>
  <c r="R475" i="1"/>
  <c r="AI566" i="1"/>
  <c r="AC562" i="1"/>
  <c r="AD526" i="1"/>
  <c r="AI488" i="1"/>
  <c r="AB480" i="1"/>
  <c r="R480" i="1"/>
  <c r="AC522" i="1"/>
  <c r="R628" i="1"/>
  <c r="AB628" i="1"/>
  <c r="AI478" i="1"/>
  <c r="AC565" i="1"/>
  <c r="AI561" i="1"/>
  <c r="AC561" i="1"/>
  <c r="R636" i="1"/>
  <c r="AB636" i="1"/>
  <c r="AD525" i="1"/>
  <c r="AB635" i="1"/>
  <c r="R635" i="1"/>
  <c r="AD531" i="1"/>
  <c r="R530" i="1"/>
  <c r="AB530" i="1"/>
  <c r="AD530" i="1"/>
  <c r="AI483" i="1"/>
  <c r="AC564" i="1"/>
  <c r="R564" i="1"/>
  <c r="AB564" i="1"/>
  <c r="R639" i="1"/>
  <c r="AB639" i="1"/>
  <c r="AC528" i="1"/>
  <c r="AB524" i="1"/>
  <c r="R524" i="1"/>
  <c r="AI476" i="1"/>
  <c r="AI630" i="1"/>
  <c r="AI626" i="1"/>
  <c r="AB490" i="1"/>
  <c r="AC529" i="1"/>
  <c r="AB563" i="1"/>
  <c r="R563" i="1"/>
  <c r="AB638" i="1"/>
  <c r="R638" i="1"/>
  <c r="AE527" i="1"/>
  <c r="AD523" i="1"/>
  <c r="AI629" i="1"/>
  <c r="AB625" i="1"/>
  <c r="R625" i="1"/>
  <c r="AB521" i="1"/>
  <c r="R521" i="1"/>
  <c r="AB489" i="1"/>
  <c r="AD520" i="1"/>
  <c r="AC558" i="1"/>
  <c r="AB637" i="1"/>
  <c r="AB526" i="1"/>
  <c r="R526" i="1"/>
  <c r="AB488" i="1"/>
  <c r="R488" i="1"/>
  <c r="AB522" i="1"/>
  <c r="R522" i="1"/>
  <c r="R632" i="1"/>
  <c r="AB632" i="1"/>
  <c r="R486" i="1"/>
  <c r="AI486" i="1"/>
  <c r="AB487" i="1"/>
  <c r="AC557" i="1"/>
  <c r="AI636" i="1"/>
  <c r="AB525" i="1"/>
  <c r="R525" i="1"/>
  <c r="AI631" i="1"/>
  <c r="AI627" i="1"/>
  <c r="AE531" i="1"/>
  <c r="AE530" i="1"/>
  <c r="R485" i="1"/>
  <c r="AI485" i="1"/>
  <c r="R477" i="1"/>
  <c r="AI477" i="1"/>
  <c r="AB483" i="1"/>
  <c r="R483" i="1"/>
  <c r="AC568" i="1"/>
  <c r="AI564" i="1"/>
  <c r="AE528" i="1"/>
  <c r="AE524" i="1"/>
  <c r="AI484" i="1"/>
  <c r="R626" i="1"/>
  <c r="AB626" i="1"/>
  <c r="AI474" i="1"/>
  <c r="AD529" i="1"/>
  <c r="AI567" i="1"/>
  <c r="AI559" i="1"/>
  <c r="AI638" i="1"/>
  <c r="AD527" i="1"/>
  <c r="R523" i="1"/>
  <c r="AB523" i="1"/>
  <c r="R479" i="1"/>
  <c r="AI479" i="1"/>
  <c r="AI633" i="1"/>
  <c r="AB629" i="1"/>
  <c r="R629" i="1"/>
  <c r="AE521" i="1"/>
  <c r="AD521" i="1"/>
  <c r="AB520" i="1"/>
  <c r="R520" i="1"/>
  <c r="AI475" i="1"/>
  <c r="R566" i="1"/>
  <c r="AB566" i="1"/>
  <c r="R558" i="1"/>
  <c r="AB558" i="1"/>
  <c r="AE526" i="1"/>
  <c r="AC526" i="1"/>
  <c r="AD522" i="1"/>
  <c r="AI632" i="1"/>
  <c r="AI624" i="1"/>
  <c r="AB478" i="1"/>
  <c r="R478" i="1"/>
  <c r="AB565" i="1"/>
  <c r="R565" i="1"/>
  <c r="R561" i="1"/>
  <c r="AB561" i="1"/>
  <c r="R557" i="1"/>
  <c r="AB557" i="1"/>
  <c r="AE525" i="1"/>
  <c r="AB627" i="1"/>
  <c r="R627" i="1"/>
  <c r="AC531" i="1"/>
  <c r="AB477" i="1"/>
  <c r="AI568" i="1"/>
  <c r="AI560" i="1"/>
  <c r="AI639" i="1"/>
  <c r="AB528" i="1"/>
  <c r="R528" i="1"/>
  <c r="AD524" i="1"/>
  <c r="AB476" i="1"/>
  <c r="R476" i="1"/>
  <c r="AI634" i="1"/>
  <c r="AB630" i="1"/>
  <c r="R630" i="1"/>
  <c r="R482" i="1"/>
  <c r="AI482" i="1"/>
  <c r="AB474" i="1"/>
  <c r="R474" i="1"/>
  <c r="AE529" i="1"/>
  <c r="AC567" i="1"/>
  <c r="AI563" i="1"/>
  <c r="AC559" i="1"/>
  <c r="AC527" i="1"/>
  <c r="AE523" i="1"/>
  <c r="AB633" i="1"/>
  <c r="R633" i="1"/>
  <c r="AC521" i="1"/>
  <c r="AI481" i="1"/>
  <c r="AE520" i="1"/>
  <c r="AC566" i="1"/>
  <c r="R562" i="1"/>
  <c r="AB562" i="1"/>
  <c r="AI562" i="1"/>
  <c r="AI558" i="1"/>
  <c r="R637" i="1"/>
  <c r="AI637" i="1"/>
  <c r="AI480" i="1"/>
  <c r="AE522" i="1"/>
  <c r="AI628" i="1"/>
  <c r="R624" i="1"/>
  <c r="AB624" i="1"/>
  <c r="AB486" i="1"/>
  <c r="R487" i="1"/>
  <c r="AI487" i="1"/>
  <c r="R614" i="1"/>
  <c r="AI612" i="1"/>
  <c r="AI615" i="1"/>
  <c r="AI106" i="1"/>
  <c r="AI609" i="1"/>
  <c r="AI618" i="1"/>
  <c r="AI620" i="1"/>
  <c r="AI622" i="1"/>
  <c r="R106" i="1"/>
  <c r="R609" i="1"/>
  <c r="AB609" i="1"/>
  <c r="R303" i="1"/>
  <c r="AB303" i="1"/>
  <c r="AB283" i="1"/>
  <c r="AD260" i="1"/>
  <c r="AB287" i="1"/>
  <c r="R287" i="1"/>
  <c r="AD262" i="1"/>
  <c r="AI143" i="1"/>
  <c r="AB299" i="1"/>
  <c r="R299" i="1"/>
  <c r="R618" i="1"/>
  <c r="AB618" i="1"/>
  <c r="AC281" i="1"/>
  <c r="AC285" i="1"/>
  <c r="R296" i="1"/>
  <c r="AB296" i="1"/>
  <c r="AB272" i="1"/>
  <c r="R272" i="1"/>
  <c r="R283" i="1"/>
  <c r="AC283" i="1"/>
  <c r="AB133" i="1"/>
  <c r="T133" i="1"/>
  <c r="K133" i="1" s="1"/>
  <c r="AC260" i="1"/>
  <c r="AB622" i="1"/>
  <c r="R622" i="1"/>
  <c r="AB331" i="1"/>
  <c r="R331" i="1"/>
  <c r="R294" i="1"/>
  <c r="AB294" i="1"/>
  <c r="AD270" i="1"/>
  <c r="AB285" i="1"/>
  <c r="R285" i="1"/>
  <c r="AC265" i="1"/>
  <c r="AI141" i="1"/>
  <c r="AB265" i="1"/>
  <c r="R265" i="1"/>
  <c r="R612" i="1"/>
  <c r="AB612" i="1"/>
  <c r="AB333" i="1"/>
  <c r="AB297" i="1"/>
  <c r="R297" i="1"/>
  <c r="AB135" i="1"/>
  <c r="T135" i="1"/>
  <c r="K135" i="1" s="1"/>
  <c r="AD285" i="1"/>
  <c r="AB329" i="1"/>
  <c r="AA329" i="1" s="1"/>
  <c r="AD283" i="1"/>
  <c r="AI133" i="1"/>
  <c r="AC287" i="1"/>
  <c r="AD272" i="1"/>
  <c r="AI126" i="1"/>
  <c r="AC270" i="1"/>
  <c r="AD265" i="1"/>
  <c r="AB620" i="1"/>
  <c r="R620" i="1"/>
  <c r="AB260" i="1"/>
  <c r="R260" i="1"/>
  <c r="T122" i="1"/>
  <c r="K122" i="1" s="1"/>
  <c r="AB122" i="1"/>
  <c r="AB615" i="1"/>
  <c r="R615" i="1"/>
  <c r="AI135" i="1"/>
  <c r="AB270" i="1"/>
  <c r="R270" i="1"/>
  <c r="R298" i="1"/>
  <c r="AB298" i="1"/>
  <c r="AD287" i="1"/>
  <c r="AC272" i="1"/>
  <c r="AC262" i="1"/>
  <c r="AB281" i="1"/>
  <c r="R281" i="1"/>
  <c r="T143" i="1"/>
  <c r="K143" i="1" s="1"/>
  <c r="AB143" i="1"/>
  <c r="AB126" i="1"/>
  <c r="T126" i="1"/>
  <c r="K126" i="1" s="1"/>
  <c r="AB141" i="1"/>
  <c r="T141" i="1"/>
  <c r="K141" i="1" s="1"/>
  <c r="R335" i="1"/>
  <c r="AB335" i="1"/>
  <c r="AI122" i="1"/>
  <c r="AD281" i="1"/>
  <c r="R262" i="1"/>
  <c r="AB262" i="1"/>
  <c r="AB611" i="1"/>
  <c r="AB619" i="1"/>
  <c r="AD511" i="1"/>
  <c r="AC509" i="1"/>
  <c r="AE519" i="1"/>
  <c r="AD517" i="1"/>
  <c r="AC508" i="1"/>
  <c r="AD516" i="1"/>
  <c r="AE510" i="1"/>
  <c r="AC518" i="1"/>
  <c r="AE511" i="1"/>
  <c r="AD514" i="1"/>
  <c r="AC519" i="1"/>
  <c r="AC517" i="1"/>
  <c r="AC513" i="1"/>
  <c r="AC512" i="1"/>
  <c r="AE518" i="1"/>
  <c r="AC515" i="1"/>
  <c r="AE512" i="1"/>
  <c r="AC516" i="1"/>
  <c r="AD518" i="1"/>
  <c r="AC514" i="1"/>
  <c r="AD509" i="1"/>
  <c r="AD519" i="1"/>
  <c r="AE517" i="1"/>
  <c r="AE515" i="1"/>
  <c r="AD508" i="1"/>
  <c r="AE513" i="1"/>
  <c r="AD512" i="1"/>
  <c r="AD510" i="1"/>
  <c r="AD513" i="1"/>
  <c r="AE516" i="1"/>
  <c r="AC510" i="1"/>
  <c r="AC511" i="1"/>
  <c r="AE514" i="1"/>
  <c r="AE509" i="1"/>
  <c r="AD515" i="1"/>
  <c r="AE508" i="1"/>
  <c r="AM577" i="1"/>
  <c r="AM579" i="1"/>
  <c r="R611" i="1"/>
  <c r="AM619" i="1"/>
  <c r="AM576" i="1"/>
  <c r="AB610" i="1"/>
  <c r="AM611" i="1"/>
  <c r="AM656" i="1"/>
  <c r="AB617" i="1"/>
  <c r="R619" i="1"/>
  <c r="AB616" i="1"/>
  <c r="R608" i="1"/>
  <c r="AM617" i="1"/>
  <c r="AB621" i="1"/>
  <c r="AM621" i="1"/>
  <c r="AB623" i="1"/>
  <c r="AM608" i="1"/>
  <c r="AB613" i="1"/>
  <c r="AM613" i="1"/>
  <c r="AB656" i="1"/>
  <c r="AA656" i="1" s="1"/>
  <c r="R656" i="1"/>
  <c r="AB608" i="1"/>
  <c r="I153" i="1" l="1"/>
  <c r="AA230" i="1"/>
  <c r="AA227" i="1"/>
  <c r="I588" i="1"/>
  <c r="H588" i="1" s="1"/>
  <c r="K600" i="1" s="1" a="1"/>
  <c r="K600" i="1" s="1"/>
  <c r="I583" i="1"/>
  <c r="H583" i="1" s="1"/>
  <c r="J607" i="1" s="1" a="1"/>
  <c r="J607" i="1" s="1"/>
  <c r="I582" i="1"/>
  <c r="H582" i="1" s="1"/>
  <c r="J606" i="1" s="1" a="1"/>
  <c r="J606" i="1" s="1"/>
  <c r="I585" i="1"/>
  <c r="H585" i="1" s="1"/>
  <c r="K597" i="1" s="1" a="1"/>
  <c r="K597" i="1" s="1"/>
  <c r="I569" i="1"/>
  <c r="H569" i="1" s="1"/>
  <c r="I254" i="1"/>
  <c r="H254" i="1" s="1"/>
  <c r="I252" i="1"/>
  <c r="H252" i="1" s="1"/>
  <c r="I257" i="1"/>
  <c r="H257" i="1" s="1"/>
  <c r="I247" i="1"/>
  <c r="H247" i="1" s="1"/>
  <c r="I243" i="1"/>
  <c r="H243" i="1" s="1"/>
  <c r="I165" i="1"/>
  <c r="H165" i="1" s="1"/>
  <c r="I237" i="1"/>
  <c r="H237" i="1" s="1"/>
  <c r="I242" i="1"/>
  <c r="H242" i="1" s="1"/>
  <c r="I253" i="1"/>
  <c r="H253" i="1" s="1"/>
  <c r="I432" i="1"/>
  <c r="H432" i="1" s="1"/>
  <c r="I162" i="1"/>
  <c r="H162" i="1" s="1"/>
  <c r="I239" i="1"/>
  <c r="H239" i="1" s="1"/>
  <c r="I431" i="1"/>
  <c r="H431" i="1" s="1"/>
  <c r="I255" i="1"/>
  <c r="H255" i="1" s="1"/>
  <c r="I591" i="1"/>
  <c r="H591" i="1" s="1"/>
  <c r="K603" i="1" s="1" a="1"/>
  <c r="K603" i="1" s="1"/>
  <c r="I248" i="1"/>
  <c r="H248" i="1" s="1"/>
  <c r="I250" i="1"/>
  <c r="H250" i="1" s="1"/>
  <c r="I245" i="1"/>
  <c r="H245" i="1" s="1"/>
  <c r="I168" i="1"/>
  <c r="H168" i="1" s="1"/>
  <c r="I249" i="1"/>
  <c r="H249" i="1" s="1"/>
  <c r="I584" i="1"/>
  <c r="H584" i="1" s="1"/>
  <c r="K596" i="1" s="1" a="1"/>
  <c r="K596" i="1" s="1"/>
  <c r="I571" i="1"/>
  <c r="H571" i="1" s="1"/>
  <c r="I246" i="1"/>
  <c r="H246" i="1" s="1"/>
  <c r="I256" i="1"/>
  <c r="H256" i="1" s="1"/>
  <c r="I258" i="1"/>
  <c r="H258" i="1" s="1"/>
  <c r="I592" i="1"/>
  <c r="H592" i="1" s="1"/>
  <c r="K604" i="1" s="1" a="1"/>
  <c r="K604" i="1" s="1"/>
  <c r="I251" i="1"/>
  <c r="H251" i="1" s="1"/>
  <c r="I595" i="1"/>
  <c r="H595" i="1" s="1"/>
  <c r="K607" i="1" s="1" a="1"/>
  <c r="K607" i="1" s="1"/>
  <c r="I244" i="1"/>
  <c r="H244" i="1" s="1"/>
  <c r="I428" i="1"/>
  <c r="H428" i="1" s="1"/>
  <c r="I593" i="1"/>
  <c r="H593" i="1" s="1"/>
  <c r="K605" i="1" s="1" a="1"/>
  <c r="K605" i="1" s="1"/>
  <c r="I163" i="1"/>
  <c r="H163" i="1" s="1"/>
  <c r="I159" i="1"/>
  <c r="H159" i="1" s="1"/>
  <c r="I446" i="1"/>
  <c r="H446" i="1" s="1"/>
  <c r="I454" i="1"/>
  <c r="H454" i="1" s="1"/>
  <c r="I581" i="1"/>
  <c r="H581" i="1" s="1"/>
  <c r="J605" i="1" s="1" a="1"/>
  <c r="J605" i="1" s="1"/>
  <c r="I436" i="1"/>
  <c r="H436" i="1" s="1"/>
  <c r="I586" i="1"/>
  <c r="H586" i="1" s="1"/>
  <c r="K598" i="1" s="1" a="1"/>
  <c r="K598" i="1" s="1"/>
  <c r="I238" i="1"/>
  <c r="H238" i="1" s="1"/>
  <c r="I444" i="1"/>
  <c r="H444" i="1" s="1"/>
  <c r="I590" i="1"/>
  <c r="H590" i="1" s="1"/>
  <c r="K602" i="1" s="1" a="1"/>
  <c r="K602" i="1" s="1"/>
  <c r="I589" i="1"/>
  <c r="H589" i="1" s="1"/>
  <c r="K601" i="1" s="1" a="1"/>
  <c r="K601" i="1" s="1"/>
  <c r="I594" i="1"/>
  <c r="H594" i="1" s="1"/>
  <c r="K606" i="1" s="1" a="1"/>
  <c r="K606" i="1" s="1"/>
  <c r="I156" i="1"/>
  <c r="H156" i="1" s="1"/>
  <c r="I570" i="1"/>
  <c r="H570" i="1" s="1"/>
  <c r="I240" i="1"/>
  <c r="H240" i="1" s="1"/>
  <c r="I452" i="1"/>
  <c r="H452" i="1" s="1"/>
  <c r="I241" i="1"/>
  <c r="H241" i="1" s="1"/>
  <c r="I587" i="1"/>
  <c r="H587" i="1" s="1"/>
  <c r="K599" i="1" s="1" a="1"/>
  <c r="K599" i="1" s="1"/>
  <c r="AA222" i="1"/>
  <c r="H153" i="1"/>
  <c r="H364" i="1"/>
  <c r="H386" i="1"/>
  <c r="H406" i="1"/>
  <c r="H351" i="1"/>
  <c r="H402" i="1"/>
  <c r="H416" i="1"/>
  <c r="H392" i="1"/>
  <c r="H413" i="1"/>
  <c r="H408" i="1"/>
  <c r="H394" i="1"/>
  <c r="H349" i="1"/>
  <c r="H342" i="1"/>
  <c r="H417" i="1"/>
  <c r="H341" i="1"/>
  <c r="H410" i="1"/>
  <c r="H380" i="1"/>
  <c r="H407" i="1"/>
  <c r="H350" i="1"/>
  <c r="H338" i="1"/>
  <c r="H405" i="1"/>
  <c r="H391" i="1"/>
  <c r="H340" i="1"/>
  <c r="H381" i="1"/>
  <c r="H337" i="1"/>
  <c r="H396" i="1"/>
  <c r="H358" i="1"/>
  <c r="H389" i="1"/>
  <c r="H383" i="1"/>
  <c r="H419" i="1"/>
  <c r="H339" i="1"/>
  <c r="H412" i="1"/>
  <c r="H403" i="1"/>
  <c r="H400" i="1"/>
  <c r="H352" i="1"/>
  <c r="H398" i="1"/>
  <c r="H397" i="1"/>
  <c r="H344" i="1"/>
  <c r="H347" i="1"/>
  <c r="H393" i="1"/>
  <c r="H378" i="1"/>
  <c r="H367" i="1"/>
  <c r="H348" i="1"/>
  <c r="H375" i="1"/>
  <c r="H363" i="1"/>
  <c r="H382" i="1"/>
  <c r="H388" i="1"/>
  <c r="H404" i="1"/>
  <c r="H368" i="1"/>
  <c r="H418" i="1"/>
  <c r="H409" i="1"/>
  <c r="H401" i="1"/>
  <c r="H365" i="1"/>
  <c r="H374" i="1"/>
  <c r="H399" i="1"/>
  <c r="H415" i="1"/>
  <c r="H366" i="1"/>
  <c r="H343" i="1"/>
  <c r="H345" i="1"/>
  <c r="H379" i="1"/>
  <c r="H395" i="1"/>
  <c r="H390" i="1"/>
  <c r="H414" i="1"/>
  <c r="H354" i="1"/>
  <c r="H353" i="1"/>
  <c r="H323" i="1"/>
  <c r="H420" i="1"/>
  <c r="H387" i="1"/>
  <c r="H346" i="1"/>
  <c r="H411" i="1"/>
  <c r="AA241" i="1"/>
  <c r="AA296" i="1"/>
  <c r="AA294" i="1"/>
  <c r="AA303" i="1"/>
  <c r="AA231" i="1"/>
  <c r="AA226" i="1"/>
  <c r="AA235" i="1"/>
  <c r="AA243" i="1"/>
  <c r="AA238" i="1"/>
  <c r="AA240" i="1"/>
  <c r="AA237" i="1"/>
  <c r="H224" i="1"/>
  <c r="AA224" i="1"/>
  <c r="H230" i="1"/>
  <c r="H227" i="1"/>
  <c r="H222" i="1"/>
  <c r="AA252" i="1"/>
  <c r="AA257" i="1"/>
  <c r="AA253" i="1"/>
  <c r="AA223" i="1"/>
  <c r="AA239" i="1"/>
  <c r="AA225" i="1"/>
  <c r="AA254" i="1"/>
  <c r="H223" i="1"/>
  <c r="AA245" i="1"/>
  <c r="AA258" i="1"/>
  <c r="AA249" i="1"/>
  <c r="AA248" i="1"/>
  <c r="AA234" i="1"/>
  <c r="AA255" i="1"/>
  <c r="H233" i="1"/>
  <c r="AA242" i="1"/>
  <c r="H236" i="1"/>
  <c r="H234" i="1"/>
  <c r="AA246" i="1"/>
  <c r="AA256" i="1"/>
  <c r="AA250" i="1"/>
  <c r="AA299" i="1"/>
  <c r="AA247" i="1"/>
  <c r="AA251" i="1"/>
  <c r="H229" i="1"/>
  <c r="AA297" i="1"/>
  <c r="AA233" i="1"/>
  <c r="AA236" i="1"/>
  <c r="AA244" i="1"/>
  <c r="H225" i="1"/>
  <c r="AA228" i="1"/>
  <c r="AA232" i="1"/>
  <c r="AA229" i="1"/>
  <c r="AA291" i="1"/>
  <c r="AA569" i="1"/>
  <c r="AA298" i="1"/>
  <c r="AA310" i="1"/>
  <c r="AA586" i="1"/>
  <c r="AA593" i="1"/>
  <c r="AA589" i="1"/>
  <c r="AA595" i="1"/>
  <c r="H318" i="1"/>
  <c r="AA318" i="1"/>
  <c r="AA316" i="1"/>
  <c r="H304" i="1"/>
  <c r="H313" i="1"/>
  <c r="H316" i="1"/>
  <c r="AA309" i="1"/>
  <c r="H317" i="1"/>
  <c r="AA314" i="1"/>
  <c r="AA317" i="1"/>
  <c r="AA588" i="1"/>
  <c r="AA582" i="1"/>
  <c r="AA592" i="1"/>
  <c r="AA313" i="1"/>
  <c r="AA304" i="1"/>
  <c r="H308" i="1"/>
  <c r="H311" i="1"/>
  <c r="AA315" i="1"/>
  <c r="AA587" i="1"/>
  <c r="AA590" i="1"/>
  <c r="AA584" i="1"/>
  <c r="H305" i="1"/>
  <c r="AA308" i="1"/>
  <c r="AA311" i="1"/>
  <c r="H315" i="1"/>
  <c r="AA305" i="1"/>
  <c r="AA594" i="1"/>
  <c r="H312" i="1"/>
  <c r="H307" i="1"/>
  <c r="H314" i="1"/>
  <c r="AA570" i="1"/>
  <c r="H306" i="1"/>
  <c r="AA571" i="1"/>
  <c r="AA312" i="1"/>
  <c r="AA306" i="1"/>
  <c r="AA307" i="1"/>
  <c r="AA591" i="1"/>
  <c r="AA583" i="1"/>
  <c r="AA585" i="1"/>
  <c r="H291" i="1"/>
  <c r="AA581" i="1"/>
  <c r="H309" i="1"/>
  <c r="AA333" i="1"/>
  <c r="AA331" i="1"/>
  <c r="AA335" i="1"/>
  <c r="AA153" i="1"/>
  <c r="AA162" i="1"/>
  <c r="AA156" i="1"/>
  <c r="AA489" i="1"/>
  <c r="AA623" i="1"/>
  <c r="AA619" i="1"/>
  <c r="AA106" i="1"/>
  <c r="AA163" i="1"/>
  <c r="AA168" i="1"/>
  <c r="AA165" i="1"/>
  <c r="AA452" i="1"/>
  <c r="AA621" i="1"/>
  <c r="AA159" i="1"/>
  <c r="AA610" i="1"/>
  <c r="AA613" i="1"/>
  <c r="AA614" i="1"/>
  <c r="AA616" i="1"/>
  <c r="AA617" i="1"/>
  <c r="AA608" i="1"/>
  <c r="AA611" i="1"/>
  <c r="AA431" i="1"/>
  <c r="AA446" i="1"/>
  <c r="AA454" i="1"/>
  <c r="AA436" i="1"/>
  <c r="AA432" i="1"/>
  <c r="AA428" i="1"/>
  <c r="AA444" i="1"/>
  <c r="H335" i="1"/>
  <c r="H624" i="1"/>
  <c r="K640" i="1" s="1" a="1"/>
  <c r="K640" i="1" s="1"/>
  <c r="H265" i="1"/>
  <c r="H488" i="1"/>
  <c r="K505" i="1" s="1" a="1"/>
  <c r="K505" i="1" s="1"/>
  <c r="H490" i="1"/>
  <c r="K507" i="1" s="1" a="1"/>
  <c r="K507" i="1" s="1"/>
  <c r="H565" i="1"/>
  <c r="H481" i="1"/>
  <c r="K498" i="1" s="1" a="1"/>
  <c r="K498" i="1" s="1"/>
  <c r="H625" i="1"/>
  <c r="K641" i="1" s="1" a="1"/>
  <c r="K641" i="1" s="1"/>
  <c r="H480" i="1"/>
  <c r="K497" i="1" s="1" a="1"/>
  <c r="K497" i="1" s="1"/>
  <c r="H329" i="1"/>
  <c r="H633" i="1"/>
  <c r="K649" i="1" s="1" a="1"/>
  <c r="K649" i="1" s="1"/>
  <c r="H260" i="1"/>
  <c r="H283" i="1"/>
  <c r="H557" i="1"/>
  <c r="H475" i="1"/>
  <c r="K492" i="1" s="1" a="1"/>
  <c r="K492" i="1" s="1"/>
  <c r="H558" i="1"/>
  <c r="H272" i="1"/>
  <c r="H523" i="1"/>
  <c r="K535" i="1" s="1" a="1"/>
  <c r="K535" i="1" s="1"/>
  <c r="H561" i="1"/>
  <c r="H632" i="1"/>
  <c r="K648" i="1" s="1" a="1"/>
  <c r="K648" i="1" s="1"/>
  <c r="H560" i="1"/>
  <c r="H489" i="1"/>
  <c r="K506" i="1" s="1" a="1"/>
  <c r="K506" i="1" s="1"/>
  <c r="H628" i="1"/>
  <c r="K644" i="1" s="1" a="1"/>
  <c r="K644" i="1" s="1"/>
  <c r="H566" i="1"/>
  <c r="H333" i="1"/>
  <c r="H525" i="1"/>
  <c r="K537" i="1" s="1" a="1"/>
  <c r="K537" i="1" s="1"/>
  <c r="H521" i="1"/>
  <c r="K533" i="1" s="1" a="1"/>
  <c r="K533" i="1" s="1"/>
  <c r="H270" i="1"/>
  <c r="H486" i="1"/>
  <c r="K503" i="1" s="1" a="1"/>
  <c r="K503" i="1" s="1"/>
  <c r="H522" i="1"/>
  <c r="K534" i="1" s="1" a="1"/>
  <c r="K534" i="1" s="1"/>
  <c r="H567" i="1"/>
  <c r="H529" i="1"/>
  <c r="K541" i="1" s="1" a="1"/>
  <c r="K541" i="1" s="1"/>
  <c r="H524" i="1"/>
  <c r="K536" i="1" s="1" a="1"/>
  <c r="K536" i="1" s="1"/>
  <c r="H635" i="1"/>
  <c r="K651" i="1" s="1" a="1"/>
  <c r="K651" i="1" s="1"/>
  <c r="H482" i="1"/>
  <c r="K499" i="1" s="1" a="1"/>
  <c r="K499" i="1" s="1"/>
  <c r="H478" i="1"/>
  <c r="K495" i="1" s="1" a="1"/>
  <c r="K495" i="1" s="1"/>
  <c r="H520" i="1"/>
  <c r="K532" i="1" s="1" a="1"/>
  <c r="K532" i="1" s="1"/>
  <c r="H528" i="1"/>
  <c r="K540" i="1" s="1" a="1"/>
  <c r="K540" i="1" s="1"/>
  <c r="H479" i="1"/>
  <c r="K496" i="1" s="1" a="1"/>
  <c r="K496" i="1" s="1"/>
  <c r="H568" i="1"/>
  <c r="H331" i="1"/>
  <c r="H483" i="1"/>
  <c r="K500" i="1" s="1" a="1"/>
  <c r="K500" i="1" s="1"/>
  <c r="H526" i="1"/>
  <c r="K538" i="1" s="1" a="1"/>
  <c r="K538" i="1" s="1"/>
  <c r="H636" i="1"/>
  <c r="K652" i="1" s="1" a="1"/>
  <c r="K652" i="1" s="1"/>
  <c r="H485" i="1"/>
  <c r="K502" i="1" s="1" a="1"/>
  <c r="K502" i="1" s="1"/>
  <c r="H637" i="1"/>
  <c r="K653" i="1" s="1" a="1"/>
  <c r="K653" i="1" s="1"/>
  <c r="H639" i="1"/>
  <c r="K655" i="1" s="1" a="1"/>
  <c r="K655" i="1" s="1"/>
  <c r="H530" i="1"/>
  <c r="K542" i="1" s="1" a="1"/>
  <c r="K542" i="1" s="1"/>
  <c r="H630" i="1"/>
  <c r="K646" i="1" s="1" a="1"/>
  <c r="K646" i="1" s="1"/>
  <c r="H627" i="1"/>
  <c r="K643" i="1" s="1" a="1"/>
  <c r="K643" i="1" s="1"/>
  <c r="H634" i="1"/>
  <c r="K650" i="1" s="1" a="1"/>
  <c r="K650" i="1" s="1"/>
  <c r="H262" i="1"/>
  <c r="H629" i="1"/>
  <c r="K645" i="1" s="1" a="1"/>
  <c r="K645" i="1" s="1"/>
  <c r="H281" i="1"/>
  <c r="H638" i="1"/>
  <c r="K654" i="1" s="1" a="1"/>
  <c r="K654" i="1" s="1"/>
  <c r="H527" i="1"/>
  <c r="K539" i="1" s="1" a="1"/>
  <c r="K539" i="1" s="1"/>
  <c r="H562" i="1"/>
  <c r="H285" i="1"/>
  <c r="H626" i="1"/>
  <c r="K642" i="1" s="1" a="1"/>
  <c r="K642" i="1" s="1"/>
  <c r="H564" i="1"/>
  <c r="H531" i="1"/>
  <c r="K543" i="1" s="1" a="1"/>
  <c r="K543" i="1" s="1"/>
  <c r="H476" i="1"/>
  <c r="K493" i="1" s="1" a="1"/>
  <c r="K493" i="1" s="1"/>
  <c r="H484" i="1"/>
  <c r="K501" i="1" s="1" a="1"/>
  <c r="K501" i="1" s="1"/>
  <c r="H287" i="1"/>
  <c r="H559" i="1"/>
  <c r="H631" i="1"/>
  <c r="K647" i="1" s="1" a="1"/>
  <c r="K647" i="1" s="1"/>
  <c r="H487" i="1"/>
  <c r="K504" i="1" s="1" a="1"/>
  <c r="K504" i="1" s="1"/>
  <c r="H563" i="1"/>
  <c r="AA484" i="1"/>
  <c r="AA637" i="1"/>
  <c r="AA626" i="1"/>
  <c r="AA609" i="1"/>
  <c r="AA620" i="1"/>
  <c r="H477" i="1"/>
  <c r="K494" i="1" s="1" a="1"/>
  <c r="K494" i="1" s="1"/>
  <c r="H474" i="1"/>
  <c r="K491" i="1" s="1" a="1"/>
  <c r="K491" i="1" s="1"/>
  <c r="H106" i="1"/>
  <c r="H622" i="1"/>
  <c r="J654" i="1" s="1" a="1"/>
  <c r="J654" i="1" s="1"/>
  <c r="H620" i="1"/>
  <c r="J652" i="1" s="1" a="1"/>
  <c r="J652" i="1" s="1"/>
  <c r="H614" i="1"/>
  <c r="J646" i="1" s="1" a="1"/>
  <c r="J646" i="1" s="1"/>
  <c r="H618" i="1"/>
  <c r="J650" i="1" s="1" a="1"/>
  <c r="J650" i="1" s="1"/>
  <c r="H612" i="1"/>
  <c r="J644" i="1" s="1" a="1"/>
  <c r="J644" i="1" s="1"/>
  <c r="H615" i="1"/>
  <c r="J647" i="1" s="1" a="1"/>
  <c r="J647" i="1" s="1"/>
  <c r="AA635" i="1"/>
  <c r="AA476" i="1"/>
  <c r="AA488" i="1"/>
  <c r="AA487" i="1"/>
  <c r="AA638" i="1"/>
  <c r="AA625" i="1"/>
  <c r="AA482" i="1"/>
  <c r="AA624" i="1"/>
  <c r="AA633" i="1"/>
  <c r="AA474" i="1"/>
  <c r="AA485" i="1"/>
  <c r="AA525" i="1"/>
  <c r="AA521" i="1"/>
  <c r="AA639" i="1"/>
  <c r="AA478" i="1"/>
  <c r="AA480" i="1"/>
  <c r="AA481" i="1"/>
  <c r="AA634" i="1"/>
  <c r="AA627" i="1"/>
  <c r="AA561" i="1"/>
  <c r="AA565" i="1"/>
  <c r="AA527" i="1"/>
  <c r="AA567" i="1"/>
  <c r="AA560" i="1"/>
  <c r="AA523" i="1"/>
  <c r="AA522" i="1"/>
  <c r="AA629" i="1"/>
  <c r="AA524" i="1"/>
  <c r="AA636" i="1"/>
  <c r="AA628" i="1"/>
  <c r="AA568" i="1"/>
  <c r="AA531" i="1"/>
  <c r="AA631" i="1"/>
  <c r="AA558" i="1"/>
  <c r="AA477" i="1"/>
  <c r="AA486" i="1"/>
  <c r="AA632" i="1"/>
  <c r="AA483" i="1"/>
  <c r="AA530" i="1"/>
  <c r="AA529" i="1"/>
  <c r="AA562" i="1"/>
  <c r="AA528" i="1"/>
  <c r="AA557" i="1"/>
  <c r="AA566" i="1"/>
  <c r="AA520" i="1"/>
  <c r="AA479" i="1"/>
  <c r="AA526" i="1"/>
  <c r="AA563" i="1"/>
  <c r="AA630" i="1"/>
  <c r="AA564" i="1"/>
  <c r="AA475" i="1"/>
  <c r="AA559" i="1"/>
  <c r="AA490" i="1"/>
  <c r="AA270" i="1"/>
  <c r="AA612" i="1"/>
  <c r="AA285" i="1"/>
  <c r="AA622" i="1"/>
  <c r="AA615" i="1"/>
  <c r="AA618" i="1"/>
  <c r="H609" i="1"/>
  <c r="J641" i="1" s="1" a="1"/>
  <c r="J641" i="1" s="1"/>
  <c r="H299" i="1"/>
  <c r="H303" i="1"/>
  <c r="H297" i="1"/>
  <c r="H294" i="1"/>
  <c r="H296" i="1"/>
  <c r="H298" i="1"/>
  <c r="AA281" i="1"/>
  <c r="AA262" i="1"/>
  <c r="R333" i="1"/>
  <c r="AA283" i="1"/>
  <c r="U141" i="1"/>
  <c r="L141" i="1" s="1"/>
  <c r="AC141" i="1"/>
  <c r="AC126" i="1"/>
  <c r="U126" i="1"/>
  <c r="L126" i="1" s="1"/>
  <c r="R329" i="1"/>
  <c r="AA272" i="1"/>
  <c r="AC143" i="1"/>
  <c r="U143" i="1"/>
  <c r="L143" i="1" s="1"/>
  <c r="AC122" i="1"/>
  <c r="U122" i="1"/>
  <c r="L122" i="1" s="1"/>
  <c r="U135" i="1"/>
  <c r="L135" i="1" s="1"/>
  <c r="AC135" i="1"/>
  <c r="U133" i="1"/>
  <c r="L133" i="1" s="1"/>
  <c r="AC133" i="1"/>
  <c r="AA260" i="1"/>
  <c r="AA265" i="1"/>
  <c r="AA287" i="1"/>
  <c r="R610" i="1"/>
  <c r="R617" i="1"/>
  <c r="R621" i="1"/>
  <c r="R616" i="1"/>
  <c r="R613" i="1"/>
  <c r="R623" i="1"/>
  <c r="H605" i="1" l="1"/>
  <c r="H606" i="1"/>
  <c r="H607" i="1"/>
  <c r="S423" i="1"/>
  <c r="J423" i="1" s="1"/>
  <c r="Z423" i="1"/>
  <c r="Q423" i="1" s="1"/>
  <c r="Z430" i="1"/>
  <c r="Q430" i="1" s="1"/>
  <c r="S430" i="1"/>
  <c r="J430" i="1" s="1"/>
  <c r="S425" i="1"/>
  <c r="J425" i="1" s="1"/>
  <c r="Z425" i="1"/>
  <c r="Q425" i="1" s="1"/>
  <c r="S455" i="1"/>
  <c r="J455" i="1" s="1"/>
  <c r="Z455" i="1"/>
  <c r="Q455" i="1" s="1"/>
  <c r="S449" i="1"/>
  <c r="J449" i="1" s="1"/>
  <c r="Z449" i="1"/>
  <c r="Q449" i="1" s="1"/>
  <c r="S442" i="1"/>
  <c r="J442" i="1" s="1"/>
  <c r="Z442" i="1"/>
  <c r="Q442" i="1" s="1"/>
  <c r="Z456" i="1"/>
  <c r="Q456" i="1" s="1"/>
  <c r="S456" i="1"/>
  <c r="J456" i="1" s="1"/>
  <c r="S440" i="1"/>
  <c r="J440" i="1" s="1"/>
  <c r="Z440" i="1"/>
  <c r="Q440" i="1" s="1"/>
  <c r="Z439" i="1"/>
  <c r="Q439" i="1" s="1"/>
  <c r="S439" i="1"/>
  <c r="J439" i="1" s="1"/>
  <c r="S445" i="1"/>
  <c r="J445" i="1" s="1"/>
  <c r="Z445" i="1"/>
  <c r="Q445" i="1" s="1"/>
  <c r="Z435" i="1"/>
  <c r="Q435" i="1" s="1"/>
  <c r="S435" i="1"/>
  <c r="J435" i="1" s="1"/>
  <c r="S443" i="1"/>
  <c r="J443" i="1" s="1"/>
  <c r="Z443" i="1"/>
  <c r="Q443" i="1" s="1"/>
  <c r="Z434" i="1"/>
  <c r="Q434" i="1" s="1"/>
  <c r="S434" i="1"/>
  <c r="J434" i="1" s="1"/>
  <c r="S450" i="1"/>
  <c r="J450" i="1" s="1"/>
  <c r="Z450" i="1"/>
  <c r="Q450" i="1" s="1"/>
  <c r="Z451" i="1"/>
  <c r="Q451" i="1" s="1"/>
  <c r="S451" i="1"/>
  <c r="J451" i="1" s="1"/>
  <c r="S447" i="1"/>
  <c r="J447" i="1" s="1"/>
  <c r="Z447" i="1"/>
  <c r="Q447" i="1" s="1"/>
  <c r="Z438" i="1"/>
  <c r="Q438" i="1" s="1"/>
  <c r="S438" i="1"/>
  <c r="J438" i="1" s="1"/>
  <c r="S441" i="1"/>
  <c r="J441" i="1" s="1"/>
  <c r="Z441" i="1"/>
  <c r="Q441" i="1" s="1"/>
  <c r="Z433" i="1"/>
  <c r="Q433" i="1" s="1"/>
  <c r="S433" i="1"/>
  <c r="J433" i="1" s="1"/>
  <c r="S422" i="1"/>
  <c r="J422" i="1" s="1"/>
  <c r="Z422" i="1"/>
  <c r="Q422" i="1" s="1"/>
  <c r="S429" i="1"/>
  <c r="J429" i="1" s="1"/>
  <c r="Z429" i="1"/>
  <c r="Q429" i="1" s="1"/>
  <c r="S424" i="1"/>
  <c r="J424" i="1" s="1"/>
  <c r="Z424" i="1"/>
  <c r="Q424" i="1" s="1"/>
  <c r="T421" i="1"/>
  <c r="K421" i="1" s="1"/>
  <c r="S421" i="1"/>
  <c r="J421" i="1" s="1"/>
  <c r="Z421" i="1"/>
  <c r="Q421" i="1" s="1"/>
  <c r="Z427" i="1"/>
  <c r="Q427" i="1" s="1"/>
  <c r="S427" i="1"/>
  <c r="J427" i="1" s="1"/>
  <c r="Z437" i="1"/>
  <c r="Q437" i="1" s="1"/>
  <c r="S437" i="1"/>
  <c r="J437" i="1" s="1"/>
  <c r="S453" i="1"/>
  <c r="J453" i="1" s="1"/>
  <c r="Z453" i="1"/>
  <c r="Q453" i="1" s="1"/>
  <c r="Z426" i="1"/>
  <c r="Q426" i="1" s="1"/>
  <c r="S426" i="1"/>
  <c r="J426" i="1" s="1"/>
  <c r="S448" i="1"/>
  <c r="J448" i="1" s="1"/>
  <c r="Z448" i="1"/>
  <c r="Q448" i="1" s="1"/>
  <c r="T427" i="1"/>
  <c r="K427" i="1" s="1"/>
  <c r="T437" i="1"/>
  <c r="K437" i="1" s="1"/>
  <c r="T453" i="1"/>
  <c r="K453" i="1" s="1"/>
  <c r="T426" i="1"/>
  <c r="K426" i="1" s="1"/>
  <c r="T433" i="1"/>
  <c r="K433" i="1" s="1"/>
  <c r="T422" i="1"/>
  <c r="K422" i="1" s="1"/>
  <c r="T442" i="1"/>
  <c r="K442" i="1" s="1"/>
  <c r="T456" i="1"/>
  <c r="K456" i="1" s="1"/>
  <c r="T440" i="1"/>
  <c r="K440" i="1" s="1"/>
  <c r="T423" i="1"/>
  <c r="K423" i="1" s="1"/>
  <c r="T425" i="1"/>
  <c r="K425" i="1" s="1"/>
  <c r="T455" i="1"/>
  <c r="K455" i="1" s="1"/>
  <c r="T450" i="1"/>
  <c r="K450" i="1" s="1"/>
  <c r="T445" i="1"/>
  <c r="K445" i="1" s="1"/>
  <c r="T435" i="1"/>
  <c r="K435" i="1" s="1"/>
  <c r="T430" i="1"/>
  <c r="K430" i="1" s="1"/>
  <c r="T443" i="1"/>
  <c r="K443" i="1" s="1"/>
  <c r="T449" i="1"/>
  <c r="K449" i="1" s="1"/>
  <c r="T439" i="1"/>
  <c r="K439" i="1" s="1"/>
  <c r="T429" i="1"/>
  <c r="K429" i="1" s="1"/>
  <c r="T447" i="1"/>
  <c r="K447" i="1" s="1"/>
  <c r="T438" i="1"/>
  <c r="K438" i="1" s="1"/>
  <c r="T441" i="1"/>
  <c r="K441" i="1" s="1"/>
  <c r="T448" i="1"/>
  <c r="K448" i="1" s="1"/>
  <c r="T434" i="1"/>
  <c r="K434" i="1" s="1"/>
  <c r="T424" i="1"/>
  <c r="K424" i="1" s="1"/>
  <c r="T451" i="1"/>
  <c r="K451" i="1" s="1"/>
  <c r="H652" i="1"/>
  <c r="H654" i="1"/>
  <c r="H644" i="1"/>
  <c r="H650" i="1"/>
  <c r="H647" i="1"/>
  <c r="H646" i="1"/>
  <c r="H641" i="1"/>
  <c r="V133" i="1"/>
  <c r="M133" i="1" s="1"/>
  <c r="I133" i="1" s="1"/>
  <c r="AD133" i="1"/>
  <c r="AD126" i="1"/>
  <c r="V126" i="1"/>
  <c r="M126" i="1" s="1"/>
  <c r="I126" i="1" s="1"/>
  <c r="V122" i="1"/>
  <c r="M122" i="1" s="1"/>
  <c r="I122" i="1" s="1"/>
  <c r="AD122" i="1"/>
  <c r="AD143" i="1"/>
  <c r="V143" i="1"/>
  <c r="M143" i="1" s="1"/>
  <c r="I143" i="1" s="1"/>
  <c r="AD141" i="1"/>
  <c r="V141" i="1"/>
  <c r="M141" i="1" s="1"/>
  <c r="I141" i="1" s="1"/>
  <c r="V135" i="1"/>
  <c r="M135" i="1" s="1"/>
  <c r="I135" i="1" s="1"/>
  <c r="AD135" i="1"/>
  <c r="AM461" i="1"/>
  <c r="AM471" i="1"/>
  <c r="AM466" i="1"/>
  <c r="AM574" i="1"/>
  <c r="AM470" i="1"/>
  <c r="AM510" i="1"/>
  <c r="AM518" i="1"/>
  <c r="AM516" i="1"/>
  <c r="AM511" i="1"/>
  <c r="AM551" i="1"/>
  <c r="AM573" i="1"/>
  <c r="AM545" i="1"/>
  <c r="AM473" i="1"/>
  <c r="AM463" i="1"/>
  <c r="AM460" i="1"/>
  <c r="AM464" i="1"/>
  <c r="AM556" i="1"/>
  <c r="AM512" i="1"/>
  <c r="AM550" i="1"/>
  <c r="AM544" i="1"/>
  <c r="AM549" i="1"/>
  <c r="AM517" i="1"/>
  <c r="AM554" i="1"/>
  <c r="AM465" i="1"/>
  <c r="AM467" i="1"/>
  <c r="AM546" i="1"/>
  <c r="AM458" i="1"/>
  <c r="AM468" i="1"/>
  <c r="AM575" i="1"/>
  <c r="AM547" i="1"/>
  <c r="AM519" i="1"/>
  <c r="AM572" i="1"/>
  <c r="AM513" i="1"/>
  <c r="AM552" i="1"/>
  <c r="AM457" i="1"/>
  <c r="AM469" i="1"/>
  <c r="AM459" i="1"/>
  <c r="AM472" i="1"/>
  <c r="AM514" i="1"/>
  <c r="AM553" i="1"/>
  <c r="AM462" i="1"/>
  <c r="AM508" i="1"/>
  <c r="AM515" i="1"/>
  <c r="AM555" i="1"/>
  <c r="AM509" i="1"/>
  <c r="AM548" i="1"/>
  <c r="AM456" i="1"/>
  <c r="AM450" i="1"/>
  <c r="AM445" i="1"/>
  <c r="AM440" i="1"/>
  <c r="AM435" i="1"/>
  <c r="AM430" i="1"/>
  <c r="AM425" i="1"/>
  <c r="AM455" i="1"/>
  <c r="AM449" i="1"/>
  <c r="AM443" i="1"/>
  <c r="AM439" i="1"/>
  <c r="AM434" i="1"/>
  <c r="AM429" i="1"/>
  <c r="AM424" i="1"/>
  <c r="AM453" i="1"/>
  <c r="AM448" i="1"/>
  <c r="AM442" i="1"/>
  <c r="AM438" i="1"/>
  <c r="AM433" i="1"/>
  <c r="AM427" i="1"/>
  <c r="AM423" i="1"/>
  <c r="AM451" i="1"/>
  <c r="AM447" i="1"/>
  <c r="AM441" i="1"/>
  <c r="AM437" i="1"/>
  <c r="AM426" i="1"/>
  <c r="AM422" i="1"/>
  <c r="I433" i="1" l="1"/>
  <c r="I449" i="1"/>
  <c r="I450" i="1"/>
  <c r="I438" i="1"/>
  <c r="I422" i="1"/>
  <c r="I440" i="1"/>
  <c r="I456" i="1"/>
  <c r="I425" i="1"/>
  <c r="I426" i="1"/>
  <c r="I453" i="1"/>
  <c r="I430" i="1"/>
  <c r="I448" i="1"/>
  <c r="I447" i="1"/>
  <c r="I427" i="1"/>
  <c r="I423" i="1"/>
  <c r="I442" i="1"/>
  <c r="I451" i="1"/>
  <c r="I443" i="1"/>
  <c r="I455" i="1"/>
  <c r="I421" i="1"/>
  <c r="I435" i="1"/>
  <c r="I441" i="1"/>
  <c r="I437" i="1"/>
  <c r="I439" i="1"/>
  <c r="I434" i="1"/>
  <c r="I445" i="1"/>
  <c r="I429" i="1"/>
  <c r="I424" i="1"/>
  <c r="R122" i="1"/>
  <c r="R135" i="1"/>
  <c r="R143" i="1"/>
  <c r="R126" i="1"/>
  <c r="R141" i="1"/>
  <c r="R133" i="1"/>
  <c r="AE141" i="1"/>
  <c r="AA141" i="1" s="1"/>
  <c r="AE143" i="1"/>
  <c r="AA143" i="1" s="1"/>
  <c r="AE126" i="1"/>
  <c r="AA126" i="1" s="1"/>
  <c r="AE133" i="1"/>
  <c r="AA133" i="1" s="1"/>
  <c r="AE135" i="1"/>
  <c r="AA135" i="1" s="1"/>
  <c r="AE122" i="1"/>
  <c r="AA122" i="1" s="1"/>
  <c r="AI556" i="1"/>
  <c r="AI555" i="1"/>
  <c r="AI546" i="1"/>
  <c r="AI545" i="1"/>
  <c r="AI553" i="1"/>
  <c r="AI548" i="1"/>
  <c r="AI549" i="1"/>
  <c r="AI550" i="1"/>
  <c r="AI551" i="1"/>
  <c r="AI552" i="1"/>
  <c r="AI547" i="1"/>
  <c r="AI554" i="1"/>
  <c r="AI544" i="1"/>
  <c r="AC421" i="1"/>
  <c r="AI421" i="1"/>
  <c r="AC429" i="1"/>
  <c r="AI434" i="1"/>
  <c r="AC449" i="1"/>
  <c r="AI455" i="1"/>
  <c r="AC424" i="1"/>
  <c r="AI429" i="1"/>
  <c r="AC443" i="1"/>
  <c r="AI449" i="1"/>
  <c r="AC430" i="1"/>
  <c r="AI435" i="1"/>
  <c r="AC450" i="1"/>
  <c r="AI456" i="1"/>
  <c r="AC426" i="1"/>
  <c r="AC447" i="1"/>
  <c r="AI451" i="1"/>
  <c r="AC423" i="1"/>
  <c r="AI427" i="1"/>
  <c r="AC442" i="1"/>
  <c r="AI448" i="1"/>
  <c r="AC435" i="1"/>
  <c r="AI440" i="1"/>
  <c r="AC456" i="1"/>
  <c r="AI453" i="1"/>
  <c r="AI424" i="1"/>
  <c r="AC439" i="1"/>
  <c r="AI443" i="1"/>
  <c r="AC425" i="1"/>
  <c r="AI430" i="1"/>
  <c r="AC445" i="1"/>
  <c r="AI450" i="1"/>
  <c r="AC422" i="1"/>
  <c r="AI426" i="1"/>
  <c r="AC441" i="1"/>
  <c r="AI447" i="1"/>
  <c r="AI423" i="1"/>
  <c r="AC438" i="1"/>
  <c r="AI442" i="1"/>
  <c r="AI437" i="1"/>
  <c r="AC451" i="1"/>
  <c r="AC427" i="1"/>
  <c r="AI433" i="1"/>
  <c r="AC448" i="1"/>
  <c r="AC434" i="1"/>
  <c r="AI439" i="1"/>
  <c r="AC455" i="1"/>
  <c r="AI425" i="1"/>
  <c r="AC440" i="1"/>
  <c r="AI445" i="1"/>
  <c r="AI422" i="1"/>
  <c r="AC437" i="1"/>
  <c r="AI441" i="1"/>
  <c r="AC433" i="1"/>
  <c r="AI438" i="1"/>
  <c r="AC453" i="1"/>
  <c r="H122" i="1" l="1"/>
  <c r="H143" i="1"/>
  <c r="H126" i="1"/>
  <c r="H133" i="1"/>
  <c r="H141" i="1"/>
  <c r="H135" i="1"/>
  <c r="AH19" i="2"/>
  <c r="B20" i="2"/>
  <c r="B21" i="2"/>
  <c r="B22" i="2"/>
  <c r="B19" i="2"/>
  <c r="AJ608" i="1" l="1"/>
  <c r="AJ576" i="1"/>
  <c r="AJ577" i="1"/>
  <c r="AJ579" i="1"/>
  <c r="AJ611" i="1"/>
  <c r="AJ616" i="1"/>
  <c r="AJ619" i="1"/>
  <c r="AJ623" i="1"/>
  <c r="AJ657" i="1"/>
  <c r="AJ580" i="1"/>
  <c r="AJ578" i="1"/>
  <c r="AJ610" i="1"/>
  <c r="AJ613" i="1"/>
  <c r="AJ617" i="1"/>
  <c r="AJ621" i="1"/>
  <c r="AJ656" i="1"/>
  <c r="Z461" i="1"/>
  <c r="Q461" i="1" s="1"/>
  <c r="T473" i="1"/>
  <c r="K473" i="1" s="1"/>
  <c r="I473" i="1" s="1"/>
  <c r="Z463" i="1"/>
  <c r="Q463" i="1" s="1"/>
  <c r="T460" i="1"/>
  <c r="K460" i="1" s="1"/>
  <c r="Z460" i="1"/>
  <c r="Q460" i="1" s="1"/>
  <c r="T464" i="1"/>
  <c r="K464" i="1" s="1"/>
  <c r="I464" i="1" s="1"/>
  <c r="T461" i="1"/>
  <c r="K461" i="1" s="1"/>
  <c r="I461" i="1" s="1"/>
  <c r="Z472" i="1"/>
  <c r="Q472" i="1" s="1"/>
  <c r="T467" i="1"/>
  <c r="K467" i="1" s="1"/>
  <c r="T462" i="1"/>
  <c r="K462" i="1" s="1"/>
  <c r="Z470" i="1"/>
  <c r="Q470" i="1" s="1"/>
  <c r="T465" i="1"/>
  <c r="K465" i="1" s="1"/>
  <c r="Z473" i="1"/>
  <c r="Q473" i="1" s="1"/>
  <c r="T471" i="1"/>
  <c r="K471" i="1" s="1"/>
  <c r="Z457" i="1"/>
  <c r="Q457" i="1" s="1"/>
  <c r="Z466" i="1"/>
  <c r="Q466" i="1" s="1"/>
  <c r="T459" i="1"/>
  <c r="K459" i="1" s="1"/>
  <c r="Z468" i="1"/>
  <c r="Q468" i="1" s="1"/>
  <c r="T463" i="1"/>
  <c r="K463" i="1" s="1"/>
  <c r="Z467" i="1"/>
  <c r="Q467" i="1" s="1"/>
  <c r="T458" i="1"/>
  <c r="K458" i="1" s="1"/>
  <c r="Z459" i="1"/>
  <c r="Q459" i="1" s="1"/>
  <c r="T472" i="1"/>
  <c r="K472" i="1" s="1"/>
  <c r="Z464" i="1"/>
  <c r="Q464" i="1" s="1"/>
  <c r="Z471" i="1"/>
  <c r="Q471" i="1" s="1"/>
  <c r="T466" i="1"/>
  <c r="K466" i="1" s="1"/>
  <c r="Z462" i="1"/>
  <c r="Q462" i="1" s="1"/>
  <c r="T470" i="1"/>
  <c r="K470" i="1" s="1"/>
  <c r="I470" i="1" s="1"/>
  <c r="Z465" i="1"/>
  <c r="Q465" i="1" s="1"/>
  <c r="T457" i="1"/>
  <c r="K457" i="1" s="1"/>
  <c r="I457" i="1" s="1"/>
  <c r="Z458" i="1"/>
  <c r="Q458" i="1" s="1"/>
  <c r="T469" i="1"/>
  <c r="K469" i="1" s="1"/>
  <c r="I469" i="1" s="1"/>
  <c r="T468" i="1"/>
  <c r="K468" i="1" s="1"/>
  <c r="Z469" i="1"/>
  <c r="Q469" i="1" s="1"/>
  <c r="AJ572" i="1"/>
  <c r="AJ575" i="1"/>
  <c r="AJ508" i="1"/>
  <c r="AJ512" i="1"/>
  <c r="AJ516" i="1"/>
  <c r="AJ574" i="1"/>
  <c r="AJ510" i="1"/>
  <c r="AJ514" i="1"/>
  <c r="AJ518" i="1"/>
  <c r="AJ573" i="1"/>
  <c r="AJ509" i="1"/>
  <c r="AJ513" i="1"/>
  <c r="AJ517" i="1"/>
  <c r="AJ515" i="1"/>
  <c r="AJ511" i="1"/>
  <c r="AJ519" i="1"/>
  <c r="AJ473" i="1"/>
  <c r="AJ424" i="1"/>
  <c r="AJ429" i="1"/>
  <c r="AJ434" i="1"/>
  <c r="AJ439" i="1"/>
  <c r="AJ443" i="1"/>
  <c r="AJ449" i="1"/>
  <c r="AJ455" i="1"/>
  <c r="AJ423" i="1"/>
  <c r="AJ427" i="1"/>
  <c r="AJ433" i="1"/>
  <c r="AJ438" i="1"/>
  <c r="AJ442" i="1"/>
  <c r="AJ448" i="1"/>
  <c r="AJ453" i="1"/>
  <c r="AJ422" i="1"/>
  <c r="AJ426" i="1"/>
  <c r="AJ437" i="1"/>
  <c r="AJ441" i="1"/>
  <c r="AJ447" i="1"/>
  <c r="AJ451" i="1"/>
  <c r="AJ425" i="1"/>
  <c r="AJ430" i="1"/>
  <c r="AJ435" i="1"/>
  <c r="AJ440" i="1"/>
  <c r="AJ445" i="1"/>
  <c r="AJ450" i="1"/>
  <c r="AJ456" i="1"/>
  <c r="AJ421" i="1"/>
  <c r="AJ326" i="1"/>
  <c r="AJ332" i="1"/>
  <c r="AJ321" i="1"/>
  <c r="AJ327" i="1"/>
  <c r="AJ334" i="1"/>
  <c r="AJ322" i="1"/>
  <c r="AJ328" i="1"/>
  <c r="AJ336" i="1"/>
  <c r="AJ319" i="1"/>
  <c r="AJ325" i="1"/>
  <c r="AJ330" i="1"/>
  <c r="AJ320" i="1"/>
  <c r="AJ324" i="1"/>
  <c r="AJ263" i="1"/>
  <c r="AJ268" i="1"/>
  <c r="AJ274" i="1"/>
  <c r="AJ278" i="1"/>
  <c r="AJ284" i="1"/>
  <c r="AJ261" i="1"/>
  <c r="AJ277" i="1"/>
  <c r="AJ264" i="1"/>
  <c r="AJ269" i="1"/>
  <c r="AJ275" i="1"/>
  <c r="AJ279" i="1"/>
  <c r="AJ286" i="1"/>
  <c r="AJ273" i="1"/>
  <c r="AJ259" i="1"/>
  <c r="AJ266" i="1"/>
  <c r="AJ271" i="1"/>
  <c r="AJ276" i="1"/>
  <c r="AJ280" i="1"/>
  <c r="AJ288" i="1"/>
  <c r="AJ267" i="1"/>
  <c r="AJ282" i="1"/>
  <c r="AJ201" i="1"/>
  <c r="AJ205" i="1"/>
  <c r="AJ209" i="1"/>
  <c r="AJ213" i="1"/>
  <c r="AJ217" i="1"/>
  <c r="AJ221" i="1"/>
  <c r="AJ171" i="1"/>
  <c r="AJ175" i="1"/>
  <c r="AJ179" i="1"/>
  <c r="AJ183" i="1"/>
  <c r="AJ187" i="1"/>
  <c r="AJ55" i="1"/>
  <c r="AJ51" i="1"/>
  <c r="AJ47" i="1"/>
  <c r="AJ43" i="1"/>
  <c r="AJ39" i="1"/>
  <c r="AJ35" i="1"/>
  <c r="AJ146" i="1"/>
  <c r="AJ150" i="1"/>
  <c r="AJ155" i="1"/>
  <c r="AJ161" i="1"/>
  <c r="AJ169" i="1"/>
  <c r="AJ202" i="1"/>
  <c r="AJ206" i="1"/>
  <c r="AJ210" i="1"/>
  <c r="AJ214" i="1"/>
  <c r="AJ218" i="1"/>
  <c r="AJ200" i="1"/>
  <c r="AJ170" i="1"/>
  <c r="AJ174" i="1"/>
  <c r="AJ178" i="1"/>
  <c r="AJ182" i="1"/>
  <c r="AJ186" i="1"/>
  <c r="AJ54" i="1"/>
  <c r="AJ50" i="1"/>
  <c r="AJ46" i="1"/>
  <c r="AJ42" i="1"/>
  <c r="AJ38" i="1"/>
  <c r="AJ34" i="1"/>
  <c r="AJ145" i="1"/>
  <c r="AJ149" i="1"/>
  <c r="AJ154" i="1"/>
  <c r="AJ160" i="1"/>
  <c r="AJ167" i="1"/>
  <c r="AJ203" i="1"/>
  <c r="AJ207" i="1"/>
  <c r="AJ211" i="1"/>
  <c r="AJ215" i="1"/>
  <c r="AJ219" i="1"/>
  <c r="AJ173" i="1"/>
  <c r="AJ177" i="1"/>
  <c r="AJ181" i="1"/>
  <c r="AJ185" i="1"/>
  <c r="AJ57" i="1"/>
  <c r="AJ53" i="1"/>
  <c r="AJ49" i="1"/>
  <c r="AJ45" i="1"/>
  <c r="AJ41" i="1"/>
  <c r="AJ37" i="1"/>
  <c r="AJ144" i="1"/>
  <c r="AJ148" i="1"/>
  <c r="AJ152" i="1"/>
  <c r="AJ158" i="1"/>
  <c r="AJ166" i="1"/>
  <c r="AJ204" i="1"/>
  <c r="AJ208" i="1"/>
  <c r="AJ212" i="1"/>
  <c r="AJ216" i="1"/>
  <c r="AJ220" i="1"/>
  <c r="AJ172" i="1"/>
  <c r="AJ176" i="1"/>
  <c r="AJ180" i="1"/>
  <c r="AJ184" i="1"/>
  <c r="AJ56" i="1"/>
  <c r="AJ52" i="1"/>
  <c r="AJ48" i="1"/>
  <c r="AJ44" i="1"/>
  <c r="AJ40" i="1"/>
  <c r="AJ36" i="1"/>
  <c r="AJ147" i="1"/>
  <c r="AJ151" i="1"/>
  <c r="AJ157" i="1"/>
  <c r="AJ164" i="1"/>
  <c r="AM421" i="1"/>
  <c r="AO204" i="1"/>
  <c r="AO208" i="1"/>
  <c r="AO212" i="1"/>
  <c r="AO216" i="1"/>
  <c r="AO220" i="1"/>
  <c r="AN202" i="1"/>
  <c r="AN206" i="1"/>
  <c r="AN210" i="1"/>
  <c r="AN214" i="1"/>
  <c r="AO201" i="1"/>
  <c r="AO205" i="1"/>
  <c r="AO209" i="1"/>
  <c r="AO213" i="1"/>
  <c r="AO217" i="1"/>
  <c r="AO221" i="1"/>
  <c r="AN203" i="1"/>
  <c r="AN207" i="1"/>
  <c r="AN211" i="1"/>
  <c r="AN215" i="1"/>
  <c r="AO202" i="1"/>
  <c r="AO206" i="1"/>
  <c r="AO210" i="1"/>
  <c r="AO214" i="1"/>
  <c r="AO218" i="1"/>
  <c r="AO200" i="1"/>
  <c r="AN204" i="1"/>
  <c r="AN208" i="1"/>
  <c r="AN212" i="1"/>
  <c r="AO203" i="1"/>
  <c r="AO219" i="1"/>
  <c r="AN213" i="1"/>
  <c r="AN219" i="1"/>
  <c r="AN190" i="1"/>
  <c r="AN194" i="1"/>
  <c r="AN198" i="1"/>
  <c r="AN172" i="1"/>
  <c r="AN176" i="1"/>
  <c r="AN180" i="1"/>
  <c r="AN184" i="1"/>
  <c r="AN170" i="1"/>
  <c r="AO148" i="1"/>
  <c r="T148" i="1" s="1"/>
  <c r="AO152" i="1"/>
  <c r="T152" i="1" s="1"/>
  <c r="AO158" i="1"/>
  <c r="T158" i="1" s="1"/>
  <c r="AO166" i="1"/>
  <c r="T166" i="1" s="1"/>
  <c r="AN145" i="1"/>
  <c r="S145" i="1" s="1"/>
  <c r="AN149" i="1"/>
  <c r="S149" i="1" s="1"/>
  <c r="AN154" i="1"/>
  <c r="S154" i="1" s="1"/>
  <c r="AN160" i="1"/>
  <c r="S160" i="1" s="1"/>
  <c r="AN167" i="1"/>
  <c r="S167" i="1" s="1"/>
  <c r="AN118" i="1"/>
  <c r="AN123" i="1"/>
  <c r="AN128" i="1"/>
  <c r="AN132" i="1"/>
  <c r="AN138" i="1"/>
  <c r="AN116" i="1"/>
  <c r="AN108" i="1"/>
  <c r="AN110" i="1"/>
  <c r="AN114" i="1"/>
  <c r="AN87" i="1"/>
  <c r="AN91" i="1"/>
  <c r="AN95" i="1"/>
  <c r="AN99" i="1"/>
  <c r="AN103" i="1"/>
  <c r="AN79" i="1"/>
  <c r="AN83" i="1"/>
  <c r="AO59" i="1"/>
  <c r="AO63" i="1"/>
  <c r="AO67" i="1"/>
  <c r="AO71" i="1"/>
  <c r="AO75" i="1"/>
  <c r="AN61" i="1"/>
  <c r="AN65" i="1"/>
  <c r="AN69" i="1"/>
  <c r="AN73" i="1"/>
  <c r="AN35" i="1"/>
  <c r="AN39" i="1"/>
  <c r="AN43" i="1"/>
  <c r="AN47" i="1"/>
  <c r="AN51" i="1"/>
  <c r="AN55" i="1"/>
  <c r="AN17" i="1"/>
  <c r="AN21" i="1"/>
  <c r="AN25" i="1"/>
  <c r="AN29" i="1"/>
  <c r="AN33" i="1"/>
  <c r="AN218" i="1"/>
  <c r="AN197" i="1"/>
  <c r="AN175" i="1"/>
  <c r="AN187" i="1"/>
  <c r="AO157" i="1"/>
  <c r="T157" i="1" s="1"/>
  <c r="AN148" i="1"/>
  <c r="S148" i="1" s="1"/>
  <c r="AN166" i="1"/>
  <c r="S166" i="1" s="1"/>
  <c r="AN127" i="1"/>
  <c r="AN142" i="1"/>
  <c r="AN113" i="1"/>
  <c r="AN94" i="1"/>
  <c r="AN78" i="1"/>
  <c r="AO62" i="1"/>
  <c r="AO74" i="1"/>
  <c r="AN68" i="1"/>
  <c r="AN38" i="1"/>
  <c r="AN50" i="1"/>
  <c r="AN20" i="1"/>
  <c r="AN32" i="1"/>
  <c r="AO207" i="1"/>
  <c r="AN201" i="1"/>
  <c r="AN216" i="1"/>
  <c r="AN220" i="1"/>
  <c r="AN191" i="1"/>
  <c r="AN195" i="1"/>
  <c r="AN199" i="1"/>
  <c r="AN173" i="1"/>
  <c r="AN177" i="1"/>
  <c r="AN181" i="1"/>
  <c r="AN185" i="1"/>
  <c r="AO145" i="1"/>
  <c r="T145" i="1" s="1"/>
  <c r="AO149" i="1"/>
  <c r="T149" i="1" s="1"/>
  <c r="AO154" i="1"/>
  <c r="T154" i="1" s="1"/>
  <c r="AO160" i="1"/>
  <c r="T160" i="1" s="1"/>
  <c r="AO167" i="1"/>
  <c r="T167" i="1" s="1"/>
  <c r="AN146" i="1"/>
  <c r="S146" i="1" s="1"/>
  <c r="AN150" i="1"/>
  <c r="S150" i="1" s="1"/>
  <c r="AN155" i="1"/>
  <c r="S155" i="1" s="1"/>
  <c r="AN161" i="1"/>
  <c r="S161" i="1" s="1"/>
  <c r="AN169" i="1"/>
  <c r="S169" i="1" s="1"/>
  <c r="AN119" i="1"/>
  <c r="AN124" i="1"/>
  <c r="AN129" i="1"/>
  <c r="AN134" i="1"/>
  <c r="AN139" i="1"/>
  <c r="AN105" i="1"/>
  <c r="AN111" i="1"/>
  <c r="AN115" i="1"/>
  <c r="AN88" i="1"/>
  <c r="AN92" i="1"/>
  <c r="AN96" i="1"/>
  <c r="AN100" i="1"/>
  <c r="AN86" i="1"/>
  <c r="AN80" i="1"/>
  <c r="AN84" i="1"/>
  <c r="AO60" i="1"/>
  <c r="AO64" i="1"/>
  <c r="AO68" i="1"/>
  <c r="AO72" i="1"/>
  <c r="AO58" i="1"/>
  <c r="AN62" i="1"/>
  <c r="AN66" i="1"/>
  <c r="AN70" i="1"/>
  <c r="AN74" i="1"/>
  <c r="AN36" i="1"/>
  <c r="AN40" i="1"/>
  <c r="AN44" i="1"/>
  <c r="AN48" i="1"/>
  <c r="AN52" i="1"/>
  <c r="AN56" i="1"/>
  <c r="AN18" i="1"/>
  <c r="AN22" i="1"/>
  <c r="AN26" i="1"/>
  <c r="AN30" i="1"/>
  <c r="AN16" i="1"/>
  <c r="AN209" i="1"/>
  <c r="AN193" i="1"/>
  <c r="AN179" i="1"/>
  <c r="AO147" i="1"/>
  <c r="T147" i="1" s="1"/>
  <c r="AO164" i="1"/>
  <c r="T164" i="1" s="1"/>
  <c r="AN152" i="1"/>
  <c r="S152" i="1" s="1"/>
  <c r="AN117" i="1"/>
  <c r="AN131" i="1"/>
  <c r="AN107" i="1"/>
  <c r="AN104" i="1"/>
  <c r="AN98" i="1"/>
  <c r="AN82" i="1"/>
  <c r="AO66" i="1"/>
  <c r="AN60" i="1"/>
  <c r="AN72" i="1"/>
  <c r="AN42" i="1"/>
  <c r="AN54" i="1"/>
  <c r="AN24" i="1"/>
  <c r="AN221" i="1"/>
  <c r="AO211" i="1"/>
  <c r="AN205" i="1"/>
  <c r="AN217" i="1"/>
  <c r="AN200" i="1"/>
  <c r="AN192" i="1"/>
  <c r="AN196" i="1"/>
  <c r="AN188" i="1"/>
  <c r="AN174" i="1"/>
  <c r="AN178" i="1"/>
  <c r="AN182" i="1"/>
  <c r="AN186" i="1"/>
  <c r="AO146" i="1"/>
  <c r="T146" i="1" s="1"/>
  <c r="AO150" i="1"/>
  <c r="T150" i="1" s="1"/>
  <c r="AO155" i="1"/>
  <c r="T155" i="1" s="1"/>
  <c r="AO161" i="1"/>
  <c r="T161" i="1" s="1"/>
  <c r="AO169" i="1"/>
  <c r="T169" i="1" s="1"/>
  <c r="AN147" i="1"/>
  <c r="S147" i="1" s="1"/>
  <c r="AN151" i="1"/>
  <c r="S151" i="1" s="1"/>
  <c r="AN157" i="1"/>
  <c r="S157" i="1" s="1"/>
  <c r="AN164" i="1"/>
  <c r="S164" i="1" s="1"/>
  <c r="AN144" i="1"/>
  <c r="S144" i="1" s="1"/>
  <c r="AN120" i="1"/>
  <c r="AN125" i="1"/>
  <c r="AN130" i="1"/>
  <c r="AN136" i="1"/>
  <c r="AN140" i="1"/>
  <c r="AN112" i="1"/>
  <c r="AN89" i="1"/>
  <c r="AN93" i="1"/>
  <c r="AN97" i="1"/>
  <c r="AN101" i="1"/>
  <c r="AN77" i="1"/>
  <c r="AN81" i="1"/>
  <c r="AN85" i="1"/>
  <c r="AO61" i="1"/>
  <c r="AO65" i="1"/>
  <c r="AO69" i="1"/>
  <c r="AO73" i="1"/>
  <c r="AN59" i="1"/>
  <c r="AN63" i="1"/>
  <c r="AN67" i="1"/>
  <c r="AN71" i="1"/>
  <c r="AN75" i="1"/>
  <c r="AN37" i="1"/>
  <c r="AN41" i="1"/>
  <c r="AN45" i="1"/>
  <c r="AN49" i="1"/>
  <c r="AN53" i="1"/>
  <c r="AN57" i="1"/>
  <c r="AN19" i="1"/>
  <c r="AN23" i="1"/>
  <c r="AN27" i="1"/>
  <c r="AN31" i="1"/>
  <c r="AO215" i="1"/>
  <c r="AN189" i="1"/>
  <c r="AN171" i="1"/>
  <c r="AN183" i="1"/>
  <c r="AO151" i="1"/>
  <c r="T151" i="1" s="1"/>
  <c r="AO144" i="1"/>
  <c r="T144" i="1" s="1"/>
  <c r="AN158" i="1"/>
  <c r="S158" i="1" s="1"/>
  <c r="AN121" i="1"/>
  <c r="AN137" i="1"/>
  <c r="AN109" i="1"/>
  <c r="AN90" i="1"/>
  <c r="AN102" i="1"/>
  <c r="AN76" i="1"/>
  <c r="AO70" i="1"/>
  <c r="AN64" i="1"/>
  <c r="AN58" i="1"/>
  <c r="AN46" i="1"/>
  <c r="AN34" i="1"/>
  <c r="AN28" i="1"/>
  <c r="AJ118" i="1"/>
  <c r="AJ123" i="1"/>
  <c r="AJ128" i="1"/>
  <c r="AJ132" i="1"/>
  <c r="AJ138" i="1"/>
  <c r="AJ117" i="1"/>
  <c r="AJ121" i="1"/>
  <c r="AJ127" i="1"/>
  <c r="AJ131" i="1"/>
  <c r="AJ137" i="1"/>
  <c r="AJ142" i="1"/>
  <c r="AJ116" i="1"/>
  <c r="AJ120" i="1"/>
  <c r="AJ125" i="1"/>
  <c r="AJ130" i="1"/>
  <c r="AJ136" i="1"/>
  <c r="AJ140" i="1"/>
  <c r="AJ124" i="1"/>
  <c r="AJ90" i="1"/>
  <c r="AJ94" i="1"/>
  <c r="AJ98" i="1"/>
  <c r="AJ102" i="1"/>
  <c r="AJ79" i="1"/>
  <c r="AJ83" i="1"/>
  <c r="AJ87" i="1"/>
  <c r="AJ75" i="1"/>
  <c r="AJ95" i="1"/>
  <c r="AJ80" i="1"/>
  <c r="AJ119" i="1"/>
  <c r="AJ139" i="1"/>
  <c r="AJ89" i="1"/>
  <c r="AJ93" i="1"/>
  <c r="AJ97" i="1"/>
  <c r="AJ101" i="1"/>
  <c r="AJ78" i="1"/>
  <c r="AJ82" i="1"/>
  <c r="AJ86" i="1"/>
  <c r="AJ74" i="1"/>
  <c r="AJ129" i="1"/>
  <c r="AJ99" i="1"/>
  <c r="AJ134" i="1"/>
  <c r="AJ103" i="1"/>
  <c r="AJ88" i="1"/>
  <c r="AJ92" i="1"/>
  <c r="AJ96" i="1"/>
  <c r="AJ100" i="1"/>
  <c r="AJ77" i="1"/>
  <c r="AJ81" i="1"/>
  <c r="AJ85" i="1"/>
  <c r="AJ73" i="1"/>
  <c r="AJ91" i="1"/>
  <c r="AJ76" i="1"/>
  <c r="AJ84" i="1"/>
  <c r="AJ62" i="1"/>
  <c r="AJ66" i="1"/>
  <c r="AJ70" i="1"/>
  <c r="AJ59" i="1"/>
  <c r="AJ63" i="1"/>
  <c r="AJ67" i="1"/>
  <c r="AJ71" i="1"/>
  <c r="AJ60" i="1"/>
  <c r="AJ64" i="1"/>
  <c r="AJ68" i="1"/>
  <c r="AJ72" i="1"/>
  <c r="AJ61" i="1"/>
  <c r="AJ65" i="1"/>
  <c r="AJ69" i="1"/>
  <c r="AJ58" i="1"/>
  <c r="AJ21" i="1"/>
  <c r="AJ22" i="1"/>
  <c r="AJ23" i="1"/>
  <c r="AJ29" i="1"/>
  <c r="AJ30" i="1"/>
  <c r="AJ31" i="1"/>
  <c r="AJ32" i="1"/>
  <c r="AJ24" i="1"/>
  <c r="AJ33" i="1"/>
  <c r="AJ17" i="1"/>
  <c r="AJ18" i="1"/>
  <c r="AJ19" i="1"/>
  <c r="AJ25" i="1"/>
  <c r="AJ26" i="1"/>
  <c r="AJ27" i="1"/>
  <c r="AJ20" i="1"/>
  <c r="AJ28" i="1"/>
  <c r="AJ16" i="1"/>
  <c r="I466" i="1" l="1"/>
  <c r="I459" i="1"/>
  <c r="I460" i="1"/>
  <c r="I472" i="1"/>
  <c r="I458" i="1"/>
  <c r="I463" i="1"/>
  <c r="I471" i="1"/>
  <c r="I465" i="1"/>
  <c r="I462" i="1"/>
  <c r="I468" i="1"/>
  <c r="I467" i="1"/>
  <c r="T66" i="1"/>
  <c r="K66" i="1" s="1"/>
  <c r="Z118" i="1"/>
  <c r="Q118" i="1" s="1"/>
  <c r="S118" i="1"/>
  <c r="J118" i="1" s="1"/>
  <c r="Z117" i="1"/>
  <c r="Q117" i="1" s="1"/>
  <c r="S117" i="1"/>
  <c r="J117" i="1" s="1"/>
  <c r="Z142" i="1"/>
  <c r="Q142" i="1" s="1"/>
  <c r="S142" i="1"/>
  <c r="J142" i="1" s="1"/>
  <c r="U189" i="1"/>
  <c r="L189" i="1" s="1"/>
  <c r="T189" i="1"/>
  <c r="K189" i="1" s="1"/>
  <c r="S189" i="1"/>
  <c r="U178" i="1"/>
  <c r="L178" i="1" s="1"/>
  <c r="T178" i="1"/>
  <c r="K178" i="1" s="1"/>
  <c r="S178" i="1"/>
  <c r="J178" i="1" s="1"/>
  <c r="I178" i="1" s="1"/>
  <c r="T60" i="1"/>
  <c r="K60" i="1" s="1"/>
  <c r="T75" i="1"/>
  <c r="K75" i="1" s="1"/>
  <c r="T210" i="1"/>
  <c r="K210" i="1" s="1"/>
  <c r="S210" i="1"/>
  <c r="J210" i="1" s="1"/>
  <c r="S101" i="1"/>
  <c r="J101" i="1" s="1"/>
  <c r="I101" i="1" s="1"/>
  <c r="U188" i="1"/>
  <c r="L188" i="1" s="1"/>
  <c r="T188" i="1"/>
  <c r="K188" i="1" s="1"/>
  <c r="S188" i="1"/>
  <c r="J188" i="1" s="1"/>
  <c r="T179" i="1"/>
  <c r="K179" i="1" s="1"/>
  <c r="U179" i="1"/>
  <c r="L179" i="1" s="1"/>
  <c r="S179" i="1"/>
  <c r="S80" i="1"/>
  <c r="J80" i="1" s="1"/>
  <c r="I80" i="1" s="1"/>
  <c r="U185" i="1"/>
  <c r="S185" i="1"/>
  <c r="J185" i="1" s="1"/>
  <c r="T185" i="1"/>
  <c r="K185" i="1" s="1"/>
  <c r="T67" i="1"/>
  <c r="K67" i="1" s="1"/>
  <c r="T206" i="1"/>
  <c r="K206" i="1" s="1"/>
  <c r="S206" i="1"/>
  <c r="J206" i="1" s="1"/>
  <c r="Z109" i="1"/>
  <c r="Q109" i="1" s="1"/>
  <c r="S109" i="1"/>
  <c r="J109" i="1" s="1"/>
  <c r="I109" i="1" s="1"/>
  <c r="S68" i="1"/>
  <c r="J68" i="1" s="1"/>
  <c r="S62" i="1"/>
  <c r="Z107" i="1"/>
  <c r="Q107" i="1" s="1"/>
  <c r="S107" i="1"/>
  <c r="J107" i="1" s="1"/>
  <c r="I107" i="1" s="1"/>
  <c r="S183" i="1"/>
  <c r="J183" i="1" s="1"/>
  <c r="T183" i="1"/>
  <c r="K183" i="1" s="1"/>
  <c r="U183" i="1"/>
  <c r="L183" i="1" s="1"/>
  <c r="U171" i="1"/>
  <c r="L171" i="1" s="1"/>
  <c r="T171" i="1"/>
  <c r="K171" i="1" s="1"/>
  <c r="S171" i="1"/>
  <c r="J171" i="1" s="1"/>
  <c r="S61" i="1"/>
  <c r="J61" i="1" s="1"/>
  <c r="Z127" i="1"/>
  <c r="Q127" i="1" s="1"/>
  <c r="S127" i="1"/>
  <c r="J127" i="1" s="1"/>
  <c r="S77" i="1"/>
  <c r="AB77" i="1" s="1"/>
  <c r="AA77" i="1" s="1"/>
  <c r="S84" i="1"/>
  <c r="J84" i="1" s="1"/>
  <c r="I84" i="1" s="1"/>
  <c r="T71" i="1"/>
  <c r="AC71" i="1" s="1"/>
  <c r="S97" i="1"/>
  <c r="J97" i="1" s="1"/>
  <c r="I97" i="1" s="1"/>
  <c r="U196" i="1"/>
  <c r="L196" i="1" s="1"/>
  <c r="T196" i="1"/>
  <c r="K196" i="1" s="1"/>
  <c r="S196" i="1"/>
  <c r="J196" i="1" s="1"/>
  <c r="U193" i="1"/>
  <c r="L193" i="1" s="1"/>
  <c r="T193" i="1"/>
  <c r="K193" i="1" s="1"/>
  <c r="S193" i="1"/>
  <c r="J193" i="1" s="1"/>
  <c r="S86" i="1"/>
  <c r="R86" i="1" s="1"/>
  <c r="T181" i="1"/>
  <c r="K181" i="1" s="1"/>
  <c r="S181" i="1"/>
  <c r="J181" i="1" s="1"/>
  <c r="U181" i="1"/>
  <c r="L181" i="1" s="1"/>
  <c r="T63" i="1"/>
  <c r="K63" i="1" s="1"/>
  <c r="S202" i="1"/>
  <c r="J202" i="1" s="1"/>
  <c r="T202" i="1"/>
  <c r="K202" i="1" s="1"/>
  <c r="S74" i="1"/>
  <c r="J74" i="1" s="1"/>
  <c r="S82" i="1"/>
  <c r="AB82" i="1" s="1"/>
  <c r="AA82" i="1" s="1"/>
  <c r="T62" i="1"/>
  <c r="K62" i="1" s="1"/>
  <c r="S73" i="1"/>
  <c r="AB73" i="1" s="1"/>
  <c r="S94" i="1"/>
  <c r="AB94" i="1" s="1"/>
  <c r="AA94" i="1" s="1"/>
  <c r="S65" i="1"/>
  <c r="AB65" i="1" s="1"/>
  <c r="U182" i="1"/>
  <c r="L182" i="1" s="1"/>
  <c r="T182" i="1"/>
  <c r="K182" i="1" s="1"/>
  <c r="S182" i="1"/>
  <c r="J182" i="1" s="1"/>
  <c r="T214" i="1"/>
  <c r="K214" i="1" s="1"/>
  <c r="S214" i="1"/>
  <c r="J214" i="1" s="1"/>
  <c r="S93" i="1"/>
  <c r="J93" i="1" s="1"/>
  <c r="I93" i="1" s="1"/>
  <c r="T209" i="1"/>
  <c r="K209" i="1" s="1"/>
  <c r="S209" i="1"/>
  <c r="J209" i="1" s="1"/>
  <c r="S100" i="1"/>
  <c r="J100" i="1" s="1"/>
  <c r="I100" i="1" s="1"/>
  <c r="U187" i="1"/>
  <c r="L187" i="1" s="1"/>
  <c r="T187" i="1"/>
  <c r="K187" i="1" s="1"/>
  <c r="S187" i="1"/>
  <c r="J187" i="1" s="1"/>
  <c r="I187" i="1" s="1"/>
  <c r="T59" i="1"/>
  <c r="AC59" i="1" s="1"/>
  <c r="S89" i="1"/>
  <c r="AB89" i="1" s="1"/>
  <c r="AA89" i="1" s="1"/>
  <c r="S200" i="1"/>
  <c r="J200" i="1" s="1"/>
  <c r="T200" i="1"/>
  <c r="K200" i="1" s="1"/>
  <c r="W16" i="1"/>
  <c r="N16" i="1" s="1"/>
  <c r="V16" i="1"/>
  <c r="M16" i="1" s="1"/>
  <c r="U16" i="1"/>
  <c r="L16" i="1" s="1"/>
  <c r="S16" i="1"/>
  <c r="J16" i="1" s="1"/>
  <c r="T16" i="1"/>
  <c r="K16" i="1" s="1"/>
  <c r="S96" i="1"/>
  <c r="J96" i="1" s="1"/>
  <c r="I96" i="1" s="1"/>
  <c r="U173" i="1"/>
  <c r="L173" i="1" s="1"/>
  <c r="T173" i="1"/>
  <c r="K173" i="1" s="1"/>
  <c r="S173" i="1"/>
  <c r="J173" i="1" s="1"/>
  <c r="S175" i="1"/>
  <c r="J175" i="1" s="1"/>
  <c r="U175" i="1"/>
  <c r="L175" i="1" s="1"/>
  <c r="T175" i="1"/>
  <c r="K175" i="1" s="1"/>
  <c r="S83" i="1"/>
  <c r="J83" i="1" s="1"/>
  <c r="I83" i="1" s="1"/>
  <c r="Z38" i="1"/>
  <c r="S38" i="1"/>
  <c r="J38" i="1" s="1"/>
  <c r="Z128" i="1"/>
  <c r="Q128" i="1" s="1"/>
  <c r="S128" i="1"/>
  <c r="J128" i="1" s="1"/>
  <c r="T73" i="1"/>
  <c r="K73" i="1" s="1"/>
  <c r="T212" i="1"/>
  <c r="K212" i="1" s="1"/>
  <c r="S212" i="1"/>
  <c r="J212" i="1" s="1"/>
  <c r="I212" i="1" s="1"/>
  <c r="T58" i="1"/>
  <c r="K58" i="1" s="1"/>
  <c r="T65" i="1"/>
  <c r="AC65" i="1" s="1"/>
  <c r="S69" i="1"/>
  <c r="S85" i="1"/>
  <c r="J85" i="1" s="1"/>
  <c r="I85" i="1" s="1"/>
  <c r="T64" i="1"/>
  <c r="AC64" i="1" s="1"/>
  <c r="S81" i="1"/>
  <c r="J81" i="1" s="1"/>
  <c r="I81" i="1" s="1"/>
  <c r="U174" i="1"/>
  <c r="L174" i="1" s="1"/>
  <c r="T174" i="1"/>
  <c r="K174" i="1" s="1"/>
  <c r="S174" i="1"/>
  <c r="J174" i="1" s="1"/>
  <c r="W31" i="1"/>
  <c r="N31" i="1" s="1"/>
  <c r="V31" i="1"/>
  <c r="M31" i="1" s="1"/>
  <c r="T31" i="1"/>
  <c r="K31" i="1" s="1"/>
  <c r="U31" i="1"/>
  <c r="L31" i="1" s="1"/>
  <c r="S31" i="1"/>
  <c r="J31" i="1" s="1"/>
  <c r="S192" i="1"/>
  <c r="J192" i="1" s="1"/>
  <c r="T192" i="1"/>
  <c r="K192" i="1" s="1"/>
  <c r="U192" i="1"/>
  <c r="L192" i="1" s="1"/>
  <c r="T177" i="1"/>
  <c r="K177" i="1" s="1"/>
  <c r="S177" i="1"/>
  <c r="J177" i="1" s="1"/>
  <c r="U177" i="1"/>
  <c r="L177" i="1" s="1"/>
  <c r="U27" i="1"/>
  <c r="L27" i="1" s="1"/>
  <c r="W27" i="1"/>
  <c r="N27" i="1" s="1"/>
  <c r="V27" i="1"/>
  <c r="M27" i="1" s="1"/>
  <c r="T27" i="1"/>
  <c r="K27" i="1" s="1"/>
  <c r="S27" i="1"/>
  <c r="J27" i="1" s="1"/>
  <c r="I27" i="1" s="1"/>
  <c r="W23" i="1"/>
  <c r="N23" i="1" s="1"/>
  <c r="V23" i="1"/>
  <c r="M23" i="1" s="1"/>
  <c r="S23" i="1"/>
  <c r="J23" i="1" s="1"/>
  <c r="U23" i="1"/>
  <c r="L23" i="1" s="1"/>
  <c r="T23" i="1"/>
  <c r="K23" i="1" s="1"/>
  <c r="Z112" i="1"/>
  <c r="Q112" i="1" s="1"/>
  <c r="S112" i="1"/>
  <c r="J112" i="1" s="1"/>
  <c r="T217" i="1"/>
  <c r="K217" i="1" s="1"/>
  <c r="S217" i="1"/>
  <c r="J217" i="1" s="1"/>
  <c r="S30" i="1"/>
  <c r="J30" i="1" s="1"/>
  <c r="W30" i="1"/>
  <c r="N30" i="1" s="1"/>
  <c r="T30" i="1"/>
  <c r="K30" i="1" s="1"/>
  <c r="V30" i="1"/>
  <c r="M30" i="1" s="1"/>
  <c r="U30" i="1"/>
  <c r="L30" i="1" s="1"/>
  <c r="S92" i="1"/>
  <c r="AB92" i="1" s="1"/>
  <c r="AA92" i="1" s="1"/>
  <c r="S199" i="1"/>
  <c r="J199" i="1" s="1"/>
  <c r="T199" i="1"/>
  <c r="K199" i="1" s="1"/>
  <c r="U199" i="1"/>
  <c r="L199" i="1" s="1"/>
  <c r="U197" i="1"/>
  <c r="L197" i="1" s="1"/>
  <c r="S197" i="1"/>
  <c r="J197" i="1" s="1"/>
  <c r="T197" i="1"/>
  <c r="K197" i="1" s="1"/>
  <c r="S79" i="1"/>
  <c r="R79" i="1" s="1"/>
  <c r="U170" i="1"/>
  <c r="L170" i="1" s="1"/>
  <c r="T170" i="1"/>
  <c r="K170" i="1" s="1"/>
  <c r="S170" i="1"/>
  <c r="J170" i="1" s="1"/>
  <c r="S47" i="1"/>
  <c r="Z47" i="1"/>
  <c r="Q47" i="1" s="1"/>
  <c r="Z137" i="1"/>
  <c r="Q137" i="1" s="1"/>
  <c r="S137" i="1"/>
  <c r="J137" i="1" s="1"/>
  <c r="Z132" i="1"/>
  <c r="Q132" i="1" s="1"/>
  <c r="S132" i="1"/>
  <c r="J132" i="1" s="1"/>
  <c r="S66" i="1"/>
  <c r="J66" i="1" s="1"/>
  <c r="T208" i="1"/>
  <c r="K208" i="1" s="1"/>
  <c r="S208" i="1"/>
  <c r="J208" i="1" s="1"/>
  <c r="T72" i="1"/>
  <c r="K72" i="1" s="1"/>
  <c r="T68" i="1"/>
  <c r="K68" i="1" s="1"/>
  <c r="S205" i="1"/>
  <c r="J205" i="1" s="1"/>
  <c r="T205" i="1"/>
  <c r="K205" i="1" s="1"/>
  <c r="S103" i="1"/>
  <c r="R103" i="1" s="1"/>
  <c r="Z34" i="1"/>
  <c r="Q34" i="1" s="1"/>
  <c r="S34" i="1"/>
  <c r="J34" i="1" s="1"/>
  <c r="Z115" i="1"/>
  <c r="Q115" i="1" s="1"/>
  <c r="S115" i="1"/>
  <c r="J115" i="1" s="1"/>
  <c r="S99" i="1"/>
  <c r="J99" i="1" s="1"/>
  <c r="I99" i="1" s="1"/>
  <c r="W18" i="1"/>
  <c r="N18" i="1" s="1"/>
  <c r="V18" i="1"/>
  <c r="M18" i="1" s="1"/>
  <c r="T18" i="1"/>
  <c r="K18" i="1" s="1"/>
  <c r="S18" i="1"/>
  <c r="J18" i="1" s="1"/>
  <c r="U18" i="1"/>
  <c r="L18" i="1" s="1"/>
  <c r="U33" i="1"/>
  <c r="L33" i="1" s="1"/>
  <c r="T33" i="1"/>
  <c r="K33" i="1" s="1"/>
  <c r="S33" i="1"/>
  <c r="J33" i="1" s="1"/>
  <c r="W33" i="1"/>
  <c r="N33" i="1" s="1"/>
  <c r="V33" i="1"/>
  <c r="M33" i="1" s="1"/>
  <c r="S95" i="1"/>
  <c r="J95" i="1" s="1"/>
  <c r="I95" i="1" s="1"/>
  <c r="T176" i="1"/>
  <c r="K176" i="1" s="1"/>
  <c r="U176" i="1"/>
  <c r="L176" i="1" s="1"/>
  <c r="S176" i="1"/>
  <c r="J176" i="1" s="1"/>
  <c r="S215" i="1"/>
  <c r="J215" i="1" s="1"/>
  <c r="T215" i="1"/>
  <c r="K215" i="1" s="1"/>
  <c r="U195" i="1"/>
  <c r="L195" i="1" s="1"/>
  <c r="T195" i="1"/>
  <c r="K195" i="1" s="1"/>
  <c r="S195" i="1"/>
  <c r="J195" i="1" s="1"/>
  <c r="Z39" i="1"/>
  <c r="Q39" i="1" s="1"/>
  <c r="S39" i="1"/>
  <c r="J39" i="1" s="1"/>
  <c r="Z131" i="1"/>
  <c r="Q131" i="1" s="1"/>
  <c r="S131" i="1"/>
  <c r="J131" i="1" s="1"/>
  <c r="S19" i="1"/>
  <c r="J19" i="1" s="1"/>
  <c r="T19" i="1"/>
  <c r="K19" i="1" s="1"/>
  <c r="W19" i="1"/>
  <c r="N19" i="1" s="1"/>
  <c r="U19" i="1"/>
  <c r="L19" i="1" s="1"/>
  <c r="V19" i="1"/>
  <c r="M19" i="1" s="1"/>
  <c r="U184" i="1"/>
  <c r="L184" i="1" s="1"/>
  <c r="S184" i="1"/>
  <c r="J184" i="1" s="1"/>
  <c r="T184" i="1"/>
  <c r="K184" i="1" s="1"/>
  <c r="Z136" i="1"/>
  <c r="Q136" i="1" s="1"/>
  <c r="S136" i="1"/>
  <c r="J136" i="1" s="1"/>
  <c r="S191" i="1"/>
  <c r="J191" i="1" s="1"/>
  <c r="U191" i="1"/>
  <c r="L191" i="1" s="1"/>
  <c r="T191" i="1"/>
  <c r="K191" i="1" s="1"/>
  <c r="S45" i="1"/>
  <c r="J45" i="1" s="1"/>
  <c r="Z45" i="1"/>
  <c r="Q45" i="1" s="1"/>
  <c r="S120" i="1"/>
  <c r="J120" i="1" s="1"/>
  <c r="Z120" i="1"/>
  <c r="Q120" i="1" s="1"/>
  <c r="V24" i="1"/>
  <c r="M24" i="1" s="1"/>
  <c r="T24" i="1"/>
  <c r="K24" i="1" s="1"/>
  <c r="S24" i="1"/>
  <c r="J24" i="1" s="1"/>
  <c r="U24" i="1"/>
  <c r="L24" i="1" s="1"/>
  <c r="W24" i="1"/>
  <c r="N24" i="1" s="1"/>
  <c r="Z52" i="1"/>
  <c r="Q52" i="1" s="1"/>
  <c r="S52" i="1"/>
  <c r="J52" i="1" s="1"/>
  <c r="Z139" i="1"/>
  <c r="Q139" i="1" s="1"/>
  <c r="S139" i="1"/>
  <c r="J139" i="1" s="1"/>
  <c r="T201" i="1"/>
  <c r="K201" i="1" s="1"/>
  <c r="S201" i="1"/>
  <c r="J201" i="1" s="1"/>
  <c r="I201" i="1" s="1"/>
  <c r="V25" i="1"/>
  <c r="M25" i="1" s="1"/>
  <c r="T25" i="1"/>
  <c r="K25" i="1" s="1"/>
  <c r="W25" i="1"/>
  <c r="N25" i="1" s="1"/>
  <c r="U25" i="1"/>
  <c r="L25" i="1" s="1"/>
  <c r="S25" i="1"/>
  <c r="J25" i="1" s="1"/>
  <c r="S87" i="1"/>
  <c r="J87" i="1" s="1"/>
  <c r="I87" i="1" s="1"/>
  <c r="U198" i="1"/>
  <c r="L198" i="1" s="1"/>
  <c r="T198" i="1"/>
  <c r="K198" i="1" s="1"/>
  <c r="S198" i="1"/>
  <c r="J198" i="1" s="1"/>
  <c r="T207" i="1"/>
  <c r="K207" i="1" s="1"/>
  <c r="S207" i="1"/>
  <c r="J207" i="1" s="1"/>
  <c r="Z121" i="1"/>
  <c r="Q121" i="1" s="1"/>
  <c r="S121" i="1"/>
  <c r="J121" i="1" s="1"/>
  <c r="Z35" i="1"/>
  <c r="Q35" i="1" s="1"/>
  <c r="S35" i="1"/>
  <c r="J35" i="1" s="1"/>
  <c r="U186" i="1"/>
  <c r="L186" i="1" s="1"/>
  <c r="T186" i="1"/>
  <c r="K186" i="1" s="1"/>
  <c r="S186" i="1"/>
  <c r="J186" i="1" s="1"/>
  <c r="S88" i="1"/>
  <c r="J88" i="1" s="1"/>
  <c r="I88" i="1" s="1"/>
  <c r="Z138" i="1"/>
  <c r="Q138" i="1" s="1"/>
  <c r="S138" i="1"/>
  <c r="J138" i="1" s="1"/>
  <c r="S70" i="1"/>
  <c r="J70" i="1" s="1"/>
  <c r="S98" i="1"/>
  <c r="J98" i="1" s="1"/>
  <c r="I98" i="1" s="1"/>
  <c r="Z104" i="1"/>
  <c r="Q104" i="1" s="1"/>
  <c r="S104" i="1"/>
  <c r="J104" i="1" s="1"/>
  <c r="I104" i="1" s="1"/>
  <c r="S123" i="1"/>
  <c r="J123" i="1" s="1"/>
  <c r="Z123" i="1"/>
  <c r="Q123" i="1" s="1"/>
  <c r="V28" i="1"/>
  <c r="M28" i="1" s="1"/>
  <c r="U28" i="1"/>
  <c r="L28" i="1" s="1"/>
  <c r="T28" i="1"/>
  <c r="K28" i="1" s="1"/>
  <c r="S28" i="1"/>
  <c r="J28" i="1" s="1"/>
  <c r="W28" i="1"/>
  <c r="N28" i="1" s="1"/>
  <c r="W26" i="1"/>
  <c r="N26" i="1" s="1"/>
  <c r="V26" i="1"/>
  <c r="M26" i="1" s="1"/>
  <c r="U26" i="1"/>
  <c r="L26" i="1" s="1"/>
  <c r="T26" i="1"/>
  <c r="K26" i="1" s="1"/>
  <c r="S26" i="1"/>
  <c r="J26" i="1" s="1"/>
  <c r="T218" i="1"/>
  <c r="K218" i="1" s="1"/>
  <c r="S218" i="1"/>
  <c r="J218" i="1" s="1"/>
  <c r="W22" i="1"/>
  <c r="N22" i="1" s="1"/>
  <c r="V22" i="1"/>
  <c r="M22" i="1" s="1"/>
  <c r="U22" i="1"/>
  <c r="T22" i="1"/>
  <c r="K22" i="1" s="1"/>
  <c r="S22" i="1"/>
  <c r="J22" i="1" s="1"/>
  <c r="Z46" i="1"/>
  <c r="Q46" i="1" s="1"/>
  <c r="S46" i="1"/>
  <c r="J46" i="1" s="1"/>
  <c r="Z130" i="1"/>
  <c r="Q130" i="1" s="1"/>
  <c r="S130" i="1"/>
  <c r="J130" i="1" s="1"/>
  <c r="Z111" i="1"/>
  <c r="Q111" i="1" s="1"/>
  <c r="S111" i="1"/>
  <c r="J111" i="1" s="1"/>
  <c r="T216" i="1"/>
  <c r="K216" i="1" s="1"/>
  <c r="S216" i="1"/>
  <c r="J216" i="1" s="1"/>
  <c r="I216" i="1" s="1"/>
  <c r="S91" i="1"/>
  <c r="J91" i="1" s="1"/>
  <c r="I91" i="1" s="1"/>
  <c r="T211" i="1"/>
  <c r="K211" i="1" s="1"/>
  <c r="S211" i="1"/>
  <c r="J211" i="1" s="1"/>
  <c r="S64" i="1"/>
  <c r="J64" i="1" s="1"/>
  <c r="T70" i="1"/>
  <c r="AC70" i="1" s="1"/>
  <c r="Z41" i="1"/>
  <c r="Q41" i="1" s="1"/>
  <c r="S41" i="1"/>
  <c r="J41" i="1" s="1"/>
  <c r="Z54" i="1"/>
  <c r="Q54" i="1" s="1"/>
  <c r="S54" i="1"/>
  <c r="J54" i="1" s="1"/>
  <c r="Z134" i="1"/>
  <c r="Q134" i="1" s="1"/>
  <c r="S134" i="1"/>
  <c r="J134" i="1" s="1"/>
  <c r="W21" i="1"/>
  <c r="N21" i="1" s="1"/>
  <c r="V21" i="1"/>
  <c r="M21" i="1" s="1"/>
  <c r="U21" i="1"/>
  <c r="L21" i="1" s="1"/>
  <c r="T21" i="1"/>
  <c r="K21" i="1" s="1"/>
  <c r="S21" i="1"/>
  <c r="J21" i="1" s="1"/>
  <c r="T203" i="1"/>
  <c r="K203" i="1" s="1"/>
  <c r="S203" i="1"/>
  <c r="J203" i="1" s="1"/>
  <c r="S76" i="1"/>
  <c r="AB76" i="1" s="1"/>
  <c r="AA76" i="1" s="1"/>
  <c r="S37" i="1"/>
  <c r="J37" i="1" s="1"/>
  <c r="Z37" i="1"/>
  <c r="Q37" i="1" s="1"/>
  <c r="Z42" i="1"/>
  <c r="Q42" i="1" s="1"/>
  <c r="S42" i="1"/>
  <c r="J42" i="1" s="1"/>
  <c r="I42" i="1" s="1"/>
  <c r="Z129" i="1"/>
  <c r="Q129" i="1" s="1"/>
  <c r="S129" i="1"/>
  <c r="J129" i="1" s="1"/>
  <c r="W17" i="1"/>
  <c r="N17" i="1" s="1"/>
  <c r="V17" i="1"/>
  <c r="M17" i="1" s="1"/>
  <c r="U17" i="1"/>
  <c r="L17" i="1" s="1"/>
  <c r="T17" i="1"/>
  <c r="K17" i="1" s="1"/>
  <c r="S17" i="1"/>
  <c r="J17" i="1" s="1"/>
  <c r="U190" i="1"/>
  <c r="L190" i="1" s="1"/>
  <c r="T190" i="1"/>
  <c r="K190" i="1" s="1"/>
  <c r="S190" i="1"/>
  <c r="J190" i="1" s="1"/>
  <c r="S72" i="1"/>
  <c r="J72" i="1" s="1"/>
  <c r="Z40" i="1"/>
  <c r="Q40" i="1" s="1"/>
  <c r="S40" i="1"/>
  <c r="J40" i="1" s="1"/>
  <c r="Z124" i="1"/>
  <c r="Q124" i="1" s="1"/>
  <c r="S124" i="1"/>
  <c r="J124" i="1" s="1"/>
  <c r="V20" i="1"/>
  <c r="M20" i="1" s="1"/>
  <c r="T20" i="1"/>
  <c r="K20" i="1" s="1"/>
  <c r="S20" i="1"/>
  <c r="J20" i="1" s="1"/>
  <c r="U20" i="1"/>
  <c r="L20" i="1" s="1"/>
  <c r="W20" i="1"/>
  <c r="N20" i="1" s="1"/>
  <c r="Z55" i="1"/>
  <c r="Q55" i="1" s="1"/>
  <c r="S55" i="1"/>
  <c r="Z108" i="1"/>
  <c r="Q108" i="1" s="1"/>
  <c r="S108" i="1"/>
  <c r="T219" i="1"/>
  <c r="K219" i="1" s="1"/>
  <c r="S219" i="1"/>
  <c r="J219" i="1" s="1"/>
  <c r="S67" i="1"/>
  <c r="J67" i="1" s="1"/>
  <c r="S63" i="1"/>
  <c r="J63" i="1" s="1"/>
  <c r="Z43" i="1"/>
  <c r="Q43" i="1" s="1"/>
  <c r="S43" i="1"/>
  <c r="J43" i="1" s="1"/>
  <c r="S59" i="1"/>
  <c r="J59" i="1" s="1"/>
  <c r="T74" i="1"/>
  <c r="K74" i="1" s="1"/>
  <c r="T69" i="1"/>
  <c r="K69" i="1" s="1"/>
  <c r="S78" i="1"/>
  <c r="AB78" i="1" s="1"/>
  <c r="AA78" i="1" s="1"/>
  <c r="T204" i="1"/>
  <c r="K204" i="1" s="1"/>
  <c r="S204" i="1"/>
  <c r="J204" i="1" s="1"/>
  <c r="T61" i="1"/>
  <c r="K61" i="1" s="1"/>
  <c r="Z113" i="1"/>
  <c r="Q113" i="1" s="1"/>
  <c r="S113" i="1"/>
  <c r="J113" i="1" s="1"/>
  <c r="Z140" i="1"/>
  <c r="Q140" i="1" s="1"/>
  <c r="S140" i="1"/>
  <c r="J140" i="1" s="1"/>
  <c r="Z57" i="1"/>
  <c r="Q57" i="1" s="1"/>
  <c r="S57" i="1"/>
  <c r="J57" i="1" s="1"/>
  <c r="U180" i="1"/>
  <c r="L180" i="1" s="1"/>
  <c r="T180" i="1"/>
  <c r="K180" i="1" s="1"/>
  <c r="S180" i="1"/>
  <c r="J180" i="1" s="1"/>
  <c r="I180" i="1" s="1"/>
  <c r="Z53" i="1"/>
  <c r="Q53" i="1" s="1"/>
  <c r="S53" i="1"/>
  <c r="J53" i="1" s="1"/>
  <c r="I53" i="1" s="1"/>
  <c r="T221" i="1"/>
  <c r="K221" i="1" s="1"/>
  <c r="S221" i="1"/>
  <c r="J221" i="1" s="1"/>
  <c r="S220" i="1"/>
  <c r="J220" i="1" s="1"/>
  <c r="T220" i="1"/>
  <c r="K220" i="1" s="1"/>
  <c r="S58" i="1"/>
  <c r="J58" i="1" s="1"/>
  <c r="Z49" i="1"/>
  <c r="Q49" i="1" s="1"/>
  <c r="S49" i="1"/>
  <c r="J49" i="1" s="1"/>
  <c r="S125" i="1"/>
  <c r="J125" i="1" s="1"/>
  <c r="Z125" i="1"/>
  <c r="Q125" i="1" s="1"/>
  <c r="Z56" i="1"/>
  <c r="Q56" i="1" s="1"/>
  <c r="S56" i="1"/>
  <c r="J56" i="1" s="1"/>
  <c r="Z105" i="1"/>
  <c r="Q105" i="1" s="1"/>
  <c r="S105" i="1"/>
  <c r="J105" i="1" s="1"/>
  <c r="T29" i="1"/>
  <c r="K29" i="1" s="1"/>
  <c r="U29" i="1"/>
  <c r="L29" i="1" s="1"/>
  <c r="V29" i="1"/>
  <c r="M29" i="1" s="1"/>
  <c r="W29" i="1"/>
  <c r="N29" i="1" s="1"/>
  <c r="S29" i="1"/>
  <c r="J29" i="1" s="1"/>
  <c r="U172" i="1"/>
  <c r="L172" i="1" s="1"/>
  <c r="T172" i="1"/>
  <c r="K172" i="1" s="1"/>
  <c r="S172" i="1"/>
  <c r="J172" i="1" s="1"/>
  <c r="I172" i="1" s="1"/>
  <c r="Z48" i="1"/>
  <c r="Q48" i="1" s="1"/>
  <c r="S48" i="1"/>
  <c r="J48" i="1" s="1"/>
  <c r="Z114" i="1"/>
  <c r="Q114" i="1" s="1"/>
  <c r="S114" i="1"/>
  <c r="S194" i="1"/>
  <c r="J194" i="1" s="1"/>
  <c r="U194" i="1"/>
  <c r="L194" i="1" s="1"/>
  <c r="T194" i="1"/>
  <c r="K194" i="1" s="1"/>
  <c r="Z44" i="1"/>
  <c r="Q44" i="1" s="1"/>
  <c r="S44" i="1"/>
  <c r="J44" i="1" s="1"/>
  <c r="V32" i="1"/>
  <c r="M32" i="1" s="1"/>
  <c r="U32" i="1"/>
  <c r="L32" i="1" s="1"/>
  <c r="T32" i="1"/>
  <c r="K32" i="1" s="1"/>
  <c r="W32" i="1"/>
  <c r="N32" i="1" s="1"/>
  <c r="S32" i="1"/>
  <c r="J32" i="1" s="1"/>
  <c r="Z110" i="1"/>
  <c r="Q110" i="1" s="1"/>
  <c r="S110" i="1"/>
  <c r="S102" i="1"/>
  <c r="AB102" i="1" s="1"/>
  <c r="AA102" i="1" s="1"/>
  <c r="S75" i="1"/>
  <c r="AB75" i="1" s="1"/>
  <c r="S90" i="1"/>
  <c r="AB90" i="1" s="1"/>
  <c r="AA90" i="1" s="1"/>
  <c r="S71" i="1"/>
  <c r="J71" i="1" s="1"/>
  <c r="S60" i="1"/>
  <c r="AB60" i="1" s="1"/>
  <c r="Z36" i="1"/>
  <c r="Q36" i="1" s="1"/>
  <c r="S36" i="1"/>
  <c r="J36" i="1" s="1"/>
  <c r="I36" i="1" s="1"/>
  <c r="Z119" i="1"/>
  <c r="Q119" i="1" s="1"/>
  <c r="S119" i="1"/>
  <c r="J119" i="1" s="1"/>
  <c r="Z50" i="1"/>
  <c r="Q50" i="1" s="1"/>
  <c r="S50" i="1"/>
  <c r="J50" i="1" s="1"/>
  <c r="I50" i="1" s="1"/>
  <c r="Z51" i="1"/>
  <c r="Q51" i="1" s="1"/>
  <c r="S51" i="1"/>
  <c r="J51" i="1" s="1"/>
  <c r="S116" i="1"/>
  <c r="J116" i="1" s="1"/>
  <c r="Z116" i="1"/>
  <c r="Q116" i="1" s="1"/>
  <c r="S213" i="1"/>
  <c r="J213" i="1" s="1"/>
  <c r="T213" i="1"/>
  <c r="K213" i="1" s="1"/>
  <c r="K154" i="1"/>
  <c r="K164" i="1"/>
  <c r="K166" i="1"/>
  <c r="K157" i="1"/>
  <c r="J144" i="1"/>
  <c r="AB160" i="1"/>
  <c r="AB164" i="1"/>
  <c r="AB169" i="1"/>
  <c r="AB154" i="1"/>
  <c r="K149" i="1"/>
  <c r="K145" i="1"/>
  <c r="K158" i="1"/>
  <c r="K148" i="1"/>
  <c r="K169" i="1"/>
  <c r="J161" i="1"/>
  <c r="K160" i="1"/>
  <c r="K147" i="1"/>
  <c r="J157" i="1"/>
  <c r="J151" i="1"/>
  <c r="K161" i="1"/>
  <c r="AB155" i="1"/>
  <c r="AB145" i="1"/>
  <c r="J147" i="1"/>
  <c r="J158" i="1"/>
  <c r="K155" i="1"/>
  <c r="J150" i="1"/>
  <c r="J152" i="1"/>
  <c r="J149" i="1"/>
  <c r="J166" i="1"/>
  <c r="J148" i="1"/>
  <c r="K150" i="1"/>
  <c r="AB146" i="1"/>
  <c r="K152" i="1"/>
  <c r="K151" i="1"/>
  <c r="K146" i="1"/>
  <c r="K167" i="1"/>
  <c r="J167" i="1"/>
  <c r="K144" i="1"/>
  <c r="Q38" i="1"/>
  <c r="L185" i="1"/>
  <c r="L22" i="1"/>
  <c r="H657" i="1"/>
  <c r="H656" i="1"/>
  <c r="R577" i="1"/>
  <c r="AB577" i="1"/>
  <c r="AE574" i="1"/>
  <c r="AD579" i="1"/>
  <c r="AD575" i="1"/>
  <c r="AC572" i="1"/>
  <c r="AG578" i="1"/>
  <c r="AB573" i="1"/>
  <c r="R573" i="1"/>
  <c r="AC573" i="1"/>
  <c r="AE573" i="1"/>
  <c r="AE578" i="1"/>
  <c r="AF574" i="1"/>
  <c r="AG575" i="1"/>
  <c r="AF573" i="1"/>
  <c r="AC580" i="1"/>
  <c r="AF579" i="1"/>
  <c r="AD572" i="1"/>
  <c r="AD580" i="1"/>
  <c r="AB576" i="1"/>
  <c r="R576" i="1"/>
  <c r="AB572" i="1"/>
  <c r="AC574" i="1"/>
  <c r="AC578" i="1"/>
  <c r="AE579" i="1"/>
  <c r="AC577" i="1"/>
  <c r="AG573" i="1"/>
  <c r="AG577" i="1"/>
  <c r="AF578" i="1"/>
  <c r="AD574" i="1"/>
  <c r="AB580" i="1"/>
  <c r="R580" i="1"/>
  <c r="AD573" i="1"/>
  <c r="AD577" i="1"/>
  <c r="AE576" i="1"/>
  <c r="R574" i="1"/>
  <c r="AB574" i="1"/>
  <c r="AE577" i="1"/>
  <c r="AD576" i="1"/>
  <c r="AD578" i="1"/>
  <c r="AG579" i="1"/>
  <c r="AF577" i="1"/>
  <c r="AG576" i="1"/>
  <c r="AB575" i="1"/>
  <c r="R575" i="1"/>
  <c r="AE575" i="1"/>
  <c r="AC579" i="1"/>
  <c r="AB578" i="1"/>
  <c r="R578" i="1"/>
  <c r="AB579" i="1"/>
  <c r="R579" i="1"/>
  <c r="AG580" i="1"/>
  <c r="AE580" i="1"/>
  <c r="AC576" i="1"/>
  <c r="AF580" i="1"/>
  <c r="AC575" i="1"/>
  <c r="AF576" i="1"/>
  <c r="AF575" i="1"/>
  <c r="AG574" i="1"/>
  <c r="AB517" i="1"/>
  <c r="AA517" i="1" s="1"/>
  <c r="R517" i="1"/>
  <c r="R510" i="1"/>
  <c r="AB510" i="1"/>
  <c r="AA510" i="1" s="1"/>
  <c r="R508" i="1"/>
  <c r="AB508" i="1"/>
  <c r="AA508" i="1" s="1"/>
  <c r="R551" i="1"/>
  <c r="AB551" i="1"/>
  <c r="R462" i="1"/>
  <c r="AB462" i="1"/>
  <c r="R554" i="1"/>
  <c r="AB554" i="1"/>
  <c r="AB555" i="1"/>
  <c r="R555" i="1"/>
  <c r="AB513" i="1"/>
  <c r="AA513" i="1" s="1"/>
  <c r="R513" i="1"/>
  <c r="R466" i="1"/>
  <c r="AB466" i="1"/>
  <c r="R470" i="1"/>
  <c r="AB470" i="1"/>
  <c r="R435" i="1"/>
  <c r="AB435" i="1"/>
  <c r="AA435" i="1" s="1"/>
  <c r="AB441" i="1"/>
  <c r="AA441" i="1" s="1"/>
  <c r="R441" i="1"/>
  <c r="R433" i="1"/>
  <c r="AB433" i="1"/>
  <c r="AA433" i="1" s="1"/>
  <c r="AB424" i="1"/>
  <c r="AA424" i="1" s="1"/>
  <c r="R424" i="1"/>
  <c r="R440" i="1"/>
  <c r="AB440" i="1"/>
  <c r="AA440" i="1" s="1"/>
  <c r="AB449" i="1"/>
  <c r="AA449" i="1" s="1"/>
  <c r="R449" i="1"/>
  <c r="R445" i="1"/>
  <c r="AB445" i="1"/>
  <c r="AA445" i="1" s="1"/>
  <c r="AB93" i="1"/>
  <c r="AA93" i="1" s="1"/>
  <c r="R472" i="1"/>
  <c r="AB472" i="1"/>
  <c r="AB519" i="1"/>
  <c r="AA519" i="1" s="1"/>
  <c r="R519" i="1"/>
  <c r="R460" i="1"/>
  <c r="AB460" i="1"/>
  <c r="AB509" i="1"/>
  <c r="AA509" i="1" s="1"/>
  <c r="R509" i="1"/>
  <c r="R553" i="1"/>
  <c r="AB553" i="1"/>
  <c r="R458" i="1"/>
  <c r="AB458" i="1"/>
  <c r="R544" i="1"/>
  <c r="AB544" i="1"/>
  <c r="AB473" i="1"/>
  <c r="R473" i="1"/>
  <c r="AB511" i="1"/>
  <c r="AA511" i="1" s="1"/>
  <c r="R511" i="1"/>
  <c r="R548" i="1"/>
  <c r="AB548" i="1"/>
  <c r="R468" i="1"/>
  <c r="AB468" i="1"/>
  <c r="AB515" i="1"/>
  <c r="AA515" i="1" s="1"/>
  <c r="R515" i="1"/>
  <c r="R514" i="1"/>
  <c r="AB514" i="1"/>
  <c r="AA514" i="1" s="1"/>
  <c r="AB547" i="1"/>
  <c r="R547" i="1"/>
  <c r="AB467" i="1"/>
  <c r="R467" i="1"/>
  <c r="R550" i="1"/>
  <c r="AB550" i="1"/>
  <c r="AB471" i="1"/>
  <c r="R471" i="1"/>
  <c r="AB434" i="1"/>
  <c r="AA434" i="1" s="1"/>
  <c r="R434" i="1"/>
  <c r="R450" i="1"/>
  <c r="AB450" i="1"/>
  <c r="AA450" i="1" s="1"/>
  <c r="AB455" i="1"/>
  <c r="AA455" i="1" s="1"/>
  <c r="R455" i="1"/>
  <c r="AB429" i="1"/>
  <c r="AA429" i="1" s="1"/>
  <c r="R429" i="1"/>
  <c r="R453" i="1"/>
  <c r="AB453" i="1"/>
  <c r="AA453" i="1" s="1"/>
  <c r="AB451" i="1"/>
  <c r="AA451" i="1" s="1"/>
  <c r="R451" i="1"/>
  <c r="AB422" i="1"/>
  <c r="AA422" i="1" s="1"/>
  <c r="R422" i="1"/>
  <c r="AB150" i="1"/>
  <c r="AB459" i="1"/>
  <c r="R459" i="1"/>
  <c r="R546" i="1"/>
  <c r="AB546" i="1"/>
  <c r="AB545" i="1"/>
  <c r="R545" i="1"/>
  <c r="R464" i="1"/>
  <c r="AB464" i="1"/>
  <c r="AB549" i="1"/>
  <c r="R549" i="1"/>
  <c r="AB556" i="1"/>
  <c r="R556" i="1"/>
  <c r="AB463" i="1"/>
  <c r="R463" i="1"/>
  <c r="AB461" i="1"/>
  <c r="R461" i="1"/>
  <c r="AB465" i="1"/>
  <c r="R465" i="1"/>
  <c r="R512" i="1"/>
  <c r="AB512" i="1"/>
  <c r="AA512" i="1" s="1"/>
  <c r="R421" i="1"/>
  <c r="AB421" i="1"/>
  <c r="AA421" i="1" s="1"/>
  <c r="AB447" i="1"/>
  <c r="AA447" i="1" s="1"/>
  <c r="R447" i="1"/>
  <c r="AB437" i="1"/>
  <c r="AA437" i="1" s="1"/>
  <c r="R437" i="1"/>
  <c r="R427" i="1"/>
  <c r="AB427" i="1"/>
  <c r="AA427" i="1" s="1"/>
  <c r="R425" i="1"/>
  <c r="AB425" i="1"/>
  <c r="AA425" i="1" s="1"/>
  <c r="R423" i="1"/>
  <c r="AB423" i="1"/>
  <c r="AA423" i="1" s="1"/>
  <c r="R430" i="1"/>
  <c r="AB430" i="1"/>
  <c r="AA430" i="1" s="1"/>
  <c r="R516" i="1"/>
  <c r="AB516" i="1"/>
  <c r="AA516" i="1" s="1"/>
  <c r="AB457" i="1"/>
  <c r="R457" i="1"/>
  <c r="AB552" i="1"/>
  <c r="R552" i="1"/>
  <c r="R518" i="1"/>
  <c r="AB518" i="1"/>
  <c r="AA518" i="1" s="1"/>
  <c r="AB469" i="1"/>
  <c r="R469" i="1"/>
  <c r="AB426" i="1"/>
  <c r="AA426" i="1" s="1"/>
  <c r="R426" i="1"/>
  <c r="R442" i="1"/>
  <c r="AB442" i="1"/>
  <c r="AA442" i="1" s="1"/>
  <c r="R456" i="1"/>
  <c r="AB456" i="1"/>
  <c r="AA456" i="1" s="1"/>
  <c r="AB439" i="1"/>
  <c r="AA439" i="1" s="1"/>
  <c r="R439" i="1"/>
  <c r="AB443" i="1"/>
  <c r="AA443" i="1" s="1"/>
  <c r="R443" i="1"/>
  <c r="R438" i="1"/>
  <c r="AB438" i="1"/>
  <c r="AA438" i="1" s="1"/>
  <c r="R448" i="1"/>
  <c r="AB448" i="1"/>
  <c r="AA448" i="1" s="1"/>
  <c r="AI469" i="1"/>
  <c r="AC468" i="1"/>
  <c r="AI465" i="1"/>
  <c r="AC466" i="1"/>
  <c r="AI464" i="1"/>
  <c r="AI466" i="1"/>
  <c r="AI457" i="1"/>
  <c r="AC467" i="1"/>
  <c r="AC464" i="1"/>
  <c r="AC473" i="1"/>
  <c r="AC469" i="1"/>
  <c r="AI471" i="1"/>
  <c r="AC472" i="1"/>
  <c r="AI470" i="1"/>
  <c r="AI460" i="1"/>
  <c r="AI458" i="1"/>
  <c r="AC470" i="1"/>
  <c r="AI459" i="1"/>
  <c r="AC458" i="1"/>
  <c r="AI467" i="1"/>
  <c r="AC556" i="1"/>
  <c r="AI468" i="1"/>
  <c r="AC471" i="1"/>
  <c r="AI473" i="1"/>
  <c r="AI472" i="1"/>
  <c r="AC460" i="1"/>
  <c r="AC457" i="1"/>
  <c r="AI462" i="1"/>
  <c r="AC555" i="1"/>
  <c r="AC463" i="1"/>
  <c r="AC459" i="1"/>
  <c r="AC465" i="1"/>
  <c r="AC462" i="1"/>
  <c r="AC461" i="1"/>
  <c r="AI463" i="1"/>
  <c r="AI461" i="1"/>
  <c r="AM189" i="1"/>
  <c r="AM144" i="1"/>
  <c r="AM178" i="1"/>
  <c r="AC360" i="1"/>
  <c r="AM179" i="1"/>
  <c r="AM173" i="1"/>
  <c r="AM220" i="1"/>
  <c r="AM269" i="1"/>
  <c r="AM320" i="1"/>
  <c r="AM187" i="1"/>
  <c r="AM149" i="1"/>
  <c r="AM180" i="1"/>
  <c r="AM263" i="1"/>
  <c r="AM292" i="1"/>
  <c r="AD334" i="1"/>
  <c r="AM211" i="1"/>
  <c r="AM273" i="1"/>
  <c r="AD321" i="1"/>
  <c r="AM206" i="1"/>
  <c r="AM280" i="1"/>
  <c r="AM259" i="1"/>
  <c r="AD322" i="1"/>
  <c r="AD324" i="1"/>
  <c r="AC320" i="1"/>
  <c r="AC377" i="1"/>
  <c r="AC362" i="1"/>
  <c r="AM384" i="1"/>
  <c r="AC359" i="1"/>
  <c r="AM164" i="1"/>
  <c r="AM174" i="1"/>
  <c r="AM200" i="1"/>
  <c r="AM221" i="1"/>
  <c r="AC301" i="1"/>
  <c r="AM152" i="1"/>
  <c r="AM193" i="1"/>
  <c r="AM155" i="1"/>
  <c r="AM185" i="1"/>
  <c r="AM199" i="1"/>
  <c r="AM216" i="1"/>
  <c r="AM166" i="1"/>
  <c r="AM175" i="1"/>
  <c r="AM167" i="1"/>
  <c r="AM145" i="1"/>
  <c r="AM176" i="1"/>
  <c r="AM190" i="1"/>
  <c r="AC293" i="1"/>
  <c r="AM204" i="1"/>
  <c r="AM278" i="1"/>
  <c r="AM301" i="1"/>
  <c r="AC326" i="1"/>
  <c r="AM207" i="1"/>
  <c r="AM267" i="1"/>
  <c r="AC302" i="1"/>
  <c r="AC290" i="1"/>
  <c r="AM202" i="1"/>
  <c r="AM276" i="1"/>
  <c r="AM295" i="1"/>
  <c r="AM332" i="1"/>
  <c r="AC321" i="1"/>
  <c r="AC319" i="1"/>
  <c r="AM334" i="1"/>
  <c r="AD325" i="1"/>
  <c r="AC322" i="1"/>
  <c r="AM336" i="1"/>
  <c r="AD326" i="1"/>
  <c r="AC324" i="1"/>
  <c r="AM355" i="1"/>
  <c r="AM359" i="1"/>
  <c r="AC371" i="1"/>
  <c r="AC385" i="1"/>
  <c r="AM376" i="1"/>
  <c r="AM356" i="1"/>
  <c r="AM385" i="1"/>
  <c r="AM373" i="1"/>
  <c r="AM362" i="1"/>
  <c r="AC376" i="1"/>
  <c r="AC356" i="1"/>
  <c r="AM147" i="1"/>
  <c r="AM192" i="1"/>
  <c r="AM279" i="1"/>
  <c r="AM194" i="1"/>
  <c r="AM208" i="1"/>
  <c r="AM284" i="1"/>
  <c r="AM300" i="1"/>
  <c r="AM330" i="1"/>
  <c r="AM319" i="1"/>
  <c r="AC334" i="1"/>
  <c r="AM326" i="1"/>
  <c r="AC336" i="1"/>
  <c r="AM327" i="1"/>
  <c r="AM328" i="1"/>
  <c r="AM361" i="1"/>
  <c r="AC370" i="1"/>
  <c r="AM183" i="1"/>
  <c r="AM157" i="1"/>
  <c r="AM186" i="1"/>
  <c r="AM188" i="1"/>
  <c r="AM217" i="1"/>
  <c r="AM275" i="1"/>
  <c r="AM209" i="1"/>
  <c r="AD327" i="1"/>
  <c r="AM150" i="1"/>
  <c r="AM181" i="1"/>
  <c r="AM195" i="1"/>
  <c r="AM201" i="1"/>
  <c r="AM148" i="1"/>
  <c r="AM197" i="1"/>
  <c r="AM160" i="1"/>
  <c r="AM170" i="1"/>
  <c r="AM172" i="1"/>
  <c r="AM219" i="1"/>
  <c r="AM286" i="1"/>
  <c r="AM274" i="1"/>
  <c r="AM324" i="1"/>
  <c r="AM203" i="1"/>
  <c r="AM282" i="1"/>
  <c r="AM261" i="1"/>
  <c r="AC300" i="1"/>
  <c r="AC332" i="1"/>
  <c r="AM214" i="1"/>
  <c r="AM271" i="1"/>
  <c r="AD328" i="1"/>
  <c r="AD330" i="1"/>
  <c r="AM321" i="1"/>
  <c r="AD319" i="1"/>
  <c r="AD332" i="1"/>
  <c r="AC325" i="1"/>
  <c r="AM322" i="1"/>
  <c r="AM372" i="1"/>
  <c r="AC355" i="1"/>
  <c r="AM371" i="1"/>
  <c r="AM360" i="1"/>
  <c r="AM161" i="1"/>
  <c r="AM158" i="1"/>
  <c r="AM171" i="1"/>
  <c r="AM289" i="1"/>
  <c r="AM151" i="1"/>
  <c r="AM182" i="1"/>
  <c r="AM196" i="1"/>
  <c r="AM205" i="1"/>
  <c r="AM169" i="1"/>
  <c r="AM146" i="1"/>
  <c r="AM177" i="1"/>
  <c r="AM191" i="1"/>
  <c r="AM218" i="1"/>
  <c r="AC292" i="1"/>
  <c r="AM154" i="1"/>
  <c r="AM184" i="1"/>
  <c r="AM198" i="1"/>
  <c r="AM213" i="1"/>
  <c r="AM264" i="1"/>
  <c r="AM212" i="1"/>
  <c r="AM268" i="1"/>
  <c r="AC289" i="1"/>
  <c r="AM293" i="1"/>
  <c r="AM215" i="1"/>
  <c r="AM277" i="1"/>
  <c r="AC295" i="1"/>
  <c r="AM325" i="1"/>
  <c r="AM210" i="1"/>
  <c r="AM288" i="1"/>
  <c r="AM266" i="1"/>
  <c r="AM302" i="1"/>
  <c r="AM290" i="1"/>
  <c r="AD336" i="1"/>
  <c r="AC327" i="1"/>
  <c r="AC328" i="1"/>
  <c r="AD320" i="1"/>
  <c r="AC330" i="1"/>
  <c r="AC369" i="1"/>
  <c r="AC373" i="1"/>
  <c r="AC357" i="1"/>
  <c r="AM370" i="1"/>
  <c r="AM377" i="1"/>
  <c r="AM369" i="1"/>
  <c r="AM357" i="1"/>
  <c r="AC384" i="1"/>
  <c r="AC372" i="1"/>
  <c r="AC361" i="1"/>
  <c r="AM70" i="1"/>
  <c r="AM62" i="1"/>
  <c r="AM66" i="1"/>
  <c r="AM65" i="1"/>
  <c r="AM130" i="1"/>
  <c r="AM110" i="1"/>
  <c r="AM134" i="1"/>
  <c r="AM102" i="1"/>
  <c r="AM77" i="1"/>
  <c r="AM100" i="1"/>
  <c r="AM104" i="1"/>
  <c r="AM112" i="1"/>
  <c r="AM137" i="1"/>
  <c r="AM117" i="1"/>
  <c r="AM16" i="1"/>
  <c r="AM99" i="1"/>
  <c r="AM73" i="1"/>
  <c r="AM76" i="1"/>
  <c r="AM98" i="1"/>
  <c r="AM107" i="1"/>
  <c r="AM95" i="1"/>
  <c r="AM101" i="1"/>
  <c r="AM103" i="1"/>
  <c r="AM118" i="1"/>
  <c r="AM75" i="1"/>
  <c r="AM96" i="1"/>
  <c r="AM109" i="1"/>
  <c r="AM131" i="1"/>
  <c r="AM116" i="1"/>
  <c r="AM125" i="1"/>
  <c r="AM108" i="1"/>
  <c r="AM129" i="1"/>
  <c r="AM113" i="1"/>
  <c r="AM138" i="1"/>
  <c r="AM87" i="1"/>
  <c r="AM82" i="1"/>
  <c r="AM94" i="1"/>
  <c r="AM85" i="1"/>
  <c r="AM97" i="1"/>
  <c r="AM111" i="1"/>
  <c r="AM79" i="1"/>
  <c r="AM84" i="1"/>
  <c r="AM92" i="1"/>
  <c r="AM132" i="1"/>
  <c r="AM127" i="1"/>
  <c r="AM140" i="1"/>
  <c r="AM120" i="1"/>
  <c r="AM124" i="1"/>
  <c r="AM83" i="1"/>
  <c r="AM86" i="1"/>
  <c r="AM89" i="1"/>
  <c r="AM74" i="1"/>
  <c r="AM115" i="1"/>
  <c r="AM78" i="1"/>
  <c r="AM90" i="1"/>
  <c r="AM123" i="1"/>
  <c r="AM128" i="1"/>
  <c r="AM81" i="1"/>
  <c r="AM93" i="1"/>
  <c r="AM105" i="1"/>
  <c r="AM91" i="1"/>
  <c r="AM80" i="1"/>
  <c r="AM88" i="1"/>
  <c r="AM142" i="1"/>
  <c r="AM121" i="1"/>
  <c r="AM136" i="1"/>
  <c r="AM114" i="1"/>
  <c r="AM139" i="1"/>
  <c r="AM119" i="1"/>
  <c r="AM58" i="1"/>
  <c r="AM60" i="1"/>
  <c r="AM41" i="1"/>
  <c r="AM47" i="1"/>
  <c r="AM57" i="1"/>
  <c r="AM59" i="1"/>
  <c r="AM30" i="1"/>
  <c r="AM21" i="1"/>
  <c r="AM29" i="1"/>
  <c r="AM26" i="1"/>
  <c r="AM18" i="1"/>
  <c r="AM33" i="1"/>
  <c r="AM56" i="1"/>
  <c r="AM52" i="1"/>
  <c r="AM36" i="1"/>
  <c r="AM61" i="1"/>
  <c r="AM72" i="1"/>
  <c r="AM46" i="1"/>
  <c r="AM71" i="1"/>
  <c r="AM27" i="1"/>
  <c r="AM45" i="1"/>
  <c r="AM35" i="1"/>
  <c r="AM28" i="1"/>
  <c r="AM48" i="1"/>
  <c r="AM17" i="1"/>
  <c r="AM51" i="1"/>
  <c r="AM22" i="1"/>
  <c r="AM19" i="1"/>
  <c r="AM53" i="1"/>
  <c r="AM40" i="1"/>
  <c r="AM20" i="1"/>
  <c r="AM25" i="1"/>
  <c r="AM32" i="1"/>
  <c r="AM55" i="1"/>
  <c r="AM43" i="1"/>
  <c r="AM67" i="1"/>
  <c r="AM42" i="1"/>
  <c r="AM23" i="1"/>
  <c r="AM49" i="1"/>
  <c r="AM37" i="1"/>
  <c r="AM24" i="1"/>
  <c r="AM34" i="1"/>
  <c r="AM31" i="1"/>
  <c r="AM54" i="1"/>
  <c r="AM50" i="1"/>
  <c r="AM44" i="1"/>
  <c r="AM69" i="1"/>
  <c r="AM68" i="1"/>
  <c r="AM39" i="1"/>
  <c r="AM64" i="1"/>
  <c r="AM38" i="1"/>
  <c r="AM63" i="1"/>
  <c r="I48" i="1" l="1"/>
  <c r="I111" i="1"/>
  <c r="I170" i="1"/>
  <c r="J189" i="1"/>
  <c r="I189" i="1" s="1"/>
  <c r="I193" i="1"/>
  <c r="I57" i="1"/>
  <c r="I203" i="1"/>
  <c r="I46" i="1"/>
  <c r="I206" i="1"/>
  <c r="I105" i="1"/>
  <c r="I195" i="1"/>
  <c r="R93" i="1"/>
  <c r="I49" i="1"/>
  <c r="AB83" i="1"/>
  <c r="AA83" i="1" s="1"/>
  <c r="R97" i="1"/>
  <c r="AB97" i="1"/>
  <c r="AA97" i="1" s="1"/>
  <c r="AB80" i="1"/>
  <c r="AA80" i="1" s="1"/>
  <c r="I68" i="1"/>
  <c r="H68" i="1" s="1"/>
  <c r="R80" i="1"/>
  <c r="I214" i="1"/>
  <c r="I72" i="1"/>
  <c r="H72" i="1" s="1"/>
  <c r="I205" i="1"/>
  <c r="AC66" i="1"/>
  <c r="I51" i="1"/>
  <c r="I221" i="1"/>
  <c r="I219" i="1"/>
  <c r="I25" i="1"/>
  <c r="I217" i="1"/>
  <c r="I213" i="1"/>
  <c r="I188" i="1"/>
  <c r="I40" i="1"/>
  <c r="I56" i="1"/>
  <c r="I177" i="1"/>
  <c r="I113" i="1"/>
  <c r="I186" i="1"/>
  <c r="I39" i="1"/>
  <c r="I34" i="1"/>
  <c r="I31" i="1"/>
  <c r="I215" i="1"/>
  <c r="I45" i="1"/>
  <c r="I171" i="1"/>
  <c r="I63" i="1"/>
  <c r="H63" i="1" s="1"/>
  <c r="I211" i="1"/>
  <c r="I28" i="1"/>
  <c r="I191" i="1"/>
  <c r="I74" i="1"/>
  <c r="I67" i="1"/>
  <c r="H67" i="1" s="1"/>
  <c r="I202" i="1"/>
  <c r="I184" i="1"/>
  <c r="I181" i="1"/>
  <c r="I29" i="1"/>
  <c r="I20" i="1"/>
  <c r="I19" i="1"/>
  <c r="I197" i="1"/>
  <c r="I21" i="1"/>
  <c r="I22" i="1"/>
  <c r="I52" i="1"/>
  <c r="I115" i="1"/>
  <c r="I209" i="1"/>
  <c r="I196" i="1"/>
  <c r="I18" i="1"/>
  <c r="I185" i="1"/>
  <c r="I204" i="1"/>
  <c r="I218" i="1"/>
  <c r="I35" i="1"/>
  <c r="I192" i="1"/>
  <c r="I182" i="1"/>
  <c r="I23" i="1"/>
  <c r="I175" i="1"/>
  <c r="I183" i="1"/>
  <c r="I37" i="1"/>
  <c r="I38" i="1"/>
  <c r="I199" i="1"/>
  <c r="I24" i="1"/>
  <c r="I32" i="1"/>
  <c r="I190" i="1"/>
  <c r="I54" i="1"/>
  <c r="I26" i="1"/>
  <c r="I173" i="1"/>
  <c r="I220" i="1"/>
  <c r="I194" i="1"/>
  <c r="I41" i="1"/>
  <c r="I207" i="1"/>
  <c r="I176" i="1"/>
  <c r="I208" i="1"/>
  <c r="I30" i="1"/>
  <c r="I61" i="1"/>
  <c r="H61" i="1" s="1"/>
  <c r="I17" i="1"/>
  <c r="I200" i="1"/>
  <c r="I44" i="1"/>
  <c r="I43" i="1"/>
  <c r="I198" i="1"/>
  <c r="I66" i="1"/>
  <c r="H66" i="1" s="1"/>
  <c r="I174" i="1"/>
  <c r="I33" i="1"/>
  <c r="I58" i="1"/>
  <c r="H58" i="1" s="1"/>
  <c r="I112" i="1"/>
  <c r="I16" i="1"/>
  <c r="I210" i="1"/>
  <c r="AC61" i="1"/>
  <c r="AB87" i="1"/>
  <c r="AA87" i="1" s="1"/>
  <c r="R87" i="1"/>
  <c r="R83" i="1"/>
  <c r="R69" i="1"/>
  <c r="R66" i="1"/>
  <c r="AC75" i="1"/>
  <c r="AA75" i="1" s="1"/>
  <c r="AB95" i="1"/>
  <c r="AA95" i="1" s="1"/>
  <c r="R72" i="1"/>
  <c r="AC62" i="1"/>
  <c r="AB58" i="1"/>
  <c r="R95" i="1"/>
  <c r="AC69" i="1"/>
  <c r="AB66" i="1"/>
  <c r="R96" i="1"/>
  <c r="AC68" i="1"/>
  <c r="AC58" i="1"/>
  <c r="R73" i="1"/>
  <c r="AC73" i="1"/>
  <c r="AA73" i="1" s="1"/>
  <c r="R68" i="1"/>
  <c r="AC67" i="1"/>
  <c r="R59" i="1"/>
  <c r="R67" i="1"/>
  <c r="AB96" i="1"/>
  <c r="AA96" i="1" s="1"/>
  <c r="AB68" i="1"/>
  <c r="AB84" i="1"/>
  <c r="AA84" i="1" s="1"/>
  <c r="AB59" i="1"/>
  <c r="AA59" i="1" s="1"/>
  <c r="AB67" i="1"/>
  <c r="R84" i="1"/>
  <c r="AC72" i="1"/>
  <c r="AB64" i="1"/>
  <c r="AA64" i="1" s="1"/>
  <c r="J82" i="1"/>
  <c r="I82" i="1" s="1"/>
  <c r="AB98" i="1"/>
  <c r="AA98" i="1" s="1"/>
  <c r="R81" i="1"/>
  <c r="K59" i="1"/>
  <c r="I59" i="1" s="1"/>
  <c r="AB81" i="1"/>
  <c r="AA81" i="1" s="1"/>
  <c r="AB72" i="1"/>
  <c r="AC74" i="1"/>
  <c r="J73" i="1"/>
  <c r="I73" i="1" s="1"/>
  <c r="R98" i="1"/>
  <c r="AB100" i="1"/>
  <c r="AA100" i="1" s="1"/>
  <c r="J102" i="1"/>
  <c r="I102" i="1" s="1"/>
  <c r="R76" i="1"/>
  <c r="R74" i="1"/>
  <c r="R61" i="1"/>
  <c r="AB74" i="1"/>
  <c r="J76" i="1"/>
  <c r="I76" i="1" s="1"/>
  <c r="K65" i="1"/>
  <c r="AB91" i="1"/>
  <c r="AA91" i="1" s="1"/>
  <c r="J103" i="1"/>
  <c r="I103" i="1" s="1"/>
  <c r="R89" i="1"/>
  <c r="AB61" i="1"/>
  <c r="AC63" i="1"/>
  <c r="AB70" i="1"/>
  <c r="AA70" i="1" s="1"/>
  <c r="R102" i="1"/>
  <c r="R100" i="1"/>
  <c r="AC60" i="1"/>
  <c r="AA60" i="1" s="1"/>
  <c r="R82" i="1"/>
  <c r="R62" i="1"/>
  <c r="R58" i="1"/>
  <c r="R65" i="1"/>
  <c r="Z160" i="1"/>
  <c r="Q160" i="1" s="1"/>
  <c r="K70" i="1"/>
  <c r="I70" i="1" s="1"/>
  <c r="J69" i="1"/>
  <c r="I69" i="1" s="1"/>
  <c r="J62" i="1"/>
  <c r="I62" i="1" s="1"/>
  <c r="R91" i="1"/>
  <c r="AB69" i="1"/>
  <c r="J90" i="1"/>
  <c r="I90" i="1" s="1"/>
  <c r="J65" i="1"/>
  <c r="AB79" i="1"/>
  <c r="AA79" i="1" s="1"/>
  <c r="R94" i="1"/>
  <c r="R85" i="1"/>
  <c r="J75" i="1"/>
  <c r="I75" i="1" s="1"/>
  <c r="J94" i="1"/>
  <c r="I94" i="1" s="1"/>
  <c r="Z150" i="1"/>
  <c r="Q150" i="1" s="1"/>
  <c r="I150" i="1" s="1"/>
  <c r="R101" i="1"/>
  <c r="AB85" i="1"/>
  <c r="AA85" i="1" s="1"/>
  <c r="J79" i="1"/>
  <c r="I79" i="1" s="1"/>
  <c r="R70" i="1"/>
  <c r="Z147" i="1"/>
  <c r="Q147" i="1" s="1"/>
  <c r="I147" i="1" s="1"/>
  <c r="Z152" i="1"/>
  <c r="AI152" i="1" s="1"/>
  <c r="R88" i="1"/>
  <c r="J92" i="1"/>
  <c r="I92" i="1" s="1"/>
  <c r="J89" i="1"/>
  <c r="I89" i="1" s="1"/>
  <c r="Z146" i="1"/>
  <c r="Q146" i="1" s="1"/>
  <c r="Z169" i="1"/>
  <c r="AI169" i="1" s="1"/>
  <c r="AB71" i="1"/>
  <c r="AA71" i="1" s="1"/>
  <c r="K71" i="1"/>
  <c r="I71" i="1" s="1"/>
  <c r="R75" i="1"/>
  <c r="AB88" i="1"/>
  <c r="AA88" i="1" s="1"/>
  <c r="J86" i="1"/>
  <c r="I86" i="1" s="1"/>
  <c r="Z145" i="1"/>
  <c r="Q145" i="1" s="1"/>
  <c r="Z167" i="1"/>
  <c r="Q167" i="1" s="1"/>
  <c r="I167" i="1" s="1"/>
  <c r="AB99" i="1"/>
  <c r="AA99" i="1" s="1"/>
  <c r="Z149" i="1"/>
  <c r="R149" i="1" s="1"/>
  <c r="R90" i="1"/>
  <c r="AB86" i="1"/>
  <c r="AA86" i="1" s="1"/>
  <c r="R99" i="1"/>
  <c r="J77" i="1"/>
  <c r="I77" i="1" s="1"/>
  <c r="J60" i="1"/>
  <c r="I60" i="1" s="1"/>
  <c r="Z154" i="1"/>
  <c r="Q154" i="1" s="1"/>
  <c r="J78" i="1"/>
  <c r="I78" i="1" s="1"/>
  <c r="R71" i="1"/>
  <c r="R77" i="1"/>
  <c r="R60" i="1"/>
  <c r="Z144" i="1"/>
  <c r="Q144" i="1" s="1"/>
  <c r="I144" i="1" s="1"/>
  <c r="Z148" i="1"/>
  <c r="Q148" i="1" s="1"/>
  <c r="I148" i="1" s="1"/>
  <c r="AB101" i="1"/>
  <c r="AA101" i="1" s="1"/>
  <c r="Z157" i="1"/>
  <c r="AI157" i="1" s="1"/>
  <c r="R78" i="1"/>
  <c r="Z158" i="1"/>
  <c r="Q158" i="1" s="1"/>
  <c r="I158" i="1" s="1"/>
  <c r="R63" i="1"/>
  <c r="R92" i="1"/>
  <c r="Z166" i="1"/>
  <c r="AI166" i="1" s="1"/>
  <c r="Z155" i="1"/>
  <c r="Q155" i="1" s="1"/>
  <c r="R64" i="1"/>
  <c r="AB62" i="1"/>
  <c r="AB103" i="1"/>
  <c r="AA103" i="1" s="1"/>
  <c r="AB63" i="1"/>
  <c r="K64" i="1"/>
  <c r="I64" i="1" s="1"/>
  <c r="Z151" i="1"/>
  <c r="Q151" i="1" s="1"/>
  <c r="I151" i="1" s="1"/>
  <c r="Z164" i="1"/>
  <c r="R164" i="1" s="1"/>
  <c r="Z161" i="1"/>
  <c r="AI161" i="1" s="1"/>
  <c r="AB149" i="1"/>
  <c r="AB148" i="1"/>
  <c r="AB167" i="1"/>
  <c r="AB152" i="1"/>
  <c r="AB161" i="1"/>
  <c r="AB166" i="1"/>
  <c r="AB151" i="1"/>
  <c r="J155" i="1"/>
  <c r="J146" i="1"/>
  <c r="J169" i="1"/>
  <c r="AB147" i="1"/>
  <c r="AB157" i="1"/>
  <c r="AB144" i="1"/>
  <c r="J164" i="1"/>
  <c r="J145" i="1"/>
  <c r="AB158" i="1"/>
  <c r="J154" i="1"/>
  <c r="J160" i="1"/>
  <c r="AB43" i="1"/>
  <c r="AB35" i="1"/>
  <c r="AB51" i="1"/>
  <c r="AB39" i="1"/>
  <c r="AB114" i="1"/>
  <c r="J114" i="1"/>
  <c r="I114" i="1" s="1"/>
  <c r="AB110" i="1"/>
  <c r="J110" i="1"/>
  <c r="I110" i="1" s="1"/>
  <c r="AB108" i="1"/>
  <c r="J108" i="1"/>
  <c r="I108" i="1" s="1"/>
  <c r="AB55" i="1"/>
  <c r="J55" i="1"/>
  <c r="I55" i="1" s="1"/>
  <c r="AB47" i="1"/>
  <c r="J47" i="1"/>
  <c r="I47" i="1" s="1"/>
  <c r="J179" i="1"/>
  <c r="I179" i="1" s="1"/>
  <c r="H464" i="1"/>
  <c r="H458" i="1"/>
  <c r="H466" i="1"/>
  <c r="H463" i="1"/>
  <c r="H470" i="1"/>
  <c r="H467" i="1"/>
  <c r="H457" i="1"/>
  <c r="J491" i="1" s="1" a="1"/>
  <c r="J491" i="1" s="1"/>
  <c r="H472" i="1"/>
  <c r="H471" i="1"/>
  <c r="H462" i="1"/>
  <c r="H465" i="1"/>
  <c r="H473" i="1"/>
  <c r="H576" i="1"/>
  <c r="J600" i="1" s="1" a="1"/>
  <c r="J600" i="1" s="1"/>
  <c r="H600" i="1" s="1"/>
  <c r="H575" i="1"/>
  <c r="J599" i="1" s="1" a="1"/>
  <c r="J599" i="1" s="1"/>
  <c r="H599" i="1" s="1"/>
  <c r="H577" i="1"/>
  <c r="J601" i="1" s="1" a="1"/>
  <c r="J601" i="1" s="1"/>
  <c r="H601" i="1" s="1"/>
  <c r="H579" i="1"/>
  <c r="J603" i="1" s="1" a="1"/>
  <c r="J603" i="1" s="1"/>
  <c r="H603" i="1" s="1"/>
  <c r="H580" i="1"/>
  <c r="J604" i="1" s="1" a="1"/>
  <c r="J604" i="1" s="1"/>
  <c r="H604" i="1" s="1"/>
  <c r="H574" i="1"/>
  <c r="J598" i="1" s="1" a="1"/>
  <c r="J598" i="1" s="1"/>
  <c r="H598" i="1" s="1"/>
  <c r="H578" i="1"/>
  <c r="J602" i="1" s="1" a="1"/>
  <c r="J602" i="1" s="1"/>
  <c r="H602" i="1" s="1"/>
  <c r="H573" i="1"/>
  <c r="J597" i="1" s="1" a="1"/>
  <c r="J597" i="1" s="1"/>
  <c r="H597" i="1" s="1"/>
  <c r="H447" i="1"/>
  <c r="H469" i="1"/>
  <c r="H434" i="1"/>
  <c r="H443" i="1"/>
  <c r="H439" i="1"/>
  <c r="H449" i="1"/>
  <c r="H461" i="1"/>
  <c r="H460" i="1"/>
  <c r="H468" i="1"/>
  <c r="H421" i="1"/>
  <c r="H424" i="1"/>
  <c r="H425" i="1"/>
  <c r="H456" i="1"/>
  <c r="H429" i="1"/>
  <c r="H422" i="1"/>
  <c r="H423" i="1"/>
  <c r="H453" i="1"/>
  <c r="H433" i="1"/>
  <c r="H442" i="1"/>
  <c r="H427" i="1"/>
  <c r="H438" i="1"/>
  <c r="H437" i="1"/>
  <c r="H426" i="1"/>
  <c r="H455" i="1"/>
  <c r="H440" i="1"/>
  <c r="H441" i="1"/>
  <c r="H430" i="1"/>
  <c r="H451" i="1"/>
  <c r="H450" i="1"/>
  <c r="H435" i="1"/>
  <c r="H445" i="1"/>
  <c r="X120" i="1"/>
  <c r="O120" i="1" s="1"/>
  <c r="H545" i="1"/>
  <c r="H550" i="1"/>
  <c r="H548" i="1"/>
  <c r="H552" i="1"/>
  <c r="H551" i="1"/>
  <c r="H556" i="1"/>
  <c r="H547" i="1"/>
  <c r="H555" i="1"/>
  <c r="H459" i="1"/>
  <c r="H546" i="1"/>
  <c r="H549" i="1"/>
  <c r="H553" i="1"/>
  <c r="H554" i="1"/>
  <c r="X124" i="1"/>
  <c r="O124" i="1" s="1"/>
  <c r="Y138" i="1"/>
  <c r="P138" i="1" s="1"/>
  <c r="Y130" i="1"/>
  <c r="P130" i="1" s="1"/>
  <c r="X130" i="1"/>
  <c r="O130" i="1" s="1"/>
  <c r="Y139" i="1"/>
  <c r="P139" i="1" s="1"/>
  <c r="W130" i="1"/>
  <c r="N130" i="1" s="1"/>
  <c r="X138" i="1"/>
  <c r="O138" i="1" s="1"/>
  <c r="Y120" i="1"/>
  <c r="P120" i="1" s="1"/>
  <c r="W138" i="1"/>
  <c r="N138" i="1" s="1"/>
  <c r="W120" i="1"/>
  <c r="N120" i="1" s="1"/>
  <c r="Y124" i="1"/>
  <c r="P124" i="1" s="1"/>
  <c r="W131" i="1"/>
  <c r="N131" i="1" s="1"/>
  <c r="W124" i="1"/>
  <c r="N124" i="1" s="1"/>
  <c r="Y131" i="1"/>
  <c r="P131" i="1" s="1"/>
  <c r="X131" i="1"/>
  <c r="O131" i="1" s="1"/>
  <c r="W139" i="1"/>
  <c r="N139" i="1" s="1"/>
  <c r="X139" i="1"/>
  <c r="O139" i="1" s="1"/>
  <c r="H509" i="1"/>
  <c r="J533" i="1" s="1" a="1"/>
  <c r="J533" i="1" s="1"/>
  <c r="H533" i="1" s="1"/>
  <c r="H508" i="1"/>
  <c r="J532" i="1" s="1" a="1"/>
  <c r="J532" i="1" s="1"/>
  <c r="H532" i="1" s="1"/>
  <c r="H514" i="1"/>
  <c r="J538" i="1" s="1" a="1"/>
  <c r="J538" i="1" s="1"/>
  <c r="H538" i="1" s="1"/>
  <c r="H513" i="1"/>
  <c r="J537" i="1" s="1" a="1"/>
  <c r="J537" i="1" s="1"/>
  <c r="H537" i="1" s="1"/>
  <c r="H510" i="1"/>
  <c r="J534" i="1" s="1" a="1"/>
  <c r="J534" i="1" s="1"/>
  <c r="H534" i="1" s="1"/>
  <c r="H519" i="1"/>
  <c r="J543" i="1" s="1" a="1"/>
  <c r="J543" i="1" s="1"/>
  <c r="H543" i="1" s="1"/>
  <c r="H517" i="1"/>
  <c r="J541" i="1" s="1" a="1"/>
  <c r="J541" i="1" s="1"/>
  <c r="H541" i="1" s="1"/>
  <c r="H512" i="1"/>
  <c r="J536" i="1" s="1" a="1"/>
  <c r="J536" i="1" s="1"/>
  <c r="H536" i="1" s="1"/>
  <c r="H511" i="1"/>
  <c r="J535" i="1" s="1" a="1"/>
  <c r="J535" i="1" s="1"/>
  <c r="H535" i="1" s="1"/>
  <c r="H515" i="1"/>
  <c r="J539" i="1" s="1" a="1"/>
  <c r="J539" i="1" s="1"/>
  <c r="H539" i="1" s="1"/>
  <c r="H516" i="1"/>
  <c r="J540" i="1" s="1" a="1"/>
  <c r="J540" i="1" s="1"/>
  <c r="H540" i="1" s="1"/>
  <c r="H518" i="1"/>
  <c r="J542" i="1" s="1" a="1"/>
  <c r="J542" i="1" s="1"/>
  <c r="H542" i="1" s="1"/>
  <c r="AB216" i="1"/>
  <c r="AB208" i="1"/>
  <c r="AB204" i="1"/>
  <c r="AB220" i="1"/>
  <c r="AB212" i="1"/>
  <c r="AB181" i="1"/>
  <c r="AB173" i="1"/>
  <c r="AB185" i="1"/>
  <c r="AB174" i="1"/>
  <c r="AB177" i="1"/>
  <c r="AB182" i="1"/>
  <c r="AB116" i="1"/>
  <c r="AB117" i="1"/>
  <c r="AB123" i="1"/>
  <c r="AB134" i="1"/>
  <c r="AB128" i="1"/>
  <c r="AB119" i="1"/>
  <c r="AB121" i="1"/>
  <c r="AB137" i="1"/>
  <c r="AB127" i="1"/>
  <c r="AB139" i="1"/>
  <c r="AB136" i="1"/>
  <c r="AB131" i="1"/>
  <c r="AB120" i="1"/>
  <c r="AB125" i="1"/>
  <c r="AB132" i="1"/>
  <c r="AB138" i="1"/>
  <c r="AB124" i="1"/>
  <c r="AB130" i="1"/>
  <c r="AB142" i="1"/>
  <c r="AB140" i="1"/>
  <c r="AB118" i="1"/>
  <c r="AB129" i="1"/>
  <c r="H610" i="1"/>
  <c r="J642" i="1" s="1" a="1"/>
  <c r="J642" i="1" s="1"/>
  <c r="H642" i="1" s="1"/>
  <c r="H611" i="1"/>
  <c r="J643" i="1" s="1" a="1"/>
  <c r="J643" i="1" s="1"/>
  <c r="H643" i="1" s="1"/>
  <c r="H616" i="1"/>
  <c r="J648" i="1" s="1" a="1"/>
  <c r="J648" i="1" s="1"/>
  <c r="H648" i="1" s="1"/>
  <c r="H621" i="1"/>
  <c r="J653" i="1" s="1" a="1"/>
  <c r="J653" i="1" s="1"/>
  <c r="H653" i="1" s="1"/>
  <c r="H619" i="1"/>
  <c r="J651" i="1" s="1" a="1"/>
  <c r="J651" i="1" s="1"/>
  <c r="H651" i="1" s="1"/>
  <c r="H617" i="1"/>
  <c r="J649" i="1" s="1" a="1"/>
  <c r="J649" i="1" s="1"/>
  <c r="H649" i="1" s="1"/>
  <c r="H608" i="1"/>
  <c r="J640" i="1" s="1" a="1"/>
  <c r="J640" i="1" s="1"/>
  <c r="H640" i="1" s="1"/>
  <c r="H613" i="1"/>
  <c r="J645" i="1" s="1" a="1"/>
  <c r="J645" i="1" s="1"/>
  <c r="H645" i="1" s="1"/>
  <c r="H623" i="1"/>
  <c r="J655" i="1" s="1" a="1"/>
  <c r="J655" i="1" s="1"/>
  <c r="H655" i="1" s="1"/>
  <c r="AA578" i="1"/>
  <c r="AA580" i="1"/>
  <c r="AA579" i="1"/>
  <c r="AA577" i="1"/>
  <c r="AA575" i="1"/>
  <c r="AA576" i="1"/>
  <c r="AA574" i="1"/>
  <c r="AA573" i="1"/>
  <c r="AB18" i="1"/>
  <c r="AB28" i="1"/>
  <c r="AB20" i="1"/>
  <c r="AB27" i="1"/>
  <c r="AB33" i="1"/>
  <c r="AB26" i="1"/>
  <c r="AB31" i="1"/>
  <c r="AB30" i="1"/>
  <c r="AB25" i="1"/>
  <c r="AB23" i="1"/>
  <c r="AB29" i="1"/>
  <c r="AB22" i="1"/>
  <c r="AB17" i="1"/>
  <c r="AB32" i="1"/>
  <c r="AB24" i="1"/>
  <c r="AB21" i="1"/>
  <c r="AB19" i="1"/>
  <c r="R208" i="1"/>
  <c r="AB16" i="1"/>
  <c r="AC16" i="1" s="1"/>
  <c r="AD16" i="1" s="1"/>
  <c r="AE16" i="1" s="1"/>
  <c r="AF16" i="1" s="1"/>
  <c r="R47" i="1"/>
  <c r="R55" i="1"/>
  <c r="R216" i="1"/>
  <c r="AA65" i="1"/>
  <c r="R114" i="1"/>
  <c r="R51" i="1"/>
  <c r="R43" i="1"/>
  <c r="R39" i="1"/>
  <c r="R182" i="1"/>
  <c r="R174" i="1"/>
  <c r="R212" i="1"/>
  <c r="R177" i="1"/>
  <c r="R181" i="1"/>
  <c r="AB302" i="1"/>
  <c r="AA302" i="1" s="1"/>
  <c r="R302" i="1"/>
  <c r="AB277" i="1"/>
  <c r="R277" i="1"/>
  <c r="R264" i="1"/>
  <c r="AB264" i="1"/>
  <c r="AB372" i="1"/>
  <c r="AA372" i="1" s="1"/>
  <c r="R372" i="1"/>
  <c r="AB321" i="1"/>
  <c r="AA321" i="1" s="1"/>
  <c r="R321" i="1"/>
  <c r="AB274" i="1"/>
  <c r="R274" i="1"/>
  <c r="AB361" i="1"/>
  <c r="AA361" i="1" s="1"/>
  <c r="R361" i="1"/>
  <c r="AB328" i="1"/>
  <c r="AA328" i="1" s="1"/>
  <c r="AB327" i="1"/>
  <c r="AA327" i="1" s="1"/>
  <c r="R327" i="1"/>
  <c r="AB319" i="1"/>
  <c r="AA319" i="1" s="1"/>
  <c r="R319" i="1"/>
  <c r="AB295" i="1"/>
  <c r="AA295" i="1" s="1"/>
  <c r="R295" i="1"/>
  <c r="AB267" i="1"/>
  <c r="R267" i="1"/>
  <c r="AB198" i="1"/>
  <c r="R198" i="1"/>
  <c r="AB42" i="1"/>
  <c r="R42" i="1"/>
  <c r="AA461" i="1"/>
  <c r="R214" i="1"/>
  <c r="AB214" i="1"/>
  <c r="AB219" i="1"/>
  <c r="R219" i="1"/>
  <c r="AB115" i="1"/>
  <c r="R115" i="1"/>
  <c r="R107" i="1"/>
  <c r="AB107" i="1"/>
  <c r="R53" i="1"/>
  <c r="AB53" i="1"/>
  <c r="AB207" i="1"/>
  <c r="R207" i="1"/>
  <c r="AB176" i="1"/>
  <c r="R176" i="1"/>
  <c r="AB175" i="1"/>
  <c r="R175" i="1"/>
  <c r="AB52" i="1"/>
  <c r="R52" i="1"/>
  <c r="R193" i="1"/>
  <c r="AB193" i="1"/>
  <c r="AB221" i="1"/>
  <c r="R221" i="1"/>
  <c r="AB57" i="1"/>
  <c r="R57" i="1"/>
  <c r="AB46" i="1"/>
  <c r="R46" i="1"/>
  <c r="AA470" i="1"/>
  <c r="AB187" i="1"/>
  <c r="R187" i="1"/>
  <c r="R173" i="1"/>
  <c r="AB109" i="1"/>
  <c r="R109" i="1"/>
  <c r="R369" i="1"/>
  <c r="AB369" i="1"/>
  <c r="AA369" i="1" s="1"/>
  <c r="AB266" i="1"/>
  <c r="R266" i="1"/>
  <c r="AB293" i="1"/>
  <c r="AA293" i="1" s="1"/>
  <c r="R293" i="1"/>
  <c r="R371" i="1"/>
  <c r="AB371" i="1"/>
  <c r="AA371" i="1" s="1"/>
  <c r="AB271" i="1"/>
  <c r="R271" i="1"/>
  <c r="AB261" i="1"/>
  <c r="R261" i="1"/>
  <c r="R275" i="1"/>
  <c r="AB275" i="1"/>
  <c r="AB330" i="1"/>
  <c r="AA330" i="1" s="1"/>
  <c r="R330" i="1"/>
  <c r="R279" i="1"/>
  <c r="AB279" i="1"/>
  <c r="R373" i="1"/>
  <c r="AB373" i="1"/>
  <c r="AA373" i="1" s="1"/>
  <c r="AB356" i="1"/>
  <c r="AA356" i="1" s="1"/>
  <c r="R356" i="1"/>
  <c r="AB359" i="1"/>
  <c r="AA359" i="1" s="1"/>
  <c r="R359" i="1"/>
  <c r="AB336" i="1"/>
  <c r="AA336" i="1" s="1"/>
  <c r="AB334" i="1"/>
  <c r="AA334" i="1" s="1"/>
  <c r="R334" i="1"/>
  <c r="AB301" i="1"/>
  <c r="AA301" i="1" s="1"/>
  <c r="R301" i="1"/>
  <c r="AB280" i="1"/>
  <c r="R280" i="1"/>
  <c r="AB263" i="1"/>
  <c r="R263" i="1"/>
  <c r="R210" i="1"/>
  <c r="AB210" i="1"/>
  <c r="AB184" i="1"/>
  <c r="R184" i="1"/>
  <c r="R35" i="1"/>
  <c r="R218" i="1"/>
  <c r="AB218" i="1"/>
  <c r="AB191" i="1"/>
  <c r="R191" i="1"/>
  <c r="AB171" i="1"/>
  <c r="R171" i="1"/>
  <c r="R108" i="1"/>
  <c r="AB201" i="1"/>
  <c r="R201" i="1"/>
  <c r="AB209" i="1"/>
  <c r="R209" i="1"/>
  <c r="R217" i="1"/>
  <c r="AB217" i="1"/>
  <c r="AA458" i="1"/>
  <c r="R204" i="1"/>
  <c r="R110" i="1"/>
  <c r="AB200" i="1"/>
  <c r="R200" i="1"/>
  <c r="R206" i="1"/>
  <c r="AB206" i="1"/>
  <c r="R220" i="1"/>
  <c r="AB56" i="1"/>
  <c r="R56" i="1"/>
  <c r="AB192" i="1"/>
  <c r="R192" i="1"/>
  <c r="AB112" i="1"/>
  <c r="R112" i="1"/>
  <c r="AB45" i="1"/>
  <c r="R45" i="1"/>
  <c r="R189" i="1"/>
  <c r="AB189" i="1"/>
  <c r="AB290" i="1"/>
  <c r="AA290" i="1" s="1"/>
  <c r="R290" i="1"/>
  <c r="AB325" i="1"/>
  <c r="AA325" i="1" s="1"/>
  <c r="R325" i="1"/>
  <c r="AB289" i="1"/>
  <c r="AA289" i="1" s="1"/>
  <c r="AB322" i="1"/>
  <c r="AA322" i="1" s="1"/>
  <c r="R322" i="1"/>
  <c r="AB324" i="1"/>
  <c r="AA324" i="1" s="1"/>
  <c r="R324" i="1"/>
  <c r="R286" i="1"/>
  <c r="AB286" i="1"/>
  <c r="AB326" i="1"/>
  <c r="AA326" i="1" s="1"/>
  <c r="AB284" i="1"/>
  <c r="R284" i="1"/>
  <c r="AB376" i="1"/>
  <c r="AA376" i="1" s="1"/>
  <c r="R376" i="1"/>
  <c r="AB278" i="1"/>
  <c r="R278" i="1"/>
  <c r="AB273" i="1"/>
  <c r="R273" i="1"/>
  <c r="AB320" i="1"/>
  <c r="AA320" i="1" s="1"/>
  <c r="R320" i="1"/>
  <c r="AB50" i="1"/>
  <c r="R50" i="1"/>
  <c r="AB111" i="1"/>
  <c r="R111" i="1"/>
  <c r="AB196" i="1"/>
  <c r="R196" i="1"/>
  <c r="AB49" i="1"/>
  <c r="R49" i="1"/>
  <c r="AA465" i="1"/>
  <c r="AA463" i="1"/>
  <c r="AA459" i="1"/>
  <c r="AB203" i="1"/>
  <c r="R203" i="1"/>
  <c r="AB170" i="1"/>
  <c r="R170" i="1"/>
  <c r="AB113" i="1"/>
  <c r="R113" i="1"/>
  <c r="AB48" i="1"/>
  <c r="R48" i="1"/>
  <c r="AB54" i="1"/>
  <c r="R54" i="1"/>
  <c r="AB188" i="1"/>
  <c r="R188" i="1"/>
  <c r="R37" i="1"/>
  <c r="AB37" i="1"/>
  <c r="AA471" i="1"/>
  <c r="AA467" i="1"/>
  <c r="AA473" i="1"/>
  <c r="R202" i="1"/>
  <c r="AB202" i="1"/>
  <c r="R185" i="1"/>
  <c r="AB105" i="1"/>
  <c r="R105" i="1"/>
  <c r="AB36" i="1"/>
  <c r="R36" i="1"/>
  <c r="AB41" i="1"/>
  <c r="R41" i="1"/>
  <c r="AA466" i="1"/>
  <c r="AA462" i="1"/>
  <c r="AB194" i="1"/>
  <c r="R194" i="1"/>
  <c r="AB178" i="1"/>
  <c r="R178" i="1"/>
  <c r="R34" i="1"/>
  <c r="AB34" i="1"/>
  <c r="AB357" i="1"/>
  <c r="AA357" i="1" s="1"/>
  <c r="R357" i="1"/>
  <c r="R377" i="1"/>
  <c r="AB377" i="1"/>
  <c r="AA377" i="1" s="1"/>
  <c r="AB370" i="1"/>
  <c r="AA370" i="1" s="1"/>
  <c r="R370" i="1"/>
  <c r="AB288" i="1"/>
  <c r="R288" i="1"/>
  <c r="AB268" i="1"/>
  <c r="R268" i="1"/>
  <c r="AB360" i="1"/>
  <c r="AA360" i="1" s="1"/>
  <c r="R360" i="1"/>
  <c r="AB282" i="1"/>
  <c r="R282" i="1"/>
  <c r="AB300" i="1"/>
  <c r="AA300" i="1" s="1"/>
  <c r="R300" i="1"/>
  <c r="R362" i="1"/>
  <c r="AB362" i="1"/>
  <c r="AA362" i="1" s="1"/>
  <c r="R385" i="1"/>
  <c r="AB385" i="1"/>
  <c r="AA385" i="1" s="1"/>
  <c r="AB355" i="1"/>
  <c r="AA355" i="1" s="1"/>
  <c r="R355" i="1"/>
  <c r="AB332" i="1"/>
  <c r="AA332" i="1" s="1"/>
  <c r="AB276" i="1"/>
  <c r="R276" i="1"/>
  <c r="AB384" i="1"/>
  <c r="AA384" i="1" s="1"/>
  <c r="R384" i="1"/>
  <c r="AB259" i="1"/>
  <c r="R259" i="1"/>
  <c r="AB292" i="1"/>
  <c r="AA292" i="1" s="1"/>
  <c r="R292" i="1"/>
  <c r="AB269" i="1"/>
  <c r="R269" i="1"/>
  <c r="AA469" i="1"/>
  <c r="AA457" i="1"/>
  <c r="AB215" i="1"/>
  <c r="R215" i="1"/>
  <c r="AB213" i="1"/>
  <c r="R213" i="1"/>
  <c r="AB44" i="1"/>
  <c r="R44" i="1"/>
  <c r="AB205" i="1"/>
  <c r="R205" i="1"/>
  <c r="AA464" i="1"/>
  <c r="AB172" i="1"/>
  <c r="R172" i="1"/>
  <c r="R197" i="1"/>
  <c r="AB197" i="1"/>
  <c r="R195" i="1"/>
  <c r="AB195" i="1"/>
  <c r="AB186" i="1"/>
  <c r="R186" i="1"/>
  <c r="AB183" i="1"/>
  <c r="R183" i="1"/>
  <c r="AA468" i="1"/>
  <c r="AA460" i="1"/>
  <c r="AA472" i="1"/>
  <c r="AB190" i="1"/>
  <c r="R190" i="1"/>
  <c r="AB199" i="1"/>
  <c r="R199" i="1"/>
  <c r="AB104" i="1"/>
  <c r="R104" i="1"/>
  <c r="AB211" i="1"/>
  <c r="R211" i="1"/>
  <c r="AB180" i="1"/>
  <c r="R180" i="1"/>
  <c r="AB38" i="1"/>
  <c r="R38" i="1"/>
  <c r="AB40" i="1"/>
  <c r="R40" i="1"/>
  <c r="AB179" i="1"/>
  <c r="R179" i="1"/>
  <c r="AD264" i="1"/>
  <c r="AD276" i="1"/>
  <c r="AC198" i="1"/>
  <c r="AC158" i="1"/>
  <c r="AC218" i="1"/>
  <c r="AC149" i="1"/>
  <c r="AC147" i="1"/>
  <c r="AC196" i="1"/>
  <c r="AC182" i="1"/>
  <c r="AD171" i="1"/>
  <c r="AC282" i="1"/>
  <c r="AC269" i="1"/>
  <c r="AC280" i="1"/>
  <c r="AC219" i="1"/>
  <c r="AD172" i="1"/>
  <c r="AD197" i="1"/>
  <c r="AC164" i="1"/>
  <c r="AC263" i="1"/>
  <c r="AD275" i="1"/>
  <c r="AC207" i="1"/>
  <c r="AD266" i="1"/>
  <c r="AC204" i="1"/>
  <c r="AD190" i="1"/>
  <c r="AC199" i="1"/>
  <c r="AD174" i="1"/>
  <c r="AC169" i="1"/>
  <c r="AD180" i="1"/>
  <c r="AD187" i="1"/>
  <c r="AC220" i="1"/>
  <c r="AD173" i="1"/>
  <c r="AD179" i="1"/>
  <c r="AD178" i="1"/>
  <c r="AC274" i="1"/>
  <c r="AC264" i="1"/>
  <c r="AC215" i="1"/>
  <c r="AD184" i="1"/>
  <c r="AC191" i="1"/>
  <c r="AC205" i="1"/>
  <c r="AD282" i="1"/>
  <c r="AD280" i="1"/>
  <c r="AD170" i="1"/>
  <c r="AC197" i="1"/>
  <c r="AC277" i="1"/>
  <c r="AC201" i="1"/>
  <c r="AC181" i="1"/>
  <c r="AC217" i="1"/>
  <c r="AD194" i="1"/>
  <c r="AD284" i="1"/>
  <c r="AC202" i="1"/>
  <c r="AC275" i="1"/>
  <c r="AC288" i="1"/>
  <c r="AC273" i="1"/>
  <c r="AC267" i="1"/>
  <c r="AD175" i="1"/>
  <c r="AD185" i="1"/>
  <c r="AC160" i="1"/>
  <c r="AD193" i="1"/>
  <c r="AC200" i="1"/>
  <c r="AC151" i="1"/>
  <c r="AC268" i="1"/>
  <c r="AC211" i="1"/>
  <c r="AC271" i="1"/>
  <c r="AC173" i="1"/>
  <c r="AC179" i="1"/>
  <c r="AD274" i="1"/>
  <c r="AD286" i="1"/>
  <c r="AC212" i="1"/>
  <c r="AC157" i="1"/>
  <c r="AC177" i="1"/>
  <c r="AD182" i="1"/>
  <c r="AC155" i="1"/>
  <c r="AC171" i="1"/>
  <c r="AC150" i="1"/>
  <c r="AC278" i="1"/>
  <c r="AC214" i="1"/>
  <c r="AC259" i="1"/>
  <c r="AC172" i="1"/>
  <c r="AC170" i="1"/>
  <c r="AD277" i="1"/>
  <c r="AC195" i="1"/>
  <c r="AD181" i="1"/>
  <c r="AC209" i="1"/>
  <c r="AD188" i="1"/>
  <c r="AC186" i="1"/>
  <c r="AC161" i="1"/>
  <c r="AC183" i="1"/>
  <c r="AC145" i="1"/>
  <c r="AC192" i="1"/>
  <c r="AC144" i="1"/>
  <c r="AC284" i="1"/>
  <c r="AD288" i="1"/>
  <c r="AD273" i="1"/>
  <c r="AC190" i="1"/>
  <c r="AC176" i="1"/>
  <c r="AD267" i="1"/>
  <c r="AC216" i="1"/>
  <c r="AD199" i="1"/>
  <c r="AC193" i="1"/>
  <c r="AC261" i="1"/>
  <c r="AC221" i="1"/>
  <c r="AC174" i="1"/>
  <c r="AC146" i="1"/>
  <c r="AD268" i="1"/>
  <c r="AD279" i="1"/>
  <c r="AD271" i="1"/>
  <c r="AC180" i="1"/>
  <c r="AC178" i="1"/>
  <c r="AD189" i="1"/>
  <c r="AC210" i="1"/>
  <c r="AC286" i="1"/>
  <c r="AC276" i="1"/>
  <c r="AC213" i="1"/>
  <c r="AD198" i="1"/>
  <c r="AC184" i="1"/>
  <c r="AD191" i="1"/>
  <c r="AD177" i="1"/>
  <c r="AD196" i="1"/>
  <c r="AD278" i="1"/>
  <c r="AD269" i="1"/>
  <c r="AC203" i="1"/>
  <c r="AD259" i="1"/>
  <c r="AC166" i="1"/>
  <c r="AD195" i="1"/>
  <c r="AC154" i="1"/>
  <c r="AC188" i="1"/>
  <c r="AD186" i="1"/>
  <c r="AD183" i="1"/>
  <c r="AC208" i="1"/>
  <c r="AC194" i="1"/>
  <c r="AC152" i="1"/>
  <c r="AD192" i="1"/>
  <c r="AD263" i="1"/>
  <c r="AC266" i="1"/>
  <c r="AD176" i="1"/>
  <c r="AC148" i="1"/>
  <c r="AC175" i="1"/>
  <c r="AC185" i="1"/>
  <c r="AD261" i="1"/>
  <c r="AC206" i="1"/>
  <c r="AC279" i="1"/>
  <c r="AC187" i="1"/>
  <c r="AC167" i="1"/>
  <c r="AC189" i="1"/>
  <c r="AI119" i="1"/>
  <c r="AI120" i="1"/>
  <c r="AI140" i="1"/>
  <c r="AI127" i="1"/>
  <c r="T134" i="1"/>
  <c r="K134" i="1" s="1"/>
  <c r="AI110" i="1"/>
  <c r="T136" i="1"/>
  <c r="K136" i="1" s="1"/>
  <c r="AI121" i="1"/>
  <c r="AI105" i="1"/>
  <c r="AI115" i="1"/>
  <c r="T124" i="1"/>
  <c r="K124" i="1" s="1"/>
  <c r="T120" i="1"/>
  <c r="K120" i="1" s="1"/>
  <c r="T140" i="1"/>
  <c r="K140" i="1" s="1"/>
  <c r="T132" i="1"/>
  <c r="K132" i="1" s="1"/>
  <c r="AI111" i="1"/>
  <c r="T138" i="1"/>
  <c r="K138" i="1" s="1"/>
  <c r="AI113" i="1"/>
  <c r="AI125" i="1"/>
  <c r="AI116" i="1"/>
  <c r="T118" i="1"/>
  <c r="K118" i="1" s="1"/>
  <c r="T117" i="1"/>
  <c r="K117" i="1" s="1"/>
  <c r="T137" i="1"/>
  <c r="K137" i="1" s="1"/>
  <c r="AI134" i="1"/>
  <c r="AI136" i="1"/>
  <c r="AI142" i="1"/>
  <c r="AI123" i="1"/>
  <c r="T116" i="1"/>
  <c r="K116" i="1" s="1"/>
  <c r="AI131" i="1"/>
  <c r="AI124" i="1"/>
  <c r="AI132" i="1"/>
  <c r="AI138" i="1"/>
  <c r="T125" i="1"/>
  <c r="K125" i="1" s="1"/>
  <c r="AI109" i="1"/>
  <c r="AI118" i="1"/>
  <c r="AI107" i="1"/>
  <c r="AI137" i="1"/>
  <c r="AI130" i="1"/>
  <c r="AI139" i="1"/>
  <c r="AI128" i="1"/>
  <c r="AI129" i="1"/>
  <c r="T119" i="1"/>
  <c r="K119" i="1" s="1"/>
  <c r="T139" i="1"/>
  <c r="K139" i="1" s="1"/>
  <c r="AI114" i="1"/>
  <c r="T121" i="1"/>
  <c r="K121" i="1" s="1"/>
  <c r="T142" i="1"/>
  <c r="K142" i="1" s="1"/>
  <c r="T128" i="1"/>
  <c r="K128" i="1" s="1"/>
  <c r="T123" i="1"/>
  <c r="K123" i="1" s="1"/>
  <c r="T127" i="1"/>
  <c r="K127" i="1" s="1"/>
  <c r="T129" i="1"/>
  <c r="K129" i="1" s="1"/>
  <c r="AI108" i="1"/>
  <c r="T131" i="1"/>
  <c r="K131" i="1" s="1"/>
  <c r="AI117" i="1"/>
  <c r="AI112" i="1"/>
  <c r="AI104" i="1"/>
  <c r="T130" i="1"/>
  <c r="K130" i="1" s="1"/>
  <c r="AI38" i="1"/>
  <c r="AI55" i="1"/>
  <c r="AI40" i="1"/>
  <c r="AI56" i="1"/>
  <c r="AI47" i="1"/>
  <c r="AI54" i="1"/>
  <c r="AI42" i="1"/>
  <c r="AI43" i="1"/>
  <c r="AI35" i="1"/>
  <c r="AI52" i="1"/>
  <c r="AI57" i="1"/>
  <c r="AI34" i="1"/>
  <c r="AI49" i="1"/>
  <c r="AI51" i="1"/>
  <c r="AI46" i="1"/>
  <c r="AI36" i="1"/>
  <c r="AI41" i="1"/>
  <c r="AI50" i="1"/>
  <c r="AI39" i="1"/>
  <c r="AI44" i="1"/>
  <c r="AI37" i="1"/>
  <c r="AI53" i="1"/>
  <c r="AI48" i="1"/>
  <c r="AI45" i="1"/>
  <c r="AA61" i="1" l="1"/>
  <c r="AA69" i="1"/>
  <c r="AA74" i="1"/>
  <c r="AA63" i="1"/>
  <c r="AA66" i="1"/>
  <c r="AA62" i="1"/>
  <c r="R146" i="1"/>
  <c r="I160" i="1"/>
  <c r="H160" i="1" s="1"/>
  <c r="I154" i="1"/>
  <c r="H154" i="1" s="1"/>
  <c r="I145" i="1"/>
  <c r="I146" i="1"/>
  <c r="H146" i="1" s="1"/>
  <c r="I155" i="1"/>
  <c r="H155" i="1" s="1"/>
  <c r="I65" i="1"/>
  <c r="H65" i="1" s="1"/>
  <c r="H62" i="1"/>
  <c r="H60" i="1"/>
  <c r="H64" i="1"/>
  <c r="H71" i="1"/>
  <c r="H69" i="1"/>
  <c r="H70" i="1"/>
  <c r="H59" i="1"/>
  <c r="AA72" i="1"/>
  <c r="AA68" i="1"/>
  <c r="AI160" i="1"/>
  <c r="AA160" i="1" s="1"/>
  <c r="AA58" i="1"/>
  <c r="R157" i="1"/>
  <c r="AI148" i="1"/>
  <c r="AA148" i="1" s="1"/>
  <c r="R144" i="1"/>
  <c r="R160" i="1"/>
  <c r="AA67" i="1"/>
  <c r="R166" i="1"/>
  <c r="AI145" i="1"/>
  <c r="AA145" i="1" s="1"/>
  <c r="AI146" i="1"/>
  <c r="AA146" i="1" s="1"/>
  <c r="R148" i="1"/>
  <c r="R145" i="1"/>
  <c r="AI155" i="1"/>
  <c r="AA155" i="1" s="1"/>
  <c r="AI147" i="1"/>
  <c r="AA147" i="1" s="1"/>
  <c r="AI149" i="1"/>
  <c r="AA149" i="1" s="1"/>
  <c r="AI150" i="1"/>
  <c r="AA150" i="1" s="1"/>
  <c r="R167" i="1"/>
  <c r="AI154" i="1"/>
  <c r="AA154" i="1" s="1"/>
  <c r="Q157" i="1"/>
  <c r="I157" i="1" s="1"/>
  <c r="R150" i="1"/>
  <c r="R158" i="1"/>
  <c r="AI158" i="1"/>
  <c r="AA158" i="1" s="1"/>
  <c r="R154" i="1"/>
  <c r="AI151" i="1"/>
  <c r="AA151" i="1" s="1"/>
  <c r="R151" i="1"/>
  <c r="R155" i="1"/>
  <c r="AI167" i="1"/>
  <c r="AA167" i="1" s="1"/>
  <c r="Q149" i="1"/>
  <c r="I149" i="1" s="1"/>
  <c r="R147" i="1"/>
  <c r="Q152" i="1"/>
  <c r="I152" i="1" s="1"/>
  <c r="R152" i="1"/>
  <c r="AI164" i="1"/>
  <c r="AA164" i="1" s="1"/>
  <c r="R169" i="1"/>
  <c r="Q166" i="1"/>
  <c r="I166" i="1" s="1"/>
  <c r="Q161" i="1"/>
  <c r="I161" i="1" s="1"/>
  <c r="AI144" i="1"/>
  <c r="AA144" i="1" s="1"/>
  <c r="Q164" i="1"/>
  <c r="I164" i="1" s="1"/>
  <c r="Q169" i="1"/>
  <c r="I169" i="1" s="1"/>
  <c r="R161" i="1"/>
  <c r="J498" i="1" a="1"/>
  <c r="J498" i="1" s="1"/>
  <c r="H498" i="1" s="1"/>
  <c r="J497" i="1" a="1"/>
  <c r="J497" i="1" s="1"/>
  <c r="H497" i="1" s="1"/>
  <c r="J500" i="1" a="1"/>
  <c r="J500" i="1" s="1"/>
  <c r="H500" i="1" s="1"/>
  <c r="J492" i="1" a="1"/>
  <c r="J492" i="1" s="1"/>
  <c r="H492" i="1" s="1"/>
  <c r="J499" i="1" a="1"/>
  <c r="J499" i="1" s="1"/>
  <c r="H499" i="1" s="1"/>
  <c r="J495" i="1" a="1"/>
  <c r="J495" i="1" s="1"/>
  <c r="H495" i="1" s="1"/>
  <c r="J503" i="1" a="1"/>
  <c r="J503" i="1" s="1"/>
  <c r="H503" i="1" s="1"/>
  <c r="J506" i="1" a="1"/>
  <c r="J506" i="1" s="1"/>
  <c r="H506" i="1" s="1"/>
  <c r="J493" i="1" a="1"/>
  <c r="J493" i="1" s="1"/>
  <c r="H493" i="1" s="1"/>
  <c r="J502" i="1" a="1"/>
  <c r="J502" i="1" s="1"/>
  <c r="H502" i="1" s="1"/>
  <c r="J494" i="1" a="1"/>
  <c r="J494" i="1" s="1"/>
  <c r="H494" i="1" s="1"/>
  <c r="J496" i="1" a="1"/>
  <c r="J496" i="1" s="1"/>
  <c r="H496" i="1" s="1"/>
  <c r="J501" i="1" a="1"/>
  <c r="J501" i="1" s="1"/>
  <c r="H501" i="1" s="1"/>
  <c r="J504" i="1" a="1"/>
  <c r="J504" i="1" s="1"/>
  <c r="H504" i="1" s="1"/>
  <c r="J507" i="1" a="1"/>
  <c r="J507" i="1" s="1"/>
  <c r="H507" i="1" s="1"/>
  <c r="J505" i="1" a="1"/>
  <c r="J505" i="1" s="1"/>
  <c r="H505" i="1" s="1"/>
  <c r="AA39" i="1"/>
  <c r="AA47" i="1"/>
  <c r="AA35" i="1"/>
  <c r="AA51" i="1"/>
  <c r="AA43" i="1"/>
  <c r="AA55" i="1"/>
  <c r="AA114" i="1"/>
  <c r="AA108" i="1"/>
  <c r="AA110" i="1"/>
  <c r="AG139" i="1"/>
  <c r="AH130" i="1"/>
  <c r="AG131" i="1"/>
  <c r="AH131" i="1"/>
  <c r="AG138" i="1"/>
  <c r="AH124" i="1"/>
  <c r="AH139" i="1"/>
  <c r="AF139" i="1"/>
  <c r="H280" i="1"/>
  <c r="H43" i="1"/>
  <c r="H40" i="1"/>
  <c r="H45" i="1"/>
  <c r="H267" i="1"/>
  <c r="H204" i="1"/>
  <c r="H55" i="1"/>
  <c r="H54" i="1"/>
  <c r="H110" i="1"/>
  <c r="H263" i="1"/>
  <c r="H266" i="1"/>
  <c r="H34" i="1"/>
  <c r="H39" i="1"/>
  <c r="H273" i="1"/>
  <c r="H48" i="1"/>
  <c r="H288" i="1"/>
  <c r="H51" i="1"/>
  <c r="H276" i="1"/>
  <c r="H36" i="1"/>
  <c r="H268" i="1"/>
  <c r="H271" i="1"/>
  <c r="H46" i="1"/>
  <c r="H49" i="1"/>
  <c r="H108" i="1"/>
  <c r="H114" i="1"/>
  <c r="H37" i="1"/>
  <c r="H274" i="1"/>
  <c r="H57" i="1"/>
  <c r="H278" i="1"/>
  <c r="H282" i="1"/>
  <c r="H284" i="1"/>
  <c r="H44" i="1"/>
  <c r="H38" i="1"/>
  <c r="H326" i="1"/>
  <c r="H286" i="1"/>
  <c r="H279" i="1"/>
  <c r="H269" i="1"/>
  <c r="H47" i="1"/>
  <c r="H52" i="1"/>
  <c r="H259" i="1"/>
  <c r="H264" i="1"/>
  <c r="H35" i="1"/>
  <c r="H328" i="1"/>
  <c r="H261" i="1"/>
  <c r="H212" i="1"/>
  <c r="H220" i="1"/>
  <c r="H208" i="1"/>
  <c r="H277" i="1"/>
  <c r="H216" i="1"/>
  <c r="H275" i="1"/>
  <c r="H42" i="1"/>
  <c r="H332" i="1"/>
  <c r="H336" i="1"/>
  <c r="AG120" i="1"/>
  <c r="AH138" i="1"/>
  <c r="H53" i="1"/>
  <c r="H50" i="1"/>
  <c r="H491" i="1"/>
  <c r="AG124" i="1"/>
  <c r="AF131" i="1"/>
  <c r="H41" i="1"/>
  <c r="H56" i="1"/>
  <c r="AH120" i="1"/>
  <c r="AG130" i="1"/>
  <c r="AA169" i="1"/>
  <c r="AF120" i="1"/>
  <c r="AF130" i="1"/>
  <c r="AF138" i="1"/>
  <c r="AF124" i="1"/>
  <c r="AA204" i="1"/>
  <c r="AA212" i="1"/>
  <c r="AA216" i="1"/>
  <c r="AA220" i="1"/>
  <c r="AA208" i="1"/>
  <c r="AA174" i="1"/>
  <c r="AA173" i="1"/>
  <c r="H147" i="1"/>
  <c r="H172" i="1"/>
  <c r="H113" i="1"/>
  <c r="H173" i="1"/>
  <c r="H211" i="1"/>
  <c r="H201" i="1"/>
  <c r="H170" i="1"/>
  <c r="H197" i="1"/>
  <c r="H215" i="1"/>
  <c r="H115" i="1"/>
  <c r="H105" i="1"/>
  <c r="H144" i="1"/>
  <c r="H179" i="1"/>
  <c r="H207" i="1"/>
  <c r="H194" i="1"/>
  <c r="H199" i="1"/>
  <c r="H104" i="1"/>
  <c r="H210" i="1"/>
  <c r="H178" i="1"/>
  <c r="H180" i="1"/>
  <c r="H206" i="1"/>
  <c r="H176" i="1"/>
  <c r="H186" i="1"/>
  <c r="H150" i="1"/>
  <c r="H151" i="1"/>
  <c r="H181" i="1"/>
  <c r="H191" i="1"/>
  <c r="H112" i="1"/>
  <c r="H107" i="1"/>
  <c r="H190" i="1"/>
  <c r="H192" i="1"/>
  <c r="H182" i="1"/>
  <c r="H200" i="1"/>
  <c r="H185" i="1"/>
  <c r="H175" i="1"/>
  <c r="H183" i="1"/>
  <c r="H195" i="1"/>
  <c r="H205" i="1"/>
  <c r="H184" i="1"/>
  <c r="H359" i="1"/>
  <c r="H109" i="1"/>
  <c r="H171" i="1"/>
  <c r="H187" i="1"/>
  <c r="H148" i="1"/>
  <c r="H174" i="1"/>
  <c r="H214" i="1"/>
  <c r="H196" i="1"/>
  <c r="H198" i="1"/>
  <c r="H221" i="1"/>
  <c r="H167" i="1"/>
  <c r="H188" i="1"/>
  <c r="H189" i="1"/>
  <c r="H203" i="1"/>
  <c r="H213" i="1"/>
  <c r="H193" i="1"/>
  <c r="H209" i="1"/>
  <c r="H177" i="1"/>
  <c r="H448" i="1"/>
  <c r="AA16" i="1"/>
  <c r="AA221" i="1"/>
  <c r="AA48" i="1"/>
  <c r="AA209" i="1"/>
  <c r="AA56" i="1"/>
  <c r="AA105" i="1"/>
  <c r="AA44" i="1"/>
  <c r="AA38" i="1"/>
  <c r="AA107" i="1"/>
  <c r="AA111" i="1"/>
  <c r="AA109" i="1"/>
  <c r="AA45" i="1"/>
  <c r="AA161" i="1"/>
  <c r="AA206" i="1"/>
  <c r="AA171" i="1"/>
  <c r="AA57" i="1"/>
  <c r="AA113" i="1"/>
  <c r="AA207" i="1"/>
  <c r="AA201" i="1"/>
  <c r="AA36" i="1"/>
  <c r="AA50" i="1"/>
  <c r="AA40" i="1"/>
  <c r="AA104" i="1"/>
  <c r="AA214" i="1"/>
  <c r="AA53" i="1"/>
  <c r="AA37" i="1"/>
  <c r="AA34" i="1"/>
  <c r="AA42" i="1"/>
  <c r="H218" i="1"/>
  <c r="AA190" i="1"/>
  <c r="AA52" i="1"/>
  <c r="AA41" i="1"/>
  <c r="AA49" i="1"/>
  <c r="AA112" i="1"/>
  <c r="H111" i="1"/>
  <c r="AA115" i="1"/>
  <c r="AA187" i="1"/>
  <c r="AA175" i="1"/>
  <c r="AA213" i="1"/>
  <c r="AA180" i="1"/>
  <c r="AA172" i="1"/>
  <c r="AA179" i="1"/>
  <c r="AA218" i="1"/>
  <c r="AA202" i="1"/>
  <c r="AA46" i="1"/>
  <c r="AA54" i="1"/>
  <c r="AA189" i="1"/>
  <c r="H202" i="1"/>
  <c r="AA194" i="1"/>
  <c r="AA203" i="1"/>
  <c r="AA184" i="1"/>
  <c r="AA205" i="1"/>
  <c r="AA185" i="1"/>
  <c r="AA211" i="1"/>
  <c r="AA197" i="1"/>
  <c r="AA215" i="1"/>
  <c r="AA219" i="1"/>
  <c r="AA188" i="1"/>
  <c r="AA200" i="1"/>
  <c r="H217" i="1"/>
  <c r="AA210" i="1"/>
  <c r="AA178" i="1"/>
  <c r="AA170" i="1"/>
  <c r="AA217" i="1"/>
  <c r="AA193" i="1"/>
  <c r="H376" i="1"/>
  <c r="H356" i="1"/>
  <c r="H372" i="1"/>
  <c r="H325" i="1"/>
  <c r="H302" i="1"/>
  <c r="H301" i="1"/>
  <c r="H373" i="1"/>
  <c r="H371" i="1"/>
  <c r="AA269" i="1"/>
  <c r="AA276" i="1"/>
  <c r="AA271" i="1"/>
  <c r="AA266" i="1"/>
  <c r="R328" i="1"/>
  <c r="H290" i="1"/>
  <c r="H300" i="1"/>
  <c r="H377" i="1"/>
  <c r="H361" i="1"/>
  <c r="H355" i="1"/>
  <c r="AA273" i="1"/>
  <c r="AA278" i="1"/>
  <c r="R326" i="1"/>
  <c r="AA263" i="1"/>
  <c r="AA280" i="1"/>
  <c r="AA279" i="1"/>
  <c r="AA267" i="1"/>
  <c r="AA274" i="1"/>
  <c r="AA277" i="1"/>
  <c r="H319" i="1"/>
  <c r="H324" i="1"/>
  <c r="H289" i="1"/>
  <c r="R289" i="1" s="1"/>
  <c r="H384" i="1"/>
  <c r="H360" i="1"/>
  <c r="H293" i="1"/>
  <c r="H370" i="1"/>
  <c r="H357" i="1"/>
  <c r="H327" i="1"/>
  <c r="H321" i="1"/>
  <c r="H320" i="1"/>
  <c r="H369" i="1"/>
  <c r="AA259" i="1"/>
  <c r="R332" i="1"/>
  <c r="AA282" i="1"/>
  <c r="AA268" i="1"/>
  <c r="AA288" i="1"/>
  <c r="AA286" i="1"/>
  <c r="R336" i="1"/>
  <c r="AA261" i="1"/>
  <c r="AA264" i="1"/>
  <c r="H295" i="1"/>
  <c r="H322" i="1"/>
  <c r="H292" i="1"/>
  <c r="H362" i="1"/>
  <c r="H330" i="1"/>
  <c r="AA284" i="1"/>
  <c r="AA275" i="1"/>
  <c r="AA182" i="1"/>
  <c r="AA176" i="1"/>
  <c r="AA186" i="1"/>
  <c r="AA181" i="1"/>
  <c r="AA198" i="1"/>
  <c r="AA192" i="1"/>
  <c r="AA195" i="1"/>
  <c r="AA177" i="1"/>
  <c r="AA191" i="1"/>
  <c r="AA199" i="1"/>
  <c r="AA196" i="1"/>
  <c r="AA183" i="1"/>
  <c r="AA152" i="1"/>
  <c r="AA166" i="1"/>
  <c r="AA157" i="1"/>
  <c r="H95" i="1"/>
  <c r="H97" i="1"/>
  <c r="H90" i="1"/>
  <c r="H87" i="1"/>
  <c r="H103" i="1"/>
  <c r="H101" i="1"/>
  <c r="H91" i="1"/>
  <c r="H92" i="1"/>
  <c r="H99" i="1"/>
  <c r="H94" i="1"/>
  <c r="H98" i="1"/>
  <c r="H93" i="1"/>
  <c r="H102" i="1"/>
  <c r="H100" i="1"/>
  <c r="H89" i="1"/>
  <c r="H88" i="1"/>
  <c r="H96" i="1"/>
  <c r="H86" i="1"/>
  <c r="H85" i="1"/>
  <c r="H79" i="1"/>
  <c r="H81" i="1"/>
  <c r="H83" i="1"/>
  <c r="H80" i="1"/>
  <c r="H82" i="1"/>
  <c r="H84" i="1"/>
  <c r="H77" i="1"/>
  <c r="H78" i="1"/>
  <c r="H76" i="1"/>
  <c r="H74" i="1"/>
  <c r="H73" i="1"/>
  <c r="H75" i="1"/>
  <c r="H158" i="1"/>
  <c r="H219" i="1"/>
  <c r="U131" i="1"/>
  <c r="L131" i="1" s="1"/>
  <c r="AC131" i="1"/>
  <c r="U129" i="1"/>
  <c r="L129" i="1" s="1"/>
  <c r="AC129" i="1"/>
  <c r="U128" i="1"/>
  <c r="L128" i="1" s="1"/>
  <c r="AC128" i="1"/>
  <c r="U121" i="1"/>
  <c r="L121" i="1" s="1"/>
  <c r="AC121" i="1"/>
  <c r="U119" i="1"/>
  <c r="L119" i="1" s="1"/>
  <c r="AC119" i="1"/>
  <c r="U132" i="1"/>
  <c r="L132" i="1" s="1"/>
  <c r="AC132" i="1"/>
  <c r="U140" i="1"/>
  <c r="L140" i="1" s="1"/>
  <c r="AC140" i="1"/>
  <c r="U124" i="1"/>
  <c r="L124" i="1" s="1"/>
  <c r="AC124" i="1"/>
  <c r="U136" i="1"/>
  <c r="L136" i="1" s="1"/>
  <c r="AC136" i="1"/>
  <c r="U134" i="1"/>
  <c r="L134" i="1" s="1"/>
  <c r="AC134" i="1"/>
  <c r="U130" i="1"/>
  <c r="L130" i="1" s="1"/>
  <c r="AC130" i="1"/>
  <c r="U139" i="1"/>
  <c r="L139" i="1" s="1"/>
  <c r="AC139" i="1"/>
  <c r="U125" i="1"/>
  <c r="L125" i="1" s="1"/>
  <c r="AC125" i="1"/>
  <c r="U120" i="1"/>
  <c r="L120" i="1" s="1"/>
  <c r="AC120" i="1"/>
  <c r="U123" i="1"/>
  <c r="L123" i="1" s="1"/>
  <c r="AC123" i="1"/>
  <c r="U142" i="1"/>
  <c r="L142" i="1" s="1"/>
  <c r="AC142" i="1"/>
  <c r="U137" i="1"/>
  <c r="L137" i="1" s="1"/>
  <c r="AC137" i="1"/>
  <c r="U138" i="1"/>
  <c r="L138" i="1" s="1"/>
  <c r="AC138" i="1"/>
  <c r="U127" i="1"/>
  <c r="L127" i="1" s="1"/>
  <c r="AC127" i="1"/>
  <c r="U117" i="1"/>
  <c r="L117" i="1" s="1"/>
  <c r="AC117" i="1"/>
  <c r="U118" i="1"/>
  <c r="L118" i="1" s="1"/>
  <c r="AC118" i="1"/>
  <c r="U116" i="1"/>
  <c r="L116" i="1" s="1"/>
  <c r="AC116" i="1"/>
  <c r="AC33" i="1"/>
  <c r="AC30" i="1"/>
  <c r="AC18" i="1"/>
  <c r="AC24" i="1"/>
  <c r="AC21" i="1"/>
  <c r="AC27" i="1"/>
  <c r="AC26" i="1"/>
  <c r="AC28" i="1"/>
  <c r="AC29" i="1"/>
  <c r="AC23" i="1"/>
  <c r="AC19" i="1"/>
  <c r="AC32" i="1"/>
  <c r="AC22" i="1"/>
  <c r="AC31" i="1"/>
  <c r="AC20" i="1"/>
  <c r="AC17" i="1"/>
  <c r="AC25" i="1"/>
  <c r="H157" i="1" l="1"/>
  <c r="H149" i="1"/>
  <c r="H152" i="1"/>
  <c r="H164" i="1"/>
  <c r="H161" i="1"/>
  <c r="H166" i="1"/>
  <c r="H169" i="1"/>
  <c r="H16" i="1"/>
  <c r="H385" i="1"/>
  <c r="H334" i="1"/>
  <c r="R16" i="1"/>
  <c r="AD20" i="1"/>
  <c r="AE20" i="1" s="1"/>
  <c r="AF20" i="1" s="1"/>
  <c r="AD22" i="1"/>
  <c r="AE22" i="1" s="1"/>
  <c r="AF22" i="1" s="1"/>
  <c r="AD21" i="1"/>
  <c r="AE21" i="1" s="1"/>
  <c r="AF21" i="1" s="1"/>
  <c r="AD30" i="1"/>
  <c r="AE30" i="1" s="1"/>
  <c r="AF30" i="1" s="1"/>
  <c r="AD17" i="1"/>
  <c r="AE17" i="1" s="1"/>
  <c r="AF17" i="1" s="1"/>
  <c r="AD19" i="1"/>
  <c r="AE19" i="1" s="1"/>
  <c r="AF19" i="1" s="1"/>
  <c r="AD23" i="1"/>
  <c r="AE23" i="1" s="1"/>
  <c r="AF23" i="1" s="1"/>
  <c r="AD24" i="1"/>
  <c r="AE24" i="1" s="1"/>
  <c r="AF24" i="1" s="1"/>
  <c r="AD31" i="1"/>
  <c r="AE31" i="1" s="1"/>
  <c r="AF31" i="1" s="1"/>
  <c r="AD32" i="1"/>
  <c r="AE32" i="1" s="1"/>
  <c r="AF32" i="1" s="1"/>
  <c r="AD29" i="1"/>
  <c r="AE29" i="1" s="1"/>
  <c r="AF29" i="1" s="1"/>
  <c r="AD26" i="1"/>
  <c r="AE26" i="1" s="1"/>
  <c r="AF26" i="1" s="1"/>
  <c r="AD33" i="1"/>
  <c r="AE33" i="1" s="1"/>
  <c r="AF33" i="1" s="1"/>
  <c r="AD25" i="1"/>
  <c r="AE25" i="1" s="1"/>
  <c r="AF25" i="1" s="1"/>
  <c r="AD28" i="1"/>
  <c r="AE28" i="1" s="1"/>
  <c r="AF28" i="1" s="1"/>
  <c r="AD27" i="1"/>
  <c r="AE27" i="1" s="1"/>
  <c r="AF27" i="1" s="1"/>
  <c r="AD18" i="1"/>
  <c r="AE18" i="1" s="1"/>
  <c r="AF18" i="1" s="1"/>
  <c r="V125" i="1"/>
  <c r="M125" i="1" s="1"/>
  <c r="I125" i="1" s="1"/>
  <c r="AD125" i="1"/>
  <c r="V128" i="1"/>
  <c r="M128" i="1" s="1"/>
  <c r="I128" i="1" s="1"/>
  <c r="AD128" i="1"/>
  <c r="V129" i="1"/>
  <c r="M129" i="1" s="1"/>
  <c r="I129" i="1" s="1"/>
  <c r="AD129" i="1"/>
  <c r="V138" i="1"/>
  <c r="M138" i="1" s="1"/>
  <c r="I138" i="1" s="1"/>
  <c r="AD138" i="1"/>
  <c r="V120" i="1"/>
  <c r="M120" i="1" s="1"/>
  <c r="I120" i="1" s="1"/>
  <c r="AD120" i="1"/>
  <c r="V136" i="1"/>
  <c r="M136" i="1" s="1"/>
  <c r="I136" i="1" s="1"/>
  <c r="AD136" i="1"/>
  <c r="V121" i="1"/>
  <c r="M121" i="1" s="1"/>
  <c r="I121" i="1" s="1"/>
  <c r="AD121" i="1"/>
  <c r="V118" i="1"/>
  <c r="M118" i="1" s="1"/>
  <c r="I118" i="1" s="1"/>
  <c r="AD118" i="1"/>
  <c r="V137" i="1"/>
  <c r="M137" i="1" s="1"/>
  <c r="I137" i="1" s="1"/>
  <c r="AD137" i="1"/>
  <c r="V124" i="1"/>
  <c r="M124" i="1" s="1"/>
  <c r="I124" i="1" s="1"/>
  <c r="AD124" i="1"/>
  <c r="V127" i="1"/>
  <c r="M127" i="1" s="1"/>
  <c r="I127" i="1" s="1"/>
  <c r="AD127" i="1"/>
  <c r="V123" i="1"/>
  <c r="M123" i="1" s="1"/>
  <c r="I123" i="1" s="1"/>
  <c r="AD123" i="1"/>
  <c r="V134" i="1"/>
  <c r="M134" i="1" s="1"/>
  <c r="I134" i="1" s="1"/>
  <c r="AD134" i="1"/>
  <c r="V132" i="1"/>
  <c r="M132" i="1" s="1"/>
  <c r="I132" i="1" s="1"/>
  <c r="AD132" i="1"/>
  <c r="V119" i="1"/>
  <c r="M119" i="1" s="1"/>
  <c r="I119" i="1" s="1"/>
  <c r="AD119" i="1"/>
  <c r="V117" i="1"/>
  <c r="M117" i="1" s="1"/>
  <c r="I117" i="1" s="1"/>
  <c r="AD117" i="1"/>
  <c r="V142" i="1"/>
  <c r="M142" i="1" s="1"/>
  <c r="I142" i="1" s="1"/>
  <c r="AD142" i="1"/>
  <c r="V139" i="1"/>
  <c r="M139" i="1" s="1"/>
  <c r="I139" i="1" s="1"/>
  <c r="AD139" i="1"/>
  <c r="V130" i="1"/>
  <c r="M130" i="1" s="1"/>
  <c r="I130" i="1" s="1"/>
  <c r="AD130" i="1"/>
  <c r="V140" i="1"/>
  <c r="M140" i="1" s="1"/>
  <c r="I140" i="1" s="1"/>
  <c r="AD140" i="1"/>
  <c r="V131" i="1"/>
  <c r="M131" i="1" s="1"/>
  <c r="I131" i="1" s="1"/>
  <c r="AD131" i="1"/>
  <c r="V116" i="1"/>
  <c r="M116" i="1" s="1"/>
  <c r="I116" i="1" s="1"/>
  <c r="AD116" i="1"/>
  <c r="R27" i="1"/>
  <c r="R28" i="1"/>
  <c r="R22" i="1"/>
  <c r="R18" i="1"/>
  <c r="R30" i="1"/>
  <c r="H116" i="1" l="1"/>
  <c r="H20" i="1"/>
  <c r="H23" i="1"/>
  <c r="H33" i="1"/>
  <c r="H19" i="1"/>
  <c r="H29" i="1"/>
  <c r="H31" i="1"/>
  <c r="H25" i="1"/>
  <c r="H17" i="1"/>
  <c r="H26" i="1"/>
  <c r="H24" i="1"/>
  <c r="H32" i="1"/>
  <c r="H21" i="1"/>
  <c r="AE119" i="1"/>
  <c r="AA119" i="1" s="1"/>
  <c r="AE134" i="1"/>
  <c r="AA134" i="1" s="1"/>
  <c r="AE127" i="1"/>
  <c r="AA127" i="1" s="1"/>
  <c r="AE137" i="1"/>
  <c r="AA137" i="1" s="1"/>
  <c r="AE121" i="1"/>
  <c r="AA121" i="1" s="1"/>
  <c r="AE120" i="1"/>
  <c r="AA120" i="1" s="1"/>
  <c r="AE129" i="1"/>
  <c r="AA129" i="1" s="1"/>
  <c r="AE125" i="1"/>
  <c r="AA125" i="1" s="1"/>
  <c r="AE139" i="1"/>
  <c r="AA139" i="1" s="1"/>
  <c r="AE117" i="1"/>
  <c r="AA117" i="1" s="1"/>
  <c r="AE123" i="1"/>
  <c r="AA123" i="1" s="1"/>
  <c r="AE124" i="1"/>
  <c r="AA124" i="1" s="1"/>
  <c r="AE118" i="1"/>
  <c r="AA118" i="1" s="1"/>
  <c r="AE131" i="1"/>
  <c r="AA131" i="1" s="1"/>
  <c r="AE142" i="1"/>
  <c r="AA142" i="1" s="1"/>
  <c r="AE130" i="1"/>
  <c r="AE140" i="1"/>
  <c r="AE132" i="1"/>
  <c r="AE136" i="1"/>
  <c r="AE138" i="1"/>
  <c r="AE128" i="1"/>
  <c r="R119" i="1"/>
  <c r="R137" i="1"/>
  <c r="R129" i="1"/>
  <c r="R124" i="1"/>
  <c r="R139" i="1"/>
  <c r="AA22" i="1"/>
  <c r="AA31" i="1"/>
  <c r="AA30" i="1"/>
  <c r="AA20" i="1"/>
  <c r="AA33" i="1"/>
  <c r="AA28" i="1"/>
  <c r="AA18" i="1"/>
  <c r="AA29" i="1"/>
  <c r="AA23" i="1"/>
  <c r="AA27" i="1"/>
  <c r="AA25" i="1"/>
  <c r="AA26" i="1"/>
  <c r="AA32" i="1"/>
  <c r="AA24" i="1"/>
  <c r="AA19" i="1"/>
  <c r="AA21" i="1"/>
  <c r="AA17" i="1"/>
  <c r="R123" i="1"/>
  <c r="R121" i="1"/>
  <c r="R117" i="1"/>
  <c r="R118" i="1"/>
  <c r="R142" i="1"/>
  <c r="R120" i="1"/>
  <c r="R131" i="1"/>
  <c r="R134" i="1"/>
  <c r="R125" i="1"/>
  <c r="R127" i="1"/>
  <c r="R116" i="1"/>
  <c r="R26" i="1"/>
  <c r="R33" i="1"/>
  <c r="R32" i="1"/>
  <c r="R20" i="1"/>
  <c r="R29" i="1"/>
  <c r="R25" i="1"/>
  <c r="R31" i="1"/>
  <c r="R19" i="1"/>
  <c r="R23" i="1"/>
  <c r="R17" i="1"/>
  <c r="R21" i="1"/>
  <c r="R24" i="1"/>
  <c r="H145" i="1"/>
  <c r="AE116" i="1"/>
  <c r="AA116" i="1" s="1"/>
  <c r="H120" i="1" l="1"/>
  <c r="H131" i="1"/>
  <c r="H117" i="1"/>
  <c r="H123" i="1"/>
  <c r="H127" i="1"/>
  <c r="H118" i="1"/>
  <c r="H121" i="1"/>
  <c r="H125" i="1"/>
  <c r="H134" i="1"/>
  <c r="H142" i="1"/>
  <c r="H139" i="1"/>
  <c r="H129" i="1"/>
  <c r="H137" i="1"/>
  <c r="H119" i="1"/>
  <c r="H124" i="1"/>
  <c r="H30" i="1"/>
  <c r="H18" i="1"/>
  <c r="H28" i="1"/>
  <c r="H27" i="1"/>
  <c r="H22" i="1"/>
  <c r="H136" i="1" l="1"/>
  <c r="R130" i="1"/>
  <c r="R128" i="1"/>
  <c r="H132" i="1"/>
  <c r="H140" i="1"/>
  <c r="H138" i="1"/>
  <c r="R132" i="1"/>
  <c r="R140" i="1"/>
  <c r="R138" i="1"/>
  <c r="R136" i="1"/>
  <c r="AA140" i="1"/>
  <c r="AA130" i="1"/>
  <c r="AA132" i="1"/>
  <c r="AA128" i="1"/>
  <c r="AA136" i="1"/>
  <c r="AA138" i="1"/>
  <c r="AC554" i="1"/>
  <c r="AC551" i="1"/>
  <c r="AC549" i="1"/>
  <c r="AC544" i="1"/>
  <c r="AC550" i="1"/>
  <c r="AC547" i="1"/>
  <c r="AC548" i="1"/>
  <c r="AC546" i="1"/>
  <c r="AC553" i="1"/>
  <c r="AC552" i="1"/>
  <c r="AC545" i="1"/>
  <c r="AA550" i="1" l="1"/>
  <c r="AA551" i="1"/>
  <c r="AA549" i="1"/>
  <c r="AA544" i="1"/>
  <c r="AA553" i="1"/>
  <c r="AA554" i="1"/>
  <c r="AA548" i="1"/>
  <c r="AA545" i="1"/>
  <c r="AA552" i="1"/>
  <c r="AA546" i="1"/>
  <c r="AA547" i="1"/>
  <c r="H128" i="1"/>
  <c r="H130" i="1"/>
  <c r="AA555" i="1"/>
  <c r="AA556" i="1"/>
  <c r="H544" i="1"/>
  <c r="AE572" i="1"/>
  <c r="AA572" i="1" s="1"/>
  <c r="H572" i="1"/>
  <c r="J596" i="1" s="1" a="1"/>
  <c r="J596" i="1" s="1"/>
  <c r="H596" i="1" s="1"/>
  <c r="R572" i="1"/>
</calcChain>
</file>

<file path=xl/sharedStrings.xml><?xml version="1.0" encoding="utf-8"?>
<sst xmlns="http://schemas.openxmlformats.org/spreadsheetml/2006/main" count="2097" uniqueCount="498">
  <si>
    <t>공격력</t>
  </si>
  <si>
    <t>류탄</t>
  </si>
  <si>
    <t>사형 집행</t>
  </si>
  <si>
    <t>종말의 전조</t>
  </si>
  <si>
    <t>스파이럴 플레임</t>
  </si>
  <si>
    <t>대재앙</t>
  </si>
  <si>
    <t>데스파이어</t>
  </si>
  <si>
    <t>샷건 연사</t>
  </si>
  <si>
    <t>민첩한 사격</t>
  </si>
  <si>
    <t>퀵 샷</t>
  </si>
  <si>
    <t>샷건의 지배자</t>
  </si>
  <si>
    <t>조준 사격</t>
  </si>
  <si>
    <t>잔혹한 추적자</t>
  </si>
  <si>
    <t>최후의 만찬</t>
  </si>
  <si>
    <t>퍼펙트 샷</t>
  </si>
  <si>
    <t>나선</t>
    <phoneticPr fontId="4" type="noConversion"/>
  </si>
  <si>
    <t>플라즈마</t>
    <phoneticPr fontId="4" type="noConversion"/>
  </si>
  <si>
    <t>메테오</t>
    <phoneticPr fontId="4" type="noConversion"/>
  </si>
  <si>
    <t>썸머솔트</t>
    <phoneticPr fontId="4" type="noConversion"/>
  </si>
  <si>
    <t>이퀄</t>
    <phoneticPr fontId="4" type="noConversion"/>
  </si>
  <si>
    <t>클레이폭격</t>
    <phoneticPr fontId="4" type="noConversion"/>
  </si>
  <si>
    <t>버스팅</t>
    <phoneticPr fontId="4" type="noConversion"/>
  </si>
  <si>
    <t>치명</t>
    <phoneticPr fontId="4" type="noConversion"/>
  </si>
  <si>
    <t>특화</t>
    <phoneticPr fontId="4" type="noConversion"/>
  </si>
  <si>
    <t>신속</t>
    <phoneticPr fontId="4" type="noConversion"/>
  </si>
  <si>
    <t>기습의 대가</t>
    <phoneticPr fontId="4" type="noConversion"/>
  </si>
  <si>
    <t>강화 무기</t>
    <phoneticPr fontId="4" type="noConversion"/>
  </si>
  <si>
    <t>무기 공격력</t>
    <phoneticPr fontId="4" type="noConversion"/>
  </si>
  <si>
    <t>공격속도(신속)</t>
    <phoneticPr fontId="4" type="noConversion"/>
  </si>
  <si>
    <t>쿨타임(신속)</t>
    <phoneticPr fontId="4" type="noConversion"/>
  </si>
  <si>
    <t>핸드건 치피</t>
    <phoneticPr fontId="4" type="noConversion"/>
  </si>
  <si>
    <t>샷건 증뎀</t>
    <phoneticPr fontId="4" type="noConversion"/>
  </si>
  <si>
    <t>라이플 방관</t>
    <phoneticPr fontId="4" type="noConversion"/>
  </si>
  <si>
    <t>라이플 증뎀</t>
    <phoneticPr fontId="4" type="noConversion"/>
  </si>
  <si>
    <t>각성 증뎀</t>
    <phoneticPr fontId="4" type="noConversion"/>
  </si>
  <si>
    <t>감소율</t>
    <phoneticPr fontId="4" type="noConversion"/>
  </si>
  <si>
    <t>원거리</t>
    <phoneticPr fontId="4" type="noConversion"/>
  </si>
  <si>
    <t>근접</t>
    <phoneticPr fontId="4" type="noConversion"/>
  </si>
  <si>
    <t>샷건 근접 보너스</t>
    <phoneticPr fontId="4" type="noConversion"/>
  </si>
  <si>
    <t>쿨타임</t>
    <phoneticPr fontId="4" type="noConversion"/>
  </si>
  <si>
    <t>류탄</t>
    <phoneticPr fontId="4" type="noConversion"/>
  </si>
  <si>
    <t>사형 집행</t>
    <phoneticPr fontId="4" type="noConversion"/>
  </si>
  <si>
    <t>데스파이어</t>
    <phoneticPr fontId="4" type="noConversion"/>
  </si>
  <si>
    <t>민첩한 사격</t>
    <phoneticPr fontId="4" type="noConversion"/>
  </si>
  <si>
    <t>퀵 샷</t>
    <phoneticPr fontId="4" type="noConversion"/>
  </si>
  <si>
    <t>잔혹한 추적자</t>
    <phoneticPr fontId="4" type="noConversion"/>
  </si>
  <si>
    <t>종말의 전조</t>
    <phoneticPr fontId="4" type="noConversion"/>
  </si>
  <si>
    <t>심판의 시간</t>
    <phoneticPr fontId="4" type="noConversion"/>
  </si>
  <si>
    <t>샷건 연사</t>
    <phoneticPr fontId="4" type="noConversion"/>
  </si>
  <si>
    <t>샷건의 지배자</t>
    <phoneticPr fontId="4" type="noConversion"/>
  </si>
  <si>
    <t>최후의 만찬</t>
    <phoneticPr fontId="4" type="noConversion"/>
  </si>
  <si>
    <t>스파이럴</t>
    <phoneticPr fontId="4" type="noConversion"/>
  </si>
  <si>
    <t>대재앙</t>
    <phoneticPr fontId="4" type="noConversion"/>
  </si>
  <si>
    <t>조준 사격</t>
    <phoneticPr fontId="4" type="noConversion"/>
  </si>
  <si>
    <t>퍼펙트 샷</t>
    <phoneticPr fontId="4" type="noConversion"/>
  </si>
  <si>
    <t>트라이포드</t>
    <phoneticPr fontId="4" type="noConversion"/>
  </si>
  <si>
    <t>백어택증뎀</t>
    <phoneticPr fontId="4" type="noConversion"/>
  </si>
  <si>
    <t>백어택치명</t>
    <phoneticPr fontId="4" type="noConversion"/>
  </si>
  <si>
    <t>1트포</t>
    <phoneticPr fontId="4" type="noConversion"/>
  </si>
  <si>
    <t>2트포</t>
    <phoneticPr fontId="4" type="noConversion"/>
  </si>
  <si>
    <t>3트포</t>
    <phoneticPr fontId="4" type="noConversion"/>
  </si>
  <si>
    <t>핸드거너</t>
    <phoneticPr fontId="4" type="noConversion"/>
  </si>
  <si>
    <t>백어택</t>
    <phoneticPr fontId="4" type="noConversion"/>
  </si>
  <si>
    <t>번호</t>
    <phoneticPr fontId="4" type="noConversion"/>
  </si>
  <si>
    <t>레벨</t>
    <phoneticPr fontId="4" type="noConversion"/>
  </si>
  <si>
    <t>스킬이름</t>
    <phoneticPr fontId="4" type="noConversion"/>
  </si>
  <si>
    <t>기타</t>
    <phoneticPr fontId="4" type="noConversion"/>
  </si>
  <si>
    <t>DPS</t>
    <phoneticPr fontId="4" type="noConversion"/>
  </si>
  <si>
    <t>2타</t>
    <phoneticPr fontId="4" type="noConversion"/>
  </si>
  <si>
    <t>1타</t>
    <phoneticPr fontId="4" type="noConversion"/>
  </si>
  <si>
    <t>3타</t>
    <phoneticPr fontId="4" type="noConversion"/>
  </si>
  <si>
    <t>4타</t>
    <phoneticPr fontId="4" type="noConversion"/>
  </si>
  <si>
    <t>합계</t>
    <phoneticPr fontId="4" type="noConversion"/>
  </si>
  <si>
    <t>최종 데미지</t>
    <phoneticPr fontId="4" type="noConversion"/>
  </si>
  <si>
    <t>기본 쿨타임</t>
    <phoneticPr fontId="4" type="noConversion"/>
  </si>
  <si>
    <t>나선의 추적자</t>
    <phoneticPr fontId="4" type="noConversion"/>
  </si>
  <si>
    <t>0/0/0</t>
    <phoneticPr fontId="4" type="noConversion"/>
  </si>
  <si>
    <t>2/0/0</t>
    <phoneticPr fontId="4" type="noConversion"/>
  </si>
  <si>
    <t>0/2/0</t>
    <phoneticPr fontId="4" type="noConversion"/>
  </si>
  <si>
    <t>0/3/0</t>
    <phoneticPr fontId="4" type="noConversion"/>
  </si>
  <si>
    <t>2/2/0</t>
    <phoneticPr fontId="4" type="noConversion"/>
  </si>
  <si>
    <t>2/3/0</t>
    <phoneticPr fontId="4" type="noConversion"/>
  </si>
  <si>
    <t>중심</t>
    <phoneticPr fontId="4" type="noConversion"/>
  </si>
  <si>
    <t>기본 합계</t>
    <phoneticPr fontId="4" type="noConversion"/>
  </si>
  <si>
    <t>기본 1타</t>
    <phoneticPr fontId="4" type="noConversion"/>
  </si>
  <si>
    <t>기본 2타</t>
    <phoneticPr fontId="4" type="noConversion"/>
  </si>
  <si>
    <t>기본 3타</t>
    <phoneticPr fontId="4" type="noConversion"/>
  </si>
  <si>
    <t>기본 치피</t>
    <phoneticPr fontId="4" type="noConversion"/>
  </si>
  <si>
    <t>계산 치명률</t>
    <phoneticPr fontId="4" type="noConversion"/>
  </si>
  <si>
    <t>계산 치피</t>
    <phoneticPr fontId="4" type="noConversion"/>
  </si>
  <si>
    <t>계산 쿨타임</t>
    <phoneticPr fontId="4" type="noConversion"/>
  </si>
  <si>
    <t>민첩</t>
    <phoneticPr fontId="4" type="noConversion"/>
  </si>
  <si>
    <t>AT02 유탄</t>
  </si>
  <si>
    <t>AT02 유탄</t>
    <phoneticPr fontId="4" type="noConversion"/>
  </si>
  <si>
    <t>0/0/0</t>
    <phoneticPr fontId="4" type="noConversion"/>
  </si>
  <si>
    <t>3/0/0</t>
    <phoneticPr fontId="4" type="noConversion"/>
  </si>
  <si>
    <t>0/1/0</t>
    <phoneticPr fontId="4" type="noConversion"/>
  </si>
  <si>
    <t>0/2/0</t>
    <phoneticPr fontId="4" type="noConversion"/>
  </si>
  <si>
    <t>0/3/0</t>
    <phoneticPr fontId="4" type="noConversion"/>
  </si>
  <si>
    <t>3/1/0</t>
    <phoneticPr fontId="4" type="noConversion"/>
  </si>
  <si>
    <t>2/2/1</t>
    <phoneticPr fontId="4" type="noConversion"/>
  </si>
  <si>
    <t>2/2/2</t>
    <phoneticPr fontId="4" type="noConversion"/>
  </si>
  <si>
    <t>나선의 추적자</t>
    <phoneticPr fontId="4" type="noConversion"/>
  </si>
  <si>
    <t>2/3/1</t>
    <phoneticPr fontId="4" type="noConversion"/>
  </si>
  <si>
    <t>2/3/2</t>
    <phoneticPr fontId="4" type="noConversion"/>
  </si>
  <si>
    <t>2/0/0</t>
    <phoneticPr fontId="4" type="noConversion"/>
  </si>
  <si>
    <t>중심</t>
    <phoneticPr fontId="4" type="noConversion"/>
  </si>
  <si>
    <t>중심</t>
    <phoneticPr fontId="4" type="noConversion"/>
  </si>
  <si>
    <t>3/2/0</t>
    <phoneticPr fontId="4" type="noConversion"/>
  </si>
  <si>
    <t>3/3/0</t>
    <phoneticPr fontId="4" type="noConversion"/>
  </si>
  <si>
    <t>3/0/1</t>
    <phoneticPr fontId="4" type="noConversion"/>
  </si>
  <si>
    <t>3/0/2</t>
    <phoneticPr fontId="4" type="noConversion"/>
  </si>
  <si>
    <t>3/1/1</t>
    <phoneticPr fontId="4" type="noConversion"/>
  </si>
  <si>
    <t>3/1/2</t>
    <phoneticPr fontId="4" type="noConversion"/>
  </si>
  <si>
    <t>3/2/1</t>
    <phoneticPr fontId="4" type="noConversion"/>
  </si>
  <si>
    <t>3/2/2</t>
    <phoneticPr fontId="4" type="noConversion"/>
  </si>
  <si>
    <t>3/3/1</t>
    <phoneticPr fontId="4" type="noConversion"/>
  </si>
  <si>
    <t>3/3/2</t>
    <phoneticPr fontId="4" type="noConversion"/>
  </si>
  <si>
    <t>사형 집행</t>
    <phoneticPr fontId="4" type="noConversion"/>
  </si>
  <si>
    <t>3/1/2</t>
    <phoneticPr fontId="4" type="noConversion"/>
  </si>
  <si>
    <t>급소 노출</t>
    <phoneticPr fontId="4" type="noConversion"/>
  </si>
  <si>
    <t>0/0/1</t>
    <phoneticPr fontId="4" type="noConversion"/>
  </si>
  <si>
    <t>0/0/2</t>
    <phoneticPr fontId="4" type="noConversion"/>
  </si>
  <si>
    <t>생명50%이상</t>
    <phoneticPr fontId="4" type="noConversion"/>
  </si>
  <si>
    <t>공중</t>
    <phoneticPr fontId="4" type="noConversion"/>
  </si>
  <si>
    <t>생명50%이상, 공중</t>
    <phoneticPr fontId="4" type="noConversion"/>
  </si>
  <si>
    <t>0/3/1</t>
    <phoneticPr fontId="4" type="noConversion"/>
  </si>
  <si>
    <t>0/3/2</t>
    <phoneticPr fontId="4" type="noConversion"/>
  </si>
  <si>
    <t>치명률 반영 기대 데미지</t>
    <phoneticPr fontId="4" type="noConversion"/>
  </si>
  <si>
    <t>플라즈마 불릿</t>
    <phoneticPr fontId="4" type="noConversion"/>
  </si>
  <si>
    <t>18히트</t>
    <phoneticPr fontId="4" type="noConversion"/>
  </si>
  <si>
    <t>10히트</t>
    <phoneticPr fontId="4" type="noConversion"/>
  </si>
  <si>
    <t>(실측)</t>
    <phoneticPr fontId="4" type="noConversion"/>
  </si>
  <si>
    <t>메테오 스트림</t>
    <phoneticPr fontId="4" type="noConversion"/>
  </si>
  <si>
    <t>3/2/1</t>
    <phoneticPr fontId="4" type="noConversion"/>
  </si>
  <si>
    <t>3/2/2</t>
    <phoneticPr fontId="4" type="noConversion"/>
  </si>
  <si>
    <t>피격이상 면역</t>
    <phoneticPr fontId="4" type="noConversion"/>
  </si>
  <si>
    <t>피격이상 중</t>
    <phoneticPr fontId="4" type="noConversion"/>
  </si>
  <si>
    <t>썸머솔트샷</t>
    <phoneticPr fontId="4" type="noConversion"/>
  </si>
  <si>
    <t>2/2/0</t>
    <phoneticPr fontId="4" type="noConversion"/>
  </si>
  <si>
    <t>0/2/1</t>
    <phoneticPr fontId="4" type="noConversion"/>
  </si>
  <si>
    <t>2/0/1</t>
    <phoneticPr fontId="4" type="noConversion"/>
  </si>
  <si>
    <t>이퀄리브리엄</t>
    <phoneticPr fontId="4" type="noConversion"/>
  </si>
  <si>
    <t>2/0/0</t>
    <phoneticPr fontId="4" type="noConversion"/>
  </si>
  <si>
    <t>2/1/0</t>
    <phoneticPr fontId="4" type="noConversion"/>
  </si>
  <si>
    <t>0/1/1</t>
    <phoneticPr fontId="4" type="noConversion"/>
  </si>
  <si>
    <t>0/1/2</t>
    <phoneticPr fontId="4" type="noConversion"/>
  </si>
  <si>
    <t>0/2/2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</si>
  <si>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</si>
  <si>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</si>
  <si>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</si>
  <si>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</si>
  <si>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5타</t>
    <phoneticPr fontId="4" type="noConversion"/>
  </si>
  <si>
    <t>6타</t>
    <phoneticPr fontId="4" type="noConversion"/>
  </si>
  <si>
    <t>7타</t>
    <phoneticPr fontId="4" type="noConversion"/>
  </si>
  <si>
    <t>치명 X</t>
    <phoneticPr fontId="4" type="noConversion"/>
  </si>
  <si>
    <t>치명 O</t>
    <phoneticPr fontId="4" type="noConversion"/>
  </si>
  <si>
    <t>데스파이어</t>
    <phoneticPr fontId="4" type="noConversion"/>
  </si>
  <si>
    <t>데스파이어</t>
    <phoneticPr fontId="4" type="noConversion"/>
  </si>
  <si>
    <t>0/1/0</t>
    <phoneticPr fontId="4" type="noConversion"/>
  </si>
  <si>
    <t>0/0/0</t>
    <phoneticPr fontId="4" type="noConversion"/>
  </si>
  <si>
    <t>0/0/2</t>
    <phoneticPr fontId="4" type="noConversion"/>
  </si>
  <si>
    <t>0/1/0</t>
    <phoneticPr fontId="4" type="noConversion"/>
  </si>
  <si>
    <t>0/1/2</t>
    <phoneticPr fontId="4" type="noConversion"/>
  </si>
  <si>
    <t>3/0/0</t>
    <phoneticPr fontId="4" type="noConversion"/>
  </si>
  <si>
    <t>3/1/0</t>
    <phoneticPr fontId="4" type="noConversion"/>
  </si>
  <si>
    <t>3/1/2</t>
    <phoneticPr fontId="4" type="noConversion"/>
  </si>
  <si>
    <t>민첩한 사격</t>
    <phoneticPr fontId="4" type="noConversion"/>
  </si>
  <si>
    <t>헤드어택</t>
    <phoneticPr fontId="4" type="noConversion"/>
  </si>
  <si>
    <t>퀵 샷</t>
    <phoneticPr fontId="4" type="noConversion"/>
  </si>
  <si>
    <t>잔혹한 추적자</t>
    <phoneticPr fontId="4" type="noConversion"/>
  </si>
  <si>
    <t>1/0/0</t>
    <phoneticPr fontId="4" type="noConversion"/>
  </si>
  <si>
    <t>1/1/0</t>
    <phoneticPr fontId="4" type="noConversion"/>
  </si>
  <si>
    <t>1/2/0</t>
    <phoneticPr fontId="4" type="noConversion"/>
  </si>
  <si>
    <t>0/1/2</t>
    <phoneticPr fontId="4" type="noConversion"/>
  </si>
  <si>
    <t>0/2/1</t>
    <phoneticPr fontId="4" type="noConversion"/>
  </si>
  <si>
    <t>1/0/1</t>
    <phoneticPr fontId="4" type="noConversion"/>
  </si>
  <si>
    <t>1/0/2</t>
    <phoneticPr fontId="4" type="noConversion"/>
  </si>
  <si>
    <t>1/1/1</t>
    <phoneticPr fontId="4" type="noConversion"/>
  </si>
  <si>
    <t>1/1/2</t>
    <phoneticPr fontId="4" type="noConversion"/>
  </si>
  <si>
    <t>1/2/1</t>
    <phoneticPr fontId="4" type="noConversion"/>
  </si>
  <si>
    <t>1/2/2</t>
    <phoneticPr fontId="4" type="noConversion"/>
  </si>
  <si>
    <t>헤드어택증뎀</t>
    <phoneticPr fontId="4" type="noConversion"/>
  </si>
  <si>
    <t>종말의 전조</t>
    <phoneticPr fontId="4" type="noConversion"/>
  </si>
  <si>
    <t>0/0/0</t>
    <phoneticPr fontId="4" type="noConversion"/>
  </si>
  <si>
    <t>1/0/0</t>
    <phoneticPr fontId="4" type="noConversion"/>
  </si>
  <si>
    <t>0/1/0</t>
    <phoneticPr fontId="4" type="noConversion"/>
  </si>
  <si>
    <t>0/3/0</t>
    <phoneticPr fontId="4" type="noConversion"/>
  </si>
  <si>
    <t>1/1/0</t>
    <phoneticPr fontId="4" type="noConversion"/>
  </si>
  <si>
    <t>1/3/0</t>
    <phoneticPr fontId="4" type="noConversion"/>
  </si>
  <si>
    <t>0/0/1</t>
    <phoneticPr fontId="4" type="noConversion"/>
  </si>
  <si>
    <t>0/0/2</t>
    <phoneticPr fontId="4" type="noConversion"/>
  </si>
  <si>
    <t>0/1/1</t>
    <phoneticPr fontId="4" type="noConversion"/>
  </si>
  <si>
    <t>0/1/2</t>
    <phoneticPr fontId="4" type="noConversion"/>
  </si>
  <si>
    <t>0/3/1</t>
    <phoneticPr fontId="4" type="noConversion"/>
  </si>
  <si>
    <t>0/3/2</t>
    <phoneticPr fontId="4" type="noConversion"/>
  </si>
  <si>
    <t>1/1/1</t>
    <phoneticPr fontId="4" type="noConversion"/>
  </si>
  <si>
    <t>1/1/2</t>
    <phoneticPr fontId="4" type="noConversion"/>
  </si>
  <si>
    <t>1/3/1</t>
    <phoneticPr fontId="4" type="noConversion"/>
  </si>
  <si>
    <t>1/3/2</t>
    <phoneticPr fontId="4" type="noConversion"/>
  </si>
  <si>
    <t>근접</t>
    <phoneticPr fontId="4" type="noConversion"/>
  </si>
  <si>
    <t>원거리</t>
    <phoneticPr fontId="4" type="noConversion"/>
  </si>
  <si>
    <t>2/0/0</t>
    <phoneticPr fontId="4" type="noConversion"/>
  </si>
  <si>
    <t>1/2/0</t>
    <phoneticPr fontId="4" type="noConversion"/>
  </si>
  <si>
    <t>2/2/0</t>
    <phoneticPr fontId="4" type="noConversion"/>
  </si>
  <si>
    <t>0/0/2</t>
    <phoneticPr fontId="4" type="noConversion"/>
  </si>
  <si>
    <t>1/2/1</t>
    <phoneticPr fontId="4" type="noConversion"/>
  </si>
  <si>
    <t>2/2/2</t>
    <phoneticPr fontId="4" type="noConversion"/>
  </si>
  <si>
    <t>샷건 연사</t>
    <phoneticPr fontId="4" type="noConversion"/>
  </si>
  <si>
    <t>0/3/0</t>
    <phoneticPr fontId="4" type="noConversion"/>
  </si>
  <si>
    <t>샷건의 지배자</t>
    <phoneticPr fontId="4" type="noConversion"/>
  </si>
  <si>
    <t>3/0/0</t>
    <phoneticPr fontId="4" type="noConversion"/>
  </si>
  <si>
    <t>0/2/0</t>
    <phoneticPr fontId="4" type="noConversion"/>
  </si>
  <si>
    <t>3/1/0</t>
    <phoneticPr fontId="4" type="noConversion"/>
  </si>
  <si>
    <t>화상</t>
  </si>
  <si>
    <t>화상</t>
    <phoneticPr fontId="4" type="noConversion"/>
  </si>
  <si>
    <t>피격이상 면역</t>
    <phoneticPr fontId="4" type="noConversion"/>
  </si>
  <si>
    <t>1/2/2</t>
    <phoneticPr fontId="4" type="noConversion"/>
  </si>
  <si>
    <t>3/1/1</t>
    <phoneticPr fontId="4" type="noConversion"/>
  </si>
  <si>
    <t>3/1/2</t>
    <phoneticPr fontId="4" type="noConversion"/>
  </si>
  <si>
    <t>최후의 만찬</t>
    <phoneticPr fontId="4" type="noConversion"/>
  </si>
  <si>
    <t>2/1/0</t>
    <phoneticPr fontId="4" type="noConversion"/>
  </si>
  <si>
    <t>2/3/0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</si>
  <si>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</si>
  <si>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</si>
  <si>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</si>
  <si>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2/3/1</t>
    <phoneticPr fontId="4" type="noConversion"/>
  </si>
  <si>
    <t>2/3/2</t>
    <phoneticPr fontId="4" type="noConversion"/>
  </si>
  <si>
    <t>특이사항</t>
    <phoneticPr fontId="4" type="noConversion"/>
  </si>
  <si>
    <t>무력화</t>
    <phoneticPr fontId="4" type="noConversion"/>
  </si>
  <si>
    <t>스파이럴 플레임</t>
    <phoneticPr fontId="4" type="noConversion"/>
  </si>
  <si>
    <t>0/0/0</t>
    <phoneticPr fontId="4" type="noConversion"/>
  </si>
  <si>
    <t>0/0/0</t>
    <phoneticPr fontId="4" type="noConversion"/>
  </si>
  <si>
    <t>0/2/0</t>
    <phoneticPr fontId="4" type="noConversion"/>
  </si>
  <si>
    <t>0/1/0</t>
    <phoneticPr fontId="4" type="noConversion"/>
  </si>
  <si>
    <t>0/3/0</t>
    <phoneticPr fontId="4" type="noConversion"/>
  </si>
  <si>
    <t>2/0/0</t>
    <phoneticPr fontId="4" type="noConversion"/>
  </si>
  <si>
    <t>2/1/0</t>
    <phoneticPr fontId="4" type="noConversion"/>
  </si>
  <si>
    <t>2/3/0</t>
    <phoneticPr fontId="4" type="noConversion"/>
  </si>
  <si>
    <t>0/0/1</t>
    <phoneticPr fontId="4" type="noConversion"/>
  </si>
  <si>
    <t>0/0/2</t>
    <phoneticPr fontId="4" type="noConversion"/>
  </si>
  <si>
    <t>2/0/1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</si>
  <si>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</si>
  <si>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</si>
  <si>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</si>
  <si>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2/3/1</t>
    <phoneticPr fontId="4" type="noConversion"/>
  </si>
  <si>
    <t>2/3/2</t>
    <phoneticPr fontId="4" type="noConversion"/>
  </si>
  <si>
    <t>대재앙</t>
    <phoneticPr fontId="4" type="noConversion"/>
  </si>
  <si>
    <t>0/1/1</t>
    <phoneticPr fontId="4" type="noConversion"/>
  </si>
  <si>
    <t>0/1/2</t>
    <phoneticPr fontId="4" type="noConversion"/>
  </si>
  <si>
    <t>0/2/1</t>
    <phoneticPr fontId="4" type="noConversion"/>
  </si>
  <si>
    <t>0/2/2</t>
    <phoneticPr fontId="4" type="noConversion"/>
  </si>
  <si>
    <t>피격이상 중</t>
    <phoneticPr fontId="4" type="noConversion"/>
  </si>
  <si>
    <t>조준 사격</t>
    <phoneticPr fontId="4" type="noConversion"/>
  </si>
  <si>
    <t>퍼펙트 샷</t>
    <phoneticPr fontId="4" type="noConversion"/>
  </si>
  <si>
    <t>0/3/0</t>
    <phoneticPr fontId="4" type="noConversion"/>
  </si>
  <si>
    <t>0/3/2</t>
    <phoneticPr fontId="4" type="noConversion"/>
  </si>
  <si>
    <t>클레이 폭격</t>
    <phoneticPr fontId="4" type="noConversion"/>
  </si>
  <si>
    <t>버스팅 플레어</t>
    <phoneticPr fontId="4" type="noConversion"/>
  </si>
  <si>
    <t>캐릭터 정보 입력란</t>
    <phoneticPr fontId="4" type="noConversion"/>
  </si>
  <si>
    <t>계산으로 산출되는 캐릭터 스펙</t>
    <phoneticPr fontId="4" type="noConversion"/>
  </si>
  <si>
    <t>트라이포드 입력란</t>
    <phoneticPr fontId="4" type="noConversion"/>
  </si>
  <si>
    <t>나선의 추적자</t>
    <phoneticPr fontId="4" type="noConversion"/>
  </si>
  <si>
    <t>성장 탄환</t>
    <phoneticPr fontId="4" type="noConversion"/>
  </si>
  <si>
    <t>집중 사격</t>
    <phoneticPr fontId="4" type="noConversion"/>
  </si>
  <si>
    <t>핸드건</t>
    <phoneticPr fontId="4" type="noConversion"/>
  </si>
  <si>
    <t>샷건</t>
    <phoneticPr fontId="4" type="noConversion"/>
  </si>
  <si>
    <t>라이플</t>
    <phoneticPr fontId="4" type="noConversion"/>
  </si>
  <si>
    <t>AT02 유탄</t>
    <phoneticPr fontId="4" type="noConversion"/>
  </si>
  <si>
    <t>강화 수류탄</t>
    <phoneticPr fontId="4" type="noConversion"/>
  </si>
  <si>
    <t>세열 수류탄</t>
    <phoneticPr fontId="4" type="noConversion"/>
  </si>
  <si>
    <t>빙결 수류탄</t>
    <phoneticPr fontId="4" type="noConversion"/>
  </si>
  <si>
    <t>불꽃놀이</t>
    <phoneticPr fontId="4" type="noConversion"/>
  </si>
  <si>
    <t>내부발화</t>
    <phoneticPr fontId="4" type="noConversion"/>
  </si>
  <si>
    <t>사형 집행</t>
    <phoneticPr fontId="4" type="noConversion"/>
  </si>
  <si>
    <t>급소 타격</t>
    <phoneticPr fontId="4" type="noConversion"/>
  </si>
  <si>
    <t>사격 개시</t>
    <phoneticPr fontId="4" type="noConversion"/>
  </si>
  <si>
    <t>대공 사격</t>
    <phoneticPr fontId="4" type="noConversion"/>
  </si>
  <si>
    <t>무차별 난사</t>
    <phoneticPr fontId="4" type="noConversion"/>
  </si>
  <si>
    <t>플라즈마 불릿</t>
    <phoneticPr fontId="4" type="noConversion"/>
  </si>
  <si>
    <t>급소 사격</t>
    <phoneticPr fontId="4" type="noConversion"/>
  </si>
  <si>
    <t>초전하 지대</t>
    <phoneticPr fontId="4" type="noConversion"/>
  </si>
  <si>
    <t>플라즈마 분열</t>
    <phoneticPr fontId="4" type="noConversion"/>
  </si>
  <si>
    <t>메테오 스트림</t>
    <phoneticPr fontId="4" type="noConversion"/>
  </si>
  <si>
    <t>약점포착</t>
    <phoneticPr fontId="4" type="noConversion"/>
  </si>
  <si>
    <t>비열한 공격</t>
    <phoneticPr fontId="4" type="noConversion"/>
  </si>
  <si>
    <t>꿰뚫는 폭발</t>
    <phoneticPr fontId="4" type="noConversion"/>
  </si>
  <si>
    <t>폭격 지원</t>
    <phoneticPr fontId="4" type="noConversion"/>
  </si>
  <si>
    <t>혜성 낙하</t>
    <phoneticPr fontId="4" type="noConversion"/>
  </si>
  <si>
    <t>썸머쏠트 샷</t>
    <phoneticPr fontId="4" type="noConversion"/>
  </si>
  <si>
    <t>원한</t>
    <phoneticPr fontId="4" type="noConversion"/>
  </si>
  <si>
    <t>저주받은 인형</t>
    <phoneticPr fontId="4" type="noConversion"/>
  </si>
  <si>
    <t>예리한 둔기</t>
    <phoneticPr fontId="4" type="noConversion"/>
  </si>
  <si>
    <t>화상 효과</t>
    <phoneticPr fontId="4" type="noConversion"/>
  </si>
  <si>
    <t>슈퍼 아머</t>
    <phoneticPr fontId="4" type="noConversion"/>
  </si>
  <si>
    <t>이퀄리브리엄</t>
    <phoneticPr fontId="4" type="noConversion"/>
  </si>
  <si>
    <t>데스파이어</t>
    <phoneticPr fontId="4" type="noConversion"/>
  </si>
  <si>
    <t>화염 폭탄</t>
    <phoneticPr fontId="4" type="noConversion"/>
  </si>
  <si>
    <t>민첩한 사격</t>
    <phoneticPr fontId="4" type="noConversion"/>
  </si>
  <si>
    <t>급소 공격</t>
    <phoneticPr fontId="4" type="noConversion"/>
  </si>
  <si>
    <t>근접 사격</t>
    <phoneticPr fontId="4" type="noConversion"/>
  </si>
  <si>
    <t>퀵 샷</t>
    <phoneticPr fontId="4" type="noConversion"/>
  </si>
  <si>
    <t>성장 사격</t>
    <phoneticPr fontId="4" type="noConversion"/>
  </si>
  <si>
    <t>잔혹한 추적자</t>
    <phoneticPr fontId="4" type="noConversion"/>
  </si>
  <si>
    <t>빠른 준비</t>
    <phoneticPr fontId="4" type="noConversion"/>
  </si>
  <si>
    <t>빠른 총 뽑기</t>
    <phoneticPr fontId="4" type="noConversion"/>
  </si>
  <si>
    <t>폭발성 탄환</t>
    <phoneticPr fontId="4" type="noConversion"/>
  </si>
  <si>
    <t>종말의 전조</t>
    <phoneticPr fontId="4" type="noConversion"/>
  </si>
  <si>
    <t>강화된 사격</t>
    <phoneticPr fontId="4" type="noConversion"/>
  </si>
  <si>
    <t>재앙의 여파</t>
    <phoneticPr fontId="4" type="noConversion"/>
  </si>
  <si>
    <t>다가온 종말</t>
    <phoneticPr fontId="4" type="noConversion"/>
  </si>
  <si>
    <t>특수 탄환</t>
    <phoneticPr fontId="4" type="noConversion"/>
  </si>
  <si>
    <t>약점 포착</t>
    <phoneticPr fontId="4" type="noConversion"/>
  </si>
  <si>
    <t>지배자의 의지</t>
    <phoneticPr fontId="4" type="noConversion"/>
  </si>
  <si>
    <t>군림하는 자</t>
    <phoneticPr fontId="4" type="noConversion"/>
  </si>
  <si>
    <t>화염탄</t>
    <phoneticPr fontId="4" type="noConversion"/>
  </si>
  <si>
    <t>뜨거운 열기</t>
    <phoneticPr fontId="4" type="noConversion"/>
  </si>
  <si>
    <t>강한 폭발</t>
    <phoneticPr fontId="4" type="noConversion"/>
  </si>
  <si>
    <t>집행</t>
    <phoneticPr fontId="4" type="noConversion"/>
  </si>
  <si>
    <t>연발 사격</t>
    <phoneticPr fontId="4" type="noConversion"/>
  </si>
  <si>
    <t>스파이럴 플레임</t>
    <phoneticPr fontId="4" type="noConversion"/>
  </si>
  <si>
    <t>맹렬한 불꽃</t>
    <phoneticPr fontId="4" type="noConversion"/>
  </si>
  <si>
    <t>성장 탄환</t>
    <phoneticPr fontId="4" type="noConversion"/>
  </si>
  <si>
    <t>마무리 사격</t>
    <phoneticPr fontId="4" type="noConversion"/>
  </si>
  <si>
    <t>총열 강화</t>
    <phoneticPr fontId="4" type="noConversion"/>
  </si>
  <si>
    <t>후폭풍</t>
    <phoneticPr fontId="4" type="noConversion"/>
  </si>
  <si>
    <t>대재앙</t>
    <phoneticPr fontId="4" type="noConversion"/>
  </si>
  <si>
    <t>무방비 표적</t>
    <phoneticPr fontId="4" type="noConversion"/>
  </si>
  <si>
    <t>영원한 재앙</t>
    <phoneticPr fontId="4" type="noConversion"/>
  </si>
  <si>
    <t>조준 사격</t>
    <phoneticPr fontId="4" type="noConversion"/>
  </si>
  <si>
    <t>퍼펙트 샷</t>
    <phoneticPr fontId="4" type="noConversion"/>
  </si>
  <si>
    <t>최종 공격력</t>
    <phoneticPr fontId="4" type="noConversion"/>
  </si>
  <si>
    <t>기본 공격력</t>
    <phoneticPr fontId="4" type="noConversion"/>
  </si>
  <si>
    <t>썸머쏠트 샷 - 화상 효과</t>
    <phoneticPr fontId="4" type="noConversion"/>
  </si>
  <si>
    <t>1/0/0</t>
    <phoneticPr fontId="4" type="noConversion"/>
  </si>
  <si>
    <t>0/2/0</t>
    <phoneticPr fontId="4" type="noConversion"/>
  </si>
  <si>
    <t>0/0/0</t>
    <phoneticPr fontId="4" type="noConversion"/>
  </si>
  <si>
    <t>0/1/0</t>
    <phoneticPr fontId="4" type="noConversion"/>
  </si>
  <si>
    <t>0/2/1</t>
    <phoneticPr fontId="4" type="noConversion"/>
  </si>
  <si>
    <t>0/1/2</t>
    <phoneticPr fontId="4" type="noConversion"/>
  </si>
  <si>
    <t>0/2/2</t>
    <phoneticPr fontId="4" type="noConversion"/>
  </si>
  <si>
    <t>섬멸 사격</t>
    <phoneticPr fontId="4" type="noConversion"/>
  </si>
  <si>
    <t>적 소탕</t>
    <phoneticPr fontId="4" type="noConversion"/>
  </si>
  <si>
    <t>원거리 사격</t>
    <phoneticPr fontId="4" type="noConversion"/>
  </si>
  <si>
    <t>화상 효과</t>
    <phoneticPr fontId="4" type="noConversion"/>
  </si>
  <si>
    <t>급소 사격</t>
    <phoneticPr fontId="4" type="noConversion"/>
  </si>
  <si>
    <t>화상</t>
    <phoneticPr fontId="4" type="noConversion"/>
  </si>
  <si>
    <t>0/3/0</t>
    <phoneticPr fontId="4" type="noConversion"/>
  </si>
  <si>
    <t>2/3/0</t>
    <phoneticPr fontId="4" type="noConversion"/>
  </si>
  <si>
    <t>시드 이하</t>
    <phoneticPr fontId="4" type="noConversion"/>
  </si>
  <si>
    <t>시드 이하, 화상</t>
    <phoneticPr fontId="4" type="noConversion"/>
  </si>
  <si>
    <t>2/0/0</t>
    <phoneticPr fontId="4" type="noConversion"/>
  </si>
  <si>
    <t>2/1/0</t>
    <phoneticPr fontId="4" type="noConversion"/>
  </si>
  <si>
    <t>풀레인지</t>
    <phoneticPr fontId="4" type="noConversion"/>
  </si>
  <si>
    <t>1/1/0</t>
    <phoneticPr fontId="4" type="noConversion"/>
  </si>
  <si>
    <t>1/3/0</t>
    <phoneticPr fontId="4" type="noConversion"/>
  </si>
  <si>
    <t>강화된 사격</t>
    <phoneticPr fontId="4" type="noConversion"/>
  </si>
  <si>
    <t>1/0/2</t>
    <phoneticPr fontId="4" type="noConversion"/>
  </si>
  <si>
    <t>출혈 효과</t>
    <phoneticPr fontId="4" type="noConversion"/>
  </si>
  <si>
    <t>정밀 사격</t>
    <phoneticPr fontId="4" type="noConversion"/>
  </si>
  <si>
    <t>마무리 사격</t>
    <phoneticPr fontId="4" type="noConversion"/>
  </si>
  <si>
    <t>피격이상 중</t>
    <phoneticPr fontId="4" type="noConversion"/>
  </si>
  <si>
    <t>피격이상 중</t>
    <phoneticPr fontId="4" type="noConversion"/>
  </si>
  <si>
    <t>더블 샷</t>
    <phoneticPr fontId="4" type="noConversion"/>
  </si>
  <si>
    <t>*트라이포드 2레벨 이상 미구현 목록(상태이상류)</t>
    <phoneticPr fontId="4" type="noConversion"/>
  </si>
  <si>
    <t>1. 스킬 계수 수정 (완료)</t>
    <phoneticPr fontId="4" type="noConversion"/>
  </si>
  <si>
    <t>3. 아브무기 18강 기준 공격력 보정 (완료)</t>
    <phoneticPr fontId="4" type="noConversion"/>
  </si>
  <si>
    <t>마지막 빛</t>
    <phoneticPr fontId="4" type="noConversion"/>
  </si>
  <si>
    <t>4. 핸드거너 각성기 (완료)</t>
    <phoneticPr fontId="4" type="noConversion"/>
  </si>
  <si>
    <t>6. 패치로 인한 트포 변경 (완료)</t>
    <phoneticPr fontId="4" type="noConversion"/>
  </si>
  <si>
    <t>치명확률(스탯)</t>
    <phoneticPr fontId="4" type="noConversion"/>
  </si>
  <si>
    <t>연사력 강화</t>
    <phoneticPr fontId="4" type="noConversion"/>
  </si>
  <si>
    <t>5. 11렙, 12렙... 필요한가?</t>
    <phoneticPr fontId="4" type="noConversion"/>
  </si>
  <si>
    <t>7. 장비(사멸, 악몽, 환각)</t>
    <phoneticPr fontId="4" type="noConversion"/>
  </si>
  <si>
    <t>평균</t>
    <phoneticPr fontId="4" type="noConversion"/>
  </si>
  <si>
    <t>생명50%이하</t>
  </si>
  <si>
    <t>생명50%이하</t>
    <phoneticPr fontId="4" type="noConversion"/>
  </si>
  <si>
    <t>9. 라이플 가중조화평균 DPS https://www.inven.co.kr/board/lostark/5708/747 (완료)</t>
    <phoneticPr fontId="4" type="noConversion"/>
  </si>
  <si>
    <t>아드레날린</t>
    <phoneticPr fontId="4" type="noConversion"/>
  </si>
  <si>
    <t>돌격대장</t>
    <phoneticPr fontId="4" type="noConversion"/>
  </si>
  <si>
    <t>정밀 단도</t>
    <phoneticPr fontId="4" type="noConversion"/>
  </si>
  <si>
    <t>질량 증가</t>
    <phoneticPr fontId="4" type="noConversion"/>
  </si>
  <si>
    <t>&lt; 0929 업데이트 &gt;</t>
    <phoneticPr fontId="4" type="noConversion"/>
  </si>
  <si>
    <t>저받인 등 추가 공격력</t>
    <phoneticPr fontId="4" type="noConversion"/>
  </si>
  <si>
    <t>공격속도(최종)</t>
    <phoneticPr fontId="4" type="noConversion"/>
  </si>
  <si>
    <t>쿨타임(최종)</t>
    <phoneticPr fontId="4" type="noConversion"/>
  </si>
  <si>
    <t>이동속도(최종)</t>
    <phoneticPr fontId="4" type="noConversion"/>
  </si>
  <si>
    <t>정기 흡수</t>
    <phoneticPr fontId="4" type="noConversion"/>
  </si>
  <si>
    <t>8. 아드레날린, 정기흡수, 돌격대장, 정밀 단도, 질량 증가 (완료)</t>
    <phoneticPr fontId="4" type="noConversion"/>
  </si>
  <si>
    <t>&lt; 1014 업데이트 &gt;</t>
    <phoneticPr fontId="4" type="noConversion"/>
  </si>
  <si>
    <t>1. 이퀄리브리엄 화상 트포, 퍼펙트샷 출혈 트포 레벨별 데미지 적용 완료</t>
    <phoneticPr fontId="4" type="noConversion"/>
  </si>
  <si>
    <t>&lt; 1208 업데이트 &gt;</t>
    <phoneticPr fontId="4" type="noConversion"/>
  </si>
  <si>
    <t>1. 퀵샷 마지막빛 트포 증뎀 오류 수정</t>
    <phoneticPr fontId="4" type="noConversion"/>
  </si>
  <si>
    <t>ex. 600% 증가 --- 6배(기존) -&gt; 7배(변경)</t>
    <phoneticPr fontId="4" type="noConversion"/>
  </si>
  <si>
    <t>2. 기습 곱연산 -&gt; 합연산 (곱연산 확정)</t>
    <phoneticPr fontId="4" type="noConversion"/>
  </si>
  <si>
    <t>&lt; 2022 0128 업데이트 &gt;</t>
    <phoneticPr fontId="4" type="noConversion"/>
  </si>
  <si>
    <t>1. 샷건 연사 - 연장 사격 트포 툴팁에 맞게 수정</t>
    <phoneticPr fontId="4" type="noConversion"/>
  </si>
  <si>
    <t>2. 최후의 만찬 - 더블 샷 트포 툴팁에 맞게 수정</t>
    <phoneticPr fontId="4" type="noConversion"/>
  </si>
  <si>
    <t>사멸</t>
    <phoneticPr fontId="4" type="noConversion"/>
  </si>
  <si>
    <t>&lt; 2023 0106 업데이트 &gt;</t>
    <phoneticPr fontId="4" type="noConversion"/>
  </si>
  <si>
    <t>2. 핸드거너 각인 패치 반영 (완료)</t>
    <phoneticPr fontId="4" type="noConversion"/>
  </si>
  <si>
    <t>메테오, 데파, 이퀄, 만찬</t>
    <phoneticPr fontId="4" type="noConversion"/>
  </si>
  <si>
    <t>시드 이상</t>
    <phoneticPr fontId="4" type="noConversion"/>
  </si>
  <si>
    <t>1. 사멸 세트 옵션 추가 (완료)</t>
    <phoneticPr fontId="4" type="noConversion"/>
  </si>
  <si>
    <t>3. 메테오 스트림, 데스파이어, 이퀄리브리엄, 최후의 만찬 스킬 패치 반영 (완료)</t>
    <phoneticPr fontId="4" type="noConversion"/>
  </si>
  <si>
    <t>4. 사형 집행 헤드어택 삭제 (완료)</t>
    <phoneticPr fontId="4" type="noConversion"/>
  </si>
  <si>
    <t>사유 : 귀차니즘+다른 트포 대비 딜기대x</t>
    <phoneticPr fontId="4" type="noConversion"/>
  </si>
  <si>
    <t>&lt; 2023 0512 업데이트 &gt;</t>
    <phoneticPr fontId="4" type="noConversion"/>
  </si>
  <si>
    <t>13. 나선의 추적자 3스택?</t>
    <phoneticPr fontId="4" type="noConversion"/>
  </si>
  <si>
    <t>시드 이하</t>
    <phoneticPr fontId="4" type="noConversion"/>
  </si>
  <si>
    <t>시드 이하, 화상</t>
    <phoneticPr fontId="4" type="noConversion"/>
  </si>
  <si>
    <t>약육강식</t>
    <phoneticPr fontId="4" type="noConversion"/>
  </si>
  <si>
    <t>예리한 사격</t>
    <phoneticPr fontId="4" type="noConversion"/>
  </si>
  <si>
    <t>피격이상 면역</t>
    <phoneticPr fontId="4" type="noConversion"/>
  </si>
  <si>
    <t>결전병기</t>
    <phoneticPr fontId="4" type="noConversion"/>
  </si>
  <si>
    <t>기습</t>
    <phoneticPr fontId="4" type="noConversion"/>
  </si>
  <si>
    <t>슈퍼 샷건</t>
    <phoneticPr fontId="4" type="noConversion"/>
  </si>
  <si>
    <t>원거리</t>
    <phoneticPr fontId="4" type="noConversion"/>
  </si>
  <si>
    <t>샷연, 스파이럴, 조준사격, 퍼펙트샷, 버스팅 플레어, 데스페라도, 심판의날, 원샷원킬</t>
    <phoneticPr fontId="4" type="noConversion"/>
  </si>
  <si>
    <t>대형 관통 탄환</t>
    <phoneticPr fontId="4" type="noConversion"/>
  </si>
  <si>
    <t>트리플 익스플로전</t>
    <phoneticPr fontId="4" type="noConversion"/>
  </si>
  <si>
    <t>애프터쇼크</t>
    <phoneticPr fontId="4" type="noConversion"/>
  </si>
  <si>
    <t>평균</t>
    <phoneticPr fontId="4" type="noConversion"/>
  </si>
  <si>
    <t>원샷원킬</t>
    <phoneticPr fontId="4" type="noConversion"/>
  </si>
  <si>
    <t>0/0/0</t>
    <phoneticPr fontId="4" type="noConversion"/>
  </si>
  <si>
    <t>원샷원킬</t>
    <phoneticPr fontId="4" type="noConversion"/>
  </si>
  <si>
    <t>대장갑 탄환</t>
    <phoneticPr fontId="4" type="noConversion"/>
  </si>
  <si>
    <t>정밀 조준 사격</t>
    <phoneticPr fontId="4" type="noConversion"/>
  </si>
  <si>
    <t>공중 폭발</t>
    <phoneticPr fontId="4" type="noConversion"/>
  </si>
  <si>
    <t>백발백중</t>
    <phoneticPr fontId="4" type="noConversion"/>
  </si>
  <si>
    <t>3/0/0</t>
    <phoneticPr fontId="4" type="noConversion"/>
  </si>
  <si>
    <t>0/1/0</t>
    <phoneticPr fontId="4" type="noConversion"/>
  </si>
  <si>
    <t>0/2/0</t>
    <phoneticPr fontId="4" type="noConversion"/>
  </si>
  <si>
    <t>0/3/0</t>
    <phoneticPr fontId="4" type="noConversion"/>
  </si>
  <si>
    <t>3/1/0</t>
    <phoneticPr fontId="4" type="noConversion"/>
  </si>
  <si>
    <t>3/2/0</t>
    <phoneticPr fontId="4" type="noConversion"/>
  </si>
  <si>
    <t>3/3/0</t>
    <phoneticPr fontId="4" type="noConversion"/>
  </si>
  <si>
    <t>0/0/1</t>
    <phoneticPr fontId="4" type="noConversion"/>
  </si>
  <si>
    <t>0/0/2</t>
    <phoneticPr fontId="4" type="noConversion"/>
  </si>
  <si>
    <t>0/1/1</t>
    <phoneticPr fontId="4" type="noConversion"/>
  </si>
  <si>
    <t>0/1/2</t>
    <phoneticPr fontId="4" type="noConversion"/>
  </si>
  <si>
    <t>0/2/1</t>
    <phoneticPr fontId="4" type="noConversion"/>
  </si>
  <si>
    <t>0/2/2</t>
    <phoneticPr fontId="4" type="noConversion"/>
  </si>
  <si>
    <t>0/3/1</t>
    <phoneticPr fontId="4" type="noConversion"/>
  </si>
  <si>
    <t>0/3/2</t>
    <phoneticPr fontId="4" type="noConversion"/>
  </si>
  <si>
    <t>3/0/1</t>
    <phoneticPr fontId="4" type="noConversion"/>
  </si>
  <si>
    <t>3/0/2</t>
    <phoneticPr fontId="4" type="noConversion"/>
  </si>
  <si>
    <t>3/1/1</t>
    <phoneticPr fontId="4" type="noConversion"/>
  </si>
  <si>
    <t>3/1/2</t>
    <phoneticPr fontId="4" type="noConversion"/>
  </si>
  <si>
    <t>3/2/1</t>
    <phoneticPr fontId="4" type="noConversion"/>
  </si>
  <si>
    <t>3/2/2</t>
    <phoneticPr fontId="4" type="noConversion"/>
  </si>
  <si>
    <t>3/3/1</t>
    <phoneticPr fontId="4" type="noConversion"/>
  </si>
  <si>
    <t>3/3/2</t>
    <phoneticPr fontId="4" type="noConversion"/>
  </si>
  <si>
    <t>최대 치명타피해</t>
    <phoneticPr fontId="4" type="noConversion"/>
  </si>
  <si>
    <t>심판의 날</t>
    <phoneticPr fontId="4" type="noConversion"/>
  </si>
  <si>
    <t>심판의 날</t>
    <phoneticPr fontId="4" type="noConversion"/>
  </si>
  <si>
    <t>데스페라도</t>
    <phoneticPr fontId="4" type="noConversion"/>
  </si>
  <si>
    <t>데스페라도</t>
    <phoneticPr fontId="4" type="noConversion"/>
  </si>
  <si>
    <t>근접</t>
    <phoneticPr fontId="4" type="noConversion"/>
  </si>
  <si>
    <t>드래곤 브레스</t>
    <phoneticPr fontId="4" type="noConversion"/>
  </si>
  <si>
    <t>암염탄</t>
    <phoneticPr fontId="4" type="noConversion"/>
  </si>
  <si>
    <t>작별인사</t>
    <phoneticPr fontId="4" type="noConversion"/>
  </si>
  <si>
    <t>3스택</t>
    <phoneticPr fontId="4" type="noConversion"/>
  </si>
  <si>
    <t>20. 치명타 적중률 간소화</t>
    <phoneticPr fontId="4" type="noConversion"/>
  </si>
  <si>
    <t>데스페라도</t>
    <phoneticPr fontId="4" type="noConversion"/>
  </si>
  <si>
    <t>5명 이상</t>
    <phoneticPr fontId="4" type="noConversion"/>
  </si>
  <si>
    <t>치명타 적중</t>
    <phoneticPr fontId="4" type="noConversion"/>
  </si>
  <si>
    <t>철갑탄</t>
    <phoneticPr fontId="4" type="noConversion"/>
  </si>
  <si>
    <t>불릿 스톰</t>
    <phoneticPr fontId="4" type="noConversion"/>
  </si>
  <si>
    <t>대량 학살</t>
    <phoneticPr fontId="4" type="noConversion"/>
  </si>
  <si>
    <t>안식</t>
    <phoneticPr fontId="4" type="noConversion"/>
  </si>
  <si>
    <t>스타일 체인지</t>
    <phoneticPr fontId="4" type="noConversion"/>
  </si>
  <si>
    <t>14. 원샷원킬 추가 (완료)</t>
    <phoneticPr fontId="4" type="noConversion"/>
  </si>
  <si>
    <t>15. 심판의 날 추가 (완료)</t>
    <phoneticPr fontId="4" type="noConversion"/>
  </si>
  <si>
    <t>16. 데스페라도 추가 (완료)</t>
    <phoneticPr fontId="4" type="noConversion"/>
  </si>
  <si>
    <t>악몽</t>
    <phoneticPr fontId="4" type="noConversion"/>
  </si>
  <si>
    <t>환각</t>
    <phoneticPr fontId="4" type="noConversion"/>
  </si>
  <si>
    <t>17. 사멸 세트 백어택과 아닌 스킬 적용 재점검 (완료)</t>
    <phoneticPr fontId="4" type="noConversion"/>
  </si>
  <si>
    <t>추가 피해</t>
    <phoneticPr fontId="4" type="noConversion"/>
  </si>
  <si>
    <t>갈망(추가 피해)</t>
    <phoneticPr fontId="4" type="noConversion"/>
  </si>
  <si>
    <t>무기 추가 피해</t>
    <phoneticPr fontId="4" type="noConversion"/>
  </si>
  <si>
    <t>치명타 적중</t>
    <phoneticPr fontId="4" type="noConversion"/>
  </si>
  <si>
    <t>18. 악몽 세트 추가 (완료)</t>
    <phoneticPr fontId="4" type="noConversion"/>
  </si>
  <si>
    <t>19. 환각 세트 추가 (완료)</t>
    <phoneticPr fontId="4" type="noConversion"/>
  </si>
  <si>
    <t>1. 이퀄리브리엄 트라이포드 수정 (완료)</t>
    <phoneticPr fontId="4" type="noConversion"/>
  </si>
  <si>
    <t>2. 데스파이어 트라이포드 수정 (완료)</t>
    <phoneticPr fontId="4" type="noConversion"/>
  </si>
  <si>
    <t>3. 종말의 전조 트라이포드 수정 (완료)</t>
    <phoneticPr fontId="4" type="noConversion"/>
  </si>
  <si>
    <t>4. 샷건 연사 스킬 계수 및 트라이포드 수정 (완료)</t>
    <phoneticPr fontId="4" type="noConversion"/>
  </si>
  <si>
    <t>5. 샷건의 지배자 트라이포드 수정 (완료)</t>
    <phoneticPr fontId="4" type="noConversion"/>
  </si>
  <si>
    <t>6. 최후의 만찬 트라이포드 수정 (완료)</t>
    <phoneticPr fontId="4" type="noConversion"/>
  </si>
  <si>
    <t>7. 스파이럴 플레임 스킬 계수 및 트라이포드 수정 (완료)</t>
    <phoneticPr fontId="4" type="noConversion"/>
  </si>
  <si>
    <t>8. 조준 사격 리메이크 반영 (완료)</t>
    <phoneticPr fontId="4" type="noConversion"/>
  </si>
  <si>
    <t>9. 퍼펙트 샷 스킬 계수 및 트라이포드 수정 (완료)</t>
    <phoneticPr fontId="4" type="noConversion"/>
  </si>
  <si>
    <t>10. 버스팅 플레어 스킬 계수 수정 (완료)</t>
    <phoneticPr fontId="4" type="noConversion"/>
  </si>
  <si>
    <t>11. 핸드거너 각인 효과 반영 (완료)</t>
    <phoneticPr fontId="4" type="noConversion"/>
  </si>
  <si>
    <t>21. 갈망 추가 피해 적용 (완료)</t>
    <phoneticPr fontId="4" type="noConversion"/>
  </si>
  <si>
    <t>12. 핸드거너 각인 적용 재점검 (완료)</t>
    <phoneticPr fontId="4" type="noConversion"/>
  </si>
  <si>
    <t>22. 퀵샷 치명타 적중률 8.8% 오류 수정 (완료)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</si>
</sst>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0_ "/>
  </numFmts>
  <fonts count="17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9" tint="-0.249977111117893"/>
      <name val="맑은 고딕"/>
      <family val="2"/>
      <charset val="129"/>
      <scheme val="minor"/>
    </font>
    <font>
      <sz val="9"/>
      <color theme="9" tint="-0.249977111117893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00B0F0"/>
      <name val="맑은 고딕"/>
      <family val="3"/>
      <charset val="129"/>
      <scheme val="minor"/>
    </font>
    <font>
      <sz val="9"/>
      <color rgb="FF7030A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9FF9B"/>
        <bgColor indexed="64"/>
      </patternFill>
    </fill>
    <fill>
      <patternFill patternType="solid">
        <fgColor rgb="FFFFE137"/>
        <bgColor indexed="64"/>
      </patternFill>
    </fill>
    <fill>
      <patternFill patternType="solid">
        <fgColor rgb="FF96E1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7" xfId="0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0" fontId="6" fillId="0" borderId="7" xfId="0" applyFont="1" applyBorder="1">
      <alignment vertical="center"/>
    </xf>
    <xf numFmtId="176" fontId="2" fillId="0" borderId="0" xfId="0" applyNumberFormat="1" applyFo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4" fontId="8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4" borderId="6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176" fontId="6" fillId="4" borderId="17" xfId="0" applyNumberFormat="1" applyFont="1" applyFill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7" xfId="0" applyFont="1" applyFill="1" applyBorder="1">
      <alignment vertical="center"/>
    </xf>
    <xf numFmtId="0" fontId="1" fillId="3" borderId="9" xfId="0" applyFont="1" applyFill="1" applyBorder="1">
      <alignment vertical="center"/>
    </xf>
    <xf numFmtId="177" fontId="1" fillId="2" borderId="5" xfId="0" applyNumberFormat="1" applyFont="1" applyFill="1" applyBorder="1">
      <alignment vertical="center"/>
    </xf>
    <xf numFmtId="177" fontId="1" fillId="0" borderId="7" xfId="0" applyNumberFormat="1" applyFont="1" applyBorder="1">
      <alignment vertical="center"/>
    </xf>
    <xf numFmtId="177" fontId="1" fillId="2" borderId="7" xfId="0" applyNumberFormat="1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3" xfId="0" applyFont="1" applyBorder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2" fillId="0" borderId="0" xfId="0" applyFont="1">
      <alignment vertical="center"/>
    </xf>
    <xf numFmtId="0" fontId="2" fillId="5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9" fillId="0" borderId="1" xfId="0" applyFont="1" applyBorder="1">
      <alignment vertical="center"/>
    </xf>
    <xf numFmtId="0" fontId="6" fillId="0" borderId="15" xfId="0" applyFont="1" applyBorder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6" fillId="0" borderId="17" xfId="0" applyFont="1" applyBorder="1">
      <alignment vertical="center"/>
    </xf>
    <xf numFmtId="0" fontId="14" fillId="0" borderId="1" xfId="0" applyFont="1" applyBorder="1">
      <alignment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6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2" borderId="7" xfId="0" applyFont="1" applyFill="1" applyBorder="1">
      <alignment vertical="center"/>
    </xf>
    <xf numFmtId="49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colors>
    <mruColors>
      <color rgb="FFB9FF9B"/>
      <color rgb="FFFFE137"/>
      <color rgb="FF96E1FF"/>
      <color rgb="FF37C8FF"/>
      <color rgb="FFE1FF9B"/>
      <color rgb="FF4C98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7"/>
  <sheetViews>
    <sheetView tabSelected="1" workbookViewId="0"/>
  </sheetViews>
  <sheetFormatPr defaultColWidth="11.85546875" defaultRowHeight="13.5" customHeight="1" x14ac:dyDescent="0.55000000000000004"/>
  <cols>
    <col min="1" max="1" width="6.2109375" style="1" customWidth="1"/>
    <col min="2" max="3" width="11.85546875" style="1"/>
    <col min="4" max="4" width="6.2109375" style="1" customWidth="1"/>
    <col min="5" max="6" width="11.85546875" style="1" customWidth="1"/>
    <col min="7" max="7" width="4.35546875" style="1" customWidth="1"/>
    <col min="8" max="9" width="11.85546875" style="1" customWidth="1"/>
    <col min="10" max="10" width="4.35546875" style="1" customWidth="1"/>
    <col min="11" max="12" width="11.85546875" style="1" customWidth="1"/>
    <col min="13" max="13" width="4.35546875" style="1" customWidth="1"/>
    <col min="14" max="14" width="11.85546875" style="1"/>
    <col min="15" max="16" width="11.85546875" style="1" hidden="1" customWidth="1"/>
    <col min="17" max="16384" width="11.85546875" style="1"/>
  </cols>
  <sheetData>
    <row r="2" spans="2:16" ht="13.5" customHeight="1" thickBot="1" x14ac:dyDescent="0.6">
      <c r="B2" s="78" t="s">
        <v>259</v>
      </c>
      <c r="C2" s="78"/>
      <c r="E2" s="78" t="s">
        <v>261</v>
      </c>
      <c r="F2" s="78"/>
      <c r="G2" s="78"/>
      <c r="H2" s="78"/>
      <c r="I2" s="78"/>
      <c r="J2" s="78"/>
      <c r="K2" s="78"/>
      <c r="L2" s="78"/>
      <c r="M2" s="78"/>
    </row>
    <row r="3" spans="2:16" ht="13.5" customHeight="1" thickBot="1" x14ac:dyDescent="0.6">
      <c r="B3" s="9" t="s">
        <v>22</v>
      </c>
      <c r="C3" s="40">
        <v>620</v>
      </c>
      <c r="E3" s="79" t="s">
        <v>265</v>
      </c>
      <c r="F3" s="80"/>
      <c r="G3" s="80"/>
      <c r="H3" s="79" t="s">
        <v>266</v>
      </c>
      <c r="I3" s="80"/>
      <c r="J3" s="81"/>
      <c r="K3" s="80" t="s">
        <v>267</v>
      </c>
      <c r="L3" s="80"/>
      <c r="M3" s="81"/>
      <c r="O3" s="78" t="s">
        <v>260</v>
      </c>
      <c r="P3" s="78"/>
    </row>
    <row r="4" spans="2:16" ht="13.5" customHeight="1" x14ac:dyDescent="0.55000000000000004">
      <c r="B4" s="9" t="s">
        <v>23</v>
      </c>
      <c r="C4" s="40">
        <v>1684</v>
      </c>
      <c r="E4" s="90" t="s">
        <v>262</v>
      </c>
      <c r="F4" s="53" t="s">
        <v>263</v>
      </c>
      <c r="G4" s="29">
        <v>1</v>
      </c>
      <c r="H4" s="88" t="s">
        <v>307</v>
      </c>
      <c r="I4" s="57" t="s">
        <v>300</v>
      </c>
      <c r="J4" s="22">
        <v>1</v>
      </c>
      <c r="K4" s="91" t="s">
        <v>320</v>
      </c>
      <c r="L4" s="59" t="s">
        <v>321</v>
      </c>
      <c r="M4" s="51">
        <v>1</v>
      </c>
      <c r="O4" s="8" t="s">
        <v>331</v>
      </c>
      <c r="P4" s="42">
        <f>SUM(P5:P6)</f>
        <v>53804.990750327423</v>
      </c>
    </row>
    <row r="5" spans="2:16" ht="13.5" customHeight="1" x14ac:dyDescent="0.55000000000000004">
      <c r="B5" s="9" t="s">
        <v>24</v>
      </c>
      <c r="C5" s="40">
        <v>56</v>
      </c>
      <c r="E5" s="84"/>
      <c r="F5" s="54" t="s">
        <v>264</v>
      </c>
      <c r="G5" s="52">
        <v>1</v>
      </c>
      <c r="H5" s="86"/>
      <c r="I5" s="57" t="s">
        <v>353</v>
      </c>
      <c r="J5" s="22">
        <v>1</v>
      </c>
      <c r="K5" s="76"/>
      <c r="L5" s="53" t="s">
        <v>322</v>
      </c>
      <c r="M5" s="22">
        <v>1</v>
      </c>
      <c r="O5" s="9" t="s">
        <v>332</v>
      </c>
      <c r="P5" s="44">
        <f>SQRT(입력란!C6)*SQRT(입력란!C7)*0.4082461</f>
        <v>53804.990750327423</v>
      </c>
    </row>
    <row r="6" spans="2:16" ht="13.5" customHeight="1" x14ac:dyDescent="0.55000000000000004">
      <c r="B6" s="9" t="s">
        <v>27</v>
      </c>
      <c r="C6" s="40">
        <v>70036</v>
      </c>
      <c r="E6" s="82" t="s">
        <v>268</v>
      </c>
      <c r="F6" s="53" t="s">
        <v>269</v>
      </c>
      <c r="G6" s="29">
        <v>1</v>
      </c>
      <c r="H6" s="86"/>
      <c r="I6" s="53" t="s">
        <v>308</v>
      </c>
      <c r="J6" s="22">
        <v>1</v>
      </c>
      <c r="K6" s="76"/>
      <c r="L6" s="53" t="s">
        <v>323</v>
      </c>
      <c r="M6" s="22">
        <v>1</v>
      </c>
      <c r="O6" s="9" t="s">
        <v>383</v>
      </c>
      <c r="P6" s="44">
        <f>IF(C17=1,P5*0.03,IF(C17=2,P5*0.08,IF(C17=3,P5*0.16,0)))+IF(C19=1,P5*0.018,IF(C19=2,P5*0.036,IF(C19=3,P5*0.06,0)))+IF(C24=1,P5*0.4,IF(C24=2,P5*0.1,IF(C24=3,P5*0.18,0)))</f>
        <v>0</v>
      </c>
    </row>
    <row r="7" spans="2:16" ht="13.5" customHeight="1" x14ac:dyDescent="0.55000000000000004">
      <c r="B7" s="9" t="s">
        <v>91</v>
      </c>
      <c r="C7" s="40">
        <v>248016</v>
      </c>
      <c r="E7" s="83"/>
      <c r="F7" s="53" t="s">
        <v>270</v>
      </c>
      <c r="G7" s="29">
        <v>1</v>
      </c>
      <c r="H7" s="86"/>
      <c r="I7" s="53" t="s">
        <v>304</v>
      </c>
      <c r="J7" s="22">
        <v>1</v>
      </c>
      <c r="K7" s="76"/>
      <c r="L7" s="55" t="s">
        <v>324</v>
      </c>
      <c r="M7" s="22">
        <v>1</v>
      </c>
      <c r="O7" s="9"/>
      <c r="P7" s="43"/>
    </row>
    <row r="8" spans="2:16" ht="13.5" customHeight="1" x14ac:dyDescent="0.55000000000000004">
      <c r="B8" s="9"/>
      <c r="C8" s="10"/>
      <c r="E8" s="83"/>
      <c r="F8" s="53" t="s">
        <v>271</v>
      </c>
      <c r="G8" s="29">
        <v>1</v>
      </c>
      <c r="H8" s="86"/>
      <c r="I8" s="55" t="s">
        <v>309</v>
      </c>
      <c r="J8" s="22">
        <v>1</v>
      </c>
      <c r="K8" s="77"/>
      <c r="L8" s="56" t="s">
        <v>325</v>
      </c>
      <c r="M8" s="52">
        <v>1</v>
      </c>
      <c r="O8" s="9" t="s">
        <v>370</v>
      </c>
      <c r="P8" s="44">
        <f>입력란!C3*0.03577694+IF(C30=1,17,IF(C30=2,20,IF(C30=3,22,0)))+IF(C32=1,20,IF(C32=2,25,IF(C32=3,28,0)))</f>
        <v>22.1817028</v>
      </c>
    </row>
    <row r="9" spans="2:16" ht="13.5" customHeight="1" x14ac:dyDescent="0.55000000000000004">
      <c r="B9" s="9" t="s">
        <v>62</v>
      </c>
      <c r="C9" s="40">
        <v>1</v>
      </c>
      <c r="E9" s="83"/>
      <c r="F9" s="55" t="s">
        <v>272</v>
      </c>
      <c r="G9" s="29">
        <v>1</v>
      </c>
      <c r="H9" s="87"/>
      <c r="I9" s="56" t="s">
        <v>310</v>
      </c>
      <c r="J9" s="52">
        <v>1</v>
      </c>
      <c r="K9" s="75" t="s">
        <v>326</v>
      </c>
      <c r="L9" s="53" t="s">
        <v>323</v>
      </c>
      <c r="M9" s="22">
        <v>1</v>
      </c>
      <c r="O9" s="9" t="s">
        <v>28</v>
      </c>
      <c r="P9" s="44">
        <f>입력란!C5*0.017170986</f>
        <v>0.96157521599999995</v>
      </c>
    </row>
    <row r="10" spans="2:16" ht="13.5" customHeight="1" x14ac:dyDescent="0.55000000000000004">
      <c r="B10" s="9" t="s">
        <v>168</v>
      </c>
      <c r="C10" s="40">
        <v>0</v>
      </c>
      <c r="E10" s="84"/>
      <c r="F10" s="56" t="s">
        <v>273</v>
      </c>
      <c r="G10" s="52">
        <v>1</v>
      </c>
      <c r="H10" s="85" t="s">
        <v>455</v>
      </c>
      <c r="I10" s="53" t="s">
        <v>300</v>
      </c>
      <c r="J10" s="22">
        <v>1</v>
      </c>
      <c r="K10" s="76"/>
      <c r="L10" s="53" t="s">
        <v>327</v>
      </c>
      <c r="M10" s="22">
        <v>1</v>
      </c>
      <c r="O10" s="9" t="s">
        <v>29</v>
      </c>
      <c r="P10" s="44">
        <f>입력란!C5*0.021468443</f>
        <v>1.202232808</v>
      </c>
    </row>
    <row r="11" spans="2:16" ht="13.5" customHeight="1" x14ac:dyDescent="0.55000000000000004">
      <c r="B11" s="9"/>
      <c r="C11" s="10"/>
      <c r="E11" s="82" t="s">
        <v>274</v>
      </c>
      <c r="F11" s="57" t="s">
        <v>275</v>
      </c>
      <c r="G11" s="29">
        <v>1</v>
      </c>
      <c r="H11" s="86"/>
      <c r="I11" s="53" t="s">
        <v>459</v>
      </c>
      <c r="J11" s="22">
        <v>1</v>
      </c>
      <c r="K11" s="77"/>
      <c r="L11" s="56" t="s">
        <v>328</v>
      </c>
      <c r="M11" s="52">
        <v>1</v>
      </c>
      <c r="O11" s="9"/>
      <c r="P11" s="43"/>
    </row>
    <row r="12" spans="2:16" ht="13.5" customHeight="1" x14ac:dyDescent="0.55000000000000004">
      <c r="B12" s="9" t="s">
        <v>61</v>
      </c>
      <c r="C12" s="40">
        <v>0</v>
      </c>
      <c r="E12" s="83"/>
      <c r="F12" s="53" t="s">
        <v>276</v>
      </c>
      <c r="G12" s="29">
        <v>1</v>
      </c>
      <c r="H12" s="86"/>
      <c r="I12" s="53" t="s">
        <v>460</v>
      </c>
      <c r="J12" s="22">
        <v>1</v>
      </c>
      <c r="K12" s="72" t="s">
        <v>425</v>
      </c>
      <c r="L12" s="53" t="s">
        <v>426</v>
      </c>
      <c r="M12" s="22">
        <v>1</v>
      </c>
      <c r="O12" s="9" t="s">
        <v>384</v>
      </c>
      <c r="P12" s="44">
        <f>IF(입력란!C5*0.017170986+IF(C22=1,3,IF(C22=2,8,IF(C22=3,15,0)))+IF(C24&lt;&gt;0,-10)&gt;40,40,입력란!C5*0.017170986+IF(C22=1,3,IF(C22=2,8,IF(C22=3,15,0)))+IF(C24&lt;&gt;0,-10))</f>
        <v>0.96157521599999995</v>
      </c>
    </row>
    <row r="13" spans="2:16" ht="13.5" customHeight="1" x14ac:dyDescent="0.55000000000000004">
      <c r="B13" s="9" t="s">
        <v>26</v>
      </c>
      <c r="C13" s="40">
        <v>1</v>
      </c>
      <c r="E13" s="83"/>
      <c r="F13" s="55" t="s">
        <v>277</v>
      </c>
      <c r="G13" s="29">
        <v>1</v>
      </c>
      <c r="H13" s="86"/>
      <c r="I13" s="55" t="s">
        <v>47</v>
      </c>
      <c r="J13" s="22">
        <v>1</v>
      </c>
      <c r="K13" s="73"/>
      <c r="L13" s="53" t="s">
        <v>427</v>
      </c>
      <c r="M13" s="22">
        <v>1</v>
      </c>
      <c r="O13" s="9" t="s">
        <v>386</v>
      </c>
      <c r="P13" s="44">
        <f>IF(입력란!C5*0.017170986+IF(C22=1,3,IF(C22=2,8,IF(C22=3,15,0)))&gt;40,40,입력란!C5*0.017170986+IF(C22=1,3,IF(C22=2,8,IF(C22=3,15,0))))</f>
        <v>0.96157521599999995</v>
      </c>
    </row>
    <row r="14" spans="2:16" ht="13.5" customHeight="1" x14ac:dyDescent="0.55000000000000004">
      <c r="B14" s="9"/>
      <c r="C14" s="10"/>
      <c r="E14" s="84"/>
      <c r="F14" s="56" t="s">
        <v>278</v>
      </c>
      <c r="G14" s="52">
        <v>1</v>
      </c>
      <c r="H14" s="87"/>
      <c r="I14" s="56" t="s">
        <v>461</v>
      </c>
      <c r="J14" s="52">
        <v>1</v>
      </c>
      <c r="K14" s="73"/>
      <c r="L14" s="53" t="s">
        <v>428</v>
      </c>
      <c r="M14" s="22">
        <v>1</v>
      </c>
      <c r="O14" s="9" t="s">
        <v>385</v>
      </c>
      <c r="P14" s="44">
        <f>입력란!C5*0.021468443</f>
        <v>1.202232808</v>
      </c>
    </row>
    <row r="15" spans="2:16" ht="13.5" customHeight="1" x14ac:dyDescent="0.55000000000000004">
      <c r="B15" s="9" t="s">
        <v>25</v>
      </c>
      <c r="C15" s="40">
        <v>0</v>
      </c>
      <c r="E15" s="82" t="s">
        <v>279</v>
      </c>
      <c r="F15" s="53" t="s">
        <v>280</v>
      </c>
      <c r="G15" s="29">
        <v>1</v>
      </c>
      <c r="H15" s="85" t="s">
        <v>48</v>
      </c>
      <c r="I15" s="53" t="s">
        <v>300</v>
      </c>
      <c r="J15" s="22">
        <v>1</v>
      </c>
      <c r="K15" s="73"/>
      <c r="L15" s="55" t="s">
        <v>323</v>
      </c>
      <c r="M15" s="22">
        <v>1</v>
      </c>
      <c r="O15" s="9"/>
      <c r="P15" s="10"/>
    </row>
    <row r="16" spans="2:16" ht="13.5" customHeight="1" x14ac:dyDescent="0.55000000000000004">
      <c r="B16" s="9" t="s">
        <v>290</v>
      </c>
      <c r="C16" s="40">
        <v>0</v>
      </c>
      <c r="E16" s="83"/>
      <c r="F16" s="55" t="s">
        <v>281</v>
      </c>
      <c r="G16" s="29">
        <v>1</v>
      </c>
      <c r="H16" s="86"/>
      <c r="I16" s="53" t="s">
        <v>353</v>
      </c>
      <c r="J16" s="22">
        <v>1</v>
      </c>
      <c r="K16" s="74"/>
      <c r="L16" s="56" t="s">
        <v>429</v>
      </c>
      <c r="M16" s="52">
        <v>1</v>
      </c>
      <c r="O16" s="9" t="s">
        <v>30</v>
      </c>
      <c r="P16" s="44">
        <f>입력란!C4*0.1072809</f>
        <v>180.66103559999999</v>
      </c>
    </row>
    <row r="17" spans="2:16" ht="13.5" customHeight="1" x14ac:dyDescent="0.55000000000000004">
      <c r="B17" s="9" t="s">
        <v>291</v>
      </c>
      <c r="C17" s="40">
        <v>0</v>
      </c>
      <c r="D17" s="2"/>
      <c r="E17" s="84"/>
      <c r="F17" s="56" t="s">
        <v>282</v>
      </c>
      <c r="G17" s="52">
        <v>1</v>
      </c>
      <c r="H17" s="86"/>
      <c r="I17" s="53" t="s">
        <v>304</v>
      </c>
      <c r="J17" s="22">
        <v>1</v>
      </c>
      <c r="K17" s="75" t="s">
        <v>329</v>
      </c>
      <c r="L17" s="53" t="s">
        <v>323</v>
      </c>
      <c r="M17" s="22">
        <v>1</v>
      </c>
      <c r="O17" s="9" t="s">
        <v>31</v>
      </c>
      <c r="P17" s="44">
        <f>입력란!C4*0.035754016</f>
        <v>60.209762943999998</v>
      </c>
    </row>
    <row r="18" spans="2:16" ht="13.5" customHeight="1" x14ac:dyDescent="0.55000000000000004">
      <c r="B18" s="9" t="s">
        <v>292</v>
      </c>
      <c r="C18" s="40">
        <v>0</v>
      </c>
      <c r="E18" s="82" t="s">
        <v>283</v>
      </c>
      <c r="F18" s="57" t="s">
        <v>284</v>
      </c>
      <c r="G18" s="29">
        <v>1</v>
      </c>
      <c r="H18" s="86"/>
      <c r="I18" s="55" t="s">
        <v>414</v>
      </c>
      <c r="J18" s="22">
        <v>1</v>
      </c>
      <c r="K18" s="76"/>
      <c r="L18" s="53" t="s">
        <v>419</v>
      </c>
      <c r="M18" s="22">
        <v>1</v>
      </c>
      <c r="O18" s="9" t="s">
        <v>32</v>
      </c>
      <c r="P18" s="44">
        <f>입력란!C4*0.035754016</f>
        <v>60.209762943999998</v>
      </c>
    </row>
    <row r="19" spans="2:16" ht="13.5" customHeight="1" x14ac:dyDescent="0.55000000000000004">
      <c r="B19" s="9" t="s">
        <v>378</v>
      </c>
      <c r="C19" s="40">
        <v>0</v>
      </c>
      <c r="E19" s="83"/>
      <c r="F19" s="53" t="s">
        <v>285</v>
      </c>
      <c r="G19" s="29">
        <v>1</v>
      </c>
      <c r="H19" s="86"/>
      <c r="I19" s="56" t="s">
        <v>311</v>
      </c>
      <c r="J19" s="52">
        <v>1</v>
      </c>
      <c r="K19" s="76"/>
      <c r="L19" s="55" t="s">
        <v>420</v>
      </c>
      <c r="M19" s="22">
        <v>1</v>
      </c>
      <c r="O19" s="9" t="s">
        <v>33</v>
      </c>
      <c r="P19" s="44">
        <f>P18*6/10</f>
        <v>36.125857766399996</v>
      </c>
    </row>
    <row r="20" spans="2:16" ht="13.5" customHeight="1" x14ac:dyDescent="0.55000000000000004">
      <c r="B20" s="9"/>
      <c r="C20" s="10"/>
      <c r="E20" s="83"/>
      <c r="F20" s="53" t="s">
        <v>286</v>
      </c>
      <c r="G20" s="29">
        <v>1</v>
      </c>
      <c r="H20" s="85" t="s">
        <v>49</v>
      </c>
      <c r="I20" s="57" t="s">
        <v>353</v>
      </c>
      <c r="J20" s="22">
        <v>1</v>
      </c>
      <c r="K20" s="77"/>
      <c r="L20" s="55" t="s">
        <v>421</v>
      </c>
      <c r="M20" s="22">
        <v>1</v>
      </c>
      <c r="O20" s="9" t="s">
        <v>34</v>
      </c>
      <c r="P20" s="44">
        <f>입력란!C4*0.05464642</f>
        <v>92.024571280000004</v>
      </c>
    </row>
    <row r="21" spans="2:16" ht="13.5" customHeight="1" x14ac:dyDescent="0.55000000000000004">
      <c r="B21" s="9" t="s">
        <v>379</v>
      </c>
      <c r="C21" s="40">
        <v>0</v>
      </c>
      <c r="E21" s="83"/>
      <c r="F21" s="55" t="s">
        <v>287</v>
      </c>
      <c r="G21" s="29">
        <v>1</v>
      </c>
      <c r="H21" s="86"/>
      <c r="I21" s="57" t="s">
        <v>415</v>
      </c>
      <c r="J21" s="22">
        <v>1</v>
      </c>
      <c r="K21" s="75" t="s">
        <v>330</v>
      </c>
      <c r="L21" s="60" t="s">
        <v>358</v>
      </c>
      <c r="M21" s="50">
        <v>1</v>
      </c>
      <c r="O21" s="9"/>
      <c r="P21" s="10"/>
    </row>
    <row r="22" spans="2:16" ht="13.5" customHeight="1" x14ac:dyDescent="0.55000000000000004">
      <c r="B22" s="9" t="s">
        <v>387</v>
      </c>
      <c r="C22" s="40">
        <v>0</v>
      </c>
      <c r="E22" s="84"/>
      <c r="F22" s="56" t="s">
        <v>288</v>
      </c>
      <c r="G22" s="52">
        <v>1</v>
      </c>
      <c r="H22" s="86"/>
      <c r="I22" s="57" t="s">
        <v>300</v>
      </c>
      <c r="J22" s="22">
        <v>1</v>
      </c>
      <c r="K22" s="76"/>
      <c r="L22" s="57" t="s">
        <v>359</v>
      </c>
      <c r="M22" s="22">
        <v>1</v>
      </c>
      <c r="O22" s="9" t="s">
        <v>478</v>
      </c>
      <c r="P22" s="103">
        <f>C27+IF(C28=1,8,IF(C28=2,10,IF(C28=3,12,0)))+IF(C31=1,15,IF(C31=2,18,IF(C31=3,20,0)))</f>
        <v>41.21</v>
      </c>
    </row>
    <row r="23" spans="2:16" ht="13.5" customHeight="1" x14ac:dyDescent="0.55000000000000004">
      <c r="B23" s="9" t="s">
        <v>380</v>
      </c>
      <c r="C23" s="40">
        <v>0</v>
      </c>
      <c r="E23" s="82" t="s">
        <v>289</v>
      </c>
      <c r="F23" s="53" t="s">
        <v>293</v>
      </c>
      <c r="G23" s="29">
        <v>1</v>
      </c>
      <c r="H23" s="86"/>
      <c r="I23" s="53" t="s">
        <v>312</v>
      </c>
      <c r="J23" s="22">
        <v>1</v>
      </c>
      <c r="K23" s="76"/>
      <c r="L23" s="57" t="s">
        <v>360</v>
      </c>
      <c r="M23" s="22">
        <v>1</v>
      </c>
      <c r="O23" s="9"/>
      <c r="P23" s="10"/>
    </row>
    <row r="24" spans="2:16" ht="13.5" customHeight="1" x14ac:dyDescent="0.55000000000000004">
      <c r="B24" s="9" t="s">
        <v>381</v>
      </c>
      <c r="C24" s="40">
        <v>0</v>
      </c>
      <c r="E24" s="83"/>
      <c r="F24" s="53" t="s">
        <v>280</v>
      </c>
      <c r="G24" s="29">
        <v>1</v>
      </c>
      <c r="H24" s="86"/>
      <c r="I24" s="53" t="s">
        <v>416</v>
      </c>
      <c r="J24" s="22">
        <v>1</v>
      </c>
      <c r="K24" s="76"/>
      <c r="L24" s="55" t="s">
        <v>356</v>
      </c>
      <c r="M24" s="22">
        <v>1</v>
      </c>
      <c r="O24" s="9" t="s">
        <v>87</v>
      </c>
      <c r="P24" s="10">
        <v>200</v>
      </c>
    </row>
    <row r="25" spans="2:16" ht="13.5" customHeight="1" x14ac:dyDescent="0.55000000000000004">
      <c r="B25" s="9"/>
      <c r="C25" s="10"/>
      <c r="E25" s="84"/>
      <c r="F25" s="56" t="s">
        <v>294</v>
      </c>
      <c r="G25" s="52">
        <v>1</v>
      </c>
      <c r="H25" s="86"/>
      <c r="I25" s="55" t="s">
        <v>313</v>
      </c>
      <c r="J25" s="22">
        <v>1</v>
      </c>
      <c r="M25" s="22"/>
      <c r="O25" s="9" t="s">
        <v>35</v>
      </c>
      <c r="P25" s="10">
        <v>40</v>
      </c>
    </row>
    <row r="26" spans="2:16" ht="13.5" customHeight="1" x14ac:dyDescent="0.55000000000000004">
      <c r="B26" s="9" t="s">
        <v>120</v>
      </c>
      <c r="C26" s="40">
        <v>1</v>
      </c>
      <c r="E26" s="82" t="s">
        <v>295</v>
      </c>
      <c r="F26" s="53" t="s">
        <v>341</v>
      </c>
      <c r="G26" s="29">
        <v>1</v>
      </c>
      <c r="H26" s="87"/>
      <c r="I26" s="56" t="s">
        <v>314</v>
      </c>
      <c r="J26" s="52">
        <v>1</v>
      </c>
      <c r="M26" s="22"/>
      <c r="O26" s="9" t="s">
        <v>36</v>
      </c>
      <c r="P26" s="10">
        <v>1</v>
      </c>
    </row>
    <row r="27" spans="2:16" ht="13.5" customHeight="1" x14ac:dyDescent="0.55000000000000004">
      <c r="B27" s="9" t="s">
        <v>480</v>
      </c>
      <c r="C27" s="40">
        <v>29.21</v>
      </c>
      <c r="E27" s="83"/>
      <c r="F27" s="53" t="s">
        <v>342</v>
      </c>
      <c r="G27" s="29">
        <v>1</v>
      </c>
      <c r="H27" s="85" t="s">
        <v>50</v>
      </c>
      <c r="I27" s="57" t="s">
        <v>304</v>
      </c>
      <c r="J27" s="22">
        <v>1</v>
      </c>
      <c r="M27" s="10"/>
      <c r="O27" s="9" t="s">
        <v>37</v>
      </c>
      <c r="P27" s="10">
        <v>2</v>
      </c>
    </row>
    <row r="28" spans="2:16" ht="13.5" customHeight="1" x14ac:dyDescent="0.55000000000000004">
      <c r="B28" s="9" t="s">
        <v>479</v>
      </c>
      <c r="C28" s="40">
        <v>3</v>
      </c>
      <c r="E28" s="83"/>
      <c r="F28" s="53" t="s">
        <v>343</v>
      </c>
      <c r="G28" s="29">
        <v>1</v>
      </c>
      <c r="H28" s="86"/>
      <c r="I28" s="57" t="s">
        <v>315</v>
      </c>
      <c r="J28" s="22">
        <v>1</v>
      </c>
      <c r="K28" s="49"/>
      <c r="L28" s="29"/>
      <c r="M28" s="22"/>
      <c r="O28" s="9" t="s">
        <v>38</v>
      </c>
      <c r="P28" s="10">
        <v>2</v>
      </c>
    </row>
    <row r="29" spans="2:16" ht="13.5" customHeight="1" x14ac:dyDescent="0.55000000000000004">
      <c r="B29" s="9"/>
      <c r="C29" s="10"/>
      <c r="E29" s="83"/>
      <c r="F29" s="55" t="s">
        <v>344</v>
      </c>
      <c r="G29" s="22">
        <v>1</v>
      </c>
      <c r="H29" s="86"/>
      <c r="I29" s="53" t="s">
        <v>316</v>
      </c>
      <c r="J29" s="22">
        <v>1</v>
      </c>
      <c r="K29" s="49"/>
      <c r="L29" s="29"/>
      <c r="M29" s="22"/>
      <c r="O29" s="9"/>
      <c r="P29" s="10"/>
    </row>
    <row r="30" spans="2:16" ht="13.5" customHeight="1" x14ac:dyDescent="0.55000000000000004">
      <c r="B30" s="9" t="s">
        <v>398</v>
      </c>
      <c r="C30" s="40">
        <v>0</v>
      </c>
      <c r="E30" s="84"/>
      <c r="F30" s="56" t="s">
        <v>345</v>
      </c>
      <c r="G30" s="52">
        <v>1</v>
      </c>
      <c r="H30" s="86"/>
      <c r="I30" s="53" t="s">
        <v>317</v>
      </c>
      <c r="J30" s="22">
        <v>1</v>
      </c>
      <c r="K30" s="61"/>
      <c r="L30" s="29"/>
      <c r="M30" s="22"/>
      <c r="O30" s="9" t="s">
        <v>56</v>
      </c>
      <c r="P30" s="10">
        <v>1.05</v>
      </c>
    </row>
    <row r="31" spans="2:16" ht="13.5" customHeight="1" x14ac:dyDescent="0.55000000000000004">
      <c r="B31" s="9" t="s">
        <v>475</v>
      </c>
      <c r="C31" s="40">
        <v>0</v>
      </c>
      <c r="E31" s="82" t="s">
        <v>296</v>
      </c>
      <c r="F31" s="53" t="s">
        <v>297</v>
      </c>
      <c r="G31" s="29">
        <v>1</v>
      </c>
      <c r="H31" s="86"/>
      <c r="I31" s="53" t="s">
        <v>318</v>
      </c>
      <c r="J31" s="22">
        <v>1</v>
      </c>
      <c r="L31" s="29"/>
      <c r="M31" s="22"/>
      <c r="O31" s="9" t="s">
        <v>57</v>
      </c>
      <c r="P31" s="10">
        <v>10</v>
      </c>
    </row>
    <row r="32" spans="2:16" ht="13.5" customHeight="1" thickBot="1" x14ac:dyDescent="0.6">
      <c r="B32" s="11" t="s">
        <v>476</v>
      </c>
      <c r="C32" s="41">
        <v>0</v>
      </c>
      <c r="E32" s="83"/>
      <c r="F32" s="55" t="s">
        <v>411</v>
      </c>
      <c r="G32" s="22">
        <v>1</v>
      </c>
      <c r="H32" s="86"/>
      <c r="I32" s="55" t="s">
        <v>363</v>
      </c>
      <c r="J32" s="22">
        <v>1</v>
      </c>
      <c r="K32" s="62"/>
      <c r="L32" s="29"/>
      <c r="M32" s="22"/>
      <c r="O32" s="11" t="s">
        <v>182</v>
      </c>
      <c r="P32" s="13">
        <v>1.2</v>
      </c>
    </row>
    <row r="33" spans="5:13" ht="13.5" customHeight="1" x14ac:dyDescent="0.55000000000000004">
      <c r="E33" s="84"/>
      <c r="F33" s="56" t="s">
        <v>412</v>
      </c>
      <c r="G33" s="52">
        <v>1</v>
      </c>
      <c r="H33" s="86"/>
      <c r="I33" s="55" t="s">
        <v>319</v>
      </c>
      <c r="J33" s="22">
        <v>1</v>
      </c>
      <c r="K33" s="62"/>
      <c r="L33" s="29"/>
      <c r="M33" s="22"/>
    </row>
    <row r="34" spans="5:13" ht="13.5" customHeight="1" x14ac:dyDescent="0.55000000000000004">
      <c r="E34" s="82" t="s">
        <v>298</v>
      </c>
      <c r="F34" s="57" t="s">
        <v>299</v>
      </c>
      <c r="G34" s="29">
        <v>1</v>
      </c>
      <c r="H34" s="9"/>
      <c r="J34" s="10"/>
      <c r="K34" s="62"/>
      <c r="L34" s="29"/>
      <c r="M34" s="22"/>
    </row>
    <row r="35" spans="5:13" ht="13.5" customHeight="1" x14ac:dyDescent="0.55000000000000004">
      <c r="E35" s="84"/>
      <c r="F35" s="54" t="s">
        <v>300</v>
      </c>
      <c r="G35" s="52">
        <v>1</v>
      </c>
      <c r="H35" s="48"/>
      <c r="I35" s="29"/>
      <c r="J35" s="22"/>
      <c r="K35" s="62"/>
      <c r="L35" s="29"/>
      <c r="M35" s="22"/>
    </row>
    <row r="36" spans="5:13" ht="13.5" customHeight="1" x14ac:dyDescent="0.55000000000000004">
      <c r="E36" s="82" t="s">
        <v>301</v>
      </c>
      <c r="F36" s="53" t="s">
        <v>276</v>
      </c>
      <c r="G36" s="29">
        <v>1</v>
      </c>
      <c r="H36" s="48"/>
      <c r="I36" s="29"/>
      <c r="J36" s="22"/>
      <c r="K36" s="62"/>
      <c r="L36" s="29"/>
      <c r="M36" s="22"/>
    </row>
    <row r="37" spans="5:13" ht="13.5" customHeight="1" x14ac:dyDescent="0.55000000000000004">
      <c r="E37" s="83"/>
      <c r="F37" s="53" t="s">
        <v>302</v>
      </c>
      <c r="G37" s="29">
        <v>1</v>
      </c>
      <c r="H37" s="48"/>
      <c r="I37" s="29"/>
      <c r="J37" s="22"/>
      <c r="K37" s="62"/>
      <c r="L37" s="29"/>
      <c r="M37" s="22"/>
    </row>
    <row r="38" spans="5:13" ht="13.5" customHeight="1" x14ac:dyDescent="0.55000000000000004">
      <c r="E38" s="84"/>
      <c r="F38" s="56" t="s">
        <v>367</v>
      </c>
      <c r="G38" s="52">
        <v>1</v>
      </c>
      <c r="H38" s="48"/>
      <c r="I38" s="29"/>
      <c r="J38" s="22"/>
      <c r="K38" s="62"/>
      <c r="L38" s="29"/>
      <c r="M38" s="22"/>
    </row>
    <row r="39" spans="5:13" ht="13.5" customHeight="1" x14ac:dyDescent="0.55000000000000004">
      <c r="E39" s="82" t="s">
        <v>303</v>
      </c>
      <c r="F39" s="53" t="s">
        <v>280</v>
      </c>
      <c r="G39" s="29">
        <v>1</v>
      </c>
      <c r="H39" s="48"/>
      <c r="I39" s="29"/>
      <c r="J39" s="22"/>
      <c r="K39" s="62"/>
      <c r="L39" s="29"/>
      <c r="M39" s="22"/>
    </row>
    <row r="40" spans="5:13" ht="13.5" customHeight="1" x14ac:dyDescent="0.55000000000000004">
      <c r="E40" s="83"/>
      <c r="F40" s="63" t="s">
        <v>371</v>
      </c>
      <c r="G40" s="18">
        <v>1</v>
      </c>
      <c r="J40" s="10"/>
      <c r="K40" s="62"/>
      <c r="M40" s="22"/>
    </row>
    <row r="41" spans="5:13" ht="13.5" customHeight="1" x14ac:dyDescent="0.55000000000000004">
      <c r="E41" s="83"/>
      <c r="F41" s="55" t="s">
        <v>305</v>
      </c>
      <c r="G41" s="29">
        <v>1</v>
      </c>
      <c r="H41" s="48"/>
      <c r="I41" s="29"/>
      <c r="J41" s="22"/>
      <c r="K41" s="62" t="s">
        <v>364</v>
      </c>
      <c r="L41" s="29"/>
      <c r="M41" s="10"/>
    </row>
    <row r="42" spans="5:13" ht="13.5" customHeight="1" x14ac:dyDescent="0.55000000000000004">
      <c r="E42" s="83"/>
      <c r="F42" s="100" t="s">
        <v>306</v>
      </c>
      <c r="G42" s="99">
        <v>1</v>
      </c>
      <c r="H42" s="48"/>
      <c r="I42" s="99"/>
      <c r="J42" s="22"/>
      <c r="K42" s="62" t="s">
        <v>406</v>
      </c>
      <c r="L42" s="99"/>
      <c r="M42" s="22"/>
    </row>
    <row r="43" spans="5:13" ht="13.5" customHeight="1" x14ac:dyDescent="0.55000000000000004">
      <c r="E43" s="82" t="s">
        <v>456</v>
      </c>
      <c r="F43" s="60" t="s">
        <v>467</v>
      </c>
      <c r="G43" s="50">
        <v>1</v>
      </c>
      <c r="H43" s="9"/>
      <c r="I43" s="98"/>
      <c r="J43" s="10"/>
      <c r="K43" s="62"/>
      <c r="L43" s="98"/>
      <c r="M43" s="10"/>
    </row>
    <row r="44" spans="5:13" ht="13.5" customHeight="1" x14ac:dyDescent="0.55000000000000004">
      <c r="E44" s="83"/>
      <c r="F44" s="97" t="s">
        <v>468</v>
      </c>
      <c r="G44" s="18">
        <v>1</v>
      </c>
      <c r="H44" s="9"/>
      <c r="I44" s="98"/>
      <c r="J44" s="10"/>
      <c r="K44" s="62"/>
      <c r="L44" s="98"/>
      <c r="M44" s="10"/>
    </row>
    <row r="45" spans="5:13" ht="13.5" customHeight="1" x14ac:dyDescent="0.55000000000000004">
      <c r="E45" s="83"/>
      <c r="F45" s="97" t="s">
        <v>469</v>
      </c>
      <c r="G45" s="22">
        <v>1</v>
      </c>
      <c r="H45" s="9"/>
      <c r="I45" s="98"/>
      <c r="J45" s="10"/>
      <c r="K45" s="62" t="s">
        <v>333</v>
      </c>
      <c r="L45" s="98"/>
      <c r="M45" s="10"/>
    </row>
    <row r="46" spans="5:13" ht="13.5" customHeight="1" x14ac:dyDescent="0.55000000000000004">
      <c r="E46" s="83"/>
      <c r="F46" s="100" t="s">
        <v>470</v>
      </c>
      <c r="G46" s="22">
        <v>1</v>
      </c>
      <c r="H46" s="9"/>
      <c r="I46" s="98"/>
      <c r="J46" s="10"/>
      <c r="K46" s="98"/>
      <c r="L46" s="98"/>
      <c r="M46" s="10"/>
    </row>
    <row r="47" spans="5:13" ht="13.5" customHeight="1" thickBot="1" x14ac:dyDescent="0.6">
      <c r="E47" s="89"/>
      <c r="F47" s="58" t="s">
        <v>471</v>
      </c>
      <c r="G47" s="13">
        <v>1</v>
      </c>
      <c r="H47" s="11"/>
      <c r="I47" s="12"/>
      <c r="J47" s="13"/>
      <c r="K47" s="12"/>
      <c r="L47" s="12"/>
      <c r="M47" s="13"/>
    </row>
  </sheetData>
  <mergeCells count="28">
    <mergeCell ref="E43:E47"/>
    <mergeCell ref="E39:E42"/>
    <mergeCell ref="K3:M3"/>
    <mergeCell ref="E2:M2"/>
    <mergeCell ref="E4:E5"/>
    <mergeCell ref="E6:E10"/>
    <mergeCell ref="E11:E14"/>
    <mergeCell ref="E36:E38"/>
    <mergeCell ref="K4:K8"/>
    <mergeCell ref="K9:K11"/>
    <mergeCell ref="E31:E33"/>
    <mergeCell ref="E34:E35"/>
    <mergeCell ref="K12:K16"/>
    <mergeCell ref="K17:K20"/>
    <mergeCell ref="K21:K24"/>
    <mergeCell ref="B2:C2"/>
    <mergeCell ref="O3:P3"/>
    <mergeCell ref="E3:G3"/>
    <mergeCell ref="H3:J3"/>
    <mergeCell ref="E15:E17"/>
    <mergeCell ref="H10:H14"/>
    <mergeCell ref="E23:E25"/>
    <mergeCell ref="E18:E22"/>
    <mergeCell ref="E26:E30"/>
    <mergeCell ref="H4:H9"/>
    <mergeCell ref="H27:H33"/>
    <mergeCell ref="H15:H19"/>
    <mergeCell ref="H20:H26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702"/>
  <sheetViews>
    <sheetView topLeftCell="A14" workbookViewId="0">
      <selection activeCell="B15" sqref="B15"/>
    </sheetView>
  </sheetViews>
  <sheetFormatPr defaultColWidth="11.85546875" defaultRowHeight="15" x14ac:dyDescent="0.55000000000000004"/>
  <cols>
    <col min="1" max="5" width="11.85546875" style="1"/>
    <col min="6" max="36" width="11.85546875" style="1" customWidth="1"/>
    <col min="37" max="16384" width="11.85546875" style="1"/>
  </cols>
  <sheetData>
    <row r="1" spans="2:43" hidden="1" x14ac:dyDescent="0.55000000000000004"/>
    <row r="2" spans="2:43" s="101" customFormat="1" hidden="1" x14ac:dyDescent="0.55000000000000004">
      <c r="C2" s="5" t="s">
        <v>15</v>
      </c>
      <c r="D2" s="5" t="s">
        <v>1</v>
      </c>
      <c r="E2" s="92" t="s">
        <v>2</v>
      </c>
      <c r="F2" s="92"/>
      <c r="G2" s="5" t="s">
        <v>16</v>
      </c>
      <c r="H2" s="5" t="s">
        <v>17</v>
      </c>
      <c r="I2" s="5" t="s">
        <v>18</v>
      </c>
      <c r="J2" s="5" t="s">
        <v>19</v>
      </c>
      <c r="K2" s="92" t="s">
        <v>6</v>
      </c>
      <c r="L2" s="92"/>
      <c r="M2" s="5" t="s">
        <v>8</v>
      </c>
      <c r="N2" s="5" t="s">
        <v>9</v>
      </c>
      <c r="O2" s="92" t="s">
        <v>12</v>
      </c>
      <c r="P2" s="92"/>
      <c r="Q2" s="102" t="s">
        <v>456</v>
      </c>
      <c r="R2" s="92" t="s">
        <v>3</v>
      </c>
      <c r="S2" s="92"/>
      <c r="T2" s="5" t="s">
        <v>454</v>
      </c>
      <c r="U2" s="92" t="s">
        <v>7</v>
      </c>
      <c r="V2" s="92"/>
      <c r="W2" s="92"/>
      <c r="X2" s="92" t="s">
        <v>10</v>
      </c>
      <c r="Y2" s="92"/>
      <c r="Z2" s="5" t="s">
        <v>13</v>
      </c>
      <c r="AA2" s="92" t="s">
        <v>4</v>
      </c>
      <c r="AB2" s="92"/>
      <c r="AC2" s="5" t="s">
        <v>5</v>
      </c>
      <c r="AD2" s="5" t="s">
        <v>425</v>
      </c>
      <c r="AE2" s="92" t="s">
        <v>11</v>
      </c>
      <c r="AF2" s="92"/>
      <c r="AG2" s="92" t="s">
        <v>14</v>
      </c>
      <c r="AH2" s="92"/>
      <c r="AI2" s="102" t="s">
        <v>20</v>
      </c>
      <c r="AJ2" s="102" t="s">
        <v>21</v>
      </c>
    </row>
    <row r="3" spans="2:43" s="101" customFormat="1" hidden="1" x14ac:dyDescent="0.55000000000000004">
      <c r="B3" s="101" t="s">
        <v>39</v>
      </c>
      <c r="C3" s="101">
        <v>8</v>
      </c>
      <c r="D3" s="101">
        <v>6</v>
      </c>
      <c r="E3" s="101">
        <v>12</v>
      </c>
      <c r="G3" s="101">
        <v>8</v>
      </c>
      <c r="H3" s="101">
        <v>20</v>
      </c>
      <c r="I3" s="101">
        <v>9</v>
      </c>
      <c r="J3" s="101">
        <v>16</v>
      </c>
      <c r="K3" s="101">
        <v>24</v>
      </c>
      <c r="M3" s="101">
        <v>6</v>
      </c>
      <c r="N3" s="101">
        <v>8</v>
      </c>
      <c r="O3" s="101">
        <v>18</v>
      </c>
      <c r="Q3" s="101">
        <v>20</v>
      </c>
      <c r="R3" s="101">
        <v>24</v>
      </c>
      <c r="T3" s="101">
        <v>36</v>
      </c>
      <c r="U3" s="101">
        <v>36</v>
      </c>
      <c r="X3" s="101">
        <v>24</v>
      </c>
      <c r="Z3" s="101">
        <v>36</v>
      </c>
      <c r="AA3" s="101">
        <v>27</v>
      </c>
      <c r="AC3" s="101">
        <v>24</v>
      </c>
      <c r="AD3" s="101">
        <v>24</v>
      </c>
      <c r="AE3" s="101">
        <v>36</v>
      </c>
      <c r="AG3" s="101">
        <v>30</v>
      </c>
      <c r="AI3" s="101">
        <v>300</v>
      </c>
      <c r="AJ3" s="101">
        <v>300</v>
      </c>
    </row>
    <row r="4" spans="2:43" s="101" customFormat="1" hidden="1" x14ac:dyDescent="0.55000000000000004">
      <c r="B4" s="101">
        <v>1</v>
      </c>
      <c r="C4" s="101">
        <v>261</v>
      </c>
      <c r="D4" s="101">
        <v>153</v>
      </c>
      <c r="E4" s="101">
        <v>49</v>
      </c>
      <c r="F4" s="101">
        <v>197</v>
      </c>
      <c r="G4" s="101">
        <v>22</v>
      </c>
      <c r="H4" s="101">
        <v>563</v>
      </c>
      <c r="I4" s="101">
        <v>156</v>
      </c>
      <c r="J4" s="101">
        <v>537</v>
      </c>
      <c r="K4" s="101">
        <v>571</v>
      </c>
      <c r="L4" s="101">
        <v>322</v>
      </c>
      <c r="M4" s="101">
        <v>91</v>
      </c>
      <c r="N4" s="101">
        <v>83</v>
      </c>
      <c r="O4" s="101">
        <v>337</v>
      </c>
      <c r="P4" s="101">
        <v>338</v>
      </c>
      <c r="Q4" s="101">
        <v>1004</v>
      </c>
      <c r="R4" s="101">
        <v>156</v>
      </c>
      <c r="S4" s="101">
        <v>199</v>
      </c>
      <c r="T4" s="101">
        <v>251</v>
      </c>
      <c r="U4" s="101">
        <v>270</v>
      </c>
      <c r="V4" s="101">
        <v>270</v>
      </c>
      <c r="W4" s="101">
        <v>359</v>
      </c>
      <c r="X4" s="101">
        <v>237</v>
      </c>
      <c r="Y4" s="101">
        <v>157</v>
      </c>
      <c r="Z4" s="101">
        <v>1028</v>
      </c>
      <c r="AA4" s="101">
        <v>963</v>
      </c>
      <c r="AB4" s="101">
        <v>81</v>
      </c>
      <c r="AC4" s="101">
        <v>726</v>
      </c>
      <c r="AD4" s="101">
        <v>1175</v>
      </c>
      <c r="AE4" s="101">
        <v>426</v>
      </c>
      <c r="AF4" s="101">
        <v>720</v>
      </c>
      <c r="AG4" s="101">
        <v>399</v>
      </c>
      <c r="AH4" s="101">
        <v>1598</v>
      </c>
      <c r="AI4" s="101">
        <v>35915</v>
      </c>
      <c r="AJ4" s="101">
        <v>42756</v>
      </c>
    </row>
    <row r="5" spans="2:43" s="101" customFormat="1" hidden="1" x14ac:dyDescent="0.55000000000000004">
      <c r="B5" s="101">
        <v>4</v>
      </c>
      <c r="C5" s="101">
        <v>689</v>
      </c>
      <c r="D5" s="101">
        <v>404</v>
      </c>
      <c r="E5" s="101">
        <v>130</v>
      </c>
      <c r="F5" s="101">
        <v>521</v>
      </c>
      <c r="G5" s="101">
        <v>59</v>
      </c>
      <c r="H5" s="101">
        <v>1490</v>
      </c>
      <c r="I5" s="101">
        <v>412</v>
      </c>
      <c r="J5" s="101">
        <v>1417</v>
      </c>
      <c r="K5" s="101">
        <v>1512</v>
      </c>
      <c r="L5" s="101">
        <v>852</v>
      </c>
      <c r="M5" s="101">
        <v>240</v>
      </c>
      <c r="N5" s="101">
        <v>218</v>
      </c>
      <c r="O5" s="101">
        <v>890</v>
      </c>
      <c r="P5" s="101">
        <v>894</v>
      </c>
      <c r="Q5" s="101">
        <v>2651</v>
      </c>
      <c r="R5" s="101">
        <v>412</v>
      </c>
      <c r="S5" s="101">
        <v>526</v>
      </c>
      <c r="T5" s="101">
        <v>664</v>
      </c>
      <c r="U5" s="101">
        <v>714</v>
      </c>
      <c r="V5" s="101">
        <v>714</v>
      </c>
      <c r="W5" s="101">
        <v>950</v>
      </c>
      <c r="X5" s="101">
        <v>627</v>
      </c>
      <c r="Y5" s="101">
        <v>415</v>
      </c>
      <c r="Z5" s="101">
        <v>2719</v>
      </c>
      <c r="AA5" s="101">
        <v>2547</v>
      </c>
      <c r="AB5" s="101">
        <v>215</v>
      </c>
      <c r="AC5" s="101">
        <v>1919</v>
      </c>
      <c r="AD5" s="101">
        <v>3106</v>
      </c>
      <c r="AE5" s="101">
        <v>1129</v>
      </c>
      <c r="AF5" s="101">
        <v>1905</v>
      </c>
      <c r="AG5" s="101">
        <v>1056</v>
      </c>
      <c r="AH5" s="101">
        <v>4227</v>
      </c>
    </row>
    <row r="6" spans="2:43" s="101" customFormat="1" hidden="1" x14ac:dyDescent="0.55000000000000004">
      <c r="B6" s="101">
        <v>7</v>
      </c>
      <c r="C6" s="101">
        <v>896</v>
      </c>
      <c r="D6" s="101">
        <v>520</v>
      </c>
      <c r="E6" s="101">
        <v>168</v>
      </c>
      <c r="F6" s="101">
        <v>671</v>
      </c>
      <c r="G6" s="101">
        <v>75</v>
      </c>
      <c r="H6" s="101">
        <v>1921</v>
      </c>
      <c r="I6" s="101">
        <v>530</v>
      </c>
      <c r="J6" s="101">
        <v>1821</v>
      </c>
      <c r="K6" s="101">
        <v>1953</v>
      </c>
      <c r="L6" s="101">
        <v>1098</v>
      </c>
      <c r="M6" s="101">
        <v>311</v>
      </c>
      <c r="N6" s="101">
        <v>282</v>
      </c>
      <c r="O6" s="101">
        <v>1148</v>
      </c>
      <c r="P6" s="101">
        <v>1152</v>
      </c>
      <c r="Q6" s="101">
        <v>3425</v>
      </c>
      <c r="R6" s="101">
        <v>530</v>
      </c>
      <c r="S6" s="101">
        <v>678</v>
      </c>
      <c r="T6" s="101">
        <v>856</v>
      </c>
      <c r="U6" s="101">
        <v>920</v>
      </c>
      <c r="V6" s="101">
        <v>920</v>
      </c>
      <c r="W6" s="101">
        <v>1225</v>
      </c>
      <c r="X6" s="101">
        <v>809</v>
      </c>
      <c r="Y6" s="101">
        <v>536</v>
      </c>
      <c r="Z6" s="101">
        <v>3506</v>
      </c>
      <c r="AA6" s="101">
        <v>3283</v>
      </c>
      <c r="AB6" s="101">
        <v>278</v>
      </c>
      <c r="AC6" s="101">
        <v>2475</v>
      </c>
      <c r="AD6" s="101">
        <v>4005</v>
      </c>
      <c r="AE6" s="101">
        <v>1455</v>
      </c>
      <c r="AF6" s="101">
        <v>2456</v>
      </c>
      <c r="AG6" s="101">
        <v>1361</v>
      </c>
      <c r="AH6" s="101">
        <v>5449</v>
      </c>
    </row>
    <row r="7" spans="2:43" s="101" customFormat="1" hidden="1" x14ac:dyDescent="0.55000000000000004">
      <c r="B7" s="101">
        <v>10</v>
      </c>
      <c r="C7" s="101">
        <v>1024</v>
      </c>
      <c r="D7" s="101">
        <v>595</v>
      </c>
      <c r="E7" s="101">
        <v>193</v>
      </c>
      <c r="F7" s="101">
        <v>773</v>
      </c>
      <c r="G7" s="101">
        <v>86</v>
      </c>
      <c r="H7" s="101">
        <v>2195</v>
      </c>
      <c r="I7" s="101">
        <v>605</v>
      </c>
      <c r="J7" s="101">
        <v>2085</v>
      </c>
      <c r="K7" s="101">
        <v>2223</v>
      </c>
      <c r="L7" s="101">
        <v>1257</v>
      </c>
      <c r="M7" s="101">
        <v>355</v>
      </c>
      <c r="N7" s="101">
        <v>323</v>
      </c>
      <c r="O7" s="101">
        <v>1312</v>
      </c>
      <c r="P7" s="101">
        <v>1318</v>
      </c>
      <c r="Q7" s="101">
        <v>3925</v>
      </c>
      <c r="R7" s="101">
        <v>605</v>
      </c>
      <c r="S7" s="101">
        <v>775</v>
      </c>
      <c r="T7" s="101">
        <v>978</v>
      </c>
      <c r="U7" s="101">
        <v>1052</v>
      </c>
      <c r="V7" s="101">
        <v>1052</v>
      </c>
      <c r="W7" s="101">
        <v>1399</v>
      </c>
      <c r="X7" s="101">
        <v>925</v>
      </c>
      <c r="Y7" s="101">
        <v>614</v>
      </c>
      <c r="Z7" s="101">
        <v>4009</v>
      </c>
      <c r="AA7" s="101">
        <v>3753</v>
      </c>
      <c r="AB7" s="101">
        <v>318</v>
      </c>
      <c r="AC7" s="101">
        <v>2830</v>
      </c>
      <c r="AD7" s="101">
        <v>4579</v>
      </c>
      <c r="AE7" s="101">
        <v>1663</v>
      </c>
      <c r="AF7" s="101">
        <v>2808</v>
      </c>
      <c r="AG7" s="101">
        <v>1557</v>
      </c>
      <c r="AH7" s="101">
        <v>6231</v>
      </c>
    </row>
    <row r="8" spans="2:43" s="101" customFormat="1" hidden="1" x14ac:dyDescent="0.55000000000000004">
      <c r="B8" s="101">
        <v>1</v>
      </c>
      <c r="C8" s="101">
        <v>6.0232623318385654</v>
      </c>
      <c r="D8" s="101">
        <v>3.5599775784753365</v>
      </c>
      <c r="E8" s="101">
        <v>1.132847533632287</v>
      </c>
      <c r="F8" s="101">
        <v>4.5305493273542599</v>
      </c>
      <c r="G8" s="101">
        <v>0.51485426008968604</v>
      </c>
      <c r="H8" s="101">
        <v>13.1029983978027</v>
      </c>
      <c r="I8" s="101">
        <v>3.6238789237668163</v>
      </c>
      <c r="J8" s="101">
        <v>12.525062943465324</v>
      </c>
      <c r="K8" s="101">
        <v>13.325932707713436</v>
      </c>
      <c r="L8" s="101">
        <v>7.4962233920805676</v>
      </c>
      <c r="M8" s="101">
        <v>2.0913677130044843</v>
      </c>
      <c r="N8" s="101">
        <v>1.9304932735426008</v>
      </c>
      <c r="O8" s="101">
        <v>7.8478139013452912</v>
      </c>
      <c r="P8" s="101">
        <v>7.8486547085201792</v>
      </c>
      <c r="Q8" s="101">
        <v>23.313828571428573</v>
      </c>
      <c r="R8" s="101">
        <v>3.6328475336322872</v>
      </c>
      <c r="S8" s="101">
        <v>4.6238789237668163</v>
      </c>
      <c r="T8" s="101">
        <v>5.8516571428571424</v>
      </c>
      <c r="U8" s="101">
        <v>6.2724571428571432</v>
      </c>
      <c r="V8" s="101">
        <v>6.2724571428571432</v>
      </c>
      <c r="W8" s="101">
        <v>8.3641142857142849</v>
      </c>
      <c r="X8" s="101">
        <v>5.4744955156950672</v>
      </c>
      <c r="Y8" s="101">
        <v>3.6499439461883409</v>
      </c>
      <c r="Z8" s="101">
        <v>23.932707713435569</v>
      </c>
      <c r="AA8" s="101">
        <v>22.44</v>
      </c>
      <c r="AB8" s="101">
        <v>1.8694857142857142</v>
      </c>
      <c r="AC8" s="101">
        <v>16.898262331838566</v>
      </c>
      <c r="AD8" s="101">
        <v>27.363885714285715</v>
      </c>
      <c r="AE8" s="101">
        <v>9.9369142857142858</v>
      </c>
      <c r="AF8" s="101">
        <v>16.768228571428573</v>
      </c>
      <c r="AG8" s="101">
        <v>9.2969142857142852</v>
      </c>
      <c r="AH8" s="101">
        <v>37.185600000000001</v>
      </c>
      <c r="AI8" s="101">
        <v>244.69534753363229</v>
      </c>
      <c r="AJ8" s="101">
        <v>291.29348571428574</v>
      </c>
    </row>
    <row r="9" spans="2:43" s="101" customFormat="1" hidden="1" x14ac:dyDescent="0.55000000000000004">
      <c r="B9" s="101">
        <v>4</v>
      </c>
      <c r="C9" s="101">
        <v>6.0232623318385654</v>
      </c>
      <c r="D9" s="101">
        <v>3.5599775784753365</v>
      </c>
      <c r="E9" s="101">
        <v>1.132847533632287</v>
      </c>
      <c r="F9" s="101">
        <v>4.5305493273542599</v>
      </c>
      <c r="G9" s="101">
        <v>0.51485426008968604</v>
      </c>
      <c r="H9" s="101">
        <v>13.1029983978027</v>
      </c>
      <c r="I9" s="101">
        <v>3.6238789237668163</v>
      </c>
      <c r="J9" s="101">
        <v>12.525062943465324</v>
      </c>
      <c r="K9" s="101">
        <v>13.325932707713436</v>
      </c>
      <c r="L9" s="101">
        <v>7.4962233920805676</v>
      </c>
      <c r="M9" s="101">
        <v>2.0913677130044843</v>
      </c>
      <c r="N9" s="101">
        <v>1.9304932735426008</v>
      </c>
      <c r="O9" s="101">
        <v>7.8478139013452912</v>
      </c>
      <c r="P9" s="101">
        <v>7.8489349775784749</v>
      </c>
      <c r="Q9" s="101">
        <v>23.313828571428573</v>
      </c>
      <c r="R9" s="101">
        <v>3.6328475336322872</v>
      </c>
      <c r="S9" s="101">
        <v>4.6235986547085206</v>
      </c>
      <c r="T9" s="101">
        <v>5.8516571428571424</v>
      </c>
      <c r="U9" s="101">
        <v>6.2726857142857142</v>
      </c>
      <c r="V9" s="101">
        <v>6.2726857142857142</v>
      </c>
      <c r="W9" s="101">
        <v>8.3641142857142849</v>
      </c>
      <c r="X9" s="101">
        <v>5.4744955156950672</v>
      </c>
      <c r="Y9" s="101">
        <v>3.6499439461883409</v>
      </c>
      <c r="Z9" s="101">
        <v>23.932707713435569</v>
      </c>
      <c r="AA9" s="101">
        <v>22.439771428571429</v>
      </c>
      <c r="AB9" s="101">
        <v>1.8697142857142857</v>
      </c>
      <c r="AC9" s="101">
        <v>16.898262331838566</v>
      </c>
      <c r="AD9" s="101">
        <v>27.363885714285715</v>
      </c>
      <c r="AE9" s="101">
        <v>9.9366857142857139</v>
      </c>
      <c r="AF9" s="101">
        <v>16.768228571428573</v>
      </c>
      <c r="AG9" s="101">
        <v>9.2969142857142852</v>
      </c>
      <c r="AH9" s="101">
        <v>37.185600000000001</v>
      </c>
    </row>
    <row r="10" spans="2:43" s="101" customFormat="1" hidden="1" x14ac:dyDescent="0.55000000000000004">
      <c r="B10" s="101">
        <v>7</v>
      </c>
      <c r="C10" s="101">
        <v>6.0232623318385654</v>
      </c>
      <c r="D10" s="101">
        <v>3.5599775784753365</v>
      </c>
      <c r="E10" s="101">
        <v>1.132567264573991</v>
      </c>
      <c r="F10" s="101">
        <v>4.5305493273542599</v>
      </c>
      <c r="G10" s="101">
        <v>0.51485426008968604</v>
      </c>
      <c r="H10" s="101">
        <v>13.1029983978027</v>
      </c>
      <c r="I10" s="101">
        <v>3.624159192825112</v>
      </c>
      <c r="J10" s="101">
        <v>12.525062943465324</v>
      </c>
      <c r="K10" s="101">
        <v>13.325932707713436</v>
      </c>
      <c r="L10" s="101">
        <v>7.4964522774090181</v>
      </c>
      <c r="M10" s="101">
        <v>2.0913677130044843</v>
      </c>
      <c r="N10" s="101">
        <v>1.9304932735426008</v>
      </c>
      <c r="O10" s="101">
        <v>7.8478139013452912</v>
      </c>
      <c r="P10" s="101">
        <v>7.8489349775784749</v>
      </c>
      <c r="Q10" s="101">
        <v>23.313828571428573</v>
      </c>
      <c r="R10" s="101">
        <v>3.6331278026905829</v>
      </c>
      <c r="S10" s="101">
        <v>4.6238789237668163</v>
      </c>
      <c r="T10" s="101">
        <v>5.8516571428571424</v>
      </c>
      <c r="U10" s="101">
        <v>6.2724571428571432</v>
      </c>
      <c r="V10" s="101">
        <v>6.2724571428571432</v>
      </c>
      <c r="W10" s="101">
        <v>8.3641142857142849</v>
      </c>
      <c r="X10" s="101">
        <v>5.4744955156950672</v>
      </c>
      <c r="Y10" s="101">
        <v>3.6499439461883409</v>
      </c>
      <c r="Z10" s="101">
        <v>23.932478828107119</v>
      </c>
      <c r="AA10" s="101">
        <v>22.44</v>
      </c>
      <c r="AB10" s="101">
        <v>1.8697142857142857</v>
      </c>
      <c r="AC10" s="101">
        <v>16.898262331838566</v>
      </c>
      <c r="AD10" s="101">
        <v>27.363885714285715</v>
      </c>
      <c r="AE10" s="101">
        <v>9.9369142857142858</v>
      </c>
      <c r="AF10" s="101">
        <v>16.768228571428573</v>
      </c>
      <c r="AG10" s="101">
        <v>9.2969142857142852</v>
      </c>
      <c r="AH10" s="101">
        <v>37.185600000000001</v>
      </c>
    </row>
    <row r="11" spans="2:43" s="101" customFormat="1" hidden="1" x14ac:dyDescent="0.55000000000000004">
      <c r="B11" s="101">
        <v>10</v>
      </c>
      <c r="C11" s="101">
        <v>6.0232623318385654</v>
      </c>
      <c r="D11" s="101">
        <v>3.5599775784753365</v>
      </c>
      <c r="E11" s="101">
        <v>1.132847533632287</v>
      </c>
      <c r="F11" s="101">
        <v>4.5305493273542599</v>
      </c>
      <c r="G11" s="101">
        <v>0.51485426008968604</v>
      </c>
      <c r="H11" s="101">
        <v>13.1029983978027</v>
      </c>
      <c r="I11" s="101">
        <v>3.6238789237668163</v>
      </c>
      <c r="J11" s="101">
        <v>12.525062943465324</v>
      </c>
      <c r="K11" s="101">
        <v>13.325932707713436</v>
      </c>
      <c r="L11" s="101">
        <v>7.4964522774090181</v>
      </c>
      <c r="M11" s="101">
        <v>2.0913677130044843</v>
      </c>
      <c r="N11" s="101">
        <v>1.9304932735426008</v>
      </c>
      <c r="O11" s="101">
        <v>7.8478139013452912</v>
      </c>
      <c r="P11" s="101">
        <v>7.8486547085201792</v>
      </c>
      <c r="Q11" s="101">
        <v>23.313600000000001</v>
      </c>
      <c r="R11" s="101">
        <v>3.6328475336322872</v>
      </c>
      <c r="S11" s="101">
        <v>4.6235986547085206</v>
      </c>
      <c r="T11" s="101">
        <v>5.8516571428571424</v>
      </c>
      <c r="U11" s="101">
        <v>6.2724571428571432</v>
      </c>
      <c r="V11" s="101">
        <v>6.2724571428571432</v>
      </c>
      <c r="W11" s="101">
        <v>8.3641142857142849</v>
      </c>
      <c r="X11" s="101">
        <v>5.4744955156950672</v>
      </c>
      <c r="Y11" s="101">
        <v>3.6499439461883409</v>
      </c>
      <c r="Z11" s="101">
        <v>23.932707713435569</v>
      </c>
      <c r="AA11" s="101">
        <v>22.44</v>
      </c>
      <c r="AB11" s="101">
        <v>1.8697142857142857</v>
      </c>
      <c r="AC11" s="101">
        <v>16.898262331838566</v>
      </c>
      <c r="AD11" s="101">
        <v>27.363885714285715</v>
      </c>
      <c r="AE11" s="101">
        <v>9.9369142857142858</v>
      </c>
      <c r="AF11" s="101">
        <v>16.768228571428573</v>
      </c>
      <c r="AG11" s="101">
        <v>9.2969142857142852</v>
      </c>
      <c r="AH11" s="101">
        <v>37.185371428571429</v>
      </c>
    </row>
    <row r="12" spans="2:43" hidden="1" x14ac:dyDescent="0.55000000000000004"/>
    <row r="13" spans="2:43" hidden="1" x14ac:dyDescent="0.55000000000000004"/>
    <row r="14" spans="2:43" ht="15.45" thickBot="1" x14ac:dyDescent="0.6">
      <c r="H14" s="93" t="s">
        <v>128</v>
      </c>
      <c r="I14" s="93"/>
      <c r="J14" s="93"/>
      <c r="K14" s="93"/>
      <c r="L14" s="93"/>
      <c r="M14" s="93"/>
      <c r="N14" s="93"/>
      <c r="O14" s="93"/>
      <c r="P14" s="93"/>
      <c r="Q14" s="93"/>
      <c r="R14" s="93" t="s">
        <v>155</v>
      </c>
      <c r="S14" s="93"/>
      <c r="T14" s="93"/>
      <c r="U14" s="93"/>
      <c r="V14" s="93"/>
      <c r="W14" s="93"/>
      <c r="X14" s="93"/>
      <c r="Y14" s="93"/>
      <c r="Z14" s="93"/>
      <c r="AA14" s="93" t="s">
        <v>156</v>
      </c>
      <c r="AB14" s="93"/>
      <c r="AC14" s="93"/>
      <c r="AD14" s="93"/>
      <c r="AE14" s="93"/>
      <c r="AF14" s="93"/>
      <c r="AG14" s="93"/>
      <c r="AH14" s="93"/>
      <c r="AI14" s="93"/>
    </row>
    <row r="15" spans="2:43" ht="15.45" thickBot="1" x14ac:dyDescent="0.6">
      <c r="B15" s="39" t="s">
        <v>63</v>
      </c>
      <c r="C15" s="24" t="s">
        <v>64</v>
      </c>
      <c r="D15" s="24" t="s">
        <v>65</v>
      </c>
      <c r="E15" s="24" t="s">
        <v>55</v>
      </c>
      <c r="F15" s="24" t="s">
        <v>228</v>
      </c>
      <c r="G15" s="24" t="s">
        <v>66</v>
      </c>
      <c r="H15" s="26" t="s">
        <v>67</v>
      </c>
      <c r="I15" s="39" t="s">
        <v>73</v>
      </c>
      <c r="J15" s="24" t="s">
        <v>69</v>
      </c>
      <c r="K15" s="24" t="s">
        <v>68</v>
      </c>
      <c r="L15" s="24" t="s">
        <v>70</v>
      </c>
      <c r="M15" s="24" t="s">
        <v>71</v>
      </c>
      <c r="N15" s="24" t="s">
        <v>152</v>
      </c>
      <c r="O15" s="24" t="s">
        <v>153</v>
      </c>
      <c r="P15" s="24" t="s">
        <v>154</v>
      </c>
      <c r="Q15" s="24" t="s">
        <v>66</v>
      </c>
      <c r="R15" s="26" t="s">
        <v>72</v>
      </c>
      <c r="S15" s="24" t="s">
        <v>69</v>
      </c>
      <c r="T15" s="24" t="s">
        <v>68</v>
      </c>
      <c r="U15" s="24" t="s">
        <v>70</v>
      </c>
      <c r="V15" s="24" t="s">
        <v>71</v>
      </c>
      <c r="W15" s="24" t="s">
        <v>152</v>
      </c>
      <c r="X15" s="24" t="s">
        <v>153</v>
      </c>
      <c r="Y15" s="24" t="s">
        <v>154</v>
      </c>
      <c r="Z15" s="25" t="s">
        <v>66</v>
      </c>
      <c r="AA15" s="24" t="s">
        <v>72</v>
      </c>
      <c r="AB15" s="24" t="s">
        <v>69</v>
      </c>
      <c r="AC15" s="24" t="s">
        <v>68</v>
      </c>
      <c r="AD15" s="24" t="s">
        <v>70</v>
      </c>
      <c r="AE15" s="24" t="s">
        <v>71</v>
      </c>
      <c r="AF15" s="24" t="s">
        <v>152</v>
      </c>
      <c r="AG15" s="24" t="s">
        <v>153</v>
      </c>
      <c r="AH15" s="24" t="s">
        <v>154</v>
      </c>
      <c r="AI15" s="25" t="s">
        <v>66</v>
      </c>
      <c r="AJ15" s="24" t="s">
        <v>90</v>
      </c>
      <c r="AK15" s="24" t="s">
        <v>88</v>
      </c>
      <c r="AL15" s="24" t="s">
        <v>89</v>
      </c>
      <c r="AM15" s="24" t="s">
        <v>83</v>
      </c>
      <c r="AN15" s="24" t="s">
        <v>84</v>
      </c>
      <c r="AO15" s="24" t="s">
        <v>85</v>
      </c>
      <c r="AP15" s="24" t="s">
        <v>86</v>
      </c>
      <c r="AQ15" s="25" t="s">
        <v>74</v>
      </c>
    </row>
    <row r="16" spans="2:43" ht="13.5" customHeight="1" x14ac:dyDescent="0.55000000000000004">
      <c r="B16" s="66">
        <v>1</v>
      </c>
      <c r="C16" s="99">
        <v>1</v>
      </c>
      <c r="D16" s="106" t="s">
        <v>75</v>
      </c>
      <c r="E16" s="104" t="s">
        <v>76</v>
      </c>
      <c r="F16" s="99"/>
      <c r="G16" s="99"/>
      <c r="H16" s="36">
        <f>I16/AJ16</f>
        <v>57125.188008787132</v>
      </c>
      <c r="I16" s="37">
        <f>SUM(J16:Q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451507.2820553105</v>
      </c>
      <c r="J16" s="105">
        <f>S16*(1+IF($AK16+IF(입력란!$C$26=1,10,0)&gt;100,100,$AK16+IF(입력란!$C$26=1,10,0))/100*(($AL16+IF(입력란!$C$30=1,17,IF(입력란!$C$30=2,20,IF(입력란!$C$30=3,22,0))))/100-1))</f>
        <v>63948.343892827776</v>
      </c>
      <c r="K16" s="105">
        <f>T16*(1+IF($AK16+IF(입력란!$C$26=1,10,IF(MID($E16,1,1)="2",10,0))&gt;100,100,$AK16+IF(입력란!$C$26=1,10,IF(MID($E16,1,1)="2",10,0)))/100*(($AL16+IF(입력란!$C$30=1,17,IF(입력란!$C$30=2,20,IF(입력란!$C$30=3,22,0))))/100-1))</f>
        <v>63948.343892827776</v>
      </c>
      <c r="L16" s="105">
        <f>U16*(1+IF($AK16+IF(입력란!$C$26=1,10,IF(MID($E16,1,1)="2",10,0))&gt;100,100,$AK16+IF(입력란!$C$26=1,10,IF(MID($E16,1,1)="2",10,0)))/100*(($AL16+IF(입력란!$C$30=1,17,IF(입력란!$C$30=2,20,IF(입력란!$C$30=3,22,0))))/100-1))</f>
        <v>63948.343892827776</v>
      </c>
      <c r="M16" s="105">
        <f>V16*(1+IF($AK16+IF(입력란!$C$26=1,10,IF(MID($E16,1,1)="2",10,0))&gt;100,100,$AK16+IF(입력란!$C$26=1,10,IF(MID($E16,1,1)="2",10,0)))/100*(($AL16+IF(입력란!$C$30=1,17,IF(입력란!$C$30=2,20,IF(입력란!$C$30=3,22,0))))/100-1))</f>
        <v>63948.343892827776</v>
      </c>
      <c r="N16" s="105">
        <f>W16*(1+IF($AK16+IF(입력란!$C$26=1,10,IF(MID($E16,1,1)="2",10,0))&gt;100,100,$AK16+IF(입력란!$C$26=1,10,IF(MID($E16,1,1)="2",10,0)))/100*(($AL16+IF(입력란!$C$30=1,17,IF(입력란!$C$30=2,20,IF(입력란!$C$30=3,22,0))))/100-1))</f>
        <v>63948.343892827776</v>
      </c>
      <c r="O16" s="105"/>
      <c r="P16" s="105"/>
      <c r="Q16" s="105"/>
      <c r="R16" s="19">
        <f>SUM(S16:Z16)</f>
        <v>129737.02962054785</v>
      </c>
      <c r="S16" s="105">
        <f>AN16*IF(입력란!$C$12=0,1,IF(입력란!$C$12=1,1.35,IF(입력란!$C$12=2,1.55,IF(입력란!$C$12=3,1.75,1))))*IF(MID(E16,3,1)="3",트라이포드!$N$5,트라이포드!$M$5)/5</f>
        <v>25947.405924109571</v>
      </c>
      <c r="T16" s="105">
        <f>AN16*IF(입력란!$C$12=0,1,IF(입력란!$C$12=1,1.35,IF(입력란!$C$12=2,1.55,IF(입력란!$C$12=3,1.75,1))))*IF(MID(E16,3,1)="2",1+트라이포드!$L$5/100,1+트라이포드!$K$5/100)*IF(MID(E16,3,1)="3",트라이포드!$N$5,트라이포드!$M$5)/5</f>
        <v>25947.405924109571</v>
      </c>
      <c r="U16" s="105">
        <f>AN16*IF(입력란!$C$12=0,1,IF(입력란!$C$12=1,1.35,IF(입력란!$C$12=2,1.55,IF(입력란!$C$12=3,1.75,1))))*IF(MID(E16,3,1)="2",1+2*트라이포드!$L$5/100,1+트라이포드!$K$5/100)*IF(MID(E16,3,1)="3",트라이포드!$N$5,트라이포드!$M$5)/5</f>
        <v>25947.405924109571</v>
      </c>
      <c r="V16" s="105">
        <f>AN16*IF(입력란!$C$12=0,1,IF(입력란!$C$12=1,1.35,IF(입력란!$C$12=2,1.55,IF(입력란!$C$12=3,1.75,1))))*IF(MID(E16,3,1)="2",1+3*트라이포드!$L$5/100,1+트라이포드!$K$5/100)*IF(MID(E16,3,1)="3",트라이포드!$N$5,트라이포드!$M$5)/5</f>
        <v>25947.405924109571</v>
      </c>
      <c r="W16" s="105">
        <f>AN16*IF(입력란!$C$12=0,1,IF(입력란!$C$12=1,1.35,IF(입력란!$C$12=2,1.55,IF(입력란!$C$12=3,1.75,1))))*IF(MID(E16,3,1)="2",1+4*트라이포드!$L$5/100,1+트라이포드!$K$5/100)*IF(MID(E16,3,1)="3",트라이포드!$N$5,트라이포드!$M$5)/5</f>
        <v>25947.405924109571</v>
      </c>
      <c r="X16" s="105"/>
      <c r="Y16" s="105"/>
      <c r="Z16" s="20"/>
      <c r="AA16" s="105">
        <f>SUM(AB16:AI16)</f>
        <v>259474.0592410957</v>
      </c>
      <c r="AB16" s="105">
        <f>S16*2</f>
        <v>51894.811848219142</v>
      </c>
      <c r="AC16" s="105">
        <f>AB16</f>
        <v>51894.811848219142</v>
      </c>
      <c r="AD16" s="105">
        <f>AC16</f>
        <v>51894.811848219142</v>
      </c>
      <c r="AE16" s="105">
        <f>AD16</f>
        <v>51894.811848219142</v>
      </c>
      <c r="AF16" s="105">
        <f>AE16</f>
        <v>51894.811848219142</v>
      </c>
      <c r="AG16" s="105"/>
      <c r="AH16" s="105"/>
      <c r="AI16" s="20"/>
      <c r="AJ16" s="105">
        <f>AQ16*(1-입력란!$P$10/100)</f>
        <v>7.9038213753599997</v>
      </c>
      <c r="AK16" s="105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" s="105">
        <f>입력란!$P$24+입력란!$P$16+IF(입력란!$C$18=1,10,IF(입력란!$C$18=2,25,IF(입력란!$C$18=3,50,0)))+IF(입력란!$C$23&lt;&gt;0,-12)</f>
        <v>380.66103559999999</v>
      </c>
      <c r="AM16" s="105">
        <f>SUM(AN16:AP16)</f>
        <v>129737.02962054785</v>
      </c>
      <c r="AN16" s="105">
        <f>(VLOOKUP(C16,$B$4:$AJ$7,2,FALSE)+VLOOKUP(C16,$B$8:$AJ$11,2,FALSE)*입력란!$P$4)*입력란!$P$25/100</f>
        <v>129737.02962054785</v>
      </c>
      <c r="AO16" s="105"/>
      <c r="AP16" s="105"/>
      <c r="AQ16" s="22">
        <v>8</v>
      </c>
    </row>
    <row r="17" spans="2:43" ht="13.5" customHeight="1" x14ac:dyDescent="0.55000000000000004">
      <c r="B17" s="66">
        <v>2</v>
      </c>
      <c r="C17" s="29">
        <v>4</v>
      </c>
      <c r="D17" s="30" t="s">
        <v>75</v>
      </c>
      <c r="E17" s="27" t="s">
        <v>76</v>
      </c>
      <c r="F17" s="29"/>
      <c r="G17" s="29"/>
      <c r="H17" s="36">
        <f>I17/AJ17</f>
        <v>57200.569973486876</v>
      </c>
      <c r="I17" s="37">
        <f>SUM(J17:Q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452103.08763922093</v>
      </c>
      <c r="J17" s="21">
        <f>S17*(1+IF($AK17+IF(입력란!$C$26=1,10,0)&gt;100,100,$AK17+IF(입력란!$C$26=1,10,0))/100*(($AL17+IF(입력란!$C$30=1,17,IF(입력란!$C$30=2,20,IF(입력란!$C$30=3,22,0))))/100-1))</f>
        <v>64032.729642266255</v>
      </c>
      <c r="K17" s="21">
        <f>T17*(1+IF($AK17+IF(입력란!$C$26=1,10,IF(MID($E17,1,1)="2",10,0))&gt;100,100,$AK17+IF(입력란!$C$26=1,10,IF(MID($E17,1,1)="2",10,0)))/100*(($AL17+IF(입력란!$C$30=1,17,IF(입력란!$C$30=2,20,IF(입력란!$C$30=3,22,0))))/100-1))</f>
        <v>64032.729642266255</v>
      </c>
      <c r="L17" s="21">
        <f>U17*(1+IF($AK17+IF(입력란!$C$26=1,10,IF(MID($E17,1,1)="2",10,0))&gt;100,100,$AK17+IF(입력란!$C$26=1,10,IF(MID($E17,1,1)="2",10,0)))/100*(($AL17+IF(입력란!$C$30=1,17,IF(입력란!$C$30=2,20,IF(입력란!$C$30=3,22,0))))/100-1))</f>
        <v>64032.729642266255</v>
      </c>
      <c r="M17" s="21">
        <f>V17*(1+IF($AK17+IF(입력란!$C$26=1,10,IF(MID($E17,1,1)="2",10,0))&gt;100,100,$AK17+IF(입력란!$C$26=1,10,IF(MID($E17,1,1)="2",10,0)))/100*(($AL17+IF(입력란!$C$30=1,17,IF(입력란!$C$30=2,20,IF(입력란!$C$30=3,22,0))))/100-1))</f>
        <v>64032.729642266255</v>
      </c>
      <c r="N17" s="21">
        <f>W17*(1+IF($AK17+IF(입력란!$C$26=1,10,IF(MID($E17,1,1)="2",10,0))&gt;100,100,$AK17+IF(입력란!$C$26=1,10,IF(MID($E17,1,1)="2",10,0)))/100*(($AL17+IF(입력란!$C$30=1,17,IF(입력란!$C$30=2,20,IF(입력란!$C$30=3,22,0))))/100-1))</f>
        <v>64032.729642266255</v>
      </c>
      <c r="O17" s="21"/>
      <c r="P17" s="21"/>
      <c r="Q17" s="105"/>
      <c r="R17" s="19">
        <f>SUM(S17:Z17)</f>
        <v>129908.22962054785</v>
      </c>
      <c r="S17" s="21">
        <f>AN17*IF(입력란!$C$12=0,1,IF(입력란!$C$12=1,1.35,IF(입력란!$C$12=2,1.55,IF(입력란!$C$12=3,1.75,1))))*IF(MID(E17,3,1)="3",트라이포드!$N$5,트라이포드!$M$5)/5</f>
        <v>25981.645924109569</v>
      </c>
      <c r="T17" s="21">
        <f>AN17*IF(입력란!$C$12=0,1,IF(입력란!$C$12=1,1.35,IF(입력란!$C$12=2,1.55,IF(입력란!$C$12=3,1.75,1))))*IF(MID(E17,3,1)="2",1+트라이포드!$L$5/100,1+트라이포드!$K$5/100)*IF(MID(E17,3,1)="3",트라이포드!$N$5,트라이포드!$M$5)/5</f>
        <v>25981.645924109569</v>
      </c>
      <c r="U17" s="21">
        <f>AN17*IF(입력란!$C$12=0,1,IF(입력란!$C$12=1,1.35,IF(입력란!$C$12=2,1.55,IF(입력란!$C$12=3,1.75,1))))*IF(MID(E17,3,1)="2",1+2*트라이포드!$L$5/100,1+트라이포드!$K$5/100)*IF(MID(E17,3,1)="3",트라이포드!$N$5,트라이포드!$M$5)/5</f>
        <v>25981.645924109569</v>
      </c>
      <c r="V17" s="21">
        <f>AN17*IF(입력란!$C$12=0,1,IF(입력란!$C$12=1,1.35,IF(입력란!$C$12=2,1.55,IF(입력란!$C$12=3,1.75,1))))*IF(MID(E17,3,1)="2",1+3*트라이포드!$L$5/100,1+트라이포드!$K$5/100)*IF(MID(E17,3,1)="3",트라이포드!$N$5,트라이포드!$M$5)/5</f>
        <v>25981.645924109569</v>
      </c>
      <c r="W17" s="21">
        <f>AN17*IF(입력란!$C$12=0,1,IF(입력란!$C$12=1,1.35,IF(입력란!$C$12=2,1.55,IF(입력란!$C$12=3,1.75,1))))*IF(MID(E17,3,1)="2",1+4*트라이포드!$L$5/100,1+트라이포드!$K$5/100)*IF(MID(E17,3,1)="3",트라이포드!$N$5,트라이포드!$M$5)/5</f>
        <v>25981.645924109569</v>
      </c>
      <c r="X17" s="21"/>
      <c r="Y17" s="21"/>
      <c r="Z17" s="20"/>
      <c r="AA17" s="21">
        <f>SUM(AB17:AI17)</f>
        <v>259816.4592410957</v>
      </c>
      <c r="AB17" s="21">
        <f>S17*2</f>
        <v>51963.291848219138</v>
      </c>
      <c r="AC17" s="21">
        <f>AB17</f>
        <v>51963.291848219138</v>
      </c>
      <c r="AD17" s="21">
        <f>AC17</f>
        <v>51963.291848219138</v>
      </c>
      <c r="AE17" s="21">
        <f>AD17</f>
        <v>51963.291848219138</v>
      </c>
      <c r="AF17" s="21">
        <f>AE17</f>
        <v>51963.291848219138</v>
      </c>
      <c r="AG17" s="21"/>
      <c r="AH17" s="21"/>
      <c r="AI17" s="20"/>
      <c r="AJ17" s="21">
        <f>AQ17*(1-입력란!$P$10/100)</f>
        <v>7.9038213753599997</v>
      </c>
      <c r="AK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" s="21">
        <f>입력란!$P$24+입력란!$P$16+IF(입력란!$C$18=1,10,IF(입력란!$C$18=2,25,IF(입력란!$C$18=3,50,0)))+IF(입력란!$C$23&lt;&gt;0,-12)</f>
        <v>380.66103559999999</v>
      </c>
      <c r="AM17" s="21">
        <f>SUM(AN17:AP17)</f>
        <v>129908.22962054785</v>
      </c>
      <c r="AN17" s="21">
        <f>(VLOOKUP(C17,$B$4:$AJ$7,2,FALSE)+VLOOKUP(C17,$B$8:$AJ$11,2,FALSE)*입력란!$P$4)*입력란!$P$25/100</f>
        <v>129908.22962054785</v>
      </c>
      <c r="AO17" s="21"/>
      <c r="AP17" s="21"/>
      <c r="AQ17" s="22">
        <v>8</v>
      </c>
    </row>
    <row r="18" spans="2:43" ht="13.5" customHeight="1" x14ac:dyDescent="0.55000000000000004">
      <c r="B18" s="66">
        <v>3</v>
      </c>
      <c r="C18" s="29">
        <v>4</v>
      </c>
      <c r="D18" s="30" t="s">
        <v>75</v>
      </c>
      <c r="E18" s="27" t="s">
        <v>77</v>
      </c>
      <c r="F18" s="29"/>
      <c r="G18" s="29"/>
      <c r="H18" s="36">
        <f>I18/AJ18</f>
        <v>57200.569973486876</v>
      </c>
      <c r="I18" s="37">
        <f>SUM(J18:Q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452103.08763922093</v>
      </c>
      <c r="J18" s="21">
        <f>S18*(1+IF($AK18+IF(입력란!$C$26=1,10,0)&gt;100,100,$AK18+IF(입력란!$C$26=1,10,0))/100*(($AL18+IF(입력란!$C$30=1,17,IF(입력란!$C$30=2,20,IF(입력란!$C$30=3,22,0))))/100-1))</f>
        <v>64032.729642266255</v>
      </c>
      <c r="K18" s="21">
        <f>T18*(1+IF($AK18+IF(입력란!$C$26=1,10,IF(MID($E18,1,1)="2",10,0))&gt;100,100,$AK18+IF(입력란!$C$26=1,10,IF(MID($E18,1,1)="2",10,0)))/100*(($AL18+IF(입력란!$C$30=1,17,IF(입력란!$C$30=2,20,IF(입력란!$C$30=3,22,0))))/100-1))</f>
        <v>64032.729642266255</v>
      </c>
      <c r="L18" s="21">
        <f>U18*(1+IF($AK18+IF(입력란!$C$26=1,10,IF(MID($E18,1,1)="2",10,0))&gt;100,100,$AK18+IF(입력란!$C$26=1,10,IF(MID($E18,1,1)="2",10,0)))/100*(($AL18+IF(입력란!$C$30=1,17,IF(입력란!$C$30=2,20,IF(입력란!$C$30=3,22,0))))/100-1))</f>
        <v>64032.729642266255</v>
      </c>
      <c r="M18" s="21">
        <f>V18*(1+IF($AK18+IF(입력란!$C$26=1,10,IF(MID($E18,1,1)="2",10,0))&gt;100,100,$AK18+IF(입력란!$C$26=1,10,IF(MID($E18,1,1)="2",10,0)))/100*(($AL18+IF(입력란!$C$30=1,17,IF(입력란!$C$30=2,20,IF(입력란!$C$30=3,22,0))))/100-1))</f>
        <v>64032.729642266255</v>
      </c>
      <c r="N18" s="21">
        <f>W18*(1+IF($AK18+IF(입력란!$C$26=1,10,IF(MID($E18,1,1)="2",10,0))&gt;100,100,$AK18+IF(입력란!$C$26=1,10,IF(MID($E18,1,1)="2",10,0)))/100*(($AL18+IF(입력란!$C$30=1,17,IF(입력란!$C$30=2,20,IF(입력란!$C$30=3,22,0))))/100-1))</f>
        <v>64032.729642266255</v>
      </c>
      <c r="O18" s="21"/>
      <c r="P18" s="21"/>
      <c r="Q18" s="105"/>
      <c r="R18" s="19">
        <f>SUM(S18:Z18)</f>
        <v>129908.22962054785</v>
      </c>
      <c r="S18" s="21">
        <f>AN18*IF(입력란!$C$12=0,1,IF(입력란!$C$12=1,1.35,IF(입력란!$C$12=2,1.55,IF(입력란!$C$12=3,1.75,1))))*IF(MID(E18,3,1)="3",트라이포드!$N$5,트라이포드!$M$5)/5</f>
        <v>25981.645924109569</v>
      </c>
      <c r="T18" s="21">
        <f>AN18*IF(입력란!$C$12=0,1,IF(입력란!$C$12=1,1.35,IF(입력란!$C$12=2,1.55,IF(입력란!$C$12=3,1.75,1))))*IF(MID(E18,3,1)="2",1+트라이포드!$L$5/100,1+트라이포드!$K$5/100)*IF(MID(E18,3,1)="3",트라이포드!$N$5,트라이포드!$M$5)/5</f>
        <v>25981.645924109569</v>
      </c>
      <c r="U18" s="21">
        <f>AN18*IF(입력란!$C$12=0,1,IF(입력란!$C$12=1,1.35,IF(입력란!$C$12=2,1.55,IF(입력란!$C$12=3,1.75,1))))*IF(MID(E18,3,1)="2",1+2*트라이포드!$L$5/100,1+트라이포드!$K$5/100)*IF(MID(E18,3,1)="3",트라이포드!$N$5,트라이포드!$M$5)/5</f>
        <v>25981.645924109569</v>
      </c>
      <c r="V18" s="21">
        <f>AN18*IF(입력란!$C$12=0,1,IF(입력란!$C$12=1,1.35,IF(입력란!$C$12=2,1.55,IF(입력란!$C$12=3,1.75,1))))*IF(MID(E18,3,1)="2",1+3*트라이포드!$L$5/100,1+트라이포드!$K$5/100)*IF(MID(E18,3,1)="3",트라이포드!$N$5,트라이포드!$M$5)/5</f>
        <v>25981.645924109569</v>
      </c>
      <c r="W18" s="21">
        <f>AN18*IF(입력란!$C$12=0,1,IF(입력란!$C$12=1,1.35,IF(입력란!$C$12=2,1.55,IF(입력란!$C$12=3,1.75,1))))*IF(MID(E18,3,1)="2",1+4*트라이포드!$L$5/100,1+트라이포드!$K$5/100)*IF(MID(E18,3,1)="3",트라이포드!$N$5,트라이포드!$M$5)/5</f>
        <v>25981.645924109569</v>
      </c>
      <c r="X18" s="21"/>
      <c r="Y18" s="21"/>
      <c r="Z18" s="20"/>
      <c r="AA18" s="21">
        <f>SUM(AB18:AI18)</f>
        <v>259816.4592410957</v>
      </c>
      <c r="AB18" s="21">
        <f>S18*2</f>
        <v>51963.291848219138</v>
      </c>
      <c r="AC18" s="21">
        <f>AB18</f>
        <v>51963.291848219138</v>
      </c>
      <c r="AD18" s="21">
        <f>AC18</f>
        <v>51963.291848219138</v>
      </c>
      <c r="AE18" s="21">
        <f>AD18</f>
        <v>51963.291848219138</v>
      </c>
      <c r="AF18" s="21">
        <f>AE18</f>
        <v>51963.291848219138</v>
      </c>
      <c r="AG18" s="21"/>
      <c r="AH18" s="21"/>
      <c r="AI18" s="20"/>
      <c r="AJ18" s="21">
        <f>AQ18*(1-입력란!$P$10/100)</f>
        <v>7.9038213753599997</v>
      </c>
      <c r="AK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" s="21">
        <f>입력란!$P$24+입력란!$P$16+IF(입력란!$C$18=1,10,IF(입력란!$C$18=2,25,IF(입력란!$C$18=3,50,0)))+IF(입력란!$C$23&lt;&gt;0,-12)</f>
        <v>380.66103559999999</v>
      </c>
      <c r="AM18" s="21">
        <f>SUM(AN18:AP18)</f>
        <v>129908.22962054785</v>
      </c>
      <c r="AN18" s="21">
        <f>(VLOOKUP(C18,$B$4:$AJ$7,2,FALSE)+VLOOKUP(C18,$B$8:$AJ$11,2,FALSE)*입력란!$P$4)*입력란!$P$25/100</f>
        <v>129908.22962054785</v>
      </c>
      <c r="AO18" s="21"/>
      <c r="AP18" s="21"/>
      <c r="AQ18" s="22">
        <v>8</v>
      </c>
    </row>
    <row r="19" spans="2:43" ht="13.5" customHeight="1" x14ac:dyDescent="0.55000000000000004">
      <c r="B19" s="66">
        <v>4</v>
      </c>
      <c r="C19" s="29">
        <v>7</v>
      </c>
      <c r="D19" s="30" t="s">
        <v>75</v>
      </c>
      <c r="E19" s="27" t="s">
        <v>76</v>
      </c>
      <c r="F19" s="29"/>
      <c r="G19" s="29"/>
      <c r="H19" s="36">
        <f>I19/AJ19</f>
        <v>57237.028073236514</v>
      </c>
      <c r="I19" s="37">
        <f>SUM(J19:Q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452391.24594732712</v>
      </c>
      <c r="J19" s="21">
        <f>S19*(1+IF($AK19+IF(입력란!$C$26=1,10,0)&gt;100,100,$AK19+IF(입력란!$C$26=1,10,0))/100*(($AL19+IF(입력란!$C$30=1,17,IF(입력란!$C$30=2,20,IF(입력란!$C$30=3,22,0))))/100-1))</f>
        <v>64073.542376223653</v>
      </c>
      <c r="K19" s="21">
        <f>T19*(1+IF($AK19+IF(입력란!$C$26=1,10,IF(MID($E19,1,1)="2",10,0))&gt;100,100,$AK19+IF(입력란!$C$26=1,10,IF(MID($E19,1,1)="2",10,0)))/100*(($AL19+IF(입력란!$C$30=1,17,IF(입력란!$C$30=2,20,IF(입력란!$C$30=3,22,0))))/100-1))</f>
        <v>64073.542376223653</v>
      </c>
      <c r="L19" s="21">
        <f>U19*(1+IF($AK19+IF(입력란!$C$26=1,10,IF(MID($E19,1,1)="2",10,0))&gt;100,100,$AK19+IF(입력란!$C$26=1,10,IF(MID($E19,1,1)="2",10,0)))/100*(($AL19+IF(입력란!$C$30=1,17,IF(입력란!$C$30=2,20,IF(입력란!$C$30=3,22,0))))/100-1))</f>
        <v>64073.542376223653</v>
      </c>
      <c r="M19" s="21">
        <f>V19*(1+IF($AK19+IF(입력란!$C$26=1,10,IF(MID($E19,1,1)="2",10,0))&gt;100,100,$AK19+IF(입력란!$C$26=1,10,IF(MID($E19,1,1)="2",10,0)))/100*(($AL19+IF(입력란!$C$30=1,17,IF(입력란!$C$30=2,20,IF(입력란!$C$30=3,22,0))))/100-1))</f>
        <v>64073.542376223653</v>
      </c>
      <c r="N19" s="21">
        <f>W19*(1+IF($AK19+IF(입력란!$C$26=1,10,IF(MID($E19,1,1)="2",10,0))&gt;100,100,$AK19+IF(입력란!$C$26=1,10,IF(MID($E19,1,1)="2",10,0)))/100*(($AL19+IF(입력란!$C$30=1,17,IF(입력란!$C$30=2,20,IF(입력란!$C$30=3,22,0))))/100-1))</f>
        <v>64073.542376223653</v>
      </c>
      <c r="O19" s="21"/>
      <c r="P19" s="21"/>
      <c r="Q19" s="105"/>
      <c r="R19" s="19">
        <f>SUM(S19:Z19)</f>
        <v>129991.02962054785</v>
      </c>
      <c r="S19" s="21">
        <f>AN19*IF(입력란!$C$12=0,1,IF(입력란!$C$12=1,1.35,IF(입력란!$C$12=2,1.55,IF(입력란!$C$12=3,1.75,1))))*IF(MID(E19,3,1)="3",트라이포드!$N$5,트라이포드!$M$5)/5</f>
        <v>25998.20592410957</v>
      </c>
      <c r="T19" s="21">
        <f>AN19*IF(입력란!$C$12=0,1,IF(입력란!$C$12=1,1.35,IF(입력란!$C$12=2,1.55,IF(입력란!$C$12=3,1.75,1))))*IF(MID(E19,3,1)="2",1+트라이포드!$L$5/100,1+트라이포드!$K$5/100)*IF(MID(E19,3,1)="3",트라이포드!$N$5,트라이포드!$M$5)/5</f>
        <v>25998.20592410957</v>
      </c>
      <c r="U19" s="21">
        <f>AN19*IF(입력란!$C$12=0,1,IF(입력란!$C$12=1,1.35,IF(입력란!$C$12=2,1.55,IF(입력란!$C$12=3,1.75,1))))*IF(MID(E19,3,1)="2",1+2*트라이포드!$L$5/100,1+트라이포드!$K$5/100)*IF(MID(E19,3,1)="3",트라이포드!$N$5,트라이포드!$M$5)/5</f>
        <v>25998.20592410957</v>
      </c>
      <c r="V19" s="21">
        <f>AN19*IF(입력란!$C$12=0,1,IF(입력란!$C$12=1,1.35,IF(입력란!$C$12=2,1.55,IF(입력란!$C$12=3,1.75,1))))*IF(MID(E19,3,1)="2",1+3*트라이포드!$L$5/100,1+트라이포드!$K$5/100)*IF(MID(E19,3,1)="3",트라이포드!$N$5,트라이포드!$M$5)/5</f>
        <v>25998.20592410957</v>
      </c>
      <c r="W19" s="21">
        <f>AN19*IF(입력란!$C$12=0,1,IF(입력란!$C$12=1,1.35,IF(입력란!$C$12=2,1.55,IF(입력란!$C$12=3,1.75,1))))*IF(MID(E19,3,1)="2",1+4*트라이포드!$L$5/100,1+트라이포드!$K$5/100)*IF(MID(E19,3,1)="3",트라이포드!$N$5,트라이포드!$M$5)/5</f>
        <v>25998.20592410957</v>
      </c>
      <c r="X19" s="21"/>
      <c r="Y19" s="21"/>
      <c r="Z19" s="20"/>
      <c r="AA19" s="21">
        <f>SUM(AB19:AI19)</f>
        <v>259982.0592410957</v>
      </c>
      <c r="AB19" s="21">
        <f>S19*2</f>
        <v>51996.411848219141</v>
      </c>
      <c r="AC19" s="21">
        <f>AB19</f>
        <v>51996.411848219141</v>
      </c>
      <c r="AD19" s="21">
        <f>AC19</f>
        <v>51996.411848219141</v>
      </c>
      <c r="AE19" s="21">
        <f>AD19</f>
        <v>51996.411848219141</v>
      </c>
      <c r="AF19" s="21">
        <f>AE19</f>
        <v>51996.411848219141</v>
      </c>
      <c r="AG19" s="21"/>
      <c r="AH19" s="21"/>
      <c r="AI19" s="20"/>
      <c r="AJ19" s="21">
        <f>AQ19*(1-입력란!$P$10/100)</f>
        <v>7.9038213753599997</v>
      </c>
      <c r="AK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" s="21">
        <f>입력란!$P$24+입력란!$P$16+IF(입력란!$C$18=1,10,IF(입력란!$C$18=2,25,IF(입력란!$C$18=3,50,0)))+IF(입력란!$C$23&lt;&gt;0,-12)</f>
        <v>380.66103559999999</v>
      </c>
      <c r="AM19" s="21">
        <f>SUM(AN19:AP19)</f>
        <v>129991.02962054785</v>
      </c>
      <c r="AN19" s="21">
        <f>(VLOOKUP(C19,$B$4:$AJ$7,2,FALSE)+VLOOKUP(C19,$B$8:$AJ$11,2,FALSE)*입력란!$P$4)*입력란!$P$25/100</f>
        <v>129991.02962054785</v>
      </c>
      <c r="AO19" s="21"/>
      <c r="AP19" s="21"/>
      <c r="AQ19" s="22">
        <v>8</v>
      </c>
    </row>
    <row r="20" spans="2:43" ht="13.5" customHeight="1" x14ac:dyDescent="0.55000000000000004">
      <c r="B20" s="66">
        <v>5</v>
      </c>
      <c r="C20" s="29">
        <v>7</v>
      </c>
      <c r="D20" s="30" t="s">
        <v>75</v>
      </c>
      <c r="E20" s="27" t="s">
        <v>78</v>
      </c>
      <c r="F20" s="29"/>
      <c r="G20" s="29"/>
      <c r="H20" s="36">
        <f>I20/AJ20</f>
        <v>74408.136495207451</v>
      </c>
      <c r="I20" s="37">
        <f>SUM(J20:Q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588108.61973152519</v>
      </c>
      <c r="J20" s="21">
        <f>S20*(1+IF($AK20+IF(입력란!$C$26=1,10,0)&gt;100,100,$AK20+IF(입력란!$C$26=1,10,0))/100*(($AL20+IF(입력란!$C$30=1,17,IF(입력란!$C$30=2,20,IF(입력란!$C$30=3,22,0))))/100-1))</f>
        <v>64073.542376223653</v>
      </c>
      <c r="K20" s="21">
        <f>T20*(1+IF($AK20+IF(입력란!$C$26=1,10,IF(MID($E20,1,1)="2",10,0))&gt;100,100,$AK20+IF(입력란!$C$26=1,10,IF(MID($E20,1,1)="2",10,0)))/100*(($AL20+IF(입력란!$C$30=1,17,IF(입력란!$C$30=2,20,IF(입력란!$C$30=3,22,0))))/100-1))</f>
        <v>73684.573732657183</v>
      </c>
      <c r="L20" s="21">
        <f>U20*(1+IF($AK20+IF(입력란!$C$26=1,10,IF(MID($E20,1,1)="2",10,0))&gt;100,100,$AK20+IF(입력란!$C$26=1,10,IF(MID($E20,1,1)="2",10,0)))/100*(($AL20+IF(입력란!$C$30=1,17,IF(입력란!$C$30=2,20,IF(입력란!$C$30=3,22,0))))/100-1))</f>
        <v>83295.60508909075</v>
      </c>
      <c r="M20" s="21">
        <f>V20*(1+IF($AK20+IF(입력란!$C$26=1,10,IF(MID($E20,1,1)="2",10,0))&gt;100,100,$AK20+IF(입력란!$C$26=1,10,IF(MID($E20,1,1)="2",10,0)))/100*(($AL20+IF(입력란!$C$30=1,17,IF(입력란!$C$30=2,20,IF(입력란!$C$30=3,22,0))))/100-1))</f>
        <v>92906.636445524287</v>
      </c>
      <c r="N20" s="21">
        <f>W20*(1+IF($AK20+IF(입력란!$C$26=1,10,IF(MID($E20,1,1)="2",10,0))&gt;100,100,$AK20+IF(입력란!$C$26=1,10,IF(MID($E20,1,1)="2",10,0)))/100*(($AL20+IF(입력란!$C$30=1,17,IF(입력란!$C$30=2,20,IF(입력란!$C$30=3,22,0))))/100-1))</f>
        <v>102517.66780195784</v>
      </c>
      <c r="O20" s="21"/>
      <c r="P20" s="21"/>
      <c r="Q20" s="105"/>
      <c r="R20" s="19">
        <f>SUM(S20:Z20)</f>
        <v>168988.3385067122</v>
      </c>
      <c r="S20" s="21">
        <f>AN20*IF(입력란!$C$12=0,1,IF(입력란!$C$12=1,1.35,IF(입력란!$C$12=2,1.55,IF(입력란!$C$12=3,1.75,1))))*IF(MID(E20,3,1)="3",트라이포드!$N$5,트라이포드!$M$5)/5</f>
        <v>25998.20592410957</v>
      </c>
      <c r="T20" s="21">
        <f>AN20*IF(입력란!$C$12=0,1,IF(입력란!$C$12=1,1.35,IF(입력란!$C$12=2,1.55,IF(입력란!$C$12=3,1.75,1))))*IF(MID(E20,3,1)="2",1+트라이포드!$L$5/100,1+트라이포드!$K$5/100)*IF(MID(E20,3,1)="3",트라이포드!$N$5,트라이포드!$M$5)/5</f>
        <v>29897.936812726002</v>
      </c>
      <c r="U20" s="21">
        <f>AN20*IF(입력란!$C$12=0,1,IF(입력란!$C$12=1,1.35,IF(입력란!$C$12=2,1.55,IF(입력란!$C$12=3,1.75,1))))*IF(MID(E20,3,1)="2",1+2*트라이포드!$L$5/100,1+트라이포드!$K$5/100)*IF(MID(E20,3,1)="3",트라이포드!$N$5,트라이포드!$M$5)/5</f>
        <v>33797.667701342441</v>
      </c>
      <c r="V20" s="21">
        <f>AN20*IF(입력란!$C$12=0,1,IF(입력란!$C$12=1,1.35,IF(입력란!$C$12=2,1.55,IF(입력란!$C$12=3,1.75,1))))*IF(MID(E20,3,1)="2",1+3*트라이포드!$L$5/100,1+트라이포드!$K$5/100)*IF(MID(E20,3,1)="3",트라이포드!$N$5,트라이포드!$M$5)/5</f>
        <v>37697.398589958873</v>
      </c>
      <c r="W20" s="21">
        <f>AN20*IF(입력란!$C$12=0,1,IF(입력란!$C$12=1,1.35,IF(입력란!$C$12=2,1.55,IF(입력란!$C$12=3,1.75,1))))*IF(MID(E20,3,1)="2",1+4*트라이포드!$L$5/100,1+트라이포드!$K$5/100)*IF(MID(E20,3,1)="3",트라이포드!$N$5,트라이포드!$M$5)/5</f>
        <v>41597.129478575313</v>
      </c>
      <c r="X20" s="21"/>
      <c r="Y20" s="21"/>
      <c r="Z20" s="20"/>
      <c r="AA20" s="21">
        <f>SUM(AB20:AI20)</f>
        <v>259982.0592410957</v>
      </c>
      <c r="AB20" s="21">
        <f>S20*2</f>
        <v>51996.411848219141</v>
      </c>
      <c r="AC20" s="21">
        <f>AB20</f>
        <v>51996.411848219141</v>
      </c>
      <c r="AD20" s="21">
        <f>AC20</f>
        <v>51996.411848219141</v>
      </c>
      <c r="AE20" s="21">
        <f>AD20</f>
        <v>51996.411848219141</v>
      </c>
      <c r="AF20" s="21">
        <f>AE20</f>
        <v>51996.411848219141</v>
      </c>
      <c r="AG20" s="21"/>
      <c r="AH20" s="21"/>
      <c r="AI20" s="20"/>
      <c r="AJ20" s="21">
        <f>AQ20*(1-입력란!$P$10/100)</f>
        <v>7.9038213753599997</v>
      </c>
      <c r="AK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" s="21">
        <f>입력란!$P$24+입력란!$P$16+IF(입력란!$C$18=1,10,IF(입력란!$C$18=2,25,IF(입력란!$C$18=3,50,0)))+IF(입력란!$C$23&lt;&gt;0,-12)</f>
        <v>380.66103559999999</v>
      </c>
      <c r="AM20" s="21">
        <f>SUM(AN20:AP20)</f>
        <v>129991.02962054785</v>
      </c>
      <c r="AN20" s="21">
        <f>(VLOOKUP(C20,$B$4:$AJ$7,2,FALSE)+VLOOKUP(C20,$B$8:$AJ$11,2,FALSE)*입력란!$P$4)*입력란!$P$25/100</f>
        <v>129991.02962054785</v>
      </c>
      <c r="AO20" s="21"/>
      <c r="AP20" s="21"/>
      <c r="AQ20" s="22">
        <v>8</v>
      </c>
    </row>
    <row r="21" spans="2:43" ht="13.5" customHeight="1" x14ac:dyDescent="0.55000000000000004">
      <c r="B21" s="66">
        <v>6</v>
      </c>
      <c r="C21" s="29">
        <v>7</v>
      </c>
      <c r="D21" s="30" t="s">
        <v>75</v>
      </c>
      <c r="E21" s="27" t="s">
        <v>79</v>
      </c>
      <c r="F21" s="29" t="s">
        <v>82</v>
      </c>
      <c r="G21" s="29"/>
      <c r="H21" s="36">
        <f>I21/AJ21</f>
        <v>80131.839302531109</v>
      </c>
      <c r="I21" s="37">
        <f>SUM(J21:Q21)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633347.74432625796</v>
      </c>
      <c r="J21" s="21">
        <f>S21*(1+IF($AK21+IF(입력란!$C$26=1,10,0)&gt;100,100,$AK21+IF(입력란!$C$26=1,10,0))/100*(($AL21+IF(입력란!$C$30=1,17,IF(입력란!$C$30=2,20,IF(입력란!$C$30=3,22,0))))/100-1))</f>
        <v>89702.959326713113</v>
      </c>
      <c r="K21" s="21">
        <f>T21*(1+IF($AK21+IF(입력란!$C$26=1,10,IF(MID($E21,1,1)="2",10,0))&gt;100,100,$AK21+IF(입력란!$C$26=1,10,IF(MID($E21,1,1)="2",10,0)))/100*(($AL21+IF(입력란!$C$30=1,17,IF(입력란!$C$30=2,20,IF(입력란!$C$30=3,22,0))))/100-1))</f>
        <v>89702.959326713113</v>
      </c>
      <c r="L21" s="21">
        <f>U21*(1+IF($AK21+IF(입력란!$C$26=1,10,IF(MID($E21,1,1)="2",10,0))&gt;100,100,$AK21+IF(입력란!$C$26=1,10,IF(MID($E21,1,1)="2",10,0)))/100*(($AL21+IF(입력란!$C$30=1,17,IF(입력란!$C$30=2,20,IF(입력란!$C$30=3,22,0))))/100-1))</f>
        <v>89702.959326713113</v>
      </c>
      <c r="M21" s="21">
        <f>V21*(1+IF($AK21+IF(입력란!$C$26=1,10,IF(MID($E21,1,1)="2",10,0))&gt;100,100,$AK21+IF(입력란!$C$26=1,10,IF(MID($E21,1,1)="2",10,0)))/100*(($AL21+IF(입력란!$C$30=1,17,IF(입력란!$C$30=2,20,IF(입력란!$C$30=3,22,0))))/100-1))</f>
        <v>89702.959326713113</v>
      </c>
      <c r="N21" s="21">
        <f>W21*(1+IF($AK21+IF(입력란!$C$26=1,10,IF(MID($E21,1,1)="2",10,0))&gt;100,100,$AK21+IF(입력란!$C$26=1,10,IF(MID($E21,1,1)="2",10,0)))/100*(($AL21+IF(입력란!$C$30=1,17,IF(입력란!$C$30=2,20,IF(입력란!$C$30=3,22,0))))/100-1))</f>
        <v>89702.959326713113</v>
      </c>
      <c r="O21" s="21"/>
      <c r="P21" s="21"/>
      <c r="Q21" s="105"/>
      <c r="R21" s="19">
        <f>SUM(S21:Z21)</f>
        <v>181987.44146876701</v>
      </c>
      <c r="S21" s="21">
        <f>AN21*IF(입력란!$C$12=0,1,IF(입력란!$C$12=1,1.35,IF(입력란!$C$12=2,1.55,IF(입력란!$C$12=3,1.75,1))))*IF(MID(E21,3,1)="3",트라이포드!$N$5,트라이포드!$M$5)/5</f>
        <v>36397.488293753398</v>
      </c>
      <c r="T21" s="21">
        <f>AN21*IF(입력란!$C$12=0,1,IF(입력란!$C$12=1,1.35,IF(입력란!$C$12=2,1.55,IF(입력란!$C$12=3,1.75,1))))*IF(MID(E21,3,1)="2",1+트라이포드!$L$5/100,1+트라이포드!$K$5/100)*IF(MID(E21,3,1)="3",트라이포드!$N$5,트라이포드!$M$5)/5</f>
        <v>36397.488293753398</v>
      </c>
      <c r="U21" s="21">
        <f>AN21*IF(입력란!$C$12=0,1,IF(입력란!$C$12=1,1.35,IF(입력란!$C$12=2,1.55,IF(입력란!$C$12=3,1.75,1))))*IF(MID(E21,3,1)="2",1+2*트라이포드!$L$5/100,1+트라이포드!$K$5/100)*IF(MID(E21,3,1)="3",트라이포드!$N$5,트라이포드!$M$5)/5</f>
        <v>36397.488293753398</v>
      </c>
      <c r="V21" s="21">
        <f>AN21*IF(입력란!$C$12=0,1,IF(입력란!$C$12=1,1.35,IF(입력란!$C$12=2,1.55,IF(입력란!$C$12=3,1.75,1))))*IF(MID(E21,3,1)="2",1+3*트라이포드!$L$5/100,1+트라이포드!$K$5/100)*IF(MID(E21,3,1)="3",트라이포드!$N$5,트라이포드!$M$5)/5</f>
        <v>36397.488293753398</v>
      </c>
      <c r="W21" s="21">
        <f>AN21*IF(입력란!$C$12=0,1,IF(입력란!$C$12=1,1.35,IF(입력란!$C$12=2,1.55,IF(입력란!$C$12=3,1.75,1))))*IF(MID(E21,3,1)="2",1+4*트라이포드!$L$5/100,1+트라이포드!$K$5/100)*IF(MID(E21,3,1)="3",트라이포드!$N$5,트라이포드!$M$5)/5</f>
        <v>36397.488293753398</v>
      </c>
      <c r="X21" s="21"/>
      <c r="Y21" s="21"/>
      <c r="Z21" s="20"/>
      <c r="AA21" s="21">
        <f>SUM(AB21:AI21)</f>
        <v>363974.88293753401</v>
      </c>
      <c r="AB21" s="21">
        <f>S21*2</f>
        <v>72794.976587506797</v>
      </c>
      <c r="AC21" s="21">
        <f>AB21</f>
        <v>72794.976587506797</v>
      </c>
      <c r="AD21" s="21">
        <f>AC21</f>
        <v>72794.976587506797</v>
      </c>
      <c r="AE21" s="21">
        <f>AD21</f>
        <v>72794.976587506797</v>
      </c>
      <c r="AF21" s="21">
        <f>AE21</f>
        <v>72794.976587506797</v>
      </c>
      <c r="AG21" s="21"/>
      <c r="AH21" s="21"/>
      <c r="AI21" s="20"/>
      <c r="AJ21" s="21">
        <f>AQ21*(1-입력란!$P$10/100)</f>
        <v>7.9038213753599997</v>
      </c>
      <c r="AK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" s="21">
        <f>입력란!$P$24+입력란!$P$16+IF(입력란!$C$18=1,10,IF(입력란!$C$18=2,25,IF(입력란!$C$18=3,50,0)))+IF(입력란!$C$23&lt;&gt;0,-12)</f>
        <v>380.66103559999999</v>
      </c>
      <c r="AM21" s="21">
        <f>SUM(AN21:AP21)</f>
        <v>129991.02962054785</v>
      </c>
      <c r="AN21" s="21">
        <f>(VLOOKUP(C21,$B$4:$AJ$7,2,FALSE)+VLOOKUP(C21,$B$8:$AJ$11,2,FALSE)*입력란!$P$4)*입력란!$P$25/100</f>
        <v>129991.02962054785</v>
      </c>
      <c r="AO21" s="21"/>
      <c r="AP21" s="21"/>
      <c r="AQ21" s="22">
        <v>8</v>
      </c>
    </row>
    <row r="22" spans="2:43" ht="13.5" customHeight="1" x14ac:dyDescent="0.55000000000000004">
      <c r="B22" s="66">
        <v>7</v>
      </c>
      <c r="C22" s="29">
        <v>7</v>
      </c>
      <c r="D22" s="30" t="s">
        <v>102</v>
      </c>
      <c r="E22" s="27" t="s">
        <v>105</v>
      </c>
      <c r="F22" s="29"/>
      <c r="G22" s="29"/>
      <c r="H22" s="36">
        <f>I22/AJ22</f>
        <v>57237.028073236514</v>
      </c>
      <c r="I22" s="37">
        <f>SUM(J22:Q22)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452391.24594732712</v>
      </c>
      <c r="J22" s="21">
        <f>S22*(1+IF($AK22+IF(입력란!$C$26=1,10,0)&gt;100,100,$AK22+IF(입력란!$C$26=1,10,0))/100*(($AL22+IF(입력란!$C$30=1,17,IF(입력란!$C$30=2,20,IF(입력란!$C$30=3,22,0))))/100-1))</f>
        <v>64073.542376223653</v>
      </c>
      <c r="K22" s="21">
        <f>T22*(1+IF($AK22+IF(입력란!$C$26=1,10,IF(MID($E22,1,1)="2",10,0))&gt;100,100,$AK22+IF(입력란!$C$26=1,10,IF(MID($E22,1,1)="2",10,0)))/100*(($AL22+IF(입력란!$C$30=1,17,IF(입력란!$C$30=2,20,IF(입력란!$C$30=3,22,0))))/100-1))</f>
        <v>64073.542376223653</v>
      </c>
      <c r="L22" s="21">
        <f>U22*(1+IF($AK22+IF(입력란!$C$26=1,10,IF(MID($E22,1,1)="2",10,0))&gt;100,100,$AK22+IF(입력란!$C$26=1,10,IF(MID($E22,1,1)="2",10,0)))/100*(($AL22+IF(입력란!$C$30=1,17,IF(입력란!$C$30=2,20,IF(입력란!$C$30=3,22,0))))/100-1))</f>
        <v>64073.542376223653</v>
      </c>
      <c r="M22" s="21">
        <f>V22*(1+IF($AK22+IF(입력란!$C$26=1,10,IF(MID($E22,1,1)="2",10,0))&gt;100,100,$AK22+IF(입력란!$C$26=1,10,IF(MID($E22,1,1)="2",10,0)))/100*(($AL22+IF(입력란!$C$30=1,17,IF(입력란!$C$30=2,20,IF(입력란!$C$30=3,22,0))))/100-1))</f>
        <v>64073.542376223653</v>
      </c>
      <c r="N22" s="21">
        <f>W22*(1+IF($AK22+IF(입력란!$C$26=1,10,IF(MID($E22,1,1)="2",10,0))&gt;100,100,$AK22+IF(입력란!$C$26=1,10,IF(MID($E22,1,1)="2",10,0)))/100*(($AL22+IF(입력란!$C$30=1,17,IF(입력란!$C$30=2,20,IF(입력란!$C$30=3,22,0))))/100-1))</f>
        <v>64073.542376223653</v>
      </c>
      <c r="O22" s="21"/>
      <c r="P22" s="21"/>
      <c r="Q22" s="105"/>
      <c r="R22" s="19">
        <f>SUM(S22:Z22)</f>
        <v>129991.02962054785</v>
      </c>
      <c r="S22" s="21">
        <f>AN22*IF(입력란!$C$12=0,1,IF(입력란!$C$12=1,1.35,IF(입력란!$C$12=2,1.55,IF(입력란!$C$12=3,1.75,1))))*IF(MID(E22,3,1)="3",트라이포드!$N$5,트라이포드!$M$5)/5</f>
        <v>25998.20592410957</v>
      </c>
      <c r="T22" s="21">
        <f>AN22*IF(입력란!$C$12=0,1,IF(입력란!$C$12=1,1.35,IF(입력란!$C$12=2,1.55,IF(입력란!$C$12=3,1.75,1))))*IF(MID(E22,3,1)="2",1+트라이포드!$L$5/100,1+트라이포드!$K$5/100)*IF(MID(E22,3,1)="3",트라이포드!$N$5,트라이포드!$M$5)/5</f>
        <v>25998.20592410957</v>
      </c>
      <c r="U22" s="21">
        <f>AN22*IF(입력란!$C$12=0,1,IF(입력란!$C$12=1,1.35,IF(입력란!$C$12=2,1.55,IF(입력란!$C$12=3,1.75,1))))*IF(MID(E22,3,1)="2",1+2*트라이포드!$L$5/100,1+트라이포드!$K$5/100)*IF(MID(E22,3,1)="3",트라이포드!$N$5,트라이포드!$M$5)/5</f>
        <v>25998.20592410957</v>
      </c>
      <c r="V22" s="21">
        <f>AN22*IF(입력란!$C$12=0,1,IF(입력란!$C$12=1,1.35,IF(입력란!$C$12=2,1.55,IF(입력란!$C$12=3,1.75,1))))*IF(MID(E22,3,1)="2",1+3*트라이포드!$L$5/100,1+트라이포드!$K$5/100)*IF(MID(E22,3,1)="3",트라이포드!$N$5,트라이포드!$M$5)/5</f>
        <v>25998.20592410957</v>
      </c>
      <c r="W22" s="21">
        <f>AN22*IF(입력란!$C$12=0,1,IF(입력란!$C$12=1,1.35,IF(입력란!$C$12=2,1.55,IF(입력란!$C$12=3,1.75,1))))*IF(MID(E22,3,1)="2",1+4*트라이포드!$L$5/100,1+트라이포드!$K$5/100)*IF(MID(E22,3,1)="3",트라이포드!$N$5,트라이포드!$M$5)/5</f>
        <v>25998.20592410957</v>
      </c>
      <c r="X22" s="21"/>
      <c r="Y22" s="21"/>
      <c r="Z22" s="20"/>
      <c r="AA22" s="21">
        <f>SUM(AB22:AI22)</f>
        <v>259982.0592410957</v>
      </c>
      <c r="AB22" s="21">
        <f>S22*2</f>
        <v>51996.411848219141</v>
      </c>
      <c r="AC22" s="21">
        <f>AB22</f>
        <v>51996.411848219141</v>
      </c>
      <c r="AD22" s="21">
        <f>AC22</f>
        <v>51996.411848219141</v>
      </c>
      <c r="AE22" s="21">
        <f>AD22</f>
        <v>51996.411848219141</v>
      </c>
      <c r="AF22" s="21">
        <f>AE22</f>
        <v>51996.411848219141</v>
      </c>
      <c r="AG22" s="21"/>
      <c r="AH22" s="21"/>
      <c r="AI22" s="20"/>
      <c r="AJ22" s="21">
        <f>AQ22*(1-입력란!$P$10/100)</f>
        <v>7.9038213753599997</v>
      </c>
      <c r="AK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" s="21">
        <f>입력란!$P$24+입력란!$P$16+IF(입력란!$C$18=1,10,IF(입력란!$C$18=2,25,IF(입력란!$C$18=3,50,0)))+IF(입력란!$C$23&lt;&gt;0,-12)</f>
        <v>380.66103559999999</v>
      </c>
      <c r="AM22" s="21">
        <f>SUM(AN22:AP22)</f>
        <v>129991.02962054785</v>
      </c>
      <c r="AN22" s="21">
        <f>(VLOOKUP(C22,$B$4:$AJ$7,2,FALSE)+VLOOKUP(C22,$B$8:$AJ$11,2,FALSE)*입력란!$P$4)*입력란!$P$25/100</f>
        <v>129991.02962054785</v>
      </c>
      <c r="AO22" s="21"/>
      <c r="AP22" s="21"/>
      <c r="AQ22" s="22">
        <v>8</v>
      </c>
    </row>
    <row r="23" spans="2:43" ht="13.5" customHeight="1" x14ac:dyDescent="0.55000000000000004">
      <c r="B23" s="66">
        <v>8</v>
      </c>
      <c r="C23" s="29">
        <v>7</v>
      </c>
      <c r="D23" s="30" t="s">
        <v>75</v>
      </c>
      <c r="E23" s="27" t="s">
        <v>80</v>
      </c>
      <c r="F23" s="29"/>
      <c r="G23" s="29"/>
      <c r="H23" s="36">
        <f>I23/AJ23</f>
        <v>74408.136495207451</v>
      </c>
      <c r="I23" s="37">
        <f>SUM(J23:Q23)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588108.61973152519</v>
      </c>
      <c r="J23" s="21">
        <f>S23*(1+IF($AK23+IF(입력란!$C$26=1,10,0)&gt;100,100,$AK23+IF(입력란!$C$26=1,10,0))/100*(($AL23+IF(입력란!$C$30=1,17,IF(입력란!$C$30=2,20,IF(입력란!$C$30=3,22,0))))/100-1))</f>
        <v>64073.542376223653</v>
      </c>
      <c r="K23" s="21">
        <f>T23*(1+IF($AK23+IF(입력란!$C$26=1,10,IF(MID($E23,1,1)="2",10,0))&gt;100,100,$AK23+IF(입력란!$C$26=1,10,IF(MID($E23,1,1)="2",10,0)))/100*(($AL23+IF(입력란!$C$30=1,17,IF(입력란!$C$30=2,20,IF(입력란!$C$30=3,22,0))))/100-1))</f>
        <v>73684.573732657183</v>
      </c>
      <c r="L23" s="21">
        <f>U23*(1+IF($AK23+IF(입력란!$C$26=1,10,IF(MID($E23,1,1)="2",10,0))&gt;100,100,$AK23+IF(입력란!$C$26=1,10,IF(MID($E23,1,1)="2",10,0)))/100*(($AL23+IF(입력란!$C$30=1,17,IF(입력란!$C$30=2,20,IF(입력란!$C$30=3,22,0))))/100-1))</f>
        <v>83295.60508909075</v>
      </c>
      <c r="M23" s="21">
        <f>V23*(1+IF($AK23+IF(입력란!$C$26=1,10,IF(MID($E23,1,1)="2",10,0))&gt;100,100,$AK23+IF(입력란!$C$26=1,10,IF(MID($E23,1,1)="2",10,0)))/100*(($AL23+IF(입력란!$C$30=1,17,IF(입력란!$C$30=2,20,IF(입력란!$C$30=3,22,0))))/100-1))</f>
        <v>92906.636445524287</v>
      </c>
      <c r="N23" s="21">
        <f>W23*(1+IF($AK23+IF(입력란!$C$26=1,10,IF(MID($E23,1,1)="2",10,0))&gt;100,100,$AK23+IF(입력란!$C$26=1,10,IF(MID($E23,1,1)="2",10,0)))/100*(($AL23+IF(입력란!$C$30=1,17,IF(입력란!$C$30=2,20,IF(입력란!$C$30=3,22,0))))/100-1))</f>
        <v>102517.66780195784</v>
      </c>
      <c r="O23" s="21"/>
      <c r="P23" s="21"/>
      <c r="Q23" s="105"/>
      <c r="R23" s="19">
        <f>SUM(S23:Z23)</f>
        <v>168988.3385067122</v>
      </c>
      <c r="S23" s="21">
        <f>AN23*IF(입력란!$C$12=0,1,IF(입력란!$C$12=1,1.35,IF(입력란!$C$12=2,1.55,IF(입력란!$C$12=3,1.75,1))))*IF(MID(E23,3,1)="3",트라이포드!$N$5,트라이포드!$M$5)/5</f>
        <v>25998.20592410957</v>
      </c>
      <c r="T23" s="21">
        <f>AN23*IF(입력란!$C$12=0,1,IF(입력란!$C$12=1,1.35,IF(입력란!$C$12=2,1.55,IF(입력란!$C$12=3,1.75,1))))*IF(MID(E23,3,1)="2",1+트라이포드!$L$5/100,1+트라이포드!$K$5/100)*IF(MID(E23,3,1)="3",트라이포드!$N$5,트라이포드!$M$5)/5</f>
        <v>29897.936812726002</v>
      </c>
      <c r="U23" s="21">
        <f>AN23*IF(입력란!$C$12=0,1,IF(입력란!$C$12=1,1.35,IF(입력란!$C$12=2,1.55,IF(입력란!$C$12=3,1.75,1))))*IF(MID(E23,3,1)="2",1+2*트라이포드!$L$5/100,1+트라이포드!$K$5/100)*IF(MID(E23,3,1)="3",트라이포드!$N$5,트라이포드!$M$5)/5</f>
        <v>33797.667701342441</v>
      </c>
      <c r="V23" s="21">
        <f>AN23*IF(입력란!$C$12=0,1,IF(입력란!$C$12=1,1.35,IF(입력란!$C$12=2,1.55,IF(입력란!$C$12=3,1.75,1))))*IF(MID(E23,3,1)="2",1+3*트라이포드!$L$5/100,1+트라이포드!$K$5/100)*IF(MID(E23,3,1)="3",트라이포드!$N$5,트라이포드!$M$5)/5</f>
        <v>37697.398589958873</v>
      </c>
      <c r="W23" s="21">
        <f>AN23*IF(입력란!$C$12=0,1,IF(입력란!$C$12=1,1.35,IF(입력란!$C$12=2,1.55,IF(입력란!$C$12=3,1.75,1))))*IF(MID(E23,3,1)="2",1+4*트라이포드!$L$5/100,1+트라이포드!$K$5/100)*IF(MID(E23,3,1)="3",트라이포드!$N$5,트라이포드!$M$5)/5</f>
        <v>41597.129478575313</v>
      </c>
      <c r="X23" s="21"/>
      <c r="Y23" s="21"/>
      <c r="Z23" s="20"/>
      <c r="AA23" s="21">
        <f>SUM(AB23:AI23)</f>
        <v>259982.0592410957</v>
      </c>
      <c r="AB23" s="21">
        <f>S23*2</f>
        <v>51996.411848219141</v>
      </c>
      <c r="AC23" s="21">
        <f>AB23</f>
        <v>51996.411848219141</v>
      </c>
      <c r="AD23" s="21">
        <f>AC23</f>
        <v>51996.411848219141</v>
      </c>
      <c r="AE23" s="21">
        <f>AD23</f>
        <v>51996.411848219141</v>
      </c>
      <c r="AF23" s="21">
        <f>AE23</f>
        <v>51996.411848219141</v>
      </c>
      <c r="AG23" s="21"/>
      <c r="AH23" s="21"/>
      <c r="AI23" s="20"/>
      <c r="AJ23" s="21">
        <f>AQ23*(1-입력란!$P$10/100)</f>
        <v>7.9038213753599997</v>
      </c>
      <c r="AK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" s="21">
        <f>입력란!$P$24+입력란!$P$16+IF(입력란!$C$18=1,10,IF(입력란!$C$18=2,25,IF(입력란!$C$18=3,50,0)))+IF(입력란!$C$23&lt;&gt;0,-12)</f>
        <v>380.66103559999999</v>
      </c>
      <c r="AM23" s="21">
        <f>SUM(AN23:AP23)</f>
        <v>129991.02962054785</v>
      </c>
      <c r="AN23" s="21">
        <f>(VLOOKUP(C23,$B$4:$AJ$7,2,FALSE)+VLOOKUP(C23,$B$8:$AJ$11,2,FALSE)*입력란!$P$4)*입력란!$P$25/100</f>
        <v>129991.02962054785</v>
      </c>
      <c r="AO23" s="21"/>
      <c r="AP23" s="21"/>
      <c r="AQ23" s="22">
        <v>8</v>
      </c>
    </row>
    <row r="24" spans="2:43" ht="13.5" customHeight="1" x14ac:dyDescent="0.55000000000000004">
      <c r="B24" s="66">
        <v>9</v>
      </c>
      <c r="C24" s="29">
        <v>7</v>
      </c>
      <c r="D24" s="30" t="s">
        <v>75</v>
      </c>
      <c r="E24" s="27" t="s">
        <v>81</v>
      </c>
      <c r="F24" s="29" t="s">
        <v>82</v>
      </c>
      <c r="G24" s="29"/>
      <c r="H24" s="36">
        <f>I24/AJ24</f>
        <v>80131.839302531109</v>
      </c>
      <c r="I24" s="37">
        <f>SUM(J24:Q24)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633347.74432625796</v>
      </c>
      <c r="J24" s="21">
        <f>S24*(1+IF($AK24+IF(입력란!$C$26=1,10,0)&gt;100,100,$AK24+IF(입력란!$C$26=1,10,0))/100*(($AL24+IF(입력란!$C$30=1,17,IF(입력란!$C$30=2,20,IF(입력란!$C$30=3,22,0))))/100-1))</f>
        <v>89702.959326713113</v>
      </c>
      <c r="K24" s="21">
        <f>T24*(1+IF($AK24+IF(입력란!$C$26=1,10,IF(MID($E24,1,1)="2",10,0))&gt;100,100,$AK24+IF(입력란!$C$26=1,10,IF(MID($E24,1,1)="2",10,0)))/100*(($AL24+IF(입력란!$C$30=1,17,IF(입력란!$C$30=2,20,IF(입력란!$C$30=3,22,0))))/100-1))</f>
        <v>89702.959326713113</v>
      </c>
      <c r="L24" s="21">
        <f>U24*(1+IF($AK24+IF(입력란!$C$26=1,10,IF(MID($E24,1,1)="2",10,0))&gt;100,100,$AK24+IF(입력란!$C$26=1,10,IF(MID($E24,1,1)="2",10,0)))/100*(($AL24+IF(입력란!$C$30=1,17,IF(입력란!$C$30=2,20,IF(입력란!$C$30=3,22,0))))/100-1))</f>
        <v>89702.959326713113</v>
      </c>
      <c r="M24" s="21">
        <f>V24*(1+IF($AK24+IF(입력란!$C$26=1,10,IF(MID($E24,1,1)="2",10,0))&gt;100,100,$AK24+IF(입력란!$C$26=1,10,IF(MID($E24,1,1)="2",10,0)))/100*(($AL24+IF(입력란!$C$30=1,17,IF(입력란!$C$30=2,20,IF(입력란!$C$30=3,22,0))))/100-1))</f>
        <v>89702.959326713113</v>
      </c>
      <c r="N24" s="21">
        <f>W24*(1+IF($AK24+IF(입력란!$C$26=1,10,IF(MID($E24,1,1)="2",10,0))&gt;100,100,$AK24+IF(입력란!$C$26=1,10,IF(MID($E24,1,1)="2",10,0)))/100*(($AL24+IF(입력란!$C$30=1,17,IF(입력란!$C$30=2,20,IF(입력란!$C$30=3,22,0))))/100-1))</f>
        <v>89702.959326713113</v>
      </c>
      <c r="O24" s="21"/>
      <c r="P24" s="21"/>
      <c r="Q24" s="105"/>
      <c r="R24" s="19">
        <f>SUM(S24:Z24)</f>
        <v>181987.44146876701</v>
      </c>
      <c r="S24" s="21">
        <f>AN24*IF(입력란!$C$12=0,1,IF(입력란!$C$12=1,1.35,IF(입력란!$C$12=2,1.55,IF(입력란!$C$12=3,1.75,1))))*IF(MID(E24,3,1)="3",트라이포드!$N$5,트라이포드!$M$5)/5</f>
        <v>36397.488293753398</v>
      </c>
      <c r="T24" s="21">
        <f>AN24*IF(입력란!$C$12=0,1,IF(입력란!$C$12=1,1.35,IF(입력란!$C$12=2,1.55,IF(입력란!$C$12=3,1.75,1))))*IF(MID(E24,3,1)="2",1+트라이포드!$L$5/100,1+트라이포드!$K$5/100)*IF(MID(E24,3,1)="3",트라이포드!$N$5,트라이포드!$M$5)/5</f>
        <v>36397.488293753398</v>
      </c>
      <c r="U24" s="21">
        <f>AN24*IF(입력란!$C$12=0,1,IF(입력란!$C$12=1,1.35,IF(입력란!$C$12=2,1.55,IF(입력란!$C$12=3,1.75,1))))*IF(MID(E24,3,1)="2",1+2*트라이포드!$L$5/100,1+트라이포드!$K$5/100)*IF(MID(E24,3,1)="3",트라이포드!$N$5,트라이포드!$M$5)/5</f>
        <v>36397.488293753398</v>
      </c>
      <c r="V24" s="21">
        <f>AN24*IF(입력란!$C$12=0,1,IF(입력란!$C$12=1,1.35,IF(입력란!$C$12=2,1.55,IF(입력란!$C$12=3,1.75,1))))*IF(MID(E24,3,1)="2",1+3*트라이포드!$L$5/100,1+트라이포드!$K$5/100)*IF(MID(E24,3,1)="3",트라이포드!$N$5,트라이포드!$M$5)/5</f>
        <v>36397.488293753398</v>
      </c>
      <c r="W24" s="21">
        <f>AN24*IF(입력란!$C$12=0,1,IF(입력란!$C$12=1,1.35,IF(입력란!$C$12=2,1.55,IF(입력란!$C$12=3,1.75,1))))*IF(MID(E24,3,1)="2",1+4*트라이포드!$L$5/100,1+트라이포드!$K$5/100)*IF(MID(E24,3,1)="3",트라이포드!$N$5,트라이포드!$M$5)/5</f>
        <v>36397.488293753398</v>
      </c>
      <c r="X24" s="21"/>
      <c r="Y24" s="21"/>
      <c r="Z24" s="20"/>
      <c r="AA24" s="21">
        <f>SUM(AB24:AI24)</f>
        <v>363974.88293753401</v>
      </c>
      <c r="AB24" s="21">
        <f>S24*2</f>
        <v>72794.976587506797</v>
      </c>
      <c r="AC24" s="21">
        <f>AB24</f>
        <v>72794.976587506797</v>
      </c>
      <c r="AD24" s="21">
        <f>AC24</f>
        <v>72794.976587506797</v>
      </c>
      <c r="AE24" s="21">
        <f>AD24</f>
        <v>72794.976587506797</v>
      </c>
      <c r="AF24" s="21">
        <f>AE24</f>
        <v>72794.976587506797</v>
      </c>
      <c r="AG24" s="21"/>
      <c r="AH24" s="21"/>
      <c r="AI24" s="20"/>
      <c r="AJ24" s="21">
        <f>AQ24*(1-입력란!$P$10/100)</f>
        <v>7.9038213753599997</v>
      </c>
      <c r="AK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" s="21">
        <f>입력란!$P$24+입력란!$P$16+IF(입력란!$C$18=1,10,IF(입력란!$C$18=2,25,IF(입력란!$C$18=3,50,0)))+IF(입력란!$C$23&lt;&gt;0,-12)</f>
        <v>380.66103559999999</v>
      </c>
      <c r="AM24" s="21">
        <f>SUM(AN24:AP24)</f>
        <v>129991.02962054785</v>
      </c>
      <c r="AN24" s="21">
        <f>(VLOOKUP(C24,$B$4:$AJ$7,2,FALSE)+VLOOKUP(C24,$B$8:$AJ$11,2,FALSE)*입력란!$P$4)*입력란!$P$25/100</f>
        <v>129991.02962054785</v>
      </c>
      <c r="AO24" s="21"/>
      <c r="AP24" s="21"/>
      <c r="AQ24" s="22">
        <v>8</v>
      </c>
    </row>
    <row r="25" spans="2:43" ht="13.5" customHeight="1" x14ac:dyDescent="0.55000000000000004">
      <c r="B25" s="66">
        <v>10</v>
      </c>
      <c r="C25" s="29">
        <v>10</v>
      </c>
      <c r="D25" s="30" t="s">
        <v>75</v>
      </c>
      <c r="E25" s="27" t="s">
        <v>76</v>
      </c>
      <c r="F25" s="29"/>
      <c r="G25" s="29"/>
      <c r="H25" s="36">
        <f>I25/AJ25</f>
        <v>57259.57221221213</v>
      </c>
      <c r="I25" s="37">
        <f>SUM(J25:Q25)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452569.43079485168</v>
      </c>
      <c r="J25" s="21">
        <f>S25*(1+IF($AK25+IF(입력란!$C$26=1,10,0)&gt;100,100,$AK25+IF(입력란!$C$26=1,10,0))/100*(($AL25+IF(입력란!$C$30=1,17,IF(입력란!$C$30=2,20,IF(입력란!$C$30=3,22,0))))/100-1))</f>
        <v>64098.779235868795</v>
      </c>
      <c r="K25" s="21">
        <f>T25*(1+IF($AK25+IF(입력란!$C$26=1,10,IF(MID($E25,1,1)="2",10,0))&gt;100,100,$AK25+IF(입력란!$C$26=1,10,IF(MID($E25,1,1)="2",10,0)))/100*(($AL25+IF(입력란!$C$30=1,17,IF(입력란!$C$30=2,20,IF(입력란!$C$30=3,22,0))))/100-1))</f>
        <v>64098.779235868795</v>
      </c>
      <c r="L25" s="21">
        <f>U25*(1+IF($AK25+IF(입력란!$C$26=1,10,IF(MID($E25,1,1)="2",10,0))&gt;100,100,$AK25+IF(입력란!$C$26=1,10,IF(MID($E25,1,1)="2",10,0)))/100*(($AL25+IF(입력란!$C$30=1,17,IF(입력란!$C$30=2,20,IF(입력란!$C$30=3,22,0))))/100-1))</f>
        <v>64098.779235868795</v>
      </c>
      <c r="M25" s="21">
        <f>V25*(1+IF($AK25+IF(입력란!$C$26=1,10,IF(MID($E25,1,1)="2",10,0))&gt;100,100,$AK25+IF(입력란!$C$26=1,10,IF(MID($E25,1,1)="2",10,0)))/100*(($AL25+IF(입력란!$C$30=1,17,IF(입력란!$C$30=2,20,IF(입력란!$C$30=3,22,0))))/100-1))</f>
        <v>64098.779235868795</v>
      </c>
      <c r="N25" s="21">
        <f>W25*(1+IF($AK25+IF(입력란!$C$26=1,10,IF(MID($E25,1,1)="2",10,0))&gt;100,100,$AK25+IF(입력란!$C$26=1,10,IF(MID($E25,1,1)="2",10,0)))/100*(($AL25+IF(입력란!$C$30=1,17,IF(입력란!$C$30=2,20,IF(입력란!$C$30=3,22,0))))/100-1))</f>
        <v>64098.779235868795</v>
      </c>
      <c r="O25" s="21"/>
      <c r="P25" s="21"/>
      <c r="Q25" s="105"/>
      <c r="R25" s="19">
        <f>SUM(S25:Z25)</f>
        <v>130042.22962054785</v>
      </c>
      <c r="S25" s="21">
        <f>AN25*IF(입력란!$C$12=0,1,IF(입력란!$C$12=1,1.35,IF(입력란!$C$12=2,1.55,IF(입력란!$C$12=3,1.75,1))))*IF(MID(E25,3,1)="3",트라이포드!$N$5,트라이포드!$M$5)/5</f>
        <v>26008.445924109568</v>
      </c>
      <c r="T25" s="21">
        <f>AN25*IF(입력란!$C$12=0,1,IF(입력란!$C$12=1,1.35,IF(입력란!$C$12=2,1.55,IF(입력란!$C$12=3,1.75,1))))*IF(MID(E25,3,1)="2",1+트라이포드!$L$5/100,1+트라이포드!$K$5/100)*IF(MID(E25,3,1)="3",트라이포드!$N$5,트라이포드!$M$5)/5</f>
        <v>26008.445924109568</v>
      </c>
      <c r="U25" s="21">
        <f>AN25*IF(입력란!$C$12=0,1,IF(입력란!$C$12=1,1.35,IF(입력란!$C$12=2,1.55,IF(입력란!$C$12=3,1.75,1))))*IF(MID(E25,3,1)="2",1+2*트라이포드!$L$5/100,1+트라이포드!$K$5/100)*IF(MID(E25,3,1)="3",트라이포드!$N$5,트라이포드!$M$5)/5</f>
        <v>26008.445924109568</v>
      </c>
      <c r="V25" s="21">
        <f>AN25*IF(입력란!$C$12=0,1,IF(입력란!$C$12=1,1.35,IF(입력란!$C$12=2,1.55,IF(입력란!$C$12=3,1.75,1))))*IF(MID(E25,3,1)="2",1+3*트라이포드!$L$5/100,1+트라이포드!$K$5/100)*IF(MID(E25,3,1)="3",트라이포드!$N$5,트라이포드!$M$5)/5</f>
        <v>26008.445924109568</v>
      </c>
      <c r="W25" s="21">
        <f>AN25*IF(입력란!$C$12=0,1,IF(입력란!$C$12=1,1.35,IF(입력란!$C$12=2,1.55,IF(입력란!$C$12=3,1.75,1))))*IF(MID(E25,3,1)="2",1+4*트라이포드!$L$5/100,1+트라이포드!$K$5/100)*IF(MID(E25,3,1)="3",트라이포드!$N$5,트라이포드!$M$5)/5</f>
        <v>26008.445924109568</v>
      </c>
      <c r="X25" s="21"/>
      <c r="Y25" s="21"/>
      <c r="Z25" s="20"/>
      <c r="AA25" s="21">
        <f>SUM(AB25:AI25)</f>
        <v>260084.4592410957</v>
      </c>
      <c r="AB25" s="21">
        <f>S25*2</f>
        <v>52016.891848219137</v>
      </c>
      <c r="AC25" s="21">
        <f>AB25</f>
        <v>52016.891848219137</v>
      </c>
      <c r="AD25" s="21">
        <f>AC25</f>
        <v>52016.891848219137</v>
      </c>
      <c r="AE25" s="21">
        <f>AD25</f>
        <v>52016.891848219137</v>
      </c>
      <c r="AF25" s="21">
        <f>AE25</f>
        <v>52016.891848219137</v>
      </c>
      <c r="AG25" s="21"/>
      <c r="AH25" s="21"/>
      <c r="AI25" s="20"/>
      <c r="AJ25" s="21">
        <f>AQ25*(1-입력란!$P$10/100)</f>
        <v>7.9038213753599997</v>
      </c>
      <c r="AK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" s="21">
        <f>입력란!$P$24+입력란!$P$16+IF(입력란!$C$18=1,10,IF(입력란!$C$18=2,25,IF(입력란!$C$18=3,50,0)))+IF(입력란!$C$23&lt;&gt;0,-12)</f>
        <v>380.66103559999999</v>
      </c>
      <c r="AM25" s="21">
        <f>SUM(AN25:AP25)</f>
        <v>130042.22962054785</v>
      </c>
      <c r="AN25" s="21">
        <f>(VLOOKUP(C25,$B$4:$AJ$7,2,FALSE)+VLOOKUP(C25,$B$8:$AJ$11,2,FALSE)*입력란!$P$4)*입력란!$P$25/100</f>
        <v>130042.22962054785</v>
      </c>
      <c r="AO25" s="21"/>
      <c r="AP25" s="21"/>
      <c r="AQ25" s="22">
        <v>8</v>
      </c>
    </row>
    <row r="26" spans="2:43" ht="13.5" customHeight="1" x14ac:dyDescent="0.55000000000000004">
      <c r="B26" s="66">
        <v>11</v>
      </c>
      <c r="C26" s="29">
        <v>10</v>
      </c>
      <c r="D26" s="30" t="s">
        <v>75</v>
      </c>
      <c r="E26" s="27" t="s">
        <v>78</v>
      </c>
      <c r="F26" s="29"/>
      <c r="G26" s="29"/>
      <c r="H26" s="36">
        <f>I26/AJ26</f>
        <v>74437.443875875775</v>
      </c>
      <c r="I26" s="37">
        <f>SUM(J26:Q26)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588340.26003330725</v>
      </c>
      <c r="J26" s="21">
        <f>S26*(1+IF($AK26+IF(입력란!$C$26=1,10,0)&gt;100,100,$AK26+IF(입력란!$C$26=1,10,0))/100*(($AL26+IF(입력란!$C$30=1,17,IF(입력란!$C$30=2,20,IF(입력란!$C$30=3,22,0))))/100-1))</f>
        <v>64098.779235868795</v>
      </c>
      <c r="K26" s="21">
        <f>T26*(1+IF($AK26+IF(입력란!$C$26=1,10,IF(MID($E26,1,1)="2",10,0))&gt;100,100,$AK26+IF(입력란!$C$26=1,10,IF(MID($E26,1,1)="2",10,0)))/100*(($AL26+IF(입력란!$C$30=1,17,IF(입력란!$C$30=2,20,IF(입력란!$C$30=3,22,0))))/100-1))</f>
        <v>73713.596121249109</v>
      </c>
      <c r="L26" s="21">
        <f>U26*(1+IF($AK26+IF(입력란!$C$26=1,10,IF(MID($E26,1,1)="2",10,0))&gt;100,100,$AK26+IF(입력란!$C$26=1,10,IF(MID($E26,1,1)="2",10,0)))/100*(($AL26+IF(입력란!$C$30=1,17,IF(입력란!$C$30=2,20,IF(입력란!$C$30=3,22,0))))/100-1))</f>
        <v>83328.413006629446</v>
      </c>
      <c r="M26" s="21">
        <f>V26*(1+IF($AK26+IF(입력란!$C$26=1,10,IF(MID($E26,1,1)="2",10,0))&gt;100,100,$AK26+IF(입력란!$C$26=1,10,IF(MID($E26,1,1)="2",10,0)))/100*(($AL26+IF(입력란!$C$30=1,17,IF(입력란!$C$30=2,20,IF(입력란!$C$30=3,22,0))))/100-1))</f>
        <v>92943.229892009767</v>
      </c>
      <c r="N26" s="21">
        <f>W26*(1+IF($AK26+IF(입력란!$C$26=1,10,IF(MID($E26,1,1)="2",10,0))&gt;100,100,$AK26+IF(입력란!$C$26=1,10,IF(MID($E26,1,1)="2",10,0)))/100*(($AL26+IF(입력란!$C$30=1,17,IF(입력란!$C$30=2,20,IF(입력란!$C$30=3,22,0))))/100-1))</f>
        <v>102558.0467773901</v>
      </c>
      <c r="O26" s="21"/>
      <c r="P26" s="21"/>
      <c r="Q26" s="105"/>
      <c r="R26" s="19">
        <f>SUM(S26:Z26)</f>
        <v>169054.89850671223</v>
      </c>
      <c r="S26" s="21">
        <f>AN26*IF(입력란!$C$12=0,1,IF(입력란!$C$12=1,1.35,IF(입력란!$C$12=2,1.55,IF(입력란!$C$12=3,1.75,1))))*IF(MID(E26,3,1)="3",트라이포드!$N$5,트라이포드!$M$5)/5</f>
        <v>26008.445924109568</v>
      </c>
      <c r="T26" s="21">
        <f>AN26*IF(입력란!$C$12=0,1,IF(입력란!$C$12=1,1.35,IF(입력란!$C$12=2,1.55,IF(입력란!$C$12=3,1.75,1))))*IF(MID(E26,3,1)="2",1+트라이포드!$L$5/100,1+트라이포드!$K$5/100)*IF(MID(E26,3,1)="3",트라이포드!$N$5,트라이포드!$M$5)/5</f>
        <v>29909.712812726</v>
      </c>
      <c r="U26" s="21">
        <f>AN26*IF(입력란!$C$12=0,1,IF(입력란!$C$12=1,1.35,IF(입력란!$C$12=2,1.55,IF(입력란!$C$12=3,1.75,1))))*IF(MID(E26,3,1)="2",1+2*트라이포드!$L$5/100,1+트라이포드!$K$5/100)*IF(MID(E26,3,1)="3",트라이포드!$N$5,트라이포드!$M$5)/5</f>
        <v>33810.97970134244</v>
      </c>
      <c r="V26" s="21">
        <f>AN26*IF(입력란!$C$12=0,1,IF(입력란!$C$12=1,1.35,IF(입력란!$C$12=2,1.55,IF(입력란!$C$12=3,1.75,1))))*IF(MID(E26,3,1)="2",1+3*트라이포드!$L$5/100,1+트라이포드!$K$5/100)*IF(MID(E26,3,1)="3",트라이포드!$N$5,트라이포드!$M$5)/5</f>
        <v>37712.246589958879</v>
      </c>
      <c r="W26" s="21">
        <f>AN26*IF(입력란!$C$12=0,1,IF(입력란!$C$12=1,1.35,IF(입력란!$C$12=2,1.55,IF(입력란!$C$12=3,1.75,1))))*IF(MID(E26,3,1)="2",1+4*트라이포드!$L$5/100,1+트라이포드!$K$5/100)*IF(MID(E26,3,1)="3",트라이포드!$N$5,트라이포드!$M$5)/5</f>
        <v>41613.513478575318</v>
      </c>
      <c r="X26" s="21"/>
      <c r="Y26" s="21"/>
      <c r="Z26" s="20"/>
      <c r="AA26" s="21">
        <f>SUM(AB26:AI26)</f>
        <v>260084.4592410957</v>
      </c>
      <c r="AB26" s="21">
        <f>S26*2</f>
        <v>52016.891848219137</v>
      </c>
      <c r="AC26" s="21">
        <f>AB26</f>
        <v>52016.891848219137</v>
      </c>
      <c r="AD26" s="21">
        <f>AC26</f>
        <v>52016.891848219137</v>
      </c>
      <c r="AE26" s="21">
        <f>AD26</f>
        <v>52016.891848219137</v>
      </c>
      <c r="AF26" s="21">
        <f>AE26</f>
        <v>52016.891848219137</v>
      </c>
      <c r="AG26" s="21"/>
      <c r="AH26" s="21"/>
      <c r="AI26" s="20"/>
      <c r="AJ26" s="21">
        <f>AQ26*(1-입력란!$P$10/100)</f>
        <v>7.9038213753599997</v>
      </c>
      <c r="AK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" s="21">
        <f>입력란!$P$24+입력란!$P$16+IF(입력란!$C$18=1,10,IF(입력란!$C$18=2,25,IF(입력란!$C$18=3,50,0)))+IF(입력란!$C$23&lt;&gt;0,-12)</f>
        <v>380.66103559999999</v>
      </c>
      <c r="AM26" s="21">
        <f>SUM(AN26:AP26)</f>
        <v>130042.22962054785</v>
      </c>
      <c r="AN26" s="21">
        <f>(VLOOKUP(C26,$B$4:$AJ$7,2,FALSE)+VLOOKUP(C26,$B$8:$AJ$11,2,FALSE)*입력란!$P$4)*입력란!$P$25/100</f>
        <v>130042.22962054785</v>
      </c>
      <c r="AO26" s="21"/>
      <c r="AP26" s="21"/>
      <c r="AQ26" s="22">
        <v>8</v>
      </c>
    </row>
    <row r="27" spans="2:43" ht="13.5" customHeight="1" x14ac:dyDescent="0.55000000000000004">
      <c r="B27" s="66">
        <v>12</v>
      </c>
      <c r="C27" s="29">
        <v>10</v>
      </c>
      <c r="D27" s="30" t="s">
        <v>75</v>
      </c>
      <c r="E27" s="27" t="s">
        <v>79</v>
      </c>
      <c r="F27" s="29" t="s">
        <v>82</v>
      </c>
      <c r="G27" s="29"/>
      <c r="H27" s="36">
        <f>I27/AJ27</f>
        <v>80163.401097096983</v>
      </c>
      <c r="I27" s="37">
        <f>SUM(J27:Q27)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633597.20311279234</v>
      </c>
      <c r="J27" s="21">
        <f>S27*(1+IF($AK27+IF(입력란!$C$26=1,10,0)&gt;100,100,$AK27+IF(입력란!$C$26=1,10,0))/100*(($AL27+IF(입력란!$C$30=1,17,IF(입력란!$C$30=2,20,IF(입력란!$C$30=3,22,0))))/100-1))</f>
        <v>89738.290930216317</v>
      </c>
      <c r="K27" s="21">
        <f>T27*(1+IF($AK27+IF(입력란!$C$26=1,10,IF(MID($E27,1,1)="2",10,0))&gt;100,100,$AK27+IF(입력란!$C$26=1,10,IF(MID($E27,1,1)="2",10,0)))/100*(($AL27+IF(입력란!$C$30=1,17,IF(입력란!$C$30=2,20,IF(입력란!$C$30=3,22,0))))/100-1))</f>
        <v>89738.290930216317</v>
      </c>
      <c r="L27" s="21">
        <f>U27*(1+IF($AK27+IF(입력란!$C$26=1,10,IF(MID($E27,1,1)="2",10,0))&gt;100,100,$AK27+IF(입력란!$C$26=1,10,IF(MID($E27,1,1)="2",10,0)))/100*(($AL27+IF(입력란!$C$30=1,17,IF(입력란!$C$30=2,20,IF(입력란!$C$30=3,22,0))))/100-1))</f>
        <v>89738.290930216317</v>
      </c>
      <c r="M27" s="21">
        <f>V27*(1+IF($AK27+IF(입력란!$C$26=1,10,IF(MID($E27,1,1)="2",10,0))&gt;100,100,$AK27+IF(입력란!$C$26=1,10,IF(MID($E27,1,1)="2",10,0)))/100*(($AL27+IF(입력란!$C$30=1,17,IF(입력란!$C$30=2,20,IF(입력란!$C$30=3,22,0))))/100-1))</f>
        <v>89738.290930216317</v>
      </c>
      <c r="N27" s="21">
        <f>W27*(1+IF($AK27+IF(입력란!$C$26=1,10,IF(MID($E27,1,1)="2",10,0))&gt;100,100,$AK27+IF(입력란!$C$26=1,10,IF(MID($E27,1,1)="2",10,0)))/100*(($AL27+IF(입력란!$C$30=1,17,IF(입력란!$C$30=2,20,IF(입력란!$C$30=3,22,0))))/100-1))</f>
        <v>89738.290930216317</v>
      </c>
      <c r="O27" s="21"/>
      <c r="P27" s="21"/>
      <c r="Q27" s="105"/>
      <c r="R27" s="19">
        <f>SUM(S27:Z27)</f>
        <v>182059.12146876697</v>
      </c>
      <c r="S27" s="21">
        <f>AN27*IF(입력란!$C$12=0,1,IF(입력란!$C$12=1,1.35,IF(입력란!$C$12=2,1.55,IF(입력란!$C$12=3,1.75,1))))*IF(MID(E27,3,1)="3",트라이포드!$N$5,트라이포드!$M$5)/5</f>
        <v>36411.824293753394</v>
      </c>
      <c r="T27" s="21">
        <f>AN27*IF(입력란!$C$12=0,1,IF(입력란!$C$12=1,1.35,IF(입력란!$C$12=2,1.55,IF(입력란!$C$12=3,1.75,1))))*IF(MID(E27,3,1)="2",1+트라이포드!$L$5/100,1+트라이포드!$K$5/100)*IF(MID(E27,3,1)="3",트라이포드!$N$5,트라이포드!$M$5)/5</f>
        <v>36411.824293753394</v>
      </c>
      <c r="U27" s="21">
        <f>AN27*IF(입력란!$C$12=0,1,IF(입력란!$C$12=1,1.35,IF(입력란!$C$12=2,1.55,IF(입력란!$C$12=3,1.75,1))))*IF(MID(E27,3,1)="2",1+2*트라이포드!$L$5/100,1+트라이포드!$K$5/100)*IF(MID(E27,3,1)="3",트라이포드!$N$5,트라이포드!$M$5)/5</f>
        <v>36411.824293753394</v>
      </c>
      <c r="V27" s="21">
        <f>AN27*IF(입력란!$C$12=0,1,IF(입력란!$C$12=1,1.35,IF(입력란!$C$12=2,1.55,IF(입력란!$C$12=3,1.75,1))))*IF(MID(E27,3,1)="2",1+3*트라이포드!$L$5/100,1+트라이포드!$K$5/100)*IF(MID(E27,3,1)="3",트라이포드!$N$5,트라이포드!$M$5)/5</f>
        <v>36411.824293753394</v>
      </c>
      <c r="W27" s="21">
        <f>AN27*IF(입력란!$C$12=0,1,IF(입력란!$C$12=1,1.35,IF(입력란!$C$12=2,1.55,IF(입력란!$C$12=3,1.75,1))))*IF(MID(E27,3,1)="2",1+4*트라이포드!$L$5/100,1+트라이포드!$K$5/100)*IF(MID(E27,3,1)="3",트라이포드!$N$5,트라이포드!$M$5)/5</f>
        <v>36411.824293753394</v>
      </c>
      <c r="X27" s="21"/>
      <c r="Y27" s="21"/>
      <c r="Z27" s="20"/>
      <c r="AA27" s="21">
        <f>SUM(AB27:AI27)</f>
        <v>364118.24293753394</v>
      </c>
      <c r="AB27" s="21">
        <f>S27*2</f>
        <v>72823.648587506788</v>
      </c>
      <c r="AC27" s="21">
        <f>AB27</f>
        <v>72823.648587506788</v>
      </c>
      <c r="AD27" s="21">
        <f>AC27</f>
        <v>72823.648587506788</v>
      </c>
      <c r="AE27" s="21">
        <f>AD27</f>
        <v>72823.648587506788</v>
      </c>
      <c r="AF27" s="21">
        <f>AE27</f>
        <v>72823.648587506788</v>
      </c>
      <c r="AG27" s="21"/>
      <c r="AH27" s="21"/>
      <c r="AI27" s="20"/>
      <c r="AJ27" s="21">
        <f>AQ27*(1-입력란!$P$10/100)</f>
        <v>7.9038213753599997</v>
      </c>
      <c r="AK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" s="21">
        <f>입력란!$P$24+입력란!$P$16+IF(입력란!$C$18=1,10,IF(입력란!$C$18=2,25,IF(입력란!$C$18=3,50,0)))+IF(입력란!$C$23&lt;&gt;0,-12)</f>
        <v>380.66103559999999</v>
      </c>
      <c r="AM27" s="21">
        <f>SUM(AN27:AP27)</f>
        <v>130042.22962054785</v>
      </c>
      <c r="AN27" s="21">
        <f>(VLOOKUP(C27,$B$4:$AJ$7,2,FALSE)+VLOOKUP(C27,$B$8:$AJ$11,2,FALSE)*입력란!$P$4)*입력란!$P$25/100</f>
        <v>130042.22962054785</v>
      </c>
      <c r="AO27" s="21"/>
      <c r="AP27" s="21"/>
      <c r="AQ27" s="22">
        <v>8</v>
      </c>
    </row>
    <row r="28" spans="2:43" ht="13.5" customHeight="1" x14ac:dyDescent="0.55000000000000004">
      <c r="B28" s="66">
        <v>13</v>
      </c>
      <c r="C28" s="29">
        <v>10</v>
      </c>
      <c r="D28" s="30" t="s">
        <v>75</v>
      </c>
      <c r="E28" s="27" t="s">
        <v>80</v>
      </c>
      <c r="F28" s="29"/>
      <c r="G28" s="29"/>
      <c r="H28" s="36">
        <f>I28/AJ28</f>
        <v>74437.443875875775</v>
      </c>
      <c r="I28" s="37">
        <f>SUM(J28:Q28)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588340.26003330725</v>
      </c>
      <c r="J28" s="21">
        <f>S28*(1+IF($AK28+IF(입력란!$C$26=1,10,0)&gt;100,100,$AK28+IF(입력란!$C$26=1,10,0))/100*(($AL28+IF(입력란!$C$30=1,17,IF(입력란!$C$30=2,20,IF(입력란!$C$30=3,22,0))))/100-1))</f>
        <v>64098.779235868795</v>
      </c>
      <c r="K28" s="21">
        <f>T28*(1+IF($AK28+IF(입력란!$C$26=1,10,IF(MID($E28,1,1)="2",10,0))&gt;100,100,$AK28+IF(입력란!$C$26=1,10,IF(MID($E28,1,1)="2",10,0)))/100*(($AL28+IF(입력란!$C$30=1,17,IF(입력란!$C$30=2,20,IF(입력란!$C$30=3,22,0))))/100-1))</f>
        <v>73713.596121249109</v>
      </c>
      <c r="L28" s="21">
        <f>U28*(1+IF($AK28+IF(입력란!$C$26=1,10,IF(MID($E28,1,1)="2",10,0))&gt;100,100,$AK28+IF(입력란!$C$26=1,10,IF(MID($E28,1,1)="2",10,0)))/100*(($AL28+IF(입력란!$C$30=1,17,IF(입력란!$C$30=2,20,IF(입력란!$C$30=3,22,0))))/100-1))</f>
        <v>83328.413006629446</v>
      </c>
      <c r="M28" s="21">
        <f>V28*(1+IF($AK28+IF(입력란!$C$26=1,10,IF(MID($E28,1,1)="2",10,0))&gt;100,100,$AK28+IF(입력란!$C$26=1,10,IF(MID($E28,1,1)="2",10,0)))/100*(($AL28+IF(입력란!$C$30=1,17,IF(입력란!$C$30=2,20,IF(입력란!$C$30=3,22,0))))/100-1))</f>
        <v>92943.229892009767</v>
      </c>
      <c r="N28" s="21">
        <f>W28*(1+IF($AK28+IF(입력란!$C$26=1,10,IF(MID($E28,1,1)="2",10,0))&gt;100,100,$AK28+IF(입력란!$C$26=1,10,IF(MID($E28,1,1)="2",10,0)))/100*(($AL28+IF(입력란!$C$30=1,17,IF(입력란!$C$30=2,20,IF(입력란!$C$30=3,22,0))))/100-1))</f>
        <v>102558.0467773901</v>
      </c>
      <c r="O28" s="21"/>
      <c r="P28" s="21"/>
      <c r="Q28" s="105"/>
      <c r="R28" s="19">
        <f>SUM(S28:Z28)</f>
        <v>169054.89850671223</v>
      </c>
      <c r="S28" s="21">
        <f>AN28*IF(입력란!$C$12=0,1,IF(입력란!$C$12=1,1.35,IF(입력란!$C$12=2,1.55,IF(입력란!$C$12=3,1.75,1))))*IF(MID(E28,3,1)="3",트라이포드!$N$5,트라이포드!$M$5)/5</f>
        <v>26008.445924109568</v>
      </c>
      <c r="T28" s="21">
        <f>AN28*IF(입력란!$C$12=0,1,IF(입력란!$C$12=1,1.35,IF(입력란!$C$12=2,1.55,IF(입력란!$C$12=3,1.75,1))))*IF(MID(E28,3,1)="2",1+트라이포드!$L$5/100,1+트라이포드!$K$5/100)*IF(MID(E28,3,1)="3",트라이포드!$N$5,트라이포드!$M$5)/5</f>
        <v>29909.712812726</v>
      </c>
      <c r="U28" s="21">
        <f>AN28*IF(입력란!$C$12=0,1,IF(입력란!$C$12=1,1.35,IF(입력란!$C$12=2,1.55,IF(입력란!$C$12=3,1.75,1))))*IF(MID(E28,3,1)="2",1+2*트라이포드!$L$5/100,1+트라이포드!$K$5/100)*IF(MID(E28,3,1)="3",트라이포드!$N$5,트라이포드!$M$5)/5</f>
        <v>33810.97970134244</v>
      </c>
      <c r="V28" s="21">
        <f>AN28*IF(입력란!$C$12=0,1,IF(입력란!$C$12=1,1.35,IF(입력란!$C$12=2,1.55,IF(입력란!$C$12=3,1.75,1))))*IF(MID(E28,3,1)="2",1+3*트라이포드!$L$5/100,1+트라이포드!$K$5/100)*IF(MID(E28,3,1)="3",트라이포드!$N$5,트라이포드!$M$5)/5</f>
        <v>37712.246589958879</v>
      </c>
      <c r="W28" s="21">
        <f>AN28*IF(입력란!$C$12=0,1,IF(입력란!$C$12=1,1.35,IF(입력란!$C$12=2,1.55,IF(입력란!$C$12=3,1.75,1))))*IF(MID(E28,3,1)="2",1+4*트라이포드!$L$5/100,1+트라이포드!$K$5/100)*IF(MID(E28,3,1)="3",트라이포드!$N$5,트라이포드!$M$5)/5</f>
        <v>41613.513478575318</v>
      </c>
      <c r="X28" s="21"/>
      <c r="Y28" s="21"/>
      <c r="Z28" s="20"/>
      <c r="AA28" s="21">
        <f>SUM(AB28:AI28)</f>
        <v>260084.4592410957</v>
      </c>
      <c r="AB28" s="21">
        <f>S28*2</f>
        <v>52016.891848219137</v>
      </c>
      <c r="AC28" s="21">
        <f>AB28</f>
        <v>52016.891848219137</v>
      </c>
      <c r="AD28" s="21">
        <f>AC28</f>
        <v>52016.891848219137</v>
      </c>
      <c r="AE28" s="21">
        <f>AD28</f>
        <v>52016.891848219137</v>
      </c>
      <c r="AF28" s="21">
        <f>AE28</f>
        <v>52016.891848219137</v>
      </c>
      <c r="AG28" s="21"/>
      <c r="AH28" s="21"/>
      <c r="AI28" s="20"/>
      <c r="AJ28" s="21">
        <f>AQ28*(1-입력란!$P$10/100)</f>
        <v>7.9038213753599997</v>
      </c>
      <c r="AK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" s="21">
        <f>입력란!$P$24+입력란!$P$16+IF(입력란!$C$18=1,10,IF(입력란!$C$18=2,25,IF(입력란!$C$18=3,50,0)))+IF(입력란!$C$23&lt;&gt;0,-12)</f>
        <v>380.66103559999999</v>
      </c>
      <c r="AM28" s="21">
        <f>SUM(AN28:AP28)</f>
        <v>130042.22962054785</v>
      </c>
      <c r="AN28" s="21">
        <f>(VLOOKUP(C28,$B$4:$AJ$7,2,FALSE)+VLOOKUP(C28,$B$8:$AJ$11,2,FALSE)*입력란!$P$4)*입력란!$P$25/100</f>
        <v>130042.22962054785</v>
      </c>
      <c r="AO28" s="21"/>
      <c r="AP28" s="21"/>
      <c r="AQ28" s="22">
        <v>8</v>
      </c>
    </row>
    <row r="29" spans="2:43" ht="13.5" customHeight="1" x14ac:dyDescent="0.55000000000000004">
      <c r="B29" s="66">
        <v>14</v>
      </c>
      <c r="C29" s="29">
        <v>10</v>
      </c>
      <c r="D29" s="30" t="s">
        <v>75</v>
      </c>
      <c r="E29" s="27" t="s">
        <v>81</v>
      </c>
      <c r="F29" s="29" t="s">
        <v>82</v>
      </c>
      <c r="G29" s="29"/>
      <c r="H29" s="36">
        <f>I29/AJ29</f>
        <v>80163.401097096983</v>
      </c>
      <c r="I29" s="37">
        <f>SUM(J29:Q29)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633597.20311279234</v>
      </c>
      <c r="J29" s="21">
        <f>S29*(1+IF($AK29+IF(입력란!$C$26=1,10,0)&gt;100,100,$AK29+IF(입력란!$C$26=1,10,0))/100*(($AL29+IF(입력란!$C$30=1,17,IF(입력란!$C$30=2,20,IF(입력란!$C$30=3,22,0))))/100-1))</f>
        <v>89738.290930216317</v>
      </c>
      <c r="K29" s="21">
        <f>T29*(1+IF($AK29+IF(입력란!$C$26=1,10,IF(MID($E29,1,1)="2",10,0))&gt;100,100,$AK29+IF(입력란!$C$26=1,10,IF(MID($E29,1,1)="2",10,0)))/100*(($AL29+IF(입력란!$C$30=1,17,IF(입력란!$C$30=2,20,IF(입력란!$C$30=3,22,0))))/100-1))</f>
        <v>89738.290930216317</v>
      </c>
      <c r="L29" s="21">
        <f>U29*(1+IF($AK29+IF(입력란!$C$26=1,10,IF(MID($E29,1,1)="2",10,0))&gt;100,100,$AK29+IF(입력란!$C$26=1,10,IF(MID($E29,1,1)="2",10,0)))/100*(($AL29+IF(입력란!$C$30=1,17,IF(입력란!$C$30=2,20,IF(입력란!$C$30=3,22,0))))/100-1))</f>
        <v>89738.290930216317</v>
      </c>
      <c r="M29" s="21">
        <f>V29*(1+IF($AK29+IF(입력란!$C$26=1,10,IF(MID($E29,1,1)="2",10,0))&gt;100,100,$AK29+IF(입력란!$C$26=1,10,IF(MID($E29,1,1)="2",10,0)))/100*(($AL29+IF(입력란!$C$30=1,17,IF(입력란!$C$30=2,20,IF(입력란!$C$30=3,22,0))))/100-1))</f>
        <v>89738.290930216317</v>
      </c>
      <c r="N29" s="21">
        <f>W29*(1+IF($AK29+IF(입력란!$C$26=1,10,IF(MID($E29,1,1)="2",10,0))&gt;100,100,$AK29+IF(입력란!$C$26=1,10,IF(MID($E29,1,1)="2",10,0)))/100*(($AL29+IF(입력란!$C$30=1,17,IF(입력란!$C$30=2,20,IF(입력란!$C$30=3,22,0))))/100-1))</f>
        <v>89738.290930216317</v>
      </c>
      <c r="O29" s="21"/>
      <c r="P29" s="21"/>
      <c r="Q29" s="105"/>
      <c r="R29" s="19">
        <f>SUM(S29:Z29)</f>
        <v>182059.12146876697</v>
      </c>
      <c r="S29" s="21">
        <f>AN29*IF(입력란!$C$12=0,1,IF(입력란!$C$12=1,1.35,IF(입력란!$C$12=2,1.55,IF(입력란!$C$12=3,1.75,1))))*IF(MID(E29,3,1)="3",트라이포드!$N$5,트라이포드!$M$5)/5</f>
        <v>36411.824293753394</v>
      </c>
      <c r="T29" s="21">
        <f>AN29*IF(입력란!$C$12=0,1,IF(입력란!$C$12=1,1.35,IF(입력란!$C$12=2,1.55,IF(입력란!$C$12=3,1.75,1))))*IF(MID(E29,3,1)="2",1+트라이포드!$L$5/100,1+트라이포드!$K$5/100)*IF(MID(E29,3,1)="3",트라이포드!$N$5,트라이포드!$M$5)/5</f>
        <v>36411.824293753394</v>
      </c>
      <c r="U29" s="21">
        <f>AN29*IF(입력란!$C$12=0,1,IF(입력란!$C$12=1,1.35,IF(입력란!$C$12=2,1.55,IF(입력란!$C$12=3,1.75,1))))*IF(MID(E29,3,1)="2",1+2*트라이포드!$L$5/100,1+트라이포드!$K$5/100)*IF(MID(E29,3,1)="3",트라이포드!$N$5,트라이포드!$M$5)/5</f>
        <v>36411.824293753394</v>
      </c>
      <c r="V29" s="21">
        <f>AN29*IF(입력란!$C$12=0,1,IF(입력란!$C$12=1,1.35,IF(입력란!$C$12=2,1.55,IF(입력란!$C$12=3,1.75,1))))*IF(MID(E29,3,1)="2",1+3*트라이포드!$L$5/100,1+트라이포드!$K$5/100)*IF(MID(E29,3,1)="3",트라이포드!$N$5,트라이포드!$M$5)/5</f>
        <v>36411.824293753394</v>
      </c>
      <c r="W29" s="21">
        <f>AN29*IF(입력란!$C$12=0,1,IF(입력란!$C$12=1,1.35,IF(입력란!$C$12=2,1.55,IF(입력란!$C$12=3,1.75,1))))*IF(MID(E29,3,1)="2",1+4*트라이포드!$L$5/100,1+트라이포드!$K$5/100)*IF(MID(E29,3,1)="3",트라이포드!$N$5,트라이포드!$M$5)/5</f>
        <v>36411.824293753394</v>
      </c>
      <c r="X29" s="21"/>
      <c r="Y29" s="21"/>
      <c r="Z29" s="20"/>
      <c r="AA29" s="21">
        <f>SUM(AB29:AI29)</f>
        <v>364118.24293753394</v>
      </c>
      <c r="AB29" s="21">
        <f>S29*2</f>
        <v>72823.648587506788</v>
      </c>
      <c r="AC29" s="21">
        <f>AB29</f>
        <v>72823.648587506788</v>
      </c>
      <c r="AD29" s="21">
        <f>AC29</f>
        <v>72823.648587506788</v>
      </c>
      <c r="AE29" s="21">
        <f>AD29</f>
        <v>72823.648587506788</v>
      </c>
      <c r="AF29" s="21">
        <f>AE29</f>
        <v>72823.648587506788</v>
      </c>
      <c r="AG29" s="21"/>
      <c r="AH29" s="21"/>
      <c r="AI29" s="20"/>
      <c r="AJ29" s="21">
        <f>AQ29*(1-입력란!$P$10/100)</f>
        <v>7.9038213753599997</v>
      </c>
      <c r="AK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" s="21">
        <f>입력란!$P$24+입력란!$P$16+IF(입력란!$C$18=1,10,IF(입력란!$C$18=2,25,IF(입력란!$C$18=3,50,0)))+IF(입력란!$C$23&lt;&gt;0,-12)</f>
        <v>380.66103559999999</v>
      </c>
      <c r="AM29" s="21">
        <f>SUM(AN29:AP29)</f>
        <v>130042.22962054785</v>
      </c>
      <c r="AN29" s="21">
        <f>(VLOOKUP(C29,$B$4:$AJ$7,2,FALSE)+VLOOKUP(C29,$B$8:$AJ$11,2,FALSE)*입력란!$P$4)*입력란!$P$25/100</f>
        <v>130042.22962054785</v>
      </c>
      <c r="AO29" s="21"/>
      <c r="AP29" s="21"/>
      <c r="AQ29" s="22">
        <v>8</v>
      </c>
    </row>
    <row r="30" spans="2:43" ht="13.5" customHeight="1" x14ac:dyDescent="0.55000000000000004">
      <c r="B30" s="66">
        <v>15</v>
      </c>
      <c r="C30" s="29">
        <v>10</v>
      </c>
      <c r="D30" s="30" t="s">
        <v>75</v>
      </c>
      <c r="E30" s="27" t="s">
        <v>100</v>
      </c>
      <c r="F30" s="29"/>
      <c r="G30" s="29"/>
      <c r="H30" s="36">
        <f>I30/AJ30</f>
        <v>74437.443875875775</v>
      </c>
      <c r="I30" s="37">
        <f>SUM(J30:Q30)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588340.26003330725</v>
      </c>
      <c r="J30" s="21">
        <f>S30*(1+IF($AK30+IF(입력란!$C$26=1,10,0)&gt;100,100,$AK30+IF(입력란!$C$26=1,10,0))/100*(($AL30+IF(입력란!$C$30=1,17,IF(입력란!$C$30=2,20,IF(입력란!$C$30=3,22,0))))/100-1))</f>
        <v>64098.779235868795</v>
      </c>
      <c r="K30" s="21">
        <f>T30*(1+IF($AK30+IF(입력란!$C$26=1,10,IF(MID($E30,1,1)="2",10,0))&gt;100,100,$AK30+IF(입력란!$C$26=1,10,IF(MID($E30,1,1)="2",10,0)))/100*(($AL30+IF(입력란!$C$30=1,17,IF(입력란!$C$30=2,20,IF(입력란!$C$30=3,22,0))))/100-1))</f>
        <v>73713.596121249109</v>
      </c>
      <c r="L30" s="21">
        <f>U30*(1+IF($AK30+IF(입력란!$C$26=1,10,IF(MID($E30,1,1)="2",10,0))&gt;100,100,$AK30+IF(입력란!$C$26=1,10,IF(MID($E30,1,1)="2",10,0)))/100*(($AL30+IF(입력란!$C$30=1,17,IF(입력란!$C$30=2,20,IF(입력란!$C$30=3,22,0))))/100-1))</f>
        <v>83328.413006629446</v>
      </c>
      <c r="M30" s="21">
        <f>V30*(1+IF($AK30+IF(입력란!$C$26=1,10,IF(MID($E30,1,1)="2",10,0))&gt;100,100,$AK30+IF(입력란!$C$26=1,10,IF(MID($E30,1,1)="2",10,0)))/100*(($AL30+IF(입력란!$C$30=1,17,IF(입력란!$C$30=2,20,IF(입력란!$C$30=3,22,0))))/100-1))</f>
        <v>92943.229892009767</v>
      </c>
      <c r="N30" s="21">
        <f>W30*(1+IF($AK30+IF(입력란!$C$26=1,10,IF(MID($E30,1,1)="2",10,0))&gt;100,100,$AK30+IF(입력란!$C$26=1,10,IF(MID($E30,1,1)="2",10,0)))/100*(($AL30+IF(입력란!$C$30=1,17,IF(입력란!$C$30=2,20,IF(입력란!$C$30=3,22,0))))/100-1))</f>
        <v>102558.0467773901</v>
      </c>
      <c r="O30" s="21"/>
      <c r="P30" s="21"/>
      <c r="Q30" s="105"/>
      <c r="R30" s="19">
        <f>SUM(S30:Z30)</f>
        <v>169054.89850671223</v>
      </c>
      <c r="S30" s="21">
        <f>AN30*IF(입력란!$C$12=0,1,IF(입력란!$C$12=1,1.35,IF(입력란!$C$12=2,1.55,IF(입력란!$C$12=3,1.75,1))))*IF(MID(E30,3,1)="3",트라이포드!$N$5,트라이포드!$M$5)/5</f>
        <v>26008.445924109568</v>
      </c>
      <c r="T30" s="21">
        <f>AN30*IF(입력란!$C$12=0,1,IF(입력란!$C$12=1,1.35,IF(입력란!$C$12=2,1.55,IF(입력란!$C$12=3,1.75,1))))*IF(MID(E30,3,1)="2",1+트라이포드!$L$5/100,1+트라이포드!$K$5/100)*IF(MID(E30,3,1)="3",트라이포드!$N$5,트라이포드!$M$5)/5</f>
        <v>29909.712812726</v>
      </c>
      <c r="U30" s="21">
        <f>AN30*IF(입력란!$C$12=0,1,IF(입력란!$C$12=1,1.35,IF(입력란!$C$12=2,1.55,IF(입력란!$C$12=3,1.75,1))))*IF(MID(E30,3,1)="2",1+2*트라이포드!$L$5/100,1+트라이포드!$K$5/100)*IF(MID(E30,3,1)="3",트라이포드!$N$5,트라이포드!$M$5)/5</f>
        <v>33810.97970134244</v>
      </c>
      <c r="V30" s="21">
        <f>AN30*IF(입력란!$C$12=0,1,IF(입력란!$C$12=1,1.35,IF(입력란!$C$12=2,1.55,IF(입력란!$C$12=3,1.75,1))))*IF(MID(E30,3,1)="2",1+3*트라이포드!$L$5/100,1+트라이포드!$K$5/100)*IF(MID(E30,3,1)="3",트라이포드!$N$5,트라이포드!$M$5)/5</f>
        <v>37712.246589958879</v>
      </c>
      <c r="W30" s="21">
        <f>AN30*IF(입력란!$C$12=0,1,IF(입력란!$C$12=1,1.35,IF(입력란!$C$12=2,1.55,IF(입력란!$C$12=3,1.75,1))))*IF(MID(E30,3,1)="2",1+4*트라이포드!$L$5/100,1+트라이포드!$K$5/100)*IF(MID(E30,3,1)="3",트라이포드!$N$5,트라이포드!$M$5)/5</f>
        <v>41613.513478575318</v>
      </c>
      <c r="X30" s="21"/>
      <c r="Y30" s="21"/>
      <c r="Z30" s="20"/>
      <c r="AA30" s="21">
        <f>SUM(AB30:AI30)</f>
        <v>260084.4592410957</v>
      </c>
      <c r="AB30" s="21">
        <f>S30*2</f>
        <v>52016.891848219137</v>
      </c>
      <c r="AC30" s="21">
        <f>AB30</f>
        <v>52016.891848219137</v>
      </c>
      <c r="AD30" s="21">
        <f>AC30</f>
        <v>52016.891848219137</v>
      </c>
      <c r="AE30" s="21">
        <f>AD30</f>
        <v>52016.891848219137</v>
      </c>
      <c r="AF30" s="21">
        <f>AE30</f>
        <v>52016.891848219137</v>
      </c>
      <c r="AG30" s="21"/>
      <c r="AH30" s="21"/>
      <c r="AI30" s="20"/>
      <c r="AJ30" s="21">
        <f>AQ30*(1-입력란!$P$10/100)</f>
        <v>7.9038213753599997</v>
      </c>
      <c r="AK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" s="21">
        <f>입력란!$P$24+입력란!$P$16+IF(입력란!$C$18=1,10,IF(입력란!$C$18=2,25,IF(입력란!$C$18=3,50,0)))+IF(입력란!$C$23&lt;&gt;0,-12)</f>
        <v>380.66103559999999</v>
      </c>
      <c r="AM30" s="21">
        <f>SUM(AN30:AP30)</f>
        <v>130042.22962054785</v>
      </c>
      <c r="AN30" s="21">
        <f>(VLOOKUP(C30,$B$4:$AJ$7,2,FALSE)+VLOOKUP(C30,$B$8:$AJ$11,2,FALSE)*입력란!$P$4)*입력란!$P$25/100</f>
        <v>130042.22962054785</v>
      </c>
      <c r="AO30" s="21"/>
      <c r="AP30" s="21"/>
      <c r="AQ30" s="22">
        <v>8</v>
      </c>
    </row>
    <row r="31" spans="2:43" ht="13.5" customHeight="1" x14ac:dyDescent="0.55000000000000004">
      <c r="B31" s="66">
        <v>16</v>
      </c>
      <c r="C31" s="29">
        <v>10</v>
      </c>
      <c r="D31" s="30" t="s">
        <v>75</v>
      </c>
      <c r="E31" s="27" t="s">
        <v>101</v>
      </c>
      <c r="F31" s="29"/>
      <c r="G31" s="29"/>
      <c r="H31" s="36">
        <f>I31/AJ31</f>
        <v>74437.443875875775</v>
      </c>
      <c r="I31" s="37">
        <f>SUM(J31:Q31)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588340.26003330725</v>
      </c>
      <c r="J31" s="21">
        <f>S31*(1+IF($AK31+IF(입력란!$C$26=1,10,0)&gt;100,100,$AK31+IF(입력란!$C$26=1,10,0))/100*(($AL31+IF(입력란!$C$30=1,17,IF(입력란!$C$30=2,20,IF(입력란!$C$30=3,22,0))))/100-1))</f>
        <v>64098.779235868795</v>
      </c>
      <c r="K31" s="21">
        <f>T31*(1+IF($AK31+IF(입력란!$C$26=1,10,IF(MID($E31,1,1)="2",10,0))&gt;100,100,$AK31+IF(입력란!$C$26=1,10,IF(MID($E31,1,1)="2",10,0)))/100*(($AL31+IF(입력란!$C$30=1,17,IF(입력란!$C$30=2,20,IF(입력란!$C$30=3,22,0))))/100-1))</f>
        <v>73713.596121249109</v>
      </c>
      <c r="L31" s="21">
        <f>U31*(1+IF($AK31+IF(입력란!$C$26=1,10,IF(MID($E31,1,1)="2",10,0))&gt;100,100,$AK31+IF(입력란!$C$26=1,10,IF(MID($E31,1,1)="2",10,0)))/100*(($AL31+IF(입력란!$C$30=1,17,IF(입력란!$C$30=2,20,IF(입력란!$C$30=3,22,0))))/100-1))</f>
        <v>83328.413006629446</v>
      </c>
      <c r="M31" s="21">
        <f>V31*(1+IF($AK31+IF(입력란!$C$26=1,10,IF(MID($E31,1,1)="2",10,0))&gt;100,100,$AK31+IF(입력란!$C$26=1,10,IF(MID($E31,1,1)="2",10,0)))/100*(($AL31+IF(입력란!$C$30=1,17,IF(입력란!$C$30=2,20,IF(입력란!$C$30=3,22,0))))/100-1))</f>
        <v>92943.229892009767</v>
      </c>
      <c r="N31" s="21">
        <f>W31*(1+IF($AK31+IF(입력란!$C$26=1,10,IF(MID($E31,1,1)="2",10,0))&gt;100,100,$AK31+IF(입력란!$C$26=1,10,IF(MID($E31,1,1)="2",10,0)))/100*(($AL31+IF(입력란!$C$30=1,17,IF(입력란!$C$30=2,20,IF(입력란!$C$30=3,22,0))))/100-1))</f>
        <v>102558.0467773901</v>
      </c>
      <c r="O31" s="21"/>
      <c r="P31" s="21"/>
      <c r="Q31" s="105"/>
      <c r="R31" s="19">
        <f>SUM(S31:Z31)</f>
        <v>169054.89850671223</v>
      </c>
      <c r="S31" s="21">
        <f>AN31*IF(입력란!$C$12=0,1,IF(입력란!$C$12=1,1.35,IF(입력란!$C$12=2,1.55,IF(입력란!$C$12=3,1.75,1))))*IF(MID(E31,3,1)="3",트라이포드!$N$5,트라이포드!$M$5)/5</f>
        <v>26008.445924109568</v>
      </c>
      <c r="T31" s="21">
        <f>AN31*IF(입력란!$C$12=0,1,IF(입력란!$C$12=1,1.35,IF(입력란!$C$12=2,1.55,IF(입력란!$C$12=3,1.75,1))))*IF(MID(E31,3,1)="2",1+트라이포드!$L$5/100,1+트라이포드!$K$5/100)*IF(MID(E31,3,1)="3",트라이포드!$N$5,트라이포드!$M$5)/5</f>
        <v>29909.712812726</v>
      </c>
      <c r="U31" s="21">
        <f>AN31*IF(입력란!$C$12=0,1,IF(입력란!$C$12=1,1.35,IF(입력란!$C$12=2,1.55,IF(입력란!$C$12=3,1.75,1))))*IF(MID(E31,3,1)="2",1+2*트라이포드!$L$5/100,1+트라이포드!$K$5/100)*IF(MID(E31,3,1)="3",트라이포드!$N$5,트라이포드!$M$5)/5</f>
        <v>33810.97970134244</v>
      </c>
      <c r="V31" s="21">
        <f>AN31*IF(입력란!$C$12=0,1,IF(입력란!$C$12=1,1.35,IF(입력란!$C$12=2,1.55,IF(입력란!$C$12=3,1.75,1))))*IF(MID(E31,3,1)="2",1+3*트라이포드!$L$5/100,1+트라이포드!$K$5/100)*IF(MID(E31,3,1)="3",트라이포드!$N$5,트라이포드!$M$5)/5</f>
        <v>37712.246589958879</v>
      </c>
      <c r="W31" s="21">
        <f>AN31*IF(입력란!$C$12=0,1,IF(입력란!$C$12=1,1.35,IF(입력란!$C$12=2,1.55,IF(입력란!$C$12=3,1.75,1))))*IF(MID(E31,3,1)="2",1+4*트라이포드!$L$5/100,1+트라이포드!$K$5/100)*IF(MID(E31,3,1)="3",트라이포드!$N$5,트라이포드!$M$5)/5</f>
        <v>41613.513478575318</v>
      </c>
      <c r="X31" s="21"/>
      <c r="Y31" s="21"/>
      <c r="Z31" s="20"/>
      <c r="AA31" s="21">
        <f>SUM(AB31:AI31)</f>
        <v>260084.4592410957</v>
      </c>
      <c r="AB31" s="21">
        <f>S31*2</f>
        <v>52016.891848219137</v>
      </c>
      <c r="AC31" s="21">
        <f>AB31</f>
        <v>52016.891848219137</v>
      </c>
      <c r="AD31" s="21">
        <f>AC31</f>
        <v>52016.891848219137</v>
      </c>
      <c r="AE31" s="21">
        <f>AD31</f>
        <v>52016.891848219137</v>
      </c>
      <c r="AF31" s="21">
        <f>AE31</f>
        <v>52016.891848219137</v>
      </c>
      <c r="AG31" s="21"/>
      <c r="AH31" s="21"/>
      <c r="AI31" s="20"/>
      <c r="AJ31" s="21">
        <f>AQ31*(1-입력란!$P$10/100)</f>
        <v>7.9038213753599997</v>
      </c>
      <c r="AK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" s="21">
        <f>입력란!$P$24+입력란!$P$16+IF(입력란!$C$18=1,10,IF(입력란!$C$18=2,25,IF(입력란!$C$18=3,50,0)))+IF(입력란!$C$23&lt;&gt;0,-12)</f>
        <v>380.66103559999999</v>
      </c>
      <c r="AM31" s="21">
        <f>SUM(AN31:AP31)</f>
        <v>130042.22962054785</v>
      </c>
      <c r="AN31" s="21">
        <f>(VLOOKUP(C31,$B$4:$AJ$7,2,FALSE)+VLOOKUP(C31,$B$8:$AJ$11,2,FALSE)*입력란!$P$4)*입력란!$P$25/100</f>
        <v>130042.22962054785</v>
      </c>
      <c r="AO31" s="21"/>
      <c r="AP31" s="21"/>
      <c r="AQ31" s="22">
        <v>8</v>
      </c>
    </row>
    <row r="32" spans="2:43" ht="13.5" customHeight="1" x14ac:dyDescent="0.55000000000000004">
      <c r="B32" s="66">
        <v>17</v>
      </c>
      <c r="C32" s="29">
        <v>10</v>
      </c>
      <c r="D32" s="30" t="s">
        <v>102</v>
      </c>
      <c r="E32" s="27" t="s">
        <v>103</v>
      </c>
      <c r="F32" s="29" t="s">
        <v>106</v>
      </c>
      <c r="G32" s="29"/>
      <c r="H32" s="36">
        <f>I32/AJ32</f>
        <v>80163.401097096983</v>
      </c>
      <c r="I32" s="37">
        <f>SUM(J32:Q32)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633597.20311279234</v>
      </c>
      <c r="J32" s="21">
        <f>S32*(1+IF($AK32+IF(입력란!$C$26=1,10,0)&gt;100,100,$AK32+IF(입력란!$C$26=1,10,0))/100*(($AL32+IF(입력란!$C$30=1,17,IF(입력란!$C$30=2,20,IF(입력란!$C$30=3,22,0))))/100-1))</f>
        <v>89738.290930216317</v>
      </c>
      <c r="K32" s="21">
        <f>T32*(1+IF($AK32+IF(입력란!$C$26=1,10,IF(MID($E32,1,1)="2",10,0))&gt;100,100,$AK32+IF(입력란!$C$26=1,10,IF(MID($E32,1,1)="2",10,0)))/100*(($AL32+IF(입력란!$C$30=1,17,IF(입력란!$C$30=2,20,IF(입력란!$C$30=3,22,0))))/100-1))</f>
        <v>89738.290930216317</v>
      </c>
      <c r="L32" s="21">
        <f>U32*(1+IF($AK32+IF(입력란!$C$26=1,10,IF(MID($E32,1,1)="2",10,0))&gt;100,100,$AK32+IF(입력란!$C$26=1,10,IF(MID($E32,1,1)="2",10,0)))/100*(($AL32+IF(입력란!$C$30=1,17,IF(입력란!$C$30=2,20,IF(입력란!$C$30=3,22,0))))/100-1))</f>
        <v>89738.290930216317</v>
      </c>
      <c r="M32" s="21">
        <f>V32*(1+IF($AK32+IF(입력란!$C$26=1,10,IF(MID($E32,1,1)="2",10,0))&gt;100,100,$AK32+IF(입력란!$C$26=1,10,IF(MID($E32,1,1)="2",10,0)))/100*(($AL32+IF(입력란!$C$30=1,17,IF(입력란!$C$30=2,20,IF(입력란!$C$30=3,22,0))))/100-1))</f>
        <v>89738.290930216317</v>
      </c>
      <c r="N32" s="21">
        <f>W32*(1+IF($AK32+IF(입력란!$C$26=1,10,IF(MID($E32,1,1)="2",10,0))&gt;100,100,$AK32+IF(입력란!$C$26=1,10,IF(MID($E32,1,1)="2",10,0)))/100*(($AL32+IF(입력란!$C$30=1,17,IF(입력란!$C$30=2,20,IF(입력란!$C$30=3,22,0))))/100-1))</f>
        <v>89738.290930216317</v>
      </c>
      <c r="O32" s="21"/>
      <c r="P32" s="21"/>
      <c r="Q32" s="105"/>
      <c r="R32" s="19">
        <f>SUM(S32:Z32)</f>
        <v>182059.12146876697</v>
      </c>
      <c r="S32" s="21">
        <f>AN32*IF(입력란!$C$12=0,1,IF(입력란!$C$12=1,1.35,IF(입력란!$C$12=2,1.55,IF(입력란!$C$12=3,1.75,1))))*IF(MID(E32,3,1)="3",트라이포드!$N$5,트라이포드!$M$5)/5</f>
        <v>36411.824293753394</v>
      </c>
      <c r="T32" s="21">
        <f>AN32*IF(입력란!$C$12=0,1,IF(입력란!$C$12=1,1.35,IF(입력란!$C$12=2,1.55,IF(입력란!$C$12=3,1.75,1))))*IF(MID(E32,3,1)="2",1+트라이포드!$L$5/100,1+트라이포드!$K$5/100)*IF(MID(E32,3,1)="3",트라이포드!$N$5,트라이포드!$M$5)/5</f>
        <v>36411.824293753394</v>
      </c>
      <c r="U32" s="21">
        <f>AN32*IF(입력란!$C$12=0,1,IF(입력란!$C$12=1,1.35,IF(입력란!$C$12=2,1.55,IF(입력란!$C$12=3,1.75,1))))*IF(MID(E32,3,1)="2",1+2*트라이포드!$L$5/100,1+트라이포드!$K$5/100)*IF(MID(E32,3,1)="3",트라이포드!$N$5,트라이포드!$M$5)/5</f>
        <v>36411.824293753394</v>
      </c>
      <c r="V32" s="21">
        <f>AN32*IF(입력란!$C$12=0,1,IF(입력란!$C$12=1,1.35,IF(입력란!$C$12=2,1.55,IF(입력란!$C$12=3,1.75,1))))*IF(MID(E32,3,1)="2",1+3*트라이포드!$L$5/100,1+트라이포드!$K$5/100)*IF(MID(E32,3,1)="3",트라이포드!$N$5,트라이포드!$M$5)/5</f>
        <v>36411.824293753394</v>
      </c>
      <c r="W32" s="21">
        <f>AN32*IF(입력란!$C$12=0,1,IF(입력란!$C$12=1,1.35,IF(입력란!$C$12=2,1.55,IF(입력란!$C$12=3,1.75,1))))*IF(MID(E32,3,1)="2",1+4*트라이포드!$L$5/100,1+트라이포드!$K$5/100)*IF(MID(E32,3,1)="3",트라이포드!$N$5,트라이포드!$M$5)/5</f>
        <v>36411.824293753394</v>
      </c>
      <c r="X32" s="21"/>
      <c r="Y32" s="21"/>
      <c r="Z32" s="20"/>
      <c r="AA32" s="21">
        <f>SUM(AB32:AI32)</f>
        <v>364118.24293753394</v>
      </c>
      <c r="AB32" s="21">
        <f>S32*2</f>
        <v>72823.648587506788</v>
      </c>
      <c r="AC32" s="21">
        <f>AB32</f>
        <v>72823.648587506788</v>
      </c>
      <c r="AD32" s="21">
        <f>AC32</f>
        <v>72823.648587506788</v>
      </c>
      <c r="AE32" s="21">
        <f>AD32</f>
        <v>72823.648587506788</v>
      </c>
      <c r="AF32" s="21">
        <f>AE32</f>
        <v>72823.648587506788</v>
      </c>
      <c r="AG32" s="21"/>
      <c r="AH32" s="21"/>
      <c r="AI32" s="20"/>
      <c r="AJ32" s="21">
        <f>AQ32*(1-입력란!$P$10/100)</f>
        <v>7.9038213753599997</v>
      </c>
      <c r="AK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" s="21">
        <f>입력란!$P$24+입력란!$P$16+IF(입력란!$C$18=1,10,IF(입력란!$C$18=2,25,IF(입력란!$C$18=3,50,0)))+IF(입력란!$C$23&lt;&gt;0,-12)</f>
        <v>380.66103559999999</v>
      </c>
      <c r="AM32" s="21">
        <f>SUM(AN32:AP32)</f>
        <v>130042.22962054785</v>
      </c>
      <c r="AN32" s="21">
        <f>(VLOOKUP(C32,$B$4:$AJ$7,2,FALSE)+VLOOKUP(C32,$B$8:$AJ$11,2,FALSE)*입력란!$P$4)*입력란!$P$25/100</f>
        <v>130042.22962054785</v>
      </c>
      <c r="AO32" s="21"/>
      <c r="AP32" s="21"/>
      <c r="AQ32" s="22">
        <v>8</v>
      </c>
    </row>
    <row r="33" spans="2:43" ht="13.5" customHeight="1" x14ac:dyDescent="0.55000000000000004">
      <c r="B33" s="66">
        <v>18</v>
      </c>
      <c r="C33" s="29">
        <v>10</v>
      </c>
      <c r="D33" s="31" t="s">
        <v>102</v>
      </c>
      <c r="E33" s="27" t="s">
        <v>104</v>
      </c>
      <c r="F33" s="29" t="s">
        <v>107</v>
      </c>
      <c r="G33" s="29"/>
      <c r="H33" s="36">
        <f>I33/AJ33</f>
        <v>80163.401097096983</v>
      </c>
      <c r="I33" s="37">
        <f>SUM(J33:Q33)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633597.20311279234</v>
      </c>
      <c r="J33" s="21">
        <f>S33*(1+IF($AK33+IF(입력란!$C$26=1,10,0)&gt;100,100,$AK33+IF(입력란!$C$26=1,10,0))/100*(($AL33+IF(입력란!$C$30=1,17,IF(입력란!$C$30=2,20,IF(입력란!$C$30=3,22,0))))/100-1))</f>
        <v>89738.290930216317</v>
      </c>
      <c r="K33" s="21">
        <f>T33*(1+IF($AK33+IF(입력란!$C$26=1,10,IF(MID($E33,1,1)="2",10,0))&gt;100,100,$AK33+IF(입력란!$C$26=1,10,IF(MID($E33,1,1)="2",10,0)))/100*(($AL33+IF(입력란!$C$30=1,17,IF(입력란!$C$30=2,20,IF(입력란!$C$30=3,22,0))))/100-1))</f>
        <v>89738.290930216317</v>
      </c>
      <c r="L33" s="21">
        <f>U33*(1+IF($AK33+IF(입력란!$C$26=1,10,IF(MID($E33,1,1)="2",10,0))&gt;100,100,$AK33+IF(입력란!$C$26=1,10,IF(MID($E33,1,1)="2",10,0)))/100*(($AL33+IF(입력란!$C$30=1,17,IF(입력란!$C$30=2,20,IF(입력란!$C$30=3,22,0))))/100-1))</f>
        <v>89738.290930216317</v>
      </c>
      <c r="M33" s="21">
        <f>V33*(1+IF($AK33+IF(입력란!$C$26=1,10,IF(MID($E33,1,1)="2",10,0))&gt;100,100,$AK33+IF(입력란!$C$26=1,10,IF(MID($E33,1,1)="2",10,0)))/100*(($AL33+IF(입력란!$C$30=1,17,IF(입력란!$C$30=2,20,IF(입력란!$C$30=3,22,0))))/100-1))</f>
        <v>89738.290930216317</v>
      </c>
      <c r="N33" s="21">
        <f>W33*(1+IF($AK33+IF(입력란!$C$26=1,10,IF(MID($E33,1,1)="2",10,0))&gt;100,100,$AK33+IF(입력란!$C$26=1,10,IF(MID($E33,1,1)="2",10,0)))/100*(($AL33+IF(입력란!$C$30=1,17,IF(입력란!$C$30=2,20,IF(입력란!$C$30=3,22,0))))/100-1))</f>
        <v>89738.290930216317</v>
      </c>
      <c r="O33" s="21"/>
      <c r="P33" s="21"/>
      <c r="Q33" s="105"/>
      <c r="R33" s="19">
        <f>SUM(S33:Z33)</f>
        <v>182059.12146876697</v>
      </c>
      <c r="S33" s="21">
        <f>AN33*IF(입력란!$C$12=0,1,IF(입력란!$C$12=1,1.35,IF(입력란!$C$12=2,1.55,IF(입력란!$C$12=3,1.75,1))))*IF(MID(E33,3,1)="3",트라이포드!$N$5,트라이포드!$M$5)/5</f>
        <v>36411.824293753394</v>
      </c>
      <c r="T33" s="21">
        <f>AN33*IF(입력란!$C$12=0,1,IF(입력란!$C$12=1,1.35,IF(입력란!$C$12=2,1.55,IF(입력란!$C$12=3,1.75,1))))*IF(MID(E33,3,1)="2",1+트라이포드!$L$5/100,1+트라이포드!$K$5/100)*IF(MID(E33,3,1)="3",트라이포드!$N$5,트라이포드!$M$5)/5</f>
        <v>36411.824293753394</v>
      </c>
      <c r="U33" s="21">
        <f>AN33*IF(입력란!$C$12=0,1,IF(입력란!$C$12=1,1.35,IF(입력란!$C$12=2,1.55,IF(입력란!$C$12=3,1.75,1))))*IF(MID(E33,3,1)="2",1+2*트라이포드!$L$5/100,1+트라이포드!$K$5/100)*IF(MID(E33,3,1)="3",트라이포드!$N$5,트라이포드!$M$5)/5</f>
        <v>36411.824293753394</v>
      </c>
      <c r="V33" s="21">
        <f>AN33*IF(입력란!$C$12=0,1,IF(입력란!$C$12=1,1.35,IF(입력란!$C$12=2,1.55,IF(입력란!$C$12=3,1.75,1))))*IF(MID(E33,3,1)="2",1+3*트라이포드!$L$5/100,1+트라이포드!$K$5/100)*IF(MID(E33,3,1)="3",트라이포드!$N$5,트라이포드!$M$5)/5</f>
        <v>36411.824293753394</v>
      </c>
      <c r="W33" s="21">
        <f>AN33*IF(입력란!$C$12=0,1,IF(입력란!$C$12=1,1.35,IF(입력란!$C$12=2,1.55,IF(입력란!$C$12=3,1.75,1))))*IF(MID(E33,3,1)="2",1+4*트라이포드!$L$5/100,1+트라이포드!$K$5/100)*IF(MID(E33,3,1)="3",트라이포드!$N$5,트라이포드!$M$5)/5</f>
        <v>36411.824293753394</v>
      </c>
      <c r="X33" s="21"/>
      <c r="Y33" s="21"/>
      <c r="Z33" s="20"/>
      <c r="AA33" s="21">
        <f>SUM(AB33:AI33)</f>
        <v>364118.24293753394</v>
      </c>
      <c r="AB33" s="21">
        <f>S33*2</f>
        <v>72823.648587506788</v>
      </c>
      <c r="AC33" s="21">
        <f>AB33</f>
        <v>72823.648587506788</v>
      </c>
      <c r="AD33" s="21">
        <f>AC33</f>
        <v>72823.648587506788</v>
      </c>
      <c r="AE33" s="21">
        <f>AD33</f>
        <v>72823.648587506788</v>
      </c>
      <c r="AF33" s="21">
        <f>AE33</f>
        <v>72823.648587506788</v>
      </c>
      <c r="AG33" s="21"/>
      <c r="AH33" s="21"/>
      <c r="AI33" s="20"/>
      <c r="AJ33" s="21">
        <f>AQ33*(1-입력란!$P$10/100)</f>
        <v>7.9038213753599997</v>
      </c>
      <c r="AK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" s="21">
        <f>입력란!$P$24+입력란!$P$16+IF(입력란!$C$18=1,10,IF(입력란!$C$18=2,25,IF(입력란!$C$18=3,50,0)))+IF(입력란!$C$23&lt;&gt;0,-12)</f>
        <v>380.66103559999999</v>
      </c>
      <c r="AM33" s="21">
        <f>SUM(AN33:AP33)</f>
        <v>130042.22962054785</v>
      </c>
      <c r="AN33" s="21">
        <f>(VLOOKUP(C33,$B$4:$AJ$7,2,FALSE)+VLOOKUP(C33,$B$8:$AJ$11,2,FALSE)*입력란!$P$4)*입력란!$P$25/100</f>
        <v>130042.22962054785</v>
      </c>
      <c r="AO33" s="21"/>
      <c r="AP33" s="21"/>
      <c r="AQ33" s="22">
        <v>8</v>
      </c>
    </row>
    <row r="34" spans="2:43" ht="13.5" customHeight="1" x14ac:dyDescent="0.55000000000000004">
      <c r="B34" s="66">
        <v>19</v>
      </c>
      <c r="C34" s="29">
        <v>1</v>
      </c>
      <c r="D34" s="30" t="s">
        <v>93</v>
      </c>
      <c r="E34" s="27" t="s">
        <v>94</v>
      </c>
      <c r="F34" s="29"/>
      <c r="G34" s="29"/>
      <c r="H34" s="36">
        <f>I34/AJ34</f>
        <v>45017.254680056241</v>
      </c>
      <c r="I34" s="37">
        <f>SUM(J34:Q34)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266856.25485019013</v>
      </c>
      <c r="J34" s="21">
        <f>S34*(1+IF($AK34+IF(입력란!$C$26=1,10,0)&gt;100,100,$AK34+IF(입력란!$C$26=1,10,0))/100*(($AL34+IF(입력란!$C$30=1,17,IF(입력란!$C$30=2,20,IF(입력란!$C$30=3,22,0))))/100-1))</f>
        <v>188978.29817306856</v>
      </c>
      <c r="K34" s="21"/>
      <c r="L34" s="21"/>
      <c r="M34" s="21"/>
      <c r="N34" s="21"/>
      <c r="O34" s="21"/>
      <c r="P34" s="21"/>
      <c r="Q34" s="105">
        <f>Z34*(1+IF($AK34+IF(입력란!$C$26=1,10,IF(MID($E34,1,1)="3",10,0))&gt;100,100,$AK34+IF(입력란!$C$26=1,10,IF(MID($E34,1,1)="3",10,0)))/100*(($AL34+IF(입력란!$C$30=1,17,IF(입력란!$C$30=2,20,IF(입력란!$C$30=3,22,0))))/100-1))</f>
        <v>0</v>
      </c>
      <c r="R34" s="19">
        <f>SUM(S34:Z34)</f>
        <v>76679.024272495401</v>
      </c>
      <c r="S34" s="21">
        <f>AN34*IF(입력란!$C$12=0,1,IF(입력란!$C$12=1,1.35,IF(입력란!$C$12=2,1.55,IF(입력란!$C$12=3,1.75,1))))*IF(MID(E34,3,1)="1",트라이포드!$J$6,IF(MID(E34,3,1)="2",트라이포드!$L$6,IF(MID(E34,3,1)="3",트라이포드!$N$6,1)))*IF(MID(E34,5,1)="1",트라이포드!$P$6,트라이포드!$O$6)</f>
        <v>76679.024272495401</v>
      </c>
      <c r="T34" s="21"/>
      <c r="U34" s="21"/>
      <c r="V34" s="21"/>
      <c r="W34" s="21"/>
      <c r="X34" s="21"/>
      <c r="Y34" s="21"/>
      <c r="Z34" s="20">
        <f>AN34*IF(입력란!$C$12=0,1,IF(입력란!$C$12=1,1.35,IF(입력란!$C$12=2,1.55,IF(입력란!$C$12=3,1.75,1))))*IF(MID(E34,3,1)="1",트라이포드!$J$6,IF(MID(E34,3,1)="2",트라이포드!$L$6,IF(MID(E34,3,1)="3",트라이포드!$N$6,1)))*IF(MID(E34,5,1)="2",트라이포드!R$6,트라이포드!Q$6)</f>
        <v>0</v>
      </c>
      <c r="AA34" s="21">
        <f>SUM(AB34:AI34)</f>
        <v>153358.0485449908</v>
      </c>
      <c r="AB34" s="21">
        <f>S34*2</f>
        <v>153358.0485449908</v>
      </c>
      <c r="AC34" s="21"/>
      <c r="AD34" s="21"/>
      <c r="AE34" s="21"/>
      <c r="AF34" s="21"/>
      <c r="AG34" s="21"/>
      <c r="AH34" s="21"/>
      <c r="AI34" s="20">
        <f>Z34*2</f>
        <v>0</v>
      </c>
      <c r="AJ34" s="21">
        <f>(AQ34+IF(MID(E34,3,1)="2",6,IF(MID(E34,3,1)="3",9,0)))*(1-입력란!$P$10/100)</f>
        <v>5.9278660315199998</v>
      </c>
      <c r="AK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" s="21">
        <f>입력란!$P$24+입력란!$P$16+IF(입력란!$C$18=1,10,IF(입력란!$C$18=2,25,IF(입력란!$C$18=3,50,0)))+IF(입력란!$C$23&lt;&gt;0,-12)</f>
        <v>380.66103559999999</v>
      </c>
      <c r="AM34" s="21">
        <f>SUM(AN34:AP34)</f>
        <v>76679.024272495401</v>
      </c>
      <c r="AN34" s="21">
        <f>(VLOOKUP(C34,$B$4:$AJ$7,3,FALSE)+VLOOKUP(C34,$B$8:$AJ$11,3,FALSE)*입력란!$P$4)*입력란!$P$25/100</f>
        <v>76679.024272495401</v>
      </c>
      <c r="AO34" s="21"/>
      <c r="AP34" s="21"/>
      <c r="AQ34" s="22">
        <v>6</v>
      </c>
    </row>
    <row r="35" spans="2:43" ht="13.5" customHeight="1" x14ac:dyDescent="0.55000000000000004">
      <c r="B35" s="66">
        <v>20</v>
      </c>
      <c r="C35" s="29">
        <v>4</v>
      </c>
      <c r="D35" s="30" t="s">
        <v>93</v>
      </c>
      <c r="E35" s="27" t="s">
        <v>94</v>
      </c>
      <c r="F35" s="29"/>
      <c r="G35" s="29"/>
      <c r="H35" s="36">
        <f>I35/AJ35</f>
        <v>45076.198210086259</v>
      </c>
      <c r="I35" s="37">
        <f>SUM(J35:Q35)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267205.66419963294</v>
      </c>
      <c r="J35" s="21">
        <f>S35*(1+IF($AK35+IF(입력란!$C$26=1,10,0)&gt;100,100,$AK35+IF(입력란!$C$26=1,10,0))/100*(($AL35+IF(입력란!$C$30=1,17,IF(입력란!$C$30=2,20,IF(입력란!$C$30=3,22,0))))/100-1))</f>
        <v>189225.73769537066</v>
      </c>
      <c r="K35" s="21"/>
      <c r="L35" s="21"/>
      <c r="M35" s="21"/>
      <c r="N35" s="21"/>
      <c r="O35" s="21"/>
      <c r="P35" s="21"/>
      <c r="Q35" s="105">
        <f>Z35*(1+IF($AK35+IF(입력란!$C$26=1,10,IF(MID($E35,1,1)="3",10,0))&gt;100,100,$AK35+IF(입력란!$C$26=1,10,IF(MID($E35,1,1)="3",10,0)))/100*(($AL35+IF(입력란!$C$30=1,17,IF(입력란!$C$30=2,20,IF(입력란!$C$30=3,22,0))))/100-1))</f>
        <v>0</v>
      </c>
      <c r="R35" s="19">
        <f>SUM(S35:Z35)</f>
        <v>76779.424272495409</v>
      </c>
      <c r="S35" s="21">
        <f>AN35*IF(입력란!$C$12=0,1,IF(입력란!$C$12=1,1.35,IF(입력란!$C$12=2,1.55,IF(입력란!$C$12=3,1.75,1))))*IF(MID(E35,3,1)="1",트라이포드!$J$6,IF(MID(E35,3,1)="2",트라이포드!$L$6,IF(MID(E35,3,1)="3",트라이포드!$N$6,1)))*IF(MID(E35,5,1)="1",트라이포드!$P$6,트라이포드!$O$6)</f>
        <v>76779.424272495409</v>
      </c>
      <c r="T35" s="21"/>
      <c r="U35" s="21"/>
      <c r="V35" s="21"/>
      <c r="W35" s="21"/>
      <c r="X35" s="21"/>
      <c r="Y35" s="21"/>
      <c r="Z35" s="20">
        <f>AN35*IF(입력란!$C$12=0,1,IF(입력란!$C$12=1,1.35,IF(입력란!$C$12=2,1.55,IF(입력란!$C$12=3,1.75,1))))*IF(MID(E35,3,1)="1",트라이포드!$J$6,IF(MID(E35,3,1)="2",트라이포드!$L$6,IF(MID(E35,3,1)="3",트라이포드!$N$6,1)))*IF(MID(E35,5,1)="2",트라이포드!R$6,트라이포드!Q$6)</f>
        <v>0</v>
      </c>
      <c r="AA35" s="21">
        <f>SUM(AB35:AI35)</f>
        <v>153558.84854499082</v>
      </c>
      <c r="AB35" s="21">
        <f>S35*2</f>
        <v>153558.84854499082</v>
      </c>
      <c r="AC35" s="21"/>
      <c r="AD35" s="21"/>
      <c r="AE35" s="21"/>
      <c r="AF35" s="21"/>
      <c r="AG35" s="21"/>
      <c r="AH35" s="21"/>
      <c r="AI35" s="20">
        <f>Z35*2</f>
        <v>0</v>
      </c>
      <c r="AJ35" s="21">
        <f>(AQ35+IF(MID(E35,3,1)="2",6,IF(MID(E35,3,1)="3",9,0)))*(1-입력란!$P$10/100)</f>
        <v>5.9278660315199998</v>
      </c>
      <c r="AK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" s="21">
        <f>입력란!$P$24+입력란!$P$16+IF(입력란!$C$18=1,10,IF(입력란!$C$18=2,25,IF(입력란!$C$18=3,50,0)))+IF(입력란!$C$23&lt;&gt;0,-12)</f>
        <v>380.66103559999999</v>
      </c>
      <c r="AM35" s="21">
        <f>SUM(AN35:AP35)</f>
        <v>76779.424272495409</v>
      </c>
      <c r="AN35" s="21">
        <f>(VLOOKUP(C35,$B$4:$AJ$7,3,FALSE)+VLOOKUP(C35,$B$8:$AJ$11,3,FALSE)*입력란!$P$4)*입력란!$P$25/100</f>
        <v>76779.424272495409</v>
      </c>
      <c r="AO35" s="21"/>
      <c r="AP35" s="21"/>
      <c r="AQ35" s="22">
        <v>6</v>
      </c>
    </row>
    <row r="36" spans="2:43" ht="13.5" customHeight="1" x14ac:dyDescent="0.55000000000000004">
      <c r="B36" s="66">
        <v>21</v>
      </c>
      <c r="C36" s="29">
        <v>4</v>
      </c>
      <c r="D36" s="30" t="s">
        <v>92</v>
      </c>
      <c r="E36" s="27" t="s">
        <v>95</v>
      </c>
      <c r="F36" s="29"/>
      <c r="G36" s="29"/>
      <c r="H36" s="36">
        <f>I36/AJ36</f>
        <v>45076.198210086259</v>
      </c>
      <c r="I36" s="37">
        <f>SUM(J36:Q36)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267205.66419963294</v>
      </c>
      <c r="J36" s="21">
        <f>S36*(1+IF($AK36+IF(입력란!$C$26=1,10,0)&gt;100,100,$AK36+IF(입력란!$C$26=1,10,0))/100*(($AL36+IF(입력란!$C$30=1,17,IF(입력란!$C$30=2,20,IF(입력란!$C$30=3,22,0))))/100-1))</f>
        <v>189225.73769537066</v>
      </c>
      <c r="K36" s="21"/>
      <c r="L36" s="21"/>
      <c r="M36" s="21"/>
      <c r="N36" s="21"/>
      <c r="O36" s="21"/>
      <c r="P36" s="21"/>
      <c r="Q36" s="105">
        <f>Z36*(1+IF($AK36+IF(입력란!$C$26=1,10,IF(MID($E36,1,1)="3",10,0))&gt;100,100,$AK36+IF(입력란!$C$26=1,10,IF(MID($E36,1,1)="3",10,0)))/100*(($AL36+IF(입력란!$C$30=1,17,IF(입력란!$C$30=2,20,IF(입력란!$C$30=3,22,0))))/100-1))</f>
        <v>0</v>
      </c>
      <c r="R36" s="19">
        <f>SUM(S36:Z36)</f>
        <v>76779.424272495409</v>
      </c>
      <c r="S36" s="21">
        <f>AN36*IF(입력란!$C$12=0,1,IF(입력란!$C$12=1,1.35,IF(입력란!$C$12=2,1.55,IF(입력란!$C$12=3,1.75,1))))*IF(MID(E36,3,1)="1",트라이포드!$J$6,IF(MID(E36,3,1)="2",트라이포드!$L$6,IF(MID(E36,3,1)="3",트라이포드!$N$6,1)))*IF(MID(E36,5,1)="1",트라이포드!$P$6,트라이포드!$O$6)</f>
        <v>76779.424272495409</v>
      </c>
      <c r="T36" s="21"/>
      <c r="U36" s="21"/>
      <c r="V36" s="21"/>
      <c r="W36" s="21"/>
      <c r="X36" s="21"/>
      <c r="Y36" s="21"/>
      <c r="Z36" s="20">
        <f>AN36*IF(입력란!$C$12=0,1,IF(입력란!$C$12=1,1.35,IF(입력란!$C$12=2,1.55,IF(입력란!$C$12=3,1.75,1))))*IF(MID(E36,3,1)="1",트라이포드!$J$6,IF(MID(E36,3,1)="2",트라이포드!$L$6,IF(MID(E36,3,1)="3",트라이포드!$N$6,1)))*IF(MID(E36,5,1)="2",트라이포드!R$6,트라이포드!Q$6)</f>
        <v>0</v>
      </c>
      <c r="AA36" s="21">
        <f>SUM(AB36:AI36)</f>
        <v>153558.84854499082</v>
      </c>
      <c r="AB36" s="21">
        <f>S36*2</f>
        <v>153558.84854499082</v>
      </c>
      <c r="AC36" s="21"/>
      <c r="AD36" s="21"/>
      <c r="AE36" s="21"/>
      <c r="AF36" s="21"/>
      <c r="AG36" s="21"/>
      <c r="AH36" s="21"/>
      <c r="AI36" s="20">
        <f>Z36*2</f>
        <v>0</v>
      </c>
      <c r="AJ36" s="21">
        <f>(AQ36+IF(MID(E36,3,1)="2",6,IF(MID(E36,3,1)="3",9,0)))*(1-입력란!$P$10/100)</f>
        <v>5.9278660315199998</v>
      </c>
      <c r="AK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" s="21">
        <f>입력란!$P$24+입력란!$P$16+IF(입력란!$C$18=1,10,IF(입력란!$C$18=2,25,IF(입력란!$C$18=3,50,0)))+IF(입력란!$C$23&lt;&gt;0,-12)</f>
        <v>380.66103559999999</v>
      </c>
      <c r="AM36" s="21">
        <f>SUM(AN36:AP36)</f>
        <v>76779.424272495409</v>
      </c>
      <c r="AN36" s="21">
        <f>(VLOOKUP(C36,$B$4:$AJ$7,3,FALSE)+VLOOKUP(C36,$B$8:$AJ$11,3,FALSE)*입력란!$P$4)*입력란!$P$25/100</f>
        <v>76779.424272495409</v>
      </c>
      <c r="AO36" s="21"/>
      <c r="AP36" s="21"/>
      <c r="AQ36" s="22">
        <v>6</v>
      </c>
    </row>
    <row r="37" spans="2:43" ht="13.5" customHeight="1" x14ac:dyDescent="0.55000000000000004">
      <c r="B37" s="66">
        <v>22</v>
      </c>
      <c r="C37" s="29">
        <v>7</v>
      </c>
      <c r="D37" s="30" t="s">
        <v>92</v>
      </c>
      <c r="E37" s="27" t="s">
        <v>94</v>
      </c>
      <c r="F37" s="29"/>
      <c r="G37" s="29"/>
      <c r="H37" s="36">
        <f>I37/AJ37</f>
        <v>45103.4390446818</v>
      </c>
      <c r="I37" s="37">
        <f>SUM(J37:Q37)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267367.14421770209</v>
      </c>
      <c r="J37" s="21">
        <f>S37*(1+IF($AK37+IF(입력란!$C$26=1,10,0)&gt;100,100,$AK37+IF(입력란!$C$26=1,10,0))/100*(($AL37+IF(입력란!$C$30=1,17,IF(입력란!$C$30=2,20,IF(입력란!$C$30=3,22,0))))/100-1))</f>
        <v>189340.09221563776</v>
      </c>
      <c r="K37" s="21"/>
      <c r="L37" s="21"/>
      <c r="M37" s="21"/>
      <c r="N37" s="21"/>
      <c r="O37" s="21"/>
      <c r="P37" s="21"/>
      <c r="Q37" s="105">
        <f>Z37*(1+IF($AK37+IF(입력란!$C$26=1,10,IF(MID($E37,1,1)="3",10,0))&gt;100,100,$AK37+IF(입력란!$C$26=1,10,IF(MID($E37,1,1)="3",10,0)))/100*(($AL37+IF(입력란!$C$30=1,17,IF(입력란!$C$30=2,20,IF(입력란!$C$30=3,22,0))))/100-1))</f>
        <v>0</v>
      </c>
      <c r="R37" s="19">
        <f>SUM(S37:Z37)</f>
        <v>76825.824272495403</v>
      </c>
      <c r="S37" s="21">
        <f>AN37*IF(입력란!$C$12=0,1,IF(입력란!$C$12=1,1.35,IF(입력란!$C$12=2,1.55,IF(입력란!$C$12=3,1.75,1))))*IF(MID(E37,3,1)="1",트라이포드!$J$6,IF(MID(E37,3,1)="2",트라이포드!$L$6,IF(MID(E37,3,1)="3",트라이포드!$N$6,1)))*IF(MID(E37,5,1)="1",트라이포드!$P$6,트라이포드!$O$6)</f>
        <v>76825.824272495403</v>
      </c>
      <c r="T37" s="21"/>
      <c r="U37" s="21"/>
      <c r="V37" s="21"/>
      <c r="W37" s="21"/>
      <c r="X37" s="21"/>
      <c r="Y37" s="21"/>
      <c r="Z37" s="20">
        <f>AN37*IF(입력란!$C$12=0,1,IF(입력란!$C$12=1,1.35,IF(입력란!$C$12=2,1.55,IF(입력란!$C$12=3,1.75,1))))*IF(MID(E37,3,1)="1",트라이포드!$J$6,IF(MID(E37,3,1)="2",트라이포드!$L$6,IF(MID(E37,3,1)="3",트라이포드!$N$6,1)))*IF(MID(E37,5,1)="2",트라이포드!R$6,트라이포드!Q$6)</f>
        <v>0</v>
      </c>
      <c r="AA37" s="21">
        <f>SUM(AB37:AI37)</f>
        <v>153651.64854499081</v>
      </c>
      <c r="AB37" s="21">
        <f>S37*2</f>
        <v>153651.64854499081</v>
      </c>
      <c r="AC37" s="21"/>
      <c r="AD37" s="21"/>
      <c r="AE37" s="21"/>
      <c r="AF37" s="21"/>
      <c r="AG37" s="21"/>
      <c r="AH37" s="21"/>
      <c r="AI37" s="20">
        <f>Z37*2</f>
        <v>0</v>
      </c>
      <c r="AJ37" s="21">
        <f>(AQ37+IF(MID(E37,3,1)="2",6,IF(MID(E37,3,1)="3",9,0)))*(1-입력란!$P$10/100)</f>
        <v>5.9278660315199998</v>
      </c>
      <c r="AK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" s="21">
        <f>입력란!$P$24+입력란!$P$16+IF(입력란!$C$18=1,10,IF(입력란!$C$18=2,25,IF(입력란!$C$18=3,50,0)))+IF(입력란!$C$23&lt;&gt;0,-12)</f>
        <v>380.66103559999999</v>
      </c>
      <c r="AM37" s="21">
        <f>SUM(AN37:AP37)</f>
        <v>76825.824272495403</v>
      </c>
      <c r="AN37" s="21">
        <f>(VLOOKUP(C37,$B$4:$AJ$7,3,FALSE)+VLOOKUP(C37,$B$8:$AJ$11,3,FALSE)*입력란!$P$4)*입력란!$P$25/100</f>
        <v>76825.824272495403</v>
      </c>
      <c r="AO37" s="21"/>
      <c r="AP37" s="21"/>
      <c r="AQ37" s="22">
        <v>6</v>
      </c>
    </row>
    <row r="38" spans="2:43" ht="13.5" customHeight="1" x14ac:dyDescent="0.55000000000000004">
      <c r="B38" s="66">
        <v>23</v>
      </c>
      <c r="C38" s="29">
        <v>7</v>
      </c>
      <c r="D38" s="30" t="s">
        <v>92</v>
      </c>
      <c r="E38" s="27" t="s">
        <v>95</v>
      </c>
      <c r="F38" s="29"/>
      <c r="G38" s="29"/>
      <c r="H38" s="36">
        <f>I38/AJ38</f>
        <v>45103.4390446818</v>
      </c>
      <c r="I38" s="37">
        <f>SUM(J38:Q38)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267367.14421770209</v>
      </c>
      <c r="J38" s="21">
        <f>S38*(1+IF($AK38+IF(입력란!$C$26=1,10,0)&gt;100,100,$AK38+IF(입력란!$C$26=1,10,0))/100*(($AL38+IF(입력란!$C$30=1,17,IF(입력란!$C$30=2,20,IF(입력란!$C$30=3,22,0))))/100-1))</f>
        <v>189340.09221563776</v>
      </c>
      <c r="K38" s="21"/>
      <c r="L38" s="21"/>
      <c r="M38" s="21"/>
      <c r="N38" s="21"/>
      <c r="O38" s="21"/>
      <c r="P38" s="21"/>
      <c r="Q38" s="105">
        <f>Z38*(1+IF($AK38+IF(입력란!$C$26=1,10,IF(MID($E38,1,1)="3",10,0))&gt;100,100,$AK38+IF(입력란!$C$26=1,10,IF(MID($E38,1,1)="3",10,0)))/100*(($AL38+IF(입력란!$C$30=1,17,IF(입력란!$C$30=2,20,IF(입력란!$C$30=3,22,0))))/100-1))</f>
        <v>0</v>
      </c>
      <c r="R38" s="19">
        <f>SUM(S38:Z38)</f>
        <v>76825.824272495403</v>
      </c>
      <c r="S38" s="21">
        <f>AN38*IF(입력란!$C$12=0,1,IF(입력란!$C$12=1,1.35,IF(입력란!$C$12=2,1.55,IF(입력란!$C$12=3,1.75,1))))*IF(MID(E38,3,1)="1",트라이포드!$J$6,IF(MID(E38,3,1)="2",트라이포드!$L$6,IF(MID(E38,3,1)="3",트라이포드!$N$6,1)))*IF(MID(E38,5,1)="1",트라이포드!$P$6,트라이포드!$O$6)</f>
        <v>76825.824272495403</v>
      </c>
      <c r="T38" s="21"/>
      <c r="U38" s="21"/>
      <c r="V38" s="21"/>
      <c r="W38" s="21"/>
      <c r="X38" s="21"/>
      <c r="Y38" s="21"/>
      <c r="Z38" s="20">
        <f>AN38*IF(입력란!$C$12=0,1,IF(입력란!$C$12=1,1.35,IF(입력란!$C$12=2,1.55,IF(입력란!$C$12=3,1.75,1))))*IF(MID(E38,3,1)="1",트라이포드!$J$6,IF(MID(E38,3,1)="2",트라이포드!$L$6,IF(MID(E38,3,1)="3",트라이포드!$N$6,1)))*IF(MID(E38,5,1)="2",트라이포드!R$6,트라이포드!Q$6)</f>
        <v>0</v>
      </c>
      <c r="AA38" s="21">
        <f>SUM(AB38:AI38)</f>
        <v>153651.64854499081</v>
      </c>
      <c r="AB38" s="21">
        <f>S38*2</f>
        <v>153651.64854499081</v>
      </c>
      <c r="AC38" s="21"/>
      <c r="AD38" s="21"/>
      <c r="AE38" s="21"/>
      <c r="AF38" s="21"/>
      <c r="AG38" s="21"/>
      <c r="AH38" s="21"/>
      <c r="AI38" s="20">
        <f>Z38*2</f>
        <v>0</v>
      </c>
      <c r="AJ38" s="21">
        <f>(AQ38+IF(MID(E38,3,1)="2",6,IF(MID(E38,3,1)="3",9,0)))*(1-입력란!$P$10/100)</f>
        <v>5.9278660315199998</v>
      </c>
      <c r="AK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" s="21">
        <f>입력란!$P$24+입력란!$P$16+IF(입력란!$C$18=1,10,IF(입력란!$C$18=2,25,IF(입력란!$C$18=3,50,0)))+IF(입력란!$C$23&lt;&gt;0,-12)</f>
        <v>380.66103559999999</v>
      </c>
      <c r="AM38" s="21">
        <f>SUM(AN38:AP38)</f>
        <v>76825.824272495403</v>
      </c>
      <c r="AN38" s="21">
        <f>(VLOOKUP(C38,$B$4:$AJ$7,3,FALSE)+VLOOKUP(C38,$B$8:$AJ$11,3,FALSE)*입력란!$P$4)*입력란!$P$25/100</f>
        <v>76825.824272495403</v>
      </c>
      <c r="AO38" s="21"/>
      <c r="AP38" s="21"/>
      <c r="AQ38" s="22">
        <v>6</v>
      </c>
    </row>
    <row r="39" spans="2:43" ht="13.5" customHeight="1" x14ac:dyDescent="0.55000000000000004">
      <c r="B39" s="66">
        <v>24</v>
      </c>
      <c r="C39" s="29">
        <v>7</v>
      </c>
      <c r="D39" s="30" t="s">
        <v>92</v>
      </c>
      <c r="E39" s="27" t="s">
        <v>96</v>
      </c>
      <c r="F39" s="29"/>
      <c r="G39" s="29"/>
      <c r="H39" s="36">
        <f>I39/AJ39</f>
        <v>67655.158567022692</v>
      </c>
      <c r="I39" s="37">
        <f>SUM(J39:Q39)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401050.71632655314</v>
      </c>
      <c r="J39" s="21">
        <f>S39*(1+IF($AK39+IF(입력란!$C$26=1,10,0)&gt;100,100,$AK39+IF(입력란!$C$26=1,10,0))/100*(($AL39+IF(입력란!$C$30=1,17,IF(입력란!$C$30=2,20,IF(입력란!$C$30=3,22,0))))/100-1))</f>
        <v>284010.13832345663</v>
      </c>
      <c r="K39" s="21"/>
      <c r="L39" s="21"/>
      <c r="M39" s="21"/>
      <c r="N39" s="21"/>
      <c r="O39" s="21"/>
      <c r="P39" s="21"/>
      <c r="Q39" s="105">
        <f>Z39*(1+IF($AK39+IF(입력란!$C$26=1,10,IF(MID($E39,1,1)="3",10,0))&gt;100,100,$AK39+IF(입력란!$C$26=1,10,IF(MID($E39,1,1)="3",10,0)))/100*(($AL39+IF(입력란!$C$30=1,17,IF(입력란!$C$30=2,20,IF(입력란!$C$30=3,22,0))))/100-1))</f>
        <v>0</v>
      </c>
      <c r="R39" s="19">
        <f>SUM(S39:Z39)</f>
        <v>115238.73640874311</v>
      </c>
      <c r="S39" s="21">
        <f>AN39*IF(입력란!$C$12=0,1,IF(입력란!$C$12=1,1.35,IF(입력란!$C$12=2,1.55,IF(입력란!$C$12=3,1.75,1))))*IF(MID(E39,3,1)="1",트라이포드!$J$6,IF(MID(E39,3,1)="2",트라이포드!$L$6,IF(MID(E39,3,1)="3",트라이포드!$N$6,1)))*IF(MID(E39,5,1)="1",트라이포드!$P$6,트라이포드!$O$6)</f>
        <v>115238.73640874311</v>
      </c>
      <c r="T39" s="21"/>
      <c r="U39" s="21"/>
      <c r="V39" s="21"/>
      <c r="W39" s="21"/>
      <c r="X39" s="21"/>
      <c r="Y39" s="21"/>
      <c r="Z39" s="20">
        <f>AN39*IF(입력란!$C$12=0,1,IF(입력란!$C$12=1,1.35,IF(입력란!$C$12=2,1.55,IF(입력란!$C$12=3,1.75,1))))*IF(MID(E39,3,1)="1",트라이포드!$J$6,IF(MID(E39,3,1)="2",트라이포드!$L$6,IF(MID(E39,3,1)="3",트라이포드!$N$6,1)))*IF(MID(E39,5,1)="2",트라이포드!R$6,트라이포드!Q$6)</f>
        <v>0</v>
      </c>
      <c r="AA39" s="21">
        <f>SUM(AB39:AI39)</f>
        <v>230477.47281748621</v>
      </c>
      <c r="AB39" s="21">
        <f>S39*2</f>
        <v>230477.47281748621</v>
      </c>
      <c r="AC39" s="21"/>
      <c r="AD39" s="21"/>
      <c r="AE39" s="21"/>
      <c r="AF39" s="21"/>
      <c r="AG39" s="21"/>
      <c r="AH39" s="21"/>
      <c r="AI39" s="20">
        <f>Z39*2</f>
        <v>0</v>
      </c>
      <c r="AJ39" s="21">
        <f>(AQ39+IF(MID(E39,3,1)="2",6,IF(MID(E39,3,1)="3",9,0)))*(1-입력란!$P$10/100)</f>
        <v>5.9278660315199998</v>
      </c>
      <c r="AK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" s="21">
        <f>입력란!$P$24+입력란!$P$16+IF(입력란!$C$18=1,10,IF(입력란!$C$18=2,25,IF(입력란!$C$18=3,50,0)))+IF(입력란!$C$23&lt;&gt;0,-12)</f>
        <v>380.66103559999999</v>
      </c>
      <c r="AM39" s="21">
        <f>SUM(AN39:AP39)</f>
        <v>76825.824272495403</v>
      </c>
      <c r="AN39" s="21">
        <f>(VLOOKUP(C39,$B$4:$AJ$7,3,FALSE)+VLOOKUP(C39,$B$8:$AJ$11,3,FALSE)*입력란!$P$4)*입력란!$P$25/100</f>
        <v>76825.824272495403</v>
      </c>
      <c r="AO39" s="21"/>
      <c r="AP39" s="21"/>
      <c r="AQ39" s="22">
        <v>6</v>
      </c>
    </row>
    <row r="40" spans="2:43" ht="13.5" customHeight="1" x14ac:dyDescent="0.55000000000000004">
      <c r="B40" s="66">
        <v>25</v>
      </c>
      <c r="C40" s="29">
        <v>7</v>
      </c>
      <c r="D40" s="30" t="s">
        <v>92</v>
      </c>
      <c r="E40" s="27" t="s">
        <v>97</v>
      </c>
      <c r="F40" s="29"/>
      <c r="G40" s="29"/>
      <c r="H40" s="36">
        <f>I40/AJ40</f>
        <v>11275.85976117045</v>
      </c>
      <c r="I40" s="37">
        <f>SUM(J40:Q40)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133683.57210885105</v>
      </c>
      <c r="J40" s="21">
        <f>S40*(1+IF($AK40+IF(입력란!$C$26=1,10,0)&gt;100,100,$AK40+IF(입력란!$C$26=1,10,0))/100*(($AL40+IF(입력란!$C$30=1,17,IF(입력란!$C$30=2,20,IF(입력란!$C$30=3,22,0))))/100-1))</f>
        <v>94670.046107818882</v>
      </c>
      <c r="K40" s="21"/>
      <c r="L40" s="21"/>
      <c r="M40" s="21"/>
      <c r="N40" s="21"/>
      <c r="O40" s="21"/>
      <c r="P40" s="21"/>
      <c r="Q40" s="105">
        <f>Z40*(1+IF($AK40+IF(입력란!$C$26=1,10,IF(MID($E40,1,1)="3",10,0))&gt;100,100,$AK40+IF(입력란!$C$26=1,10,IF(MID($E40,1,1)="3",10,0)))/100*(($AL40+IF(입력란!$C$30=1,17,IF(입력란!$C$30=2,20,IF(입력란!$C$30=3,22,0))))/100-1))</f>
        <v>0</v>
      </c>
      <c r="R40" s="19">
        <f>SUM(S40:Z40)</f>
        <v>38412.912136247702</v>
      </c>
      <c r="S40" s="21">
        <f>AN40*IF(입력란!$C$12=0,1,IF(입력란!$C$12=1,1.35,IF(입력란!$C$12=2,1.55,IF(입력란!$C$12=3,1.75,1))))*IF(MID(E40,3,1)="1",트라이포드!$J$6,IF(MID(E40,3,1)="2",트라이포드!$L$6,IF(MID(E40,3,1)="3",트라이포드!$N$6,1)))*IF(MID(E40,5,1)="1",트라이포드!$P$6,트라이포드!$O$6)</f>
        <v>38412.912136247702</v>
      </c>
      <c r="T40" s="21"/>
      <c r="U40" s="21"/>
      <c r="V40" s="21"/>
      <c r="W40" s="21"/>
      <c r="X40" s="21"/>
      <c r="Y40" s="21"/>
      <c r="Z40" s="20">
        <f>AN40*IF(입력란!$C$12=0,1,IF(입력란!$C$12=1,1.35,IF(입력란!$C$12=2,1.55,IF(입력란!$C$12=3,1.75,1))))*IF(MID(E40,3,1)="1",트라이포드!$J$6,IF(MID(E40,3,1)="2",트라이포드!$L$6,IF(MID(E40,3,1)="3",트라이포드!$N$6,1)))*IF(MID(E40,5,1)="2",트라이포드!R$6,트라이포드!Q$6)</f>
        <v>0</v>
      </c>
      <c r="AA40" s="21">
        <f>SUM(AB40:AI40)</f>
        <v>76825.824272495403</v>
      </c>
      <c r="AB40" s="21">
        <f>S40*2</f>
        <v>76825.824272495403</v>
      </c>
      <c r="AC40" s="21"/>
      <c r="AD40" s="21"/>
      <c r="AE40" s="21"/>
      <c r="AF40" s="21"/>
      <c r="AG40" s="21"/>
      <c r="AH40" s="21"/>
      <c r="AI40" s="20">
        <f>Z40*2</f>
        <v>0</v>
      </c>
      <c r="AJ40" s="21">
        <f>(AQ40+IF(MID(E40,3,1)="2",6,IF(MID(E40,3,1)="3",9,0)))*(1-입력란!$P$10/100)</f>
        <v>11.85573206304</v>
      </c>
      <c r="AK4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" s="21">
        <f>입력란!$P$24+입력란!$P$16+IF(입력란!$C$18=1,10,IF(입력란!$C$18=2,25,IF(입력란!$C$18=3,50,0)))+IF(입력란!$C$23&lt;&gt;0,-12)</f>
        <v>380.66103559999999</v>
      </c>
      <c r="AM40" s="21">
        <f>SUM(AN40:AP40)</f>
        <v>76825.824272495403</v>
      </c>
      <c r="AN40" s="21">
        <f>(VLOOKUP(C40,$B$4:$AJ$7,3,FALSE)+VLOOKUP(C40,$B$8:$AJ$11,3,FALSE)*입력란!$P$4)*입력란!$P$25/100</f>
        <v>76825.824272495403</v>
      </c>
      <c r="AO40" s="21"/>
      <c r="AP40" s="21"/>
      <c r="AQ40" s="22">
        <v>6</v>
      </c>
    </row>
    <row r="41" spans="2:43" ht="13.5" customHeight="1" x14ac:dyDescent="0.55000000000000004">
      <c r="B41" s="66">
        <v>26</v>
      </c>
      <c r="C41" s="29">
        <v>7</v>
      </c>
      <c r="D41" s="30" t="s">
        <v>92</v>
      </c>
      <c r="E41" s="27" t="s">
        <v>98</v>
      </c>
      <c r="F41" s="29"/>
      <c r="G41" s="29"/>
      <c r="H41" s="36">
        <f>I41/AJ41</f>
        <v>4510.34390446818</v>
      </c>
      <c r="I41" s="37">
        <f>SUM(J41:Q41)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66841.786054425524</v>
      </c>
      <c r="J41" s="21">
        <f>S41*(1+IF($AK41+IF(입력란!$C$26=1,10,0)&gt;100,100,$AK41+IF(입력란!$C$26=1,10,0))/100*(($AL41+IF(입력란!$C$30=1,17,IF(입력란!$C$30=2,20,IF(입력란!$C$30=3,22,0))))/100-1))</f>
        <v>47335.023053909441</v>
      </c>
      <c r="K41" s="21"/>
      <c r="L41" s="21"/>
      <c r="M41" s="21"/>
      <c r="N41" s="21"/>
      <c r="O41" s="21"/>
      <c r="P41" s="21"/>
      <c r="Q41" s="105">
        <f>Z41*(1+IF($AK41+IF(입력란!$C$26=1,10,IF(MID($E41,1,1)="3",10,0))&gt;100,100,$AK41+IF(입력란!$C$26=1,10,IF(MID($E41,1,1)="3",10,0)))/100*(($AL41+IF(입력란!$C$30=1,17,IF(입력란!$C$30=2,20,IF(입력란!$C$30=3,22,0))))/100-1))</f>
        <v>0</v>
      </c>
      <c r="R41" s="19">
        <f>SUM(S41:Z41)</f>
        <v>19206.456068123851</v>
      </c>
      <c r="S41" s="21">
        <f>AN41*IF(입력란!$C$12=0,1,IF(입력란!$C$12=1,1.35,IF(입력란!$C$12=2,1.55,IF(입력란!$C$12=3,1.75,1))))*IF(MID(E41,3,1)="1",트라이포드!$J$6,IF(MID(E41,3,1)="2",트라이포드!$L$6,IF(MID(E41,3,1)="3",트라이포드!$N$6,1)))*IF(MID(E41,5,1)="1",트라이포드!$P$6,트라이포드!$O$6)</f>
        <v>19206.456068123851</v>
      </c>
      <c r="T41" s="21"/>
      <c r="U41" s="21"/>
      <c r="V41" s="21"/>
      <c r="W41" s="21"/>
      <c r="X41" s="21"/>
      <c r="Y41" s="21"/>
      <c r="Z41" s="20">
        <f>AN41*IF(입력란!$C$12=0,1,IF(입력란!$C$12=1,1.35,IF(입력란!$C$12=2,1.55,IF(입력란!$C$12=3,1.75,1))))*IF(MID(E41,3,1)="1",트라이포드!$J$6,IF(MID(E41,3,1)="2",트라이포드!$L$6,IF(MID(E41,3,1)="3",트라이포드!$N$6,1)))*IF(MID(E41,5,1)="2",트라이포드!R$6,트라이포드!Q$6)</f>
        <v>0</v>
      </c>
      <c r="AA41" s="21">
        <f>SUM(AB41:AI41)</f>
        <v>38412.912136247702</v>
      </c>
      <c r="AB41" s="21">
        <f>S41*2</f>
        <v>38412.912136247702</v>
      </c>
      <c r="AC41" s="21"/>
      <c r="AD41" s="21"/>
      <c r="AE41" s="21"/>
      <c r="AF41" s="21"/>
      <c r="AG41" s="21"/>
      <c r="AH41" s="21"/>
      <c r="AI41" s="20">
        <f>Z41*2</f>
        <v>0</v>
      </c>
      <c r="AJ41" s="21">
        <f>(AQ41+IF(MID(E41,3,1)="2",6,IF(MID(E41,3,1)="3",9,0)))*(1-입력란!$P$10/100)</f>
        <v>14.8196650788</v>
      </c>
      <c r="AK4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" s="21">
        <f>입력란!$P$24+입력란!$P$16+IF(입력란!$C$18=1,10,IF(입력란!$C$18=2,25,IF(입력란!$C$18=3,50,0)))+IF(입력란!$C$23&lt;&gt;0,-12)</f>
        <v>380.66103559999999</v>
      </c>
      <c r="AM41" s="21">
        <f>SUM(AN41:AP41)</f>
        <v>76825.824272495403</v>
      </c>
      <c r="AN41" s="21">
        <f>(VLOOKUP(C41,$B$4:$AJ$7,3,FALSE)+VLOOKUP(C41,$B$8:$AJ$11,3,FALSE)*입력란!$P$4)*입력란!$P$25/100</f>
        <v>76825.824272495403</v>
      </c>
      <c r="AO41" s="21"/>
      <c r="AP41" s="21"/>
      <c r="AQ41" s="22">
        <v>6</v>
      </c>
    </row>
    <row r="42" spans="2:43" ht="13.5" customHeight="1" x14ac:dyDescent="0.55000000000000004">
      <c r="B42" s="66">
        <v>27</v>
      </c>
      <c r="C42" s="29">
        <v>7</v>
      </c>
      <c r="D42" s="30" t="s">
        <v>92</v>
      </c>
      <c r="E42" s="27" t="s">
        <v>99</v>
      </c>
      <c r="F42" s="29"/>
      <c r="G42" s="29"/>
      <c r="H42" s="36">
        <f>I42/AJ42</f>
        <v>67655.158567022692</v>
      </c>
      <c r="I42" s="37">
        <f>SUM(J42:Q42)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401050.71632655314</v>
      </c>
      <c r="J42" s="21">
        <f>S42*(1+IF($AK42+IF(입력란!$C$26=1,10,0)&gt;100,100,$AK42+IF(입력란!$C$26=1,10,0))/100*(($AL42+IF(입력란!$C$30=1,17,IF(입력란!$C$30=2,20,IF(입력란!$C$30=3,22,0))))/100-1))</f>
        <v>284010.13832345663</v>
      </c>
      <c r="K42" s="21"/>
      <c r="L42" s="21"/>
      <c r="M42" s="21"/>
      <c r="N42" s="21"/>
      <c r="O42" s="21"/>
      <c r="P42" s="21"/>
      <c r="Q42" s="105">
        <f>Z42*(1+IF($AK42+IF(입력란!$C$26=1,10,IF(MID($E42,1,1)="3",10,0))&gt;100,100,$AK42+IF(입력란!$C$26=1,10,IF(MID($E42,1,1)="3",10,0)))/100*(($AL42+IF(입력란!$C$30=1,17,IF(입력란!$C$30=2,20,IF(입력란!$C$30=3,22,0))))/100-1))</f>
        <v>0</v>
      </c>
      <c r="R42" s="19">
        <f>SUM(S42:Z42)</f>
        <v>115238.73640874311</v>
      </c>
      <c r="S42" s="21">
        <f>AN42*IF(입력란!$C$12=0,1,IF(입력란!$C$12=1,1.35,IF(입력란!$C$12=2,1.55,IF(입력란!$C$12=3,1.75,1))))*IF(MID(E42,3,1)="1",트라이포드!$J$6,IF(MID(E42,3,1)="2",트라이포드!$L$6,IF(MID(E42,3,1)="3",트라이포드!$N$6,1)))*IF(MID(E42,5,1)="1",트라이포드!$P$6,트라이포드!$O$6)</f>
        <v>115238.73640874311</v>
      </c>
      <c r="T42" s="21"/>
      <c r="U42" s="21"/>
      <c r="V42" s="21"/>
      <c r="W42" s="21"/>
      <c r="X42" s="21"/>
      <c r="Y42" s="21"/>
      <c r="Z42" s="20">
        <f>AN42*IF(입력란!$C$12=0,1,IF(입력란!$C$12=1,1.35,IF(입력란!$C$12=2,1.55,IF(입력란!$C$12=3,1.75,1))))*IF(MID(E42,3,1)="1",트라이포드!$J$6,IF(MID(E42,3,1)="2",트라이포드!$L$6,IF(MID(E42,3,1)="3",트라이포드!$N$6,1)))*IF(MID(E42,5,1)="2",트라이포드!R$6,트라이포드!Q$6)</f>
        <v>0</v>
      </c>
      <c r="AA42" s="21">
        <f>SUM(AB42:AI42)</f>
        <v>230477.47281748621</v>
      </c>
      <c r="AB42" s="21">
        <f>S42*2</f>
        <v>230477.47281748621</v>
      </c>
      <c r="AC42" s="21"/>
      <c r="AD42" s="21"/>
      <c r="AE42" s="21"/>
      <c r="AF42" s="21"/>
      <c r="AG42" s="21"/>
      <c r="AH42" s="21"/>
      <c r="AI42" s="20">
        <f>Z42*2</f>
        <v>0</v>
      </c>
      <c r="AJ42" s="21">
        <f>(AQ42+IF(MID(E42,3,1)="2",6,IF(MID(E42,3,1)="3",9,0)))*(1-입력란!$P$10/100)</f>
        <v>5.9278660315199998</v>
      </c>
      <c r="AK4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" s="21">
        <f>입력란!$P$24+입력란!$P$16+IF(입력란!$C$18=1,10,IF(입력란!$C$18=2,25,IF(입력란!$C$18=3,50,0)))+IF(입력란!$C$23&lt;&gt;0,-12)</f>
        <v>380.66103559999999</v>
      </c>
      <c r="AM42" s="21">
        <f>SUM(AN42:AP42)</f>
        <v>76825.824272495403</v>
      </c>
      <c r="AN42" s="21">
        <f>(VLOOKUP(C42,$B$4:$AJ$7,3,FALSE)+VLOOKUP(C42,$B$8:$AJ$11,3,FALSE)*입력란!$P$4)*입력란!$P$25/100</f>
        <v>76825.824272495403</v>
      </c>
      <c r="AO42" s="21"/>
      <c r="AP42" s="21"/>
      <c r="AQ42" s="22">
        <v>6</v>
      </c>
    </row>
    <row r="43" spans="2:43" ht="13.5" customHeight="1" x14ac:dyDescent="0.55000000000000004">
      <c r="B43" s="66">
        <v>28</v>
      </c>
      <c r="C43" s="29">
        <v>7</v>
      </c>
      <c r="D43" s="30" t="s">
        <v>92</v>
      </c>
      <c r="E43" s="27" t="s">
        <v>108</v>
      </c>
      <c r="F43" s="29"/>
      <c r="G43" s="29"/>
      <c r="H43" s="36">
        <f>I43/AJ43</f>
        <v>11275.85976117045</v>
      </c>
      <c r="I43" s="37">
        <f>SUM(J43:Q43)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133683.57210885105</v>
      </c>
      <c r="J43" s="21">
        <f>S43*(1+IF($AK43+IF(입력란!$C$26=1,10,0)&gt;100,100,$AK43+IF(입력란!$C$26=1,10,0))/100*(($AL43+IF(입력란!$C$30=1,17,IF(입력란!$C$30=2,20,IF(입력란!$C$30=3,22,0))))/100-1))</f>
        <v>94670.046107818882</v>
      </c>
      <c r="K43" s="21"/>
      <c r="L43" s="21"/>
      <c r="M43" s="21"/>
      <c r="N43" s="21"/>
      <c r="O43" s="21"/>
      <c r="P43" s="21"/>
      <c r="Q43" s="105">
        <f>Z43*(1+IF($AK43+IF(입력란!$C$26=1,10,IF(MID($E43,1,1)="3",10,0))&gt;100,100,$AK43+IF(입력란!$C$26=1,10,IF(MID($E43,1,1)="3",10,0)))/100*(($AL43+IF(입력란!$C$30=1,17,IF(입력란!$C$30=2,20,IF(입력란!$C$30=3,22,0))))/100-1))</f>
        <v>0</v>
      </c>
      <c r="R43" s="19">
        <f>SUM(S43:Z43)</f>
        <v>38412.912136247702</v>
      </c>
      <c r="S43" s="21">
        <f>AN43*IF(입력란!$C$12=0,1,IF(입력란!$C$12=1,1.35,IF(입력란!$C$12=2,1.55,IF(입력란!$C$12=3,1.75,1))))*IF(MID(E43,3,1)="1",트라이포드!$J$6,IF(MID(E43,3,1)="2",트라이포드!$L$6,IF(MID(E43,3,1)="3",트라이포드!$N$6,1)))*IF(MID(E43,5,1)="1",트라이포드!$P$6,트라이포드!$O$6)</f>
        <v>38412.912136247702</v>
      </c>
      <c r="T43" s="21"/>
      <c r="U43" s="21"/>
      <c r="V43" s="21"/>
      <c r="W43" s="21"/>
      <c r="X43" s="21"/>
      <c r="Y43" s="21"/>
      <c r="Z43" s="20">
        <f>AN43*IF(입력란!$C$12=0,1,IF(입력란!$C$12=1,1.35,IF(입력란!$C$12=2,1.55,IF(입력란!$C$12=3,1.75,1))))*IF(MID(E43,3,1)="1",트라이포드!$J$6,IF(MID(E43,3,1)="2",트라이포드!$L$6,IF(MID(E43,3,1)="3",트라이포드!$N$6,1)))*IF(MID(E43,5,1)="2",트라이포드!R$6,트라이포드!Q$6)</f>
        <v>0</v>
      </c>
      <c r="AA43" s="21">
        <f>SUM(AB43:AI43)</f>
        <v>76825.824272495403</v>
      </c>
      <c r="AB43" s="21">
        <f>S43*2</f>
        <v>76825.824272495403</v>
      </c>
      <c r="AC43" s="21"/>
      <c r="AD43" s="21"/>
      <c r="AE43" s="21"/>
      <c r="AF43" s="21"/>
      <c r="AG43" s="21"/>
      <c r="AH43" s="21"/>
      <c r="AI43" s="20">
        <f>Z43*2</f>
        <v>0</v>
      </c>
      <c r="AJ43" s="21">
        <f>(AQ43+IF(MID(E43,3,1)="2",6,IF(MID(E43,3,1)="3",9,0)))*(1-입력란!$P$10/100)</f>
        <v>11.85573206304</v>
      </c>
      <c r="AK4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" s="21">
        <f>입력란!$P$24+입력란!$P$16+IF(입력란!$C$18=1,10,IF(입력란!$C$18=2,25,IF(입력란!$C$18=3,50,0)))+IF(입력란!$C$23&lt;&gt;0,-12)</f>
        <v>380.66103559999999</v>
      </c>
      <c r="AM43" s="21">
        <f>SUM(AN43:AP43)</f>
        <v>76825.824272495403</v>
      </c>
      <c r="AN43" s="21">
        <f>(VLOOKUP(C43,$B$4:$AJ$7,3,FALSE)+VLOOKUP(C43,$B$8:$AJ$11,3,FALSE)*입력란!$P$4)*입력란!$P$25/100</f>
        <v>76825.824272495403</v>
      </c>
      <c r="AO43" s="21"/>
      <c r="AP43" s="21"/>
      <c r="AQ43" s="22">
        <v>6</v>
      </c>
    </row>
    <row r="44" spans="2:43" ht="13.5" customHeight="1" x14ac:dyDescent="0.55000000000000004">
      <c r="B44" s="66">
        <v>29</v>
      </c>
      <c r="C44" s="99">
        <v>7</v>
      </c>
      <c r="D44" s="106" t="s">
        <v>92</v>
      </c>
      <c r="E44" s="104" t="s">
        <v>109</v>
      </c>
      <c r="F44" s="99"/>
      <c r="G44" s="99"/>
      <c r="H44" s="36">
        <f>I44/AJ44</f>
        <v>4510.34390446818</v>
      </c>
      <c r="I44" s="37">
        <f>SUM(J44:Q44)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66841.786054425524</v>
      </c>
      <c r="J44" s="105">
        <f>S44*(1+IF($AK44+IF(입력란!$C$26=1,10,0)&gt;100,100,$AK44+IF(입력란!$C$26=1,10,0))/100*(($AL44+IF(입력란!$C$30=1,17,IF(입력란!$C$30=2,20,IF(입력란!$C$30=3,22,0))))/100-1))</f>
        <v>47335.023053909441</v>
      </c>
      <c r="K44" s="105"/>
      <c r="L44" s="105"/>
      <c r="M44" s="105"/>
      <c r="N44" s="105"/>
      <c r="O44" s="105"/>
      <c r="P44" s="105"/>
      <c r="Q44" s="105">
        <f>Z44*(1+IF($AK44+IF(입력란!$C$26=1,10,IF(MID($E44,1,1)="3",10,0))&gt;100,100,$AK44+IF(입력란!$C$26=1,10,IF(MID($E44,1,1)="3",10,0)))/100*(($AL44+IF(입력란!$C$30=1,17,IF(입력란!$C$30=2,20,IF(입력란!$C$30=3,22,0))))/100-1))</f>
        <v>0</v>
      </c>
      <c r="R44" s="19">
        <f>SUM(S44:Z44)</f>
        <v>19206.456068123851</v>
      </c>
      <c r="S44" s="105">
        <f>AN44*IF(입력란!$C$12=0,1,IF(입력란!$C$12=1,1.35,IF(입력란!$C$12=2,1.55,IF(입력란!$C$12=3,1.75,1))))*IF(MID(E44,3,1)="1",트라이포드!$J$6,IF(MID(E44,3,1)="2",트라이포드!$L$6,IF(MID(E44,3,1)="3",트라이포드!$N$6,1)))*IF(MID(E44,5,1)="1",트라이포드!$P$6,트라이포드!$O$6)</f>
        <v>19206.456068123851</v>
      </c>
      <c r="T44" s="105"/>
      <c r="U44" s="105"/>
      <c r="V44" s="105"/>
      <c r="W44" s="105"/>
      <c r="X44" s="105"/>
      <c r="Y44" s="105"/>
      <c r="Z44" s="20">
        <f>AN44*IF(입력란!$C$12=0,1,IF(입력란!$C$12=1,1.35,IF(입력란!$C$12=2,1.55,IF(입력란!$C$12=3,1.75,1))))*IF(MID(E44,3,1)="1",트라이포드!$J$6,IF(MID(E44,3,1)="2",트라이포드!$L$6,IF(MID(E44,3,1)="3",트라이포드!$N$6,1)))*IF(MID(E44,5,1)="2",트라이포드!R$6,트라이포드!Q$6)</f>
        <v>0</v>
      </c>
      <c r="AA44" s="105">
        <f>SUM(AB44:AI44)</f>
        <v>38412.912136247702</v>
      </c>
      <c r="AB44" s="105">
        <f>S44*2</f>
        <v>38412.912136247702</v>
      </c>
      <c r="AC44" s="105"/>
      <c r="AD44" s="105"/>
      <c r="AE44" s="105"/>
      <c r="AF44" s="105"/>
      <c r="AG44" s="105"/>
      <c r="AH44" s="105"/>
      <c r="AI44" s="20">
        <f>Z44*2</f>
        <v>0</v>
      </c>
      <c r="AJ44" s="105">
        <f>(AQ44+IF(MID(E44,3,1)="2",6,IF(MID(E44,3,1)="3",9,0)))*(1-입력란!$P$10/100)</f>
        <v>14.8196650788</v>
      </c>
      <c r="AK44" s="105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" s="105">
        <f>입력란!$P$24+입력란!$P$16+IF(입력란!$C$18=1,10,IF(입력란!$C$18=2,25,IF(입력란!$C$18=3,50,0)))+IF(입력란!$C$23&lt;&gt;0,-12)</f>
        <v>380.66103559999999</v>
      </c>
      <c r="AM44" s="105">
        <f>SUM(AN44:AP44)</f>
        <v>76825.824272495403</v>
      </c>
      <c r="AN44" s="105">
        <f>(VLOOKUP(C44,$B$4:$AJ$7,3,FALSE)+VLOOKUP(C44,$B$8:$AJ$11,3,FALSE)*입력란!$P$4)*입력란!$P$25/100</f>
        <v>76825.824272495403</v>
      </c>
      <c r="AO44" s="105"/>
      <c r="AP44" s="105"/>
      <c r="AQ44" s="22">
        <v>6</v>
      </c>
    </row>
    <row r="45" spans="2:43" ht="13.5" customHeight="1" x14ac:dyDescent="0.55000000000000004">
      <c r="B45" s="66">
        <v>30</v>
      </c>
      <c r="C45" s="29">
        <v>10</v>
      </c>
      <c r="D45" s="30" t="s">
        <v>92</v>
      </c>
      <c r="E45" s="27" t="s">
        <v>94</v>
      </c>
      <c r="F45" s="29"/>
      <c r="G45" s="29"/>
      <c r="H45" s="36">
        <f>I45/AJ45</f>
        <v>45121.051653256494</v>
      </c>
      <c r="I45" s="37">
        <f>SUM(J45:Q45)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267471.54940179852</v>
      </c>
      <c r="J45" s="21">
        <f>S45*(1+IF($AK45+IF(입력란!$C$26=1,10,0)&gt;100,100,$AK45+IF(입력란!$C$26=1,10,0))/100*(($AL45+IF(입력란!$C$30=1,17,IF(입력란!$C$30=2,20,IF(입력란!$C$30=3,22,0))))/100-1))</f>
        <v>189414.02832787941</v>
      </c>
      <c r="K45" s="21"/>
      <c r="L45" s="21"/>
      <c r="M45" s="21"/>
      <c r="N45" s="21"/>
      <c r="O45" s="21"/>
      <c r="P45" s="21"/>
      <c r="Q45" s="105">
        <f>Z45*(1+IF($AK45+IF(입력란!$C$26=1,10,IF(MID($E45,1,1)="3",10,0))&gt;100,100,$AK45+IF(입력란!$C$26=1,10,IF(MID($E45,1,1)="3",10,0)))/100*(($AL45+IF(입력란!$C$30=1,17,IF(입력란!$C$30=2,20,IF(입력란!$C$30=3,22,0))))/100-1))</f>
        <v>0</v>
      </c>
      <c r="R45" s="19">
        <f>SUM(S45:Z45)</f>
        <v>76855.824272495403</v>
      </c>
      <c r="S45" s="21">
        <f>AN45*IF(입력란!$C$12=0,1,IF(입력란!$C$12=1,1.35,IF(입력란!$C$12=2,1.55,IF(입력란!$C$12=3,1.75,1))))*IF(MID(E45,3,1)="1",트라이포드!$J$6,IF(MID(E45,3,1)="2",트라이포드!$L$6,IF(MID(E45,3,1)="3",트라이포드!$N$6,1)))*IF(MID(E45,5,1)="1",트라이포드!$P$6,트라이포드!$O$6)</f>
        <v>76855.824272495403</v>
      </c>
      <c r="T45" s="21"/>
      <c r="U45" s="21"/>
      <c r="V45" s="21"/>
      <c r="W45" s="21"/>
      <c r="X45" s="21"/>
      <c r="Y45" s="21"/>
      <c r="Z45" s="20">
        <f>AN45*IF(입력란!$C$12=0,1,IF(입력란!$C$12=1,1.35,IF(입력란!$C$12=2,1.55,IF(입력란!$C$12=3,1.75,1))))*IF(MID(E45,3,1)="1",트라이포드!$J$6,IF(MID(E45,3,1)="2",트라이포드!$L$6,IF(MID(E45,3,1)="3",트라이포드!$N$6,1)))*IF(MID(E45,5,1)="2",트라이포드!R$6,트라이포드!Q$6)</f>
        <v>0</v>
      </c>
      <c r="AA45" s="21">
        <f>SUM(AB45:AI45)</f>
        <v>153711.64854499081</v>
      </c>
      <c r="AB45" s="21">
        <f>S45*2</f>
        <v>153711.64854499081</v>
      </c>
      <c r="AC45" s="21"/>
      <c r="AD45" s="21"/>
      <c r="AE45" s="21"/>
      <c r="AF45" s="21"/>
      <c r="AG45" s="21"/>
      <c r="AH45" s="21"/>
      <c r="AI45" s="20">
        <f>Z45*2</f>
        <v>0</v>
      </c>
      <c r="AJ45" s="21">
        <f>(AQ45+IF(MID(E45,3,1)="2",6,IF(MID(E45,3,1)="3",9,0)))*(1-입력란!$P$10/100)</f>
        <v>5.9278660315199998</v>
      </c>
      <c r="AK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" s="21">
        <f>입력란!$P$24+입력란!$P$16+IF(입력란!$C$18=1,10,IF(입력란!$C$18=2,25,IF(입력란!$C$18=3,50,0)))+IF(입력란!$C$23&lt;&gt;0,-12)</f>
        <v>380.66103559999999</v>
      </c>
      <c r="AM45" s="21">
        <f>SUM(AN45:AP45)</f>
        <v>76855.824272495403</v>
      </c>
      <c r="AN45" s="21">
        <f>(VLOOKUP(C45,$B$4:$AJ$7,3,FALSE)+VLOOKUP(C45,$B$8:$AJ$11,3,FALSE)*입력란!$P$4)*입력란!$P$25/100</f>
        <v>76855.824272495403</v>
      </c>
      <c r="AO45" s="21"/>
      <c r="AP45" s="21"/>
      <c r="AQ45" s="22">
        <v>6</v>
      </c>
    </row>
    <row r="46" spans="2:43" ht="13.5" customHeight="1" x14ac:dyDescent="0.55000000000000004">
      <c r="B46" s="66">
        <v>31</v>
      </c>
      <c r="C46" s="29">
        <v>10</v>
      </c>
      <c r="D46" s="30" t="s">
        <v>92</v>
      </c>
      <c r="E46" s="27" t="s">
        <v>95</v>
      </c>
      <c r="F46" s="29"/>
      <c r="G46" s="29"/>
      <c r="H46" s="36">
        <f>I46/AJ46</f>
        <v>45121.051653256494</v>
      </c>
      <c r="I46" s="37">
        <f>SUM(J46:Q46)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267471.54940179852</v>
      </c>
      <c r="J46" s="21">
        <f>S46*(1+IF($AK46+IF(입력란!$C$26=1,10,0)&gt;100,100,$AK46+IF(입력란!$C$26=1,10,0))/100*(($AL46+IF(입력란!$C$30=1,17,IF(입력란!$C$30=2,20,IF(입력란!$C$30=3,22,0))))/100-1))</f>
        <v>189414.02832787941</v>
      </c>
      <c r="K46" s="21"/>
      <c r="L46" s="21"/>
      <c r="M46" s="21"/>
      <c r="N46" s="21"/>
      <c r="O46" s="21"/>
      <c r="P46" s="21"/>
      <c r="Q46" s="105">
        <f>Z46*(1+IF($AK46+IF(입력란!$C$26=1,10,IF(MID($E46,1,1)="3",10,0))&gt;100,100,$AK46+IF(입력란!$C$26=1,10,IF(MID($E46,1,1)="3",10,0)))/100*(($AL46+IF(입력란!$C$30=1,17,IF(입력란!$C$30=2,20,IF(입력란!$C$30=3,22,0))))/100-1))</f>
        <v>0</v>
      </c>
      <c r="R46" s="19">
        <f>SUM(S46:Z46)</f>
        <v>76855.824272495403</v>
      </c>
      <c r="S46" s="21">
        <f>AN46*IF(입력란!$C$12=0,1,IF(입력란!$C$12=1,1.35,IF(입력란!$C$12=2,1.55,IF(입력란!$C$12=3,1.75,1))))*IF(MID(E46,3,1)="1",트라이포드!$J$6,IF(MID(E46,3,1)="2",트라이포드!$L$6,IF(MID(E46,3,1)="3",트라이포드!$N$6,1)))*IF(MID(E46,5,1)="1",트라이포드!$P$6,트라이포드!$O$6)</f>
        <v>76855.824272495403</v>
      </c>
      <c r="T46" s="21"/>
      <c r="U46" s="21"/>
      <c r="V46" s="21"/>
      <c r="W46" s="21"/>
      <c r="X46" s="21"/>
      <c r="Y46" s="21"/>
      <c r="Z46" s="20">
        <f>AN46*IF(입력란!$C$12=0,1,IF(입력란!$C$12=1,1.35,IF(입력란!$C$12=2,1.55,IF(입력란!$C$12=3,1.75,1))))*IF(MID(E46,3,1)="1",트라이포드!$J$6,IF(MID(E46,3,1)="2",트라이포드!$L$6,IF(MID(E46,3,1)="3",트라이포드!$N$6,1)))*IF(MID(E46,5,1)="2",트라이포드!R$6,트라이포드!Q$6)</f>
        <v>0</v>
      </c>
      <c r="AA46" s="21">
        <f>SUM(AB46:AI46)</f>
        <v>153711.64854499081</v>
      </c>
      <c r="AB46" s="21">
        <f>S46*2</f>
        <v>153711.64854499081</v>
      </c>
      <c r="AC46" s="21"/>
      <c r="AD46" s="21"/>
      <c r="AE46" s="21"/>
      <c r="AF46" s="21"/>
      <c r="AG46" s="21"/>
      <c r="AH46" s="21"/>
      <c r="AI46" s="20">
        <f>Z46*2</f>
        <v>0</v>
      </c>
      <c r="AJ46" s="21">
        <f>(AQ46+IF(MID(E46,3,1)="2",6,IF(MID(E46,3,1)="3",9,0)))*(1-입력란!$P$10/100)</f>
        <v>5.9278660315199998</v>
      </c>
      <c r="AK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" s="21">
        <f>입력란!$P$24+입력란!$P$16+IF(입력란!$C$18=1,10,IF(입력란!$C$18=2,25,IF(입력란!$C$18=3,50,0)))+IF(입력란!$C$23&lt;&gt;0,-12)</f>
        <v>380.66103559999999</v>
      </c>
      <c r="AM46" s="21">
        <f>SUM(AN46:AP46)</f>
        <v>76855.824272495403</v>
      </c>
      <c r="AN46" s="21">
        <f>(VLOOKUP(C46,$B$4:$AJ$7,3,FALSE)+VLOOKUP(C46,$B$8:$AJ$11,3,FALSE)*입력란!$P$4)*입력란!$P$25/100</f>
        <v>76855.824272495403</v>
      </c>
      <c r="AO46" s="21"/>
      <c r="AP46" s="21"/>
      <c r="AQ46" s="22">
        <v>6</v>
      </c>
    </row>
    <row r="47" spans="2:43" ht="13.5" customHeight="1" x14ac:dyDescent="0.55000000000000004">
      <c r="B47" s="66">
        <v>32</v>
      </c>
      <c r="C47" s="29">
        <v>10</v>
      </c>
      <c r="D47" s="30" t="s">
        <v>92</v>
      </c>
      <c r="E47" s="27" t="s">
        <v>99</v>
      </c>
      <c r="F47" s="29"/>
      <c r="G47" s="29"/>
      <c r="H47" s="36">
        <f>I47/AJ47</f>
        <v>67681.577479884756</v>
      </c>
      <c r="I47" s="37">
        <f>SUM(J47:Q47)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401207.32410269784</v>
      </c>
      <c r="J47" s="21">
        <f>S47*(1+IF($AK47+IF(입력란!$C$26=1,10,0)&gt;100,100,$AK47+IF(입력란!$C$26=1,10,0))/100*(($AL47+IF(입력란!$C$30=1,17,IF(입력란!$C$30=2,20,IF(입력란!$C$30=3,22,0))))/100-1))</f>
        <v>284121.04249181913</v>
      </c>
      <c r="K47" s="21"/>
      <c r="L47" s="21"/>
      <c r="M47" s="21"/>
      <c r="N47" s="21"/>
      <c r="O47" s="21"/>
      <c r="P47" s="21"/>
      <c r="Q47" s="105">
        <f>Z47*(1+IF($AK47+IF(입력란!$C$26=1,10,IF(MID($E47,1,1)="3",10,0))&gt;100,100,$AK47+IF(입력란!$C$26=1,10,IF(MID($E47,1,1)="3",10,0)))/100*(($AL47+IF(입력란!$C$30=1,17,IF(입력란!$C$30=2,20,IF(입력란!$C$30=3,22,0))))/100-1))</f>
        <v>0</v>
      </c>
      <c r="R47" s="19">
        <f>SUM(S47:Z47)</f>
        <v>115283.73640874311</v>
      </c>
      <c r="S47" s="21">
        <f>AN47*IF(입력란!$C$12=0,1,IF(입력란!$C$12=1,1.35,IF(입력란!$C$12=2,1.55,IF(입력란!$C$12=3,1.75,1))))*IF(MID(E47,3,1)="1",트라이포드!$J$6,IF(MID(E47,3,1)="2",트라이포드!$L$6,IF(MID(E47,3,1)="3",트라이포드!$N$6,1)))*IF(MID(E47,5,1)="1",트라이포드!$P$6,트라이포드!$O$6)</f>
        <v>115283.73640874311</v>
      </c>
      <c r="T47" s="21"/>
      <c r="U47" s="21"/>
      <c r="V47" s="21"/>
      <c r="W47" s="21"/>
      <c r="X47" s="21"/>
      <c r="Y47" s="21"/>
      <c r="Z47" s="20">
        <f>AN47*IF(입력란!$C$12=0,1,IF(입력란!$C$12=1,1.35,IF(입력란!$C$12=2,1.55,IF(입력란!$C$12=3,1.75,1))))*IF(MID(E47,3,1)="1",트라이포드!$J$6,IF(MID(E47,3,1)="2",트라이포드!$L$6,IF(MID(E47,3,1)="3",트라이포드!$N$6,1)))*IF(MID(E47,5,1)="2",트라이포드!R$6,트라이포드!Q$6)</f>
        <v>0</v>
      </c>
      <c r="AA47" s="21">
        <f>SUM(AB47:AI47)</f>
        <v>230567.47281748621</v>
      </c>
      <c r="AB47" s="21">
        <f>S47*2</f>
        <v>230567.47281748621</v>
      </c>
      <c r="AC47" s="21"/>
      <c r="AD47" s="21"/>
      <c r="AE47" s="21"/>
      <c r="AF47" s="21"/>
      <c r="AG47" s="21"/>
      <c r="AH47" s="21"/>
      <c r="AI47" s="20">
        <f>Z47*2</f>
        <v>0</v>
      </c>
      <c r="AJ47" s="21">
        <f>(AQ47+IF(MID(E47,3,1)="2",6,IF(MID(E47,3,1)="3",9,0)))*(1-입력란!$P$10/100)</f>
        <v>5.9278660315199998</v>
      </c>
      <c r="AK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" s="21">
        <f>입력란!$P$24+입력란!$P$16+IF(입력란!$C$18=1,10,IF(입력란!$C$18=2,25,IF(입력란!$C$18=3,50,0)))+IF(입력란!$C$23&lt;&gt;0,-12)</f>
        <v>380.66103559999999</v>
      </c>
      <c r="AM47" s="21">
        <f>SUM(AN47:AP47)</f>
        <v>76855.824272495403</v>
      </c>
      <c r="AN47" s="21">
        <f>(VLOOKUP(C47,$B$4:$AJ$7,3,FALSE)+VLOOKUP(C47,$B$8:$AJ$11,3,FALSE)*입력란!$P$4)*입력란!$P$25/100</f>
        <v>76855.824272495403</v>
      </c>
      <c r="AO47" s="21"/>
      <c r="AP47" s="21"/>
      <c r="AQ47" s="22">
        <v>6</v>
      </c>
    </row>
    <row r="48" spans="2:43" ht="13.5" customHeight="1" x14ac:dyDescent="0.55000000000000004">
      <c r="B48" s="66">
        <v>33</v>
      </c>
      <c r="C48" s="29">
        <v>10</v>
      </c>
      <c r="D48" s="30" t="s">
        <v>92</v>
      </c>
      <c r="E48" s="27" t="s">
        <v>108</v>
      </c>
      <c r="F48" s="29"/>
      <c r="G48" s="29"/>
      <c r="H48" s="36">
        <f>I48/AJ48</f>
        <v>11280.262913314124</v>
      </c>
      <c r="I48" s="37">
        <f>SUM(J48:Q48)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133735.77470089926</v>
      </c>
      <c r="J48" s="21">
        <f>S48*(1+IF($AK48+IF(입력란!$C$26=1,10,0)&gt;100,100,$AK48+IF(입력란!$C$26=1,10,0))/100*(($AL48+IF(입력란!$C$30=1,17,IF(입력란!$C$30=2,20,IF(입력란!$C$30=3,22,0))))/100-1))</f>
        <v>94707.014163939704</v>
      </c>
      <c r="K48" s="21"/>
      <c r="L48" s="21"/>
      <c r="M48" s="21"/>
      <c r="N48" s="21"/>
      <c r="O48" s="21"/>
      <c r="P48" s="21"/>
      <c r="Q48" s="105">
        <f>Z48*(1+IF($AK48+IF(입력란!$C$26=1,10,IF(MID($E48,1,1)="3",10,0))&gt;100,100,$AK48+IF(입력란!$C$26=1,10,IF(MID($E48,1,1)="3",10,0)))/100*(($AL48+IF(입력란!$C$30=1,17,IF(입력란!$C$30=2,20,IF(입력란!$C$30=3,22,0))))/100-1))</f>
        <v>0</v>
      </c>
      <c r="R48" s="19">
        <f>SUM(S48:Z48)</f>
        <v>38427.912136247702</v>
      </c>
      <c r="S48" s="21">
        <f>AN48*IF(입력란!$C$12=0,1,IF(입력란!$C$12=1,1.35,IF(입력란!$C$12=2,1.55,IF(입력란!$C$12=3,1.75,1))))*IF(MID(E48,3,1)="1",트라이포드!$J$6,IF(MID(E48,3,1)="2",트라이포드!$L$6,IF(MID(E48,3,1)="3",트라이포드!$N$6,1)))*IF(MID(E48,5,1)="1",트라이포드!$P$6,트라이포드!$O$6)</f>
        <v>38427.912136247702</v>
      </c>
      <c r="T48" s="21"/>
      <c r="U48" s="21"/>
      <c r="V48" s="21"/>
      <c r="W48" s="21"/>
      <c r="X48" s="21"/>
      <c r="Y48" s="21"/>
      <c r="Z48" s="20">
        <f>AN48*IF(입력란!$C$12=0,1,IF(입력란!$C$12=1,1.35,IF(입력란!$C$12=2,1.55,IF(입력란!$C$12=3,1.75,1))))*IF(MID(E48,3,1)="1",트라이포드!$J$6,IF(MID(E48,3,1)="2",트라이포드!$L$6,IF(MID(E48,3,1)="3",트라이포드!$N$6,1)))*IF(MID(E48,5,1)="2",트라이포드!R$6,트라이포드!Q$6)</f>
        <v>0</v>
      </c>
      <c r="AA48" s="21">
        <f>SUM(AB48:AI48)</f>
        <v>76855.824272495403</v>
      </c>
      <c r="AB48" s="21">
        <f>S48*2</f>
        <v>76855.824272495403</v>
      </c>
      <c r="AC48" s="21"/>
      <c r="AD48" s="21"/>
      <c r="AE48" s="21"/>
      <c r="AF48" s="21"/>
      <c r="AG48" s="21"/>
      <c r="AH48" s="21"/>
      <c r="AI48" s="20">
        <f>Z48*2</f>
        <v>0</v>
      </c>
      <c r="AJ48" s="21">
        <f>(AQ48+IF(MID(E48,3,1)="2",6,IF(MID(E48,3,1)="3",9,0)))*(1-입력란!$P$10/100)</f>
        <v>11.85573206304</v>
      </c>
      <c r="AK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" s="21">
        <f>입력란!$P$24+입력란!$P$16+IF(입력란!$C$18=1,10,IF(입력란!$C$18=2,25,IF(입력란!$C$18=3,50,0)))+IF(입력란!$C$23&lt;&gt;0,-12)</f>
        <v>380.66103559999999</v>
      </c>
      <c r="AM48" s="21">
        <f>SUM(AN48:AP48)</f>
        <v>76855.824272495403</v>
      </c>
      <c r="AN48" s="21">
        <f>(VLOOKUP(C48,$B$4:$AJ$7,3,FALSE)+VLOOKUP(C48,$B$8:$AJ$11,3,FALSE)*입력란!$P$4)*입력란!$P$25/100</f>
        <v>76855.824272495403</v>
      </c>
      <c r="AO48" s="21"/>
      <c r="AP48" s="21"/>
      <c r="AQ48" s="22">
        <v>6</v>
      </c>
    </row>
    <row r="49" spans="2:43" ht="13.5" customHeight="1" x14ac:dyDescent="0.55000000000000004">
      <c r="B49" s="66">
        <v>34</v>
      </c>
      <c r="C49" s="29">
        <v>10</v>
      </c>
      <c r="D49" s="30" t="s">
        <v>92</v>
      </c>
      <c r="E49" s="27" t="s">
        <v>109</v>
      </c>
      <c r="F49" s="29"/>
      <c r="G49" s="29"/>
      <c r="H49" s="36">
        <f>I49/AJ49</f>
        <v>4512.10516532565</v>
      </c>
      <c r="I49" s="37">
        <f>SUM(J49:Q49)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66867.88735044963</v>
      </c>
      <c r="J49" s="21">
        <f>S49*(1+IF($AK49+IF(입력란!$C$26=1,10,0)&gt;100,100,$AK49+IF(입력란!$C$26=1,10,0))/100*(($AL49+IF(입력란!$C$30=1,17,IF(입력란!$C$30=2,20,IF(입력란!$C$30=3,22,0))))/100-1))</f>
        <v>47353.507081969852</v>
      </c>
      <c r="K49" s="21"/>
      <c r="L49" s="21"/>
      <c r="M49" s="21"/>
      <c r="N49" s="21"/>
      <c r="O49" s="21"/>
      <c r="P49" s="21"/>
      <c r="Q49" s="105">
        <f>Z49*(1+IF($AK49+IF(입력란!$C$26=1,10,IF(MID($E49,1,1)="3",10,0))&gt;100,100,$AK49+IF(입력란!$C$26=1,10,IF(MID($E49,1,1)="3",10,0)))/100*(($AL49+IF(입력란!$C$30=1,17,IF(입력란!$C$30=2,20,IF(입력란!$C$30=3,22,0))))/100-1))</f>
        <v>0</v>
      </c>
      <c r="R49" s="19">
        <f>SUM(S49:Z49)</f>
        <v>19213.956068123851</v>
      </c>
      <c r="S49" s="21">
        <f>AN49*IF(입력란!$C$12=0,1,IF(입력란!$C$12=1,1.35,IF(입력란!$C$12=2,1.55,IF(입력란!$C$12=3,1.75,1))))*IF(MID(E49,3,1)="1",트라이포드!$J$6,IF(MID(E49,3,1)="2",트라이포드!$L$6,IF(MID(E49,3,1)="3",트라이포드!$N$6,1)))*IF(MID(E49,5,1)="1",트라이포드!$P$6,트라이포드!$O$6)</f>
        <v>19213.956068123851</v>
      </c>
      <c r="T49" s="21"/>
      <c r="U49" s="21"/>
      <c r="V49" s="21"/>
      <c r="W49" s="21"/>
      <c r="X49" s="21"/>
      <c r="Y49" s="21"/>
      <c r="Z49" s="20">
        <f>AN49*IF(입력란!$C$12=0,1,IF(입력란!$C$12=1,1.35,IF(입력란!$C$12=2,1.55,IF(입력란!$C$12=3,1.75,1))))*IF(MID(E49,3,1)="1",트라이포드!$J$6,IF(MID(E49,3,1)="2",트라이포드!$L$6,IF(MID(E49,3,1)="3",트라이포드!$N$6,1)))*IF(MID(E49,5,1)="2",트라이포드!R$6,트라이포드!Q$6)</f>
        <v>0</v>
      </c>
      <c r="AA49" s="21">
        <f>SUM(AB49:AI49)</f>
        <v>38427.912136247702</v>
      </c>
      <c r="AB49" s="21">
        <f>S49*2</f>
        <v>38427.912136247702</v>
      </c>
      <c r="AC49" s="21"/>
      <c r="AD49" s="21"/>
      <c r="AE49" s="21"/>
      <c r="AF49" s="21"/>
      <c r="AG49" s="21"/>
      <c r="AH49" s="21"/>
      <c r="AI49" s="20">
        <f>Z49*2</f>
        <v>0</v>
      </c>
      <c r="AJ49" s="21">
        <f>(AQ49+IF(MID(E49,3,1)="2",6,IF(MID(E49,3,1)="3",9,0)))*(1-입력란!$P$10/100)</f>
        <v>14.8196650788</v>
      </c>
      <c r="AK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9" s="21">
        <f>입력란!$P$24+입력란!$P$16+IF(입력란!$C$18=1,10,IF(입력란!$C$18=2,25,IF(입력란!$C$18=3,50,0)))+IF(입력란!$C$23&lt;&gt;0,-12)</f>
        <v>380.66103559999999</v>
      </c>
      <c r="AM49" s="21">
        <f>SUM(AN49:AP49)</f>
        <v>76855.824272495403</v>
      </c>
      <c r="AN49" s="21">
        <f>(VLOOKUP(C49,$B$4:$AJ$7,3,FALSE)+VLOOKUP(C49,$B$8:$AJ$11,3,FALSE)*입력란!$P$4)*입력란!$P$25/100</f>
        <v>76855.824272495403</v>
      </c>
      <c r="AO49" s="21"/>
      <c r="AP49" s="21"/>
      <c r="AQ49" s="22">
        <v>6</v>
      </c>
    </row>
    <row r="50" spans="2:43" ht="13.5" customHeight="1" x14ac:dyDescent="0.55000000000000004">
      <c r="B50" s="66">
        <v>35</v>
      </c>
      <c r="C50" s="29">
        <v>10</v>
      </c>
      <c r="D50" s="30" t="s">
        <v>92</v>
      </c>
      <c r="E50" s="27" t="s">
        <v>110</v>
      </c>
      <c r="F50" s="29"/>
      <c r="G50" s="29"/>
      <c r="H50" s="36">
        <f>I50/AJ50</f>
        <v>54145.261983907803</v>
      </c>
      <c r="I50" s="37">
        <f>SUM(J50:Q50)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320965.85928215826</v>
      </c>
      <c r="J50" s="21">
        <f>S50*(1+IF($AK50+IF(입력란!$C$26=1,10,0)&gt;100,100,$AK50+IF(입력란!$C$26=1,10,0))/100*(($AL50+IF(입력란!$C$30=1,17,IF(입력란!$C$30=2,20,IF(입력란!$C$30=3,22,0))))/100-1))</f>
        <v>227296.83399345528</v>
      </c>
      <c r="K50" s="21"/>
      <c r="L50" s="21"/>
      <c r="M50" s="21"/>
      <c r="N50" s="21"/>
      <c r="O50" s="21"/>
      <c r="P50" s="21"/>
      <c r="Q50" s="105">
        <f>Z50*(1+IF($AK50+IF(입력란!$C$26=1,10,IF(MID($E50,1,1)="3",10,0))&gt;100,100,$AK50+IF(입력란!$C$26=1,10,IF(MID($E50,1,1)="3",10,0)))/100*(($AL50+IF(입력란!$C$30=1,17,IF(입력란!$C$30=2,20,IF(입력란!$C$30=3,22,0))))/100-1))</f>
        <v>0</v>
      </c>
      <c r="R50" s="19">
        <f>SUM(S50:Z50)</f>
        <v>92226.989126994478</v>
      </c>
      <c r="S50" s="21">
        <f>AN50*IF(입력란!$C$12=0,1,IF(입력란!$C$12=1,1.35,IF(입력란!$C$12=2,1.55,IF(입력란!$C$12=3,1.75,1))))*IF(MID(E50,3,1)="1",트라이포드!$J$6,IF(MID(E50,3,1)="2",트라이포드!$L$6,IF(MID(E50,3,1)="3",트라이포드!$N$6,1)))*IF(MID(E50,5,1)="1",트라이포드!$P$6,트라이포드!$O$6)</f>
        <v>92226.989126994478</v>
      </c>
      <c r="T50" s="21"/>
      <c r="U50" s="21"/>
      <c r="V50" s="21"/>
      <c r="W50" s="21"/>
      <c r="X50" s="21"/>
      <c r="Y50" s="21"/>
      <c r="Z50" s="20">
        <f>AN50*IF(입력란!$C$12=0,1,IF(입력란!$C$12=1,1.35,IF(입력란!$C$12=2,1.55,IF(입력란!$C$12=3,1.75,1))))*IF(MID(E50,3,1)="1",트라이포드!$J$6,IF(MID(E50,3,1)="2",트라이포드!$L$6,IF(MID(E50,3,1)="3",트라이포드!$N$6,1)))*IF(MID(E50,5,1)="2",트라이포드!R$6,트라이포드!Q$6)</f>
        <v>0</v>
      </c>
      <c r="AA50" s="21">
        <f>SUM(AB50:AI50)</f>
        <v>184453.97825398896</v>
      </c>
      <c r="AB50" s="21">
        <f>S50*2</f>
        <v>184453.97825398896</v>
      </c>
      <c r="AC50" s="21"/>
      <c r="AD50" s="21"/>
      <c r="AE50" s="21"/>
      <c r="AF50" s="21"/>
      <c r="AG50" s="21"/>
      <c r="AH50" s="21"/>
      <c r="AI50" s="20">
        <f>Z50*2</f>
        <v>0</v>
      </c>
      <c r="AJ50" s="21">
        <f>(AQ50+IF(MID(E50,3,1)="2",6,IF(MID(E50,3,1)="3",9,0)))*(1-입력란!$P$10/100)</f>
        <v>5.9278660315199998</v>
      </c>
      <c r="AK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0" s="21">
        <f>입력란!$P$24+입력란!$P$16+IF(입력란!$C$18=1,10,IF(입력란!$C$18=2,25,IF(입력란!$C$18=3,50,0)))+IF(입력란!$C$23&lt;&gt;0,-12)</f>
        <v>380.66103559999999</v>
      </c>
      <c r="AM50" s="21">
        <f>SUM(AN50:AP50)</f>
        <v>76855.824272495403</v>
      </c>
      <c r="AN50" s="21">
        <f>(VLOOKUP(C50,$B$4:$AJ$7,3,FALSE)+VLOOKUP(C50,$B$8:$AJ$11,3,FALSE)*입력란!$P$4)*입력란!$P$25/100</f>
        <v>76855.824272495403</v>
      </c>
      <c r="AO50" s="21"/>
      <c r="AP50" s="21"/>
      <c r="AQ50" s="22">
        <v>6</v>
      </c>
    </row>
    <row r="51" spans="2:43" ht="13.5" customHeight="1" x14ac:dyDescent="0.55000000000000004">
      <c r="B51" s="66">
        <v>36</v>
      </c>
      <c r="C51" s="29">
        <v>10</v>
      </c>
      <c r="D51" s="30" t="s">
        <v>92</v>
      </c>
      <c r="E51" s="27" t="s">
        <v>111</v>
      </c>
      <c r="F51" s="29"/>
      <c r="G51" s="29"/>
      <c r="H51" s="36">
        <f>I51/AJ51</f>
        <v>90242.103306512989</v>
      </c>
      <c r="I51" s="37">
        <f>SUM(J51:Q51)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534943.09880359704</v>
      </c>
      <c r="J51" s="21">
        <f>S51*(1+IF($AK51+IF(입력란!$C$26=1,10,0)&gt;100,100,$AK51+IF(입력란!$C$26=1,10,0))/100*(($AL51+IF(입력란!$C$30=1,17,IF(입력란!$C$30=2,20,IF(입력란!$C$30=3,22,0))))/100-1))</f>
        <v>189414.02832787941</v>
      </c>
      <c r="K51" s="21"/>
      <c r="L51" s="21"/>
      <c r="M51" s="21"/>
      <c r="N51" s="21"/>
      <c r="O51" s="21"/>
      <c r="P51" s="21"/>
      <c r="Q51" s="105">
        <f>Z51*(1+IF($AK51+IF(입력란!$C$26=1,10,IF(MID($E51,1,1)="3",10,0))&gt;100,100,$AK51+IF(입력란!$C$26=1,10,IF(MID($E51,1,1)="3",10,0)))/100*(($AL51+IF(입력란!$C$30=1,17,IF(입력란!$C$30=2,20,IF(입력란!$C$30=3,22,0))))/100-1))</f>
        <v>189414.02832787941</v>
      </c>
      <c r="R51" s="19">
        <f>SUM(S51:Z51)</f>
        <v>153711.64854499081</v>
      </c>
      <c r="S51" s="21">
        <f>AN51*IF(입력란!$C$12=0,1,IF(입력란!$C$12=1,1.35,IF(입력란!$C$12=2,1.55,IF(입력란!$C$12=3,1.75,1))))*IF(MID(E51,3,1)="1",트라이포드!$J$6,IF(MID(E51,3,1)="2",트라이포드!$L$6,IF(MID(E51,3,1)="3",트라이포드!$N$6,1)))*IF(MID(E51,5,1)="1",트라이포드!$P$6,트라이포드!$O$6)</f>
        <v>76855.824272495403</v>
      </c>
      <c r="T51" s="21"/>
      <c r="U51" s="21"/>
      <c r="V51" s="21"/>
      <c r="W51" s="21"/>
      <c r="X51" s="21"/>
      <c r="Y51" s="21"/>
      <c r="Z51" s="20">
        <f>AN51*IF(입력란!$C$12=0,1,IF(입력란!$C$12=1,1.35,IF(입력란!$C$12=2,1.55,IF(입력란!$C$12=3,1.75,1))))*IF(MID(E51,3,1)="1",트라이포드!$J$6,IF(MID(E51,3,1)="2",트라이포드!$L$6,IF(MID(E51,3,1)="3",트라이포드!$N$6,1)))*IF(MID(E51,5,1)="2",트라이포드!R$6,트라이포드!Q$6)</f>
        <v>76855.824272495403</v>
      </c>
      <c r="AA51" s="21">
        <f>SUM(AB51:AI51)</f>
        <v>307423.29708998161</v>
      </c>
      <c r="AB51" s="21">
        <f>S51*2</f>
        <v>153711.64854499081</v>
      </c>
      <c r="AC51" s="21"/>
      <c r="AD51" s="21"/>
      <c r="AE51" s="21"/>
      <c r="AF51" s="21"/>
      <c r="AG51" s="21"/>
      <c r="AH51" s="21"/>
      <c r="AI51" s="20">
        <f>Z51*2</f>
        <v>153711.64854499081</v>
      </c>
      <c r="AJ51" s="21">
        <f>(AQ51+IF(MID(E51,3,1)="2",6,IF(MID(E51,3,1)="3",9,0)))*(1-입력란!$P$10/100)</f>
        <v>5.9278660315199998</v>
      </c>
      <c r="AK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" s="21">
        <f>입력란!$P$24+입력란!$P$16+IF(입력란!$C$18=1,10,IF(입력란!$C$18=2,25,IF(입력란!$C$18=3,50,0)))+IF(입력란!$C$23&lt;&gt;0,-12)</f>
        <v>380.66103559999999</v>
      </c>
      <c r="AM51" s="21">
        <f>SUM(AN51:AP51)</f>
        <v>76855.824272495403</v>
      </c>
      <c r="AN51" s="21">
        <f>(VLOOKUP(C51,$B$4:$AJ$7,3,FALSE)+VLOOKUP(C51,$B$8:$AJ$11,3,FALSE)*입력란!$P$4)*입력란!$P$25/100</f>
        <v>76855.824272495403</v>
      </c>
      <c r="AO51" s="21"/>
      <c r="AP51" s="21"/>
      <c r="AQ51" s="22">
        <v>6</v>
      </c>
    </row>
    <row r="52" spans="2:43" ht="13.5" customHeight="1" x14ac:dyDescent="0.55000000000000004">
      <c r="B52" s="66">
        <v>37</v>
      </c>
      <c r="C52" s="29">
        <v>10</v>
      </c>
      <c r="D52" s="30" t="s">
        <v>92</v>
      </c>
      <c r="E52" s="27" t="s">
        <v>112</v>
      </c>
      <c r="F52" s="29"/>
      <c r="G52" s="29"/>
      <c r="H52" s="36">
        <f>I52/AJ52</f>
        <v>81217.892975861716</v>
      </c>
      <c r="I52" s="37">
        <f>SUM(J52:Q52)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481448.78892323741</v>
      </c>
      <c r="J52" s="21">
        <f>S52*(1+IF($AK52+IF(입력란!$C$26=1,10,0)&gt;100,100,$AK52+IF(입력란!$C$26=1,10,0))/100*(($AL52+IF(입력란!$C$30=1,17,IF(입력란!$C$30=2,20,IF(입력란!$C$30=3,22,0))))/100-1))</f>
        <v>340945.25099018298</v>
      </c>
      <c r="K52" s="21"/>
      <c r="L52" s="21"/>
      <c r="M52" s="21"/>
      <c r="N52" s="21"/>
      <c r="O52" s="21"/>
      <c r="P52" s="21"/>
      <c r="Q52" s="105">
        <f>Z52*(1+IF($AK52+IF(입력란!$C$26=1,10,IF(MID($E52,1,1)="3",10,0))&gt;100,100,$AK52+IF(입력란!$C$26=1,10,IF(MID($E52,1,1)="3",10,0)))/100*(($AL52+IF(입력란!$C$30=1,17,IF(입력란!$C$30=2,20,IF(입력란!$C$30=3,22,0))))/100-1))</f>
        <v>0</v>
      </c>
      <c r="R52" s="19">
        <f>SUM(S52:Z52)</f>
        <v>138340.48369049173</v>
      </c>
      <c r="S52" s="21">
        <f>AN52*IF(입력란!$C$12=0,1,IF(입력란!$C$12=1,1.35,IF(입력란!$C$12=2,1.55,IF(입력란!$C$12=3,1.75,1))))*IF(MID(E52,3,1)="1",트라이포드!$J$6,IF(MID(E52,3,1)="2",트라이포드!$L$6,IF(MID(E52,3,1)="3",트라이포드!$N$6,1)))*IF(MID(E52,5,1)="1",트라이포드!$P$6,트라이포드!$O$6)</f>
        <v>138340.48369049173</v>
      </c>
      <c r="T52" s="21"/>
      <c r="U52" s="21"/>
      <c r="V52" s="21"/>
      <c r="W52" s="21"/>
      <c r="X52" s="21"/>
      <c r="Y52" s="21"/>
      <c r="Z52" s="20">
        <f>AN52*IF(입력란!$C$12=0,1,IF(입력란!$C$12=1,1.35,IF(입력란!$C$12=2,1.55,IF(입력란!$C$12=3,1.75,1))))*IF(MID(E52,3,1)="1",트라이포드!$J$6,IF(MID(E52,3,1)="2",트라이포드!$L$6,IF(MID(E52,3,1)="3",트라이포드!$N$6,1)))*IF(MID(E52,5,1)="2",트라이포드!R$6,트라이포드!Q$6)</f>
        <v>0</v>
      </c>
      <c r="AA52" s="21">
        <f>SUM(AB52:AI52)</f>
        <v>276680.96738098346</v>
      </c>
      <c r="AB52" s="21">
        <f>S52*2</f>
        <v>276680.96738098346</v>
      </c>
      <c r="AC52" s="21"/>
      <c r="AD52" s="21"/>
      <c r="AE52" s="21"/>
      <c r="AF52" s="21"/>
      <c r="AG52" s="21"/>
      <c r="AH52" s="21"/>
      <c r="AI52" s="20">
        <f>Z52*2</f>
        <v>0</v>
      </c>
      <c r="AJ52" s="21">
        <f>(AQ52+IF(MID(E52,3,1)="2",6,IF(MID(E52,3,1)="3",9,0)))*(1-입력란!$P$10/100)</f>
        <v>5.9278660315199998</v>
      </c>
      <c r="AK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" s="21">
        <f>입력란!$P$24+입력란!$P$16+IF(입력란!$C$18=1,10,IF(입력란!$C$18=2,25,IF(입력란!$C$18=3,50,0)))+IF(입력란!$C$23&lt;&gt;0,-12)</f>
        <v>380.66103559999999</v>
      </c>
      <c r="AM52" s="21">
        <f>SUM(AN52:AP52)</f>
        <v>76855.824272495403</v>
      </c>
      <c r="AN52" s="21">
        <f>(VLOOKUP(C52,$B$4:$AJ$7,3,FALSE)+VLOOKUP(C52,$B$8:$AJ$11,3,FALSE)*입력란!$P$4)*입력란!$P$25/100</f>
        <v>76855.824272495403</v>
      </c>
      <c r="AO52" s="21"/>
      <c r="AP52" s="21"/>
      <c r="AQ52" s="22">
        <v>6</v>
      </c>
    </row>
    <row r="53" spans="2:43" ht="13.5" customHeight="1" x14ac:dyDescent="0.55000000000000004">
      <c r="B53" s="66">
        <v>38</v>
      </c>
      <c r="C53" s="29">
        <v>10</v>
      </c>
      <c r="D53" s="30" t="s">
        <v>92</v>
      </c>
      <c r="E53" s="27" t="s">
        <v>119</v>
      </c>
      <c r="F53" s="29"/>
      <c r="G53" s="29"/>
      <c r="H53" s="36">
        <f>I53/AJ53</f>
        <v>135363.15495976951</v>
      </c>
      <c r="I53" s="37">
        <f>SUM(J53:Q53)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802414.64820539567</v>
      </c>
      <c r="J53" s="21">
        <f>S53*(1+IF($AK53+IF(입력란!$C$26=1,10,0)&gt;100,100,$AK53+IF(입력란!$C$26=1,10,0))/100*(($AL53+IF(입력란!$C$30=1,17,IF(입력란!$C$30=2,20,IF(입력란!$C$30=3,22,0))))/100-1))</f>
        <v>284121.04249181913</v>
      </c>
      <c r="K53" s="21"/>
      <c r="L53" s="21"/>
      <c r="M53" s="21"/>
      <c r="N53" s="21"/>
      <c r="O53" s="21"/>
      <c r="P53" s="21"/>
      <c r="Q53" s="105">
        <f>Z53*(1+IF($AK53+IF(입력란!$C$26=1,10,IF(MID($E53,1,1)="3",10,0))&gt;100,100,$AK53+IF(입력란!$C$26=1,10,IF(MID($E53,1,1)="3",10,0)))/100*(($AL53+IF(입력란!$C$30=1,17,IF(입력란!$C$30=2,20,IF(입력란!$C$30=3,22,0))))/100-1))</f>
        <v>284121.04249181913</v>
      </c>
      <c r="R53" s="19">
        <f>SUM(S53:Z53)</f>
        <v>230567.47281748621</v>
      </c>
      <c r="S53" s="21">
        <f>AN53*IF(입력란!$C$12=0,1,IF(입력란!$C$12=1,1.35,IF(입력란!$C$12=2,1.55,IF(입력란!$C$12=3,1.75,1))))*IF(MID(E53,3,1)="1",트라이포드!$J$6,IF(MID(E53,3,1)="2",트라이포드!$L$6,IF(MID(E53,3,1)="3",트라이포드!$N$6,1)))*IF(MID(E53,5,1)="1",트라이포드!$P$6,트라이포드!$O$6)</f>
        <v>115283.73640874311</v>
      </c>
      <c r="T53" s="21"/>
      <c r="U53" s="21"/>
      <c r="V53" s="21"/>
      <c r="W53" s="21"/>
      <c r="X53" s="21"/>
      <c r="Y53" s="21"/>
      <c r="Z53" s="20">
        <f>AN53*IF(입력란!$C$12=0,1,IF(입력란!$C$12=1,1.35,IF(입력란!$C$12=2,1.55,IF(입력란!$C$12=3,1.75,1))))*IF(MID(E53,3,1)="1",트라이포드!$J$6,IF(MID(E53,3,1)="2",트라이포드!$L$6,IF(MID(E53,3,1)="3",트라이포드!$N$6,1)))*IF(MID(E53,5,1)="2",트라이포드!R$6,트라이포드!Q$6)</f>
        <v>115283.73640874311</v>
      </c>
      <c r="AA53" s="21">
        <f>SUM(AB53:AI53)</f>
        <v>461134.94563497242</v>
      </c>
      <c r="AB53" s="21">
        <f>S53*2</f>
        <v>230567.47281748621</v>
      </c>
      <c r="AC53" s="21"/>
      <c r="AD53" s="21"/>
      <c r="AE53" s="21"/>
      <c r="AF53" s="21"/>
      <c r="AG53" s="21"/>
      <c r="AH53" s="21"/>
      <c r="AI53" s="20">
        <f>Z53*2</f>
        <v>230567.47281748621</v>
      </c>
      <c r="AJ53" s="21">
        <f>(AQ53+IF(MID(E53,3,1)="2",6,IF(MID(E53,3,1)="3",9,0)))*(1-입력란!$P$10/100)</f>
        <v>5.9278660315199998</v>
      </c>
      <c r="AK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3" s="21">
        <f>입력란!$P$24+입력란!$P$16+IF(입력란!$C$18=1,10,IF(입력란!$C$18=2,25,IF(입력란!$C$18=3,50,0)))+IF(입력란!$C$23&lt;&gt;0,-12)</f>
        <v>380.66103559999999</v>
      </c>
      <c r="AM53" s="21">
        <f>SUM(AN53:AP53)</f>
        <v>76855.824272495403</v>
      </c>
      <c r="AN53" s="21">
        <f>(VLOOKUP(C53,$B$4:$AJ$7,3,FALSE)+VLOOKUP(C53,$B$8:$AJ$11,3,FALSE)*입력란!$P$4)*입력란!$P$25/100</f>
        <v>76855.824272495403</v>
      </c>
      <c r="AO53" s="21"/>
      <c r="AP53" s="21"/>
      <c r="AQ53" s="22">
        <v>6</v>
      </c>
    </row>
    <row r="54" spans="2:43" ht="13.5" customHeight="1" x14ac:dyDescent="0.55000000000000004">
      <c r="B54" s="66">
        <v>39</v>
      </c>
      <c r="C54" s="29">
        <v>10</v>
      </c>
      <c r="D54" s="30" t="s">
        <v>92</v>
      </c>
      <c r="E54" s="27" t="s">
        <v>114</v>
      </c>
      <c r="F54" s="29"/>
      <c r="G54" s="29"/>
      <c r="H54" s="36">
        <f>I54/AJ54</f>
        <v>13536.315495976951</v>
      </c>
      <c r="I54" s="37">
        <f>SUM(J54:Q54)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160482.92964107913</v>
      </c>
      <c r="J54" s="21">
        <f>S54*(1+IF($AK54+IF(입력란!$C$26=1,10,0)&gt;100,100,$AK54+IF(입력란!$C$26=1,10,0))/100*(($AL54+IF(입력란!$C$30=1,17,IF(입력란!$C$30=2,20,IF(입력란!$C$30=3,22,0))))/100-1))</f>
        <v>113648.41699672764</v>
      </c>
      <c r="K54" s="21"/>
      <c r="L54" s="21"/>
      <c r="M54" s="21"/>
      <c r="N54" s="21"/>
      <c r="O54" s="21"/>
      <c r="P54" s="21"/>
      <c r="Q54" s="105">
        <f>Z54*(1+IF($AK54+IF(입력란!$C$26=1,10,IF(MID($E54,1,1)="3",10,0))&gt;100,100,$AK54+IF(입력란!$C$26=1,10,IF(MID($E54,1,1)="3",10,0)))/100*(($AL54+IF(입력란!$C$30=1,17,IF(입력란!$C$30=2,20,IF(입력란!$C$30=3,22,0))))/100-1))</f>
        <v>0</v>
      </c>
      <c r="R54" s="19">
        <f>SUM(S54:Z54)</f>
        <v>46113.494563497239</v>
      </c>
      <c r="S54" s="21">
        <f>AN54*IF(입력란!$C$12=0,1,IF(입력란!$C$12=1,1.35,IF(입력란!$C$12=2,1.55,IF(입력란!$C$12=3,1.75,1))))*IF(MID(E54,3,1)="1",트라이포드!$J$6,IF(MID(E54,3,1)="2",트라이포드!$L$6,IF(MID(E54,3,1)="3",트라이포드!$N$6,1)))*IF(MID(E54,5,1)="1",트라이포드!$P$6,트라이포드!$O$6)</f>
        <v>46113.494563497239</v>
      </c>
      <c r="T54" s="21"/>
      <c r="U54" s="21"/>
      <c r="V54" s="21"/>
      <c r="W54" s="21"/>
      <c r="X54" s="21"/>
      <c r="Y54" s="21"/>
      <c r="Z54" s="20">
        <f>AN54*IF(입력란!$C$12=0,1,IF(입력란!$C$12=1,1.35,IF(입력란!$C$12=2,1.55,IF(입력란!$C$12=3,1.75,1))))*IF(MID(E54,3,1)="1",트라이포드!$J$6,IF(MID(E54,3,1)="2",트라이포드!$L$6,IF(MID(E54,3,1)="3",트라이포드!$N$6,1)))*IF(MID(E54,5,1)="2",트라이포드!R$6,트라이포드!Q$6)</f>
        <v>0</v>
      </c>
      <c r="AA54" s="21">
        <f>SUM(AB54:AI54)</f>
        <v>92226.989126994478</v>
      </c>
      <c r="AB54" s="21">
        <f>S54*2</f>
        <v>92226.989126994478</v>
      </c>
      <c r="AC54" s="21"/>
      <c r="AD54" s="21"/>
      <c r="AE54" s="21"/>
      <c r="AF54" s="21"/>
      <c r="AG54" s="21"/>
      <c r="AH54" s="21"/>
      <c r="AI54" s="20">
        <f>Z54*2</f>
        <v>0</v>
      </c>
      <c r="AJ54" s="21">
        <f>(AQ54+IF(MID(E54,3,1)="2",6,IF(MID(E54,3,1)="3",9,0)))*(1-입력란!$P$10/100)</f>
        <v>11.85573206304</v>
      </c>
      <c r="AK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" s="21">
        <f>입력란!$P$24+입력란!$P$16+IF(입력란!$C$18=1,10,IF(입력란!$C$18=2,25,IF(입력란!$C$18=3,50,0)))+IF(입력란!$C$23&lt;&gt;0,-12)</f>
        <v>380.66103559999999</v>
      </c>
      <c r="AM54" s="21">
        <f>SUM(AN54:AP54)</f>
        <v>76855.824272495403</v>
      </c>
      <c r="AN54" s="21">
        <f>(VLOOKUP(C54,$B$4:$AJ$7,3,FALSE)+VLOOKUP(C54,$B$8:$AJ$11,3,FALSE)*입력란!$P$4)*입력란!$P$25/100</f>
        <v>76855.824272495403</v>
      </c>
      <c r="AO54" s="21"/>
      <c r="AP54" s="21"/>
      <c r="AQ54" s="22">
        <v>6</v>
      </c>
    </row>
    <row r="55" spans="2:43" ht="13.5" customHeight="1" x14ac:dyDescent="0.55000000000000004">
      <c r="B55" s="66">
        <v>40</v>
      </c>
      <c r="C55" s="29">
        <v>10</v>
      </c>
      <c r="D55" s="30" t="s">
        <v>92</v>
      </c>
      <c r="E55" s="27" t="s">
        <v>115</v>
      </c>
      <c r="F55" s="29"/>
      <c r="G55" s="29"/>
      <c r="H55" s="36">
        <f>I55/AJ55</f>
        <v>22560.525826628247</v>
      </c>
      <c r="I55" s="37">
        <f>SUM(J55:Q55)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267471.54940179852</v>
      </c>
      <c r="J55" s="21">
        <f>S55*(1+IF($AK55+IF(입력란!$C$26=1,10,0)&gt;100,100,$AK55+IF(입력란!$C$26=1,10,0))/100*(($AL55+IF(입력란!$C$30=1,17,IF(입력란!$C$30=2,20,IF(입력란!$C$30=3,22,0))))/100-1))</f>
        <v>94707.014163939704</v>
      </c>
      <c r="K55" s="21"/>
      <c r="L55" s="21"/>
      <c r="M55" s="21"/>
      <c r="N55" s="21"/>
      <c r="O55" s="21"/>
      <c r="P55" s="21"/>
      <c r="Q55" s="105">
        <f>Z55*(1+IF($AK55+IF(입력란!$C$26=1,10,IF(MID($E55,1,1)="3",10,0))&gt;100,100,$AK55+IF(입력란!$C$26=1,10,IF(MID($E55,1,1)="3",10,0)))/100*(($AL55+IF(입력란!$C$30=1,17,IF(입력란!$C$30=2,20,IF(입력란!$C$30=3,22,0))))/100-1))</f>
        <v>94707.014163939704</v>
      </c>
      <c r="R55" s="19">
        <f>SUM(S55:Z55)</f>
        <v>76855.824272495403</v>
      </c>
      <c r="S55" s="21">
        <f>AN55*IF(입력란!$C$12=0,1,IF(입력란!$C$12=1,1.35,IF(입력란!$C$12=2,1.55,IF(입력란!$C$12=3,1.75,1))))*IF(MID(E55,3,1)="1",트라이포드!$J$6,IF(MID(E55,3,1)="2",트라이포드!$L$6,IF(MID(E55,3,1)="3",트라이포드!$N$6,1)))*IF(MID(E55,5,1)="1",트라이포드!$P$6,트라이포드!$O$6)</f>
        <v>38427.912136247702</v>
      </c>
      <c r="T55" s="21"/>
      <c r="U55" s="21"/>
      <c r="V55" s="21"/>
      <c r="W55" s="21"/>
      <c r="X55" s="21"/>
      <c r="Y55" s="21"/>
      <c r="Z55" s="20">
        <f>AN55*IF(입력란!$C$12=0,1,IF(입력란!$C$12=1,1.35,IF(입력란!$C$12=2,1.55,IF(입력란!$C$12=3,1.75,1))))*IF(MID(E55,3,1)="1",트라이포드!$J$6,IF(MID(E55,3,1)="2",트라이포드!$L$6,IF(MID(E55,3,1)="3",트라이포드!$N$6,1)))*IF(MID(E55,5,1)="2",트라이포드!R$6,트라이포드!Q$6)</f>
        <v>38427.912136247702</v>
      </c>
      <c r="AA55" s="21">
        <f>SUM(AB55:AI55)</f>
        <v>153711.64854499081</v>
      </c>
      <c r="AB55" s="21">
        <f>S55*2</f>
        <v>76855.824272495403</v>
      </c>
      <c r="AC55" s="21"/>
      <c r="AD55" s="21"/>
      <c r="AE55" s="21"/>
      <c r="AF55" s="21"/>
      <c r="AG55" s="21"/>
      <c r="AH55" s="21"/>
      <c r="AI55" s="20">
        <f>Z55*2</f>
        <v>76855.824272495403</v>
      </c>
      <c r="AJ55" s="21">
        <f>(AQ55+IF(MID(E55,3,1)="2",6,IF(MID(E55,3,1)="3",9,0)))*(1-입력란!$P$10/100)</f>
        <v>11.85573206304</v>
      </c>
      <c r="AK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" s="21">
        <f>입력란!$P$24+입력란!$P$16+IF(입력란!$C$18=1,10,IF(입력란!$C$18=2,25,IF(입력란!$C$18=3,50,0)))+IF(입력란!$C$23&lt;&gt;0,-12)</f>
        <v>380.66103559999999</v>
      </c>
      <c r="AM55" s="21">
        <f>SUM(AN55:AP55)</f>
        <v>76855.824272495403</v>
      </c>
      <c r="AN55" s="21">
        <f>(VLOOKUP(C55,$B$4:$AJ$7,3,FALSE)+VLOOKUP(C55,$B$8:$AJ$11,3,FALSE)*입력란!$P$4)*입력란!$P$25/100</f>
        <v>76855.824272495403</v>
      </c>
      <c r="AO55" s="21"/>
      <c r="AP55" s="21"/>
      <c r="AQ55" s="22">
        <v>6</v>
      </c>
    </row>
    <row r="56" spans="2:43" ht="13.5" customHeight="1" x14ac:dyDescent="0.55000000000000004">
      <c r="B56" s="66">
        <v>41</v>
      </c>
      <c r="C56" s="29">
        <v>10</v>
      </c>
      <c r="D56" s="30" t="s">
        <v>92</v>
      </c>
      <c r="E56" s="27" t="s">
        <v>116</v>
      </c>
      <c r="F56" s="29"/>
      <c r="G56" s="29"/>
      <c r="H56" s="36">
        <f>I56/AJ56</f>
        <v>5414.5261983907803</v>
      </c>
      <c r="I56" s="37">
        <f>SUM(J56:Q56)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80241.464820539564</v>
      </c>
      <c r="J56" s="21">
        <f>S56*(1+IF($AK56+IF(입력란!$C$26=1,10,0)&gt;100,100,$AK56+IF(입력란!$C$26=1,10,0))/100*(($AL56+IF(입력란!$C$30=1,17,IF(입력란!$C$30=2,20,IF(입력란!$C$30=3,22,0))))/100-1))</f>
        <v>56824.20849836382</v>
      </c>
      <c r="K56" s="21"/>
      <c r="L56" s="21"/>
      <c r="M56" s="21"/>
      <c r="N56" s="21"/>
      <c r="O56" s="21"/>
      <c r="P56" s="21"/>
      <c r="Q56" s="105">
        <f>Z56*(1+IF($AK56+IF(입력란!$C$26=1,10,IF(MID($E56,1,1)="3",10,0))&gt;100,100,$AK56+IF(입력란!$C$26=1,10,IF(MID($E56,1,1)="3",10,0)))/100*(($AL56+IF(입력란!$C$30=1,17,IF(입력란!$C$30=2,20,IF(입력란!$C$30=3,22,0))))/100-1))</f>
        <v>0</v>
      </c>
      <c r="R56" s="19">
        <f>SUM(S56:Z56)</f>
        <v>23056.74728174862</v>
      </c>
      <c r="S56" s="21">
        <f>AN56*IF(입력란!$C$12=0,1,IF(입력란!$C$12=1,1.35,IF(입력란!$C$12=2,1.55,IF(입력란!$C$12=3,1.75,1))))*IF(MID(E56,3,1)="1",트라이포드!$J$6,IF(MID(E56,3,1)="2",트라이포드!$L$6,IF(MID(E56,3,1)="3",트라이포드!$N$6,1)))*IF(MID(E56,5,1)="1",트라이포드!$P$6,트라이포드!$O$6)</f>
        <v>23056.74728174862</v>
      </c>
      <c r="T56" s="21"/>
      <c r="U56" s="21"/>
      <c r="V56" s="21"/>
      <c r="W56" s="21"/>
      <c r="X56" s="21"/>
      <c r="Y56" s="21"/>
      <c r="Z56" s="20">
        <f>AN56*IF(입력란!$C$12=0,1,IF(입력란!$C$12=1,1.35,IF(입력란!$C$12=2,1.55,IF(입력란!$C$12=3,1.75,1))))*IF(MID(E56,3,1)="1",트라이포드!$J$6,IF(MID(E56,3,1)="2",트라이포드!$L$6,IF(MID(E56,3,1)="3",트라이포드!$N$6,1)))*IF(MID(E56,5,1)="2",트라이포드!R$6,트라이포드!Q$6)</f>
        <v>0</v>
      </c>
      <c r="AA56" s="21">
        <f>SUM(AB56:AI56)</f>
        <v>46113.494563497239</v>
      </c>
      <c r="AB56" s="21">
        <f>S56*2</f>
        <v>46113.494563497239</v>
      </c>
      <c r="AC56" s="21"/>
      <c r="AD56" s="21"/>
      <c r="AE56" s="21"/>
      <c r="AF56" s="21"/>
      <c r="AG56" s="21"/>
      <c r="AH56" s="21"/>
      <c r="AI56" s="20">
        <f>Z56*2</f>
        <v>0</v>
      </c>
      <c r="AJ56" s="21">
        <f>(AQ56+IF(MID(E56,3,1)="2",6,IF(MID(E56,3,1)="3",9,0)))*(1-입력란!$P$10/100)</f>
        <v>14.8196650788</v>
      </c>
      <c r="AK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" s="21">
        <f>입력란!$P$24+입력란!$P$16+IF(입력란!$C$18=1,10,IF(입력란!$C$18=2,25,IF(입력란!$C$18=3,50,0)))+IF(입력란!$C$23&lt;&gt;0,-12)</f>
        <v>380.66103559999999</v>
      </c>
      <c r="AM56" s="21">
        <f>SUM(AN56:AP56)</f>
        <v>76855.824272495403</v>
      </c>
      <c r="AN56" s="21">
        <f>(VLOOKUP(C56,$B$4:$AJ$7,3,FALSE)+VLOOKUP(C56,$B$8:$AJ$11,3,FALSE)*입력란!$P$4)*입력란!$P$25/100</f>
        <v>76855.824272495403</v>
      </c>
      <c r="AO56" s="21"/>
      <c r="AP56" s="21"/>
      <c r="AQ56" s="22">
        <v>6</v>
      </c>
    </row>
    <row r="57" spans="2:43" ht="13.5" customHeight="1" x14ac:dyDescent="0.55000000000000004">
      <c r="B57" s="66">
        <v>42</v>
      </c>
      <c r="C57" s="29">
        <v>10</v>
      </c>
      <c r="D57" s="30" t="s">
        <v>92</v>
      </c>
      <c r="E57" s="27" t="s">
        <v>117</v>
      </c>
      <c r="F57" s="29"/>
      <c r="G57" s="29"/>
      <c r="H57" s="36">
        <f>I57/AJ57</f>
        <v>9024.2103306513</v>
      </c>
      <c r="I57" s="37">
        <f>SUM(J57:Q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133735.77470089926</v>
      </c>
      <c r="J57" s="21">
        <f>S57*(1+IF($AK57+IF(입력란!$C$26=1,10,0)&gt;100,100,$AK57+IF(입력란!$C$26=1,10,0))/100*(($AL57+IF(입력란!$C$30=1,17,IF(입력란!$C$30=2,20,IF(입력란!$C$30=3,22,0))))/100-1))</f>
        <v>47353.507081969852</v>
      </c>
      <c r="K57" s="21"/>
      <c r="L57" s="21"/>
      <c r="M57" s="21"/>
      <c r="N57" s="21"/>
      <c r="O57" s="21"/>
      <c r="P57" s="21"/>
      <c r="Q57" s="105">
        <f>Z57*(1+IF($AK57+IF(입력란!$C$26=1,10,IF(MID($E57,1,1)="3",10,0))&gt;100,100,$AK57+IF(입력란!$C$26=1,10,IF(MID($E57,1,1)="3",10,0)))/100*(($AL57+IF(입력란!$C$30=1,17,IF(입력란!$C$30=2,20,IF(입력란!$C$30=3,22,0))))/100-1))</f>
        <v>47353.507081969852</v>
      </c>
      <c r="R57" s="19">
        <f>SUM(S57:Z57)</f>
        <v>38427.912136247702</v>
      </c>
      <c r="S57" s="21">
        <f>AN57*IF(입력란!$C$12=0,1,IF(입력란!$C$12=1,1.35,IF(입력란!$C$12=2,1.55,IF(입력란!$C$12=3,1.75,1))))*IF(MID(E57,3,1)="1",트라이포드!$J$6,IF(MID(E57,3,1)="2",트라이포드!$L$6,IF(MID(E57,3,1)="3",트라이포드!$N$6,1)))*IF(MID(E57,5,1)="1",트라이포드!$P$6,트라이포드!$O$6)</f>
        <v>19213.956068123851</v>
      </c>
      <c r="T57" s="21"/>
      <c r="U57" s="21"/>
      <c r="V57" s="21"/>
      <c r="W57" s="21"/>
      <c r="X57" s="21"/>
      <c r="Y57" s="21"/>
      <c r="Z57" s="20">
        <f>AN57*IF(입력란!$C$12=0,1,IF(입력란!$C$12=1,1.35,IF(입력란!$C$12=2,1.55,IF(입력란!$C$12=3,1.75,1))))*IF(MID(E57,3,1)="1",트라이포드!$J$6,IF(MID(E57,3,1)="2",트라이포드!$L$6,IF(MID(E57,3,1)="3",트라이포드!$N$6,1)))*IF(MID(E57,5,1)="2",트라이포드!R$6,트라이포드!Q$6)</f>
        <v>19213.956068123851</v>
      </c>
      <c r="AA57" s="21">
        <f>SUM(AB57:AI57)</f>
        <v>76855.824272495403</v>
      </c>
      <c r="AB57" s="21">
        <f>S57*2</f>
        <v>38427.912136247702</v>
      </c>
      <c r="AC57" s="21"/>
      <c r="AD57" s="21"/>
      <c r="AE57" s="21"/>
      <c r="AF57" s="21"/>
      <c r="AG57" s="21"/>
      <c r="AH57" s="21"/>
      <c r="AI57" s="20">
        <f>Z57*2</f>
        <v>38427.912136247702</v>
      </c>
      <c r="AJ57" s="21">
        <f>(AQ57+IF(MID(E57,3,1)="2",6,IF(MID(E57,3,1)="3",9,0)))*(1-입력란!$P$10/100)</f>
        <v>14.8196650788</v>
      </c>
      <c r="AK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" s="21">
        <f>입력란!$P$24+입력란!$P$16+IF(입력란!$C$18=1,10,IF(입력란!$C$18=2,25,IF(입력란!$C$18=3,50,0)))+IF(입력란!$C$23&lt;&gt;0,-12)</f>
        <v>380.66103559999999</v>
      </c>
      <c r="AM57" s="21">
        <f>SUM(AN57:AP57)</f>
        <v>76855.824272495403</v>
      </c>
      <c r="AN57" s="21">
        <f>(VLOOKUP(C57,$B$4:$AJ$7,3,FALSE)+VLOOKUP(C57,$B$8:$AJ$11,3,FALSE)*입력란!$P$4)*입력란!$P$25/100</f>
        <v>76855.824272495403</v>
      </c>
      <c r="AO57" s="21"/>
      <c r="AP57" s="21"/>
      <c r="AQ57" s="22">
        <v>6</v>
      </c>
    </row>
    <row r="58" spans="2:43" ht="13.5" customHeight="1" x14ac:dyDescent="0.55000000000000004">
      <c r="B58" s="66">
        <v>43</v>
      </c>
      <c r="C58" s="29">
        <v>1</v>
      </c>
      <c r="D58" s="30" t="s">
        <v>118</v>
      </c>
      <c r="E58" s="27" t="s">
        <v>94</v>
      </c>
      <c r="F58" s="29"/>
      <c r="G58" s="29"/>
      <c r="H58" s="36">
        <f>I58/AJ58</f>
        <v>41880.328613870057</v>
      </c>
      <c r="I58" s="37">
        <f>SUM(J58:Q58)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496521.95475811075</v>
      </c>
      <c r="J58" s="21">
        <f>S58*(1+IF($AK58+IF(입력란!$C$26=1,10,0)+IF(입력란!$C$9=1,10,0)+IF(MID(E58,1,1)="3",트라이포드!G$7,0)&gt;100,100,$AK58+IF(입력란!$C$26=1,10,0)+IF(입력란!$C$9=1,10,0))/100*(($AL58+트라이포드!H$7+IF(입력란!$C$30=1,IF(OR(입력란!$C$9=1,입력란!$C$10=1),55,17),IF(입력란!$C$30=2,IF(OR(입력란!$C$9=1,입력란!$C$10=1),60,20),IF(입력란!$C$30=3,IF(OR(입력란!$C$9=1,입력란!$C$10=1),65,22),0))))/100-1))</f>
        <v>70334.109837476673</v>
      </c>
      <c r="K58" s="21">
        <f>T58*(1+IF($AK58+IF(입력란!$C$26=1,10,0)+IF(입력란!$C$9=1,10,0)+IF(MID(E58,5,1)="1",트라이포드!P$7,0)&gt;100,100,$AK58+IF(입력란!$C$26=1,10,0)+IF(입력란!$C$9=1,10,0)+IF(MID(E58,5,1)="1",트라이포드!P$7,0))/100*(($AL58+IF(입력란!$C$30=1,IF(OR(입력란!$C$9=1,입력란!$C$10=1),55,17),IF(입력란!$C$30=2,IF(OR(입력란!$C$9=1,입력란!$C$10=1),60,20),IF(입력란!$C$30=3,IF(OR(입력란!$C$9=1,입력란!$C$10=1),65,22),0))))/100-1))</f>
        <v>281285.4318083775</v>
      </c>
      <c r="L58" s="21"/>
      <c r="M58" s="21"/>
      <c r="N58" s="21"/>
      <c r="O58" s="21"/>
      <c r="P58" s="21"/>
      <c r="Q58" s="105"/>
      <c r="R58" s="19">
        <f>SUM(S58:Z58)</f>
        <v>128085.30660274212</v>
      </c>
      <c r="S58" s="21">
        <f>AN58*IF(입력란!$C$12=0,1,IF(입력란!$C$12=1,1.35,IF(입력란!$C$12=2,1.55,IF(입력란!$C$12=3,1.75,1))))*IF(입력란!$C$9=1,IF(입력란!$C$15=0,1.05,IF(입력란!$C$15=1,1.05*1.05,IF(입력란!$C$15=2,1.05*1.12,IF(입력란!$C$15=3,1.05*1.25)))),1)</f>
        <v>25620.777448818902</v>
      </c>
      <c r="T58" s="21">
        <f>AO58*IF(입력란!$C$12=0,1,IF(입력란!$C$12=1,1.35,IF(입력란!$C$12=2,1.55,IF(입력란!$C$12=3,1.75,1))))*IF(MID(E58,3,1)="3",트라이포드!$N$7,트라이포드!$M$7)*IF(MID(E58,5,1)="2",트라이포드!$R$7,트라이포드!$Q$7)*IF(입력란!$C$9=1,IF(입력란!$C$15=0,1.05,IF(입력란!$C$15=1,1.05*1.05,IF(입력란!$C$15=2,1.05*1.12,IF(입력란!$C$15=3,1.05*1.25)))),1)</f>
        <v>102464.52915392321</v>
      </c>
      <c r="U58" s="21"/>
      <c r="V58" s="21"/>
      <c r="W58" s="21"/>
      <c r="X58" s="21"/>
      <c r="Y58" s="21"/>
      <c r="Z58" s="20"/>
      <c r="AA58" s="21">
        <f>SUM(AB58:AI58)</f>
        <v>256170.61320548423</v>
      </c>
      <c r="AB58" s="21">
        <f>S58*2</f>
        <v>51241.554897637805</v>
      </c>
      <c r="AC58" s="21">
        <f>T58*2</f>
        <v>204929.05830784643</v>
      </c>
      <c r="AD58" s="21"/>
      <c r="AE58" s="21"/>
      <c r="AF58" s="21"/>
      <c r="AG58" s="21"/>
      <c r="AH58" s="21"/>
      <c r="AI58" s="20"/>
      <c r="AJ58" s="21">
        <f>AQ58*(1-입력란!$P$10/100)</f>
        <v>11.85573206304</v>
      </c>
      <c r="AK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" s="21">
        <f>입력란!$P$24+입력란!$P$16+IF(입력란!$C$18=1,10,IF(입력란!$C$18=2,25,IF(입력란!$C$18=3,50,0)))+IF(입력란!$C$23&lt;&gt;0,-12)</f>
        <v>380.66103559999999</v>
      </c>
      <c r="AM58" s="21">
        <f>SUM(AN58:AP58)</f>
        <v>121986.00628832582</v>
      </c>
      <c r="AN58" s="21">
        <f>(VLOOKUP(C58,$B$4:$AJ$7,4,FALSE)+VLOOKUP(C58,$B$8:$AJ$11,4,FALSE)*입력란!$P$4)*입력란!$P$25/100</f>
        <v>24400.740427446573</v>
      </c>
      <c r="AO58" s="21">
        <f>(VLOOKUP(C58,$B$4:$AJ$7,5,FALSE)+VLOOKUP(C58,$B$8:$AJ$11,5,FALSE)*입력란!$P$4)*입력란!$P$25/100</f>
        <v>97585.265860879241</v>
      </c>
      <c r="AP58" s="21"/>
      <c r="AQ58" s="22">
        <v>12</v>
      </c>
    </row>
    <row r="59" spans="2:43" ht="13.5" customHeight="1" x14ac:dyDescent="0.55000000000000004">
      <c r="B59" s="66">
        <v>44</v>
      </c>
      <c r="C59" s="29">
        <v>4</v>
      </c>
      <c r="D59" s="30" t="s">
        <v>118</v>
      </c>
      <c r="E59" s="27" t="s">
        <v>94</v>
      </c>
      <c r="F59" s="29"/>
      <c r="G59" s="29"/>
      <c r="H59" s="36">
        <f>I59/AJ59</f>
        <v>41935.946577289644</v>
      </c>
      <c r="I59" s="37">
        <f>SUM(J59:Q59)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497181.34643030539</v>
      </c>
      <c r="J59" s="21">
        <f>S59*(1+IF($AK59+IF(입력란!$C$26=1,10,0)+IF(입력란!$C$9=1,10,0)+IF(MID(E59,1,1)="3",트라이포드!G$7,0)&gt;100,100,$AK59+IF(입력란!$C$26=1,10,0)+IF(입력란!$C$9=1,10,0))/100*(($AL59+트라이포드!H$7+IF(입력란!$C$30=1,IF(OR(입력란!$C$9=1,입력란!$C$10=1),55,17),IF(입력란!$C$30=2,IF(OR(입력란!$C$9=1,입력란!$C$10=1),60,20),IF(입력란!$C$30=3,IF(OR(입력란!$C$9=1,입력란!$C$10=1),65,22),0))))/100-1))</f>
        <v>70427.501477189828</v>
      </c>
      <c r="K59" s="21">
        <f>T59*(1+IF($AK59+IF(입력란!$C$26=1,10,0)+IF(입력란!$C$9=1,10,0)+IF(MID(E59,5,1)="1",트라이포드!P$7,0)&gt;100,100,$AK59+IF(입력란!$C$26=1,10,0)+IF(입력란!$C$9=1,10,0)+IF(MID(E59,5,1)="1",트라이포드!P$7,0))/100*(($AL59+IF(입력란!$C$30=1,IF(OR(입력란!$C$9=1,입력란!$C$10=1),55,17),IF(입력란!$C$30=2,IF(OR(입력란!$C$9=1,입력란!$C$10=1),60,20),IF(입력란!$C$30=3,IF(OR(입력란!$C$9=1,입력란!$C$10=1),65,22),0))))/100-1))</f>
        <v>281658.99836723006</v>
      </c>
      <c r="L59" s="21"/>
      <c r="M59" s="21"/>
      <c r="N59" s="21"/>
      <c r="O59" s="21"/>
      <c r="P59" s="21"/>
      <c r="Q59" s="105"/>
      <c r="R59" s="19">
        <f>SUM(S59:Z59)</f>
        <v>128255.40660274211</v>
      </c>
      <c r="S59" s="21">
        <f>AN59*IF(입력란!$C$12=0,1,IF(입력란!$C$12=1,1.35,IF(입력란!$C$12=2,1.55,IF(입력란!$C$12=3,1.75,1))))*IF(입력란!$C$9=1,IF(입력란!$C$15=0,1.05,IF(입력란!$C$15=1,1.05*1.05,IF(입력란!$C$15=2,1.05*1.12,IF(입력란!$C$15=3,1.05*1.25)))),1)</f>
        <v>25654.797448818903</v>
      </c>
      <c r="T59" s="21">
        <f>AO59*IF(입력란!$C$12=0,1,IF(입력란!$C$12=1,1.35,IF(입력란!$C$12=2,1.55,IF(입력란!$C$12=3,1.75,1))))*IF(MID(E59,3,1)="3",트라이포드!$N$7,트라이포드!$M$7)*IF(MID(E59,5,1)="2",트라이포드!$R$7,트라이포드!$Q$7)*IF(입력란!$C$9=1,IF(입력란!$C$15=0,1.05,IF(입력란!$C$15=1,1.05*1.05,IF(입력란!$C$15=2,1.05*1.12,IF(입력란!$C$15=3,1.05*1.25)))),1)</f>
        <v>102600.6091539232</v>
      </c>
      <c r="U59" s="21"/>
      <c r="V59" s="21"/>
      <c r="W59" s="21"/>
      <c r="X59" s="21"/>
      <c r="Y59" s="21"/>
      <c r="Z59" s="20"/>
      <c r="AA59" s="21">
        <f>SUM(AB59:AI59)</f>
        <v>256510.81320548421</v>
      </c>
      <c r="AB59" s="21">
        <f>S59*2</f>
        <v>51309.594897637806</v>
      </c>
      <c r="AC59" s="21">
        <f>T59*2</f>
        <v>205201.2183078464</v>
      </c>
      <c r="AD59" s="21"/>
      <c r="AE59" s="21"/>
      <c r="AF59" s="21"/>
      <c r="AG59" s="21"/>
      <c r="AH59" s="21"/>
      <c r="AI59" s="20"/>
      <c r="AJ59" s="21">
        <f>AQ59*(1-입력란!$P$10/100)</f>
        <v>11.85573206304</v>
      </c>
      <c r="AK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" s="21">
        <f>입력란!$P$24+입력란!$P$16+IF(입력란!$C$18=1,10,IF(입력란!$C$18=2,25,IF(입력란!$C$18=3,50,0)))+IF(입력란!$C$23&lt;&gt;0,-12)</f>
        <v>380.66103559999999</v>
      </c>
      <c r="AM59" s="21">
        <f>SUM(AN59:AP59)</f>
        <v>122148.00628832581</v>
      </c>
      <c r="AN59" s="21">
        <f>(VLOOKUP(C59,$B$4:$AJ$7,4,FALSE)+VLOOKUP(C59,$B$8:$AJ$11,4,FALSE)*입력란!$P$4)*입력란!$P$25/100</f>
        <v>24433.140427446575</v>
      </c>
      <c r="AO59" s="21">
        <f>(VLOOKUP(C59,$B$4:$AJ$7,5,FALSE)+VLOOKUP(C59,$B$8:$AJ$11,5,FALSE)*입력란!$P$4)*입력란!$P$25/100</f>
        <v>97714.865860879232</v>
      </c>
      <c r="AP59" s="21"/>
      <c r="AQ59" s="22">
        <v>12</v>
      </c>
    </row>
    <row r="60" spans="2:43" ht="13.5" customHeight="1" x14ac:dyDescent="0.55000000000000004">
      <c r="B60" s="66">
        <v>45</v>
      </c>
      <c r="C60" s="29">
        <v>4</v>
      </c>
      <c r="D60" s="30" t="s">
        <v>118</v>
      </c>
      <c r="E60" s="27" t="s">
        <v>95</v>
      </c>
      <c r="F60" s="29"/>
      <c r="G60" s="29"/>
      <c r="H60" s="36">
        <f>I60/AJ60</f>
        <v>45179.266286508988</v>
      </c>
      <c r="I60" s="37">
        <f>SUM(J60:Q60)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535633.27589758672</v>
      </c>
      <c r="J60" s="21">
        <f>S60*(1+IF($AK60+IF(입력란!$C$26=1,10,0)+IF(입력란!$C$9=1,10,0)+IF(MID(E60,1,1)="3",트라이포드!G$7,0)&gt;100,100,$AK60+IF(입력란!$C$26=1,10,0)+IF(입력란!$C$9=1,10,0))/100*(($AL60+트라이포드!H$7+IF(입력란!$C$30=1,IF(OR(입력란!$C$9=1,입력란!$C$10=1),55,17),IF(입력란!$C$30=2,IF(OR(입력란!$C$9=1,입력란!$C$10=1),60,20),IF(입력란!$C$30=3,IF(OR(입력란!$C$9=1,입력란!$C$10=1),65,22),0))))/100-1))</f>
        <v>97657.817649756413</v>
      </c>
      <c r="K60" s="21">
        <f>T60*(1+IF($AK60+IF(입력란!$C$26=1,10,0)+IF(입력란!$C$9=1,10,0)+IF(MID(E60,5,1)="1",트라이포드!P$7,0)&gt;100,100,$AK60+IF(입력란!$C$26=1,10,0)+IF(입력란!$C$9=1,10,0)+IF(MID(E60,5,1)="1",트라이포드!P$7,0))/100*(($AL60+IF(입력란!$C$30=1,IF(OR(입력란!$C$9=1,입력란!$C$10=1),55,17),IF(입력란!$C$30=2,IF(OR(입력란!$C$9=1,입력란!$C$10=1),60,20),IF(입력란!$C$30=3,IF(OR(입력란!$C$9=1,입력란!$C$10=1),65,22),0))))/100-1))</f>
        <v>281658.99836723006</v>
      </c>
      <c r="L60" s="21"/>
      <c r="M60" s="21"/>
      <c r="N60" s="21"/>
      <c r="O60" s="21"/>
      <c r="P60" s="21"/>
      <c r="Q60" s="105"/>
      <c r="R60" s="19">
        <f>SUM(S60:Z60)</f>
        <v>128255.40660274211</v>
      </c>
      <c r="S60" s="21">
        <f>AN60*IF(입력란!$C$12=0,1,IF(입력란!$C$12=1,1.35,IF(입력란!$C$12=2,1.55,IF(입력란!$C$12=3,1.75,1))))*IF(입력란!$C$9=1,IF(입력란!$C$15=0,1.05,IF(입력란!$C$15=1,1.05*1.05,IF(입력란!$C$15=2,1.05*1.12,IF(입력란!$C$15=3,1.05*1.25)))),1)</f>
        <v>25654.797448818903</v>
      </c>
      <c r="T60" s="21">
        <f>AO60*IF(입력란!$C$12=0,1,IF(입력란!$C$12=1,1.35,IF(입력란!$C$12=2,1.55,IF(입력란!$C$12=3,1.75,1))))*IF(MID(E60,3,1)="3",트라이포드!$N$7,트라이포드!$M$7)*IF(MID(E60,5,1)="2",트라이포드!$R$7,트라이포드!$Q$7)*IF(입력란!$C$9=1,IF(입력란!$C$15=0,1.05,IF(입력란!$C$15=1,1.05*1.05,IF(입력란!$C$15=2,1.05*1.12,IF(입력란!$C$15=3,1.05*1.25)))),1)</f>
        <v>102600.6091539232</v>
      </c>
      <c r="U60" s="21"/>
      <c r="V60" s="21"/>
      <c r="W60" s="21"/>
      <c r="X60" s="21"/>
      <c r="Y60" s="21"/>
      <c r="Z60" s="20"/>
      <c r="AA60" s="21">
        <f>SUM(AB60:AI60)</f>
        <v>256510.81320548421</v>
      </c>
      <c r="AB60" s="21">
        <f>S60*2</f>
        <v>51309.594897637806</v>
      </c>
      <c r="AC60" s="21">
        <f>T60*2</f>
        <v>205201.2183078464</v>
      </c>
      <c r="AD60" s="21"/>
      <c r="AE60" s="21"/>
      <c r="AF60" s="21"/>
      <c r="AG60" s="21"/>
      <c r="AH60" s="21"/>
      <c r="AI60" s="20"/>
      <c r="AJ60" s="21">
        <f>AQ60*(1-입력란!$P$10/100)</f>
        <v>11.85573206304</v>
      </c>
      <c r="AK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0" s="21">
        <f>입력란!$P$24+입력란!$P$16+IF(입력란!$C$18=1,10,IF(입력란!$C$18=2,25,IF(입력란!$C$18=3,50,0)))+IF(입력란!$C$23&lt;&gt;0,-12)</f>
        <v>380.66103559999999</v>
      </c>
      <c r="AM60" s="21">
        <f>SUM(AN60:AP60)</f>
        <v>122148.00628832581</v>
      </c>
      <c r="AN60" s="21">
        <f>(VLOOKUP(C60,$B$4:$AJ$7,4,FALSE)+VLOOKUP(C60,$B$8:$AJ$11,4,FALSE)*입력란!$P$4)*입력란!$P$25/100</f>
        <v>24433.140427446575</v>
      </c>
      <c r="AO60" s="21">
        <f>(VLOOKUP(C60,$B$4:$AJ$7,5,FALSE)+VLOOKUP(C60,$B$8:$AJ$11,5,FALSE)*입력란!$P$4)*입력란!$P$25/100</f>
        <v>97714.865860879232</v>
      </c>
      <c r="AP60" s="21"/>
      <c r="AQ60" s="22">
        <v>12</v>
      </c>
    </row>
    <row r="61" spans="2:43" ht="13.5" customHeight="1" x14ac:dyDescent="0.55000000000000004">
      <c r="B61" s="66">
        <v>46</v>
      </c>
      <c r="C61" s="29">
        <v>7</v>
      </c>
      <c r="D61" s="30" t="s">
        <v>118</v>
      </c>
      <c r="E61" s="27" t="s">
        <v>94</v>
      </c>
      <c r="F61" s="29"/>
      <c r="G61" s="29"/>
      <c r="H61" s="36">
        <f>I61/AJ61</f>
        <v>41959.693405036349</v>
      </c>
      <c r="I61" s="37">
        <f>SUM(J61:Q61)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497462.88245741749</v>
      </c>
      <c r="J61" s="21">
        <f>S61*(1+IF($AK61+IF(입력란!$C$26=1,10,0)+IF(입력란!$C$9=1,10,0)+IF(MID(E61,1,1)="3",트라이포드!G$7,0)&gt;100,100,$AK61+IF(입력란!$C$26=1,10,0)+IF(입력란!$C$9=1,10,0))/100*(($AL61+트라이포드!H$7+IF(입력란!$C$30=1,IF(OR(입력란!$C$9=1,입력란!$C$10=1),55,17),IF(입력란!$C$30=2,IF(OR(입력란!$C$9=1,입력란!$C$10=1),60,20),IF(입력란!$C$30=3,IF(OR(입력란!$C$9=1,입력란!$C$10=1),65,22),0))))/100-1))</f>
        <v>70453.927997452032</v>
      </c>
      <c r="K61" s="21">
        <f>T61*(1+IF($AK61+IF(입력란!$C$26=1,10,0)+IF(입력란!$C$9=1,10,0)+IF(MID(E61,5,1)="1",트라이포드!P$7,0)&gt;100,100,$AK61+IF(입력란!$C$26=1,10,0)+IF(입력란!$C$9=1,10,0)+IF(MID(E61,5,1)="1",트라이포드!P$7,0))/100*(($AL61+IF(입력란!$C$30=1,IF(OR(입력란!$C$9=1,입력란!$C$10=1),55,17),IF(입력란!$C$30=2,IF(OR(입력란!$C$9=1,입력란!$C$10=1),60,20),IF(입력란!$C$30=3,IF(OR(입력란!$C$9=1,입력란!$C$10=1),65,22),0))))/100-1))</f>
        <v>281831.94584818033</v>
      </c>
      <c r="L61" s="21"/>
      <c r="M61" s="21"/>
      <c r="N61" s="21"/>
      <c r="O61" s="21"/>
      <c r="P61" s="21"/>
      <c r="Q61" s="105"/>
      <c r="R61" s="19">
        <f>SUM(S61:Z61)</f>
        <v>128328.03305562463</v>
      </c>
      <c r="S61" s="21">
        <f>AN61*IF(입력란!$C$12=0,1,IF(입력란!$C$12=1,1.35,IF(입력란!$C$12=2,1.55,IF(입력란!$C$12=3,1.75,1))))*IF(입력란!$C$9=1,IF(입력란!$C$15=0,1.05,IF(입력란!$C$15=1,1.05*1.05,IF(입력란!$C$15=2,1.05*1.12,IF(입력란!$C$15=3,1.05*1.25)))),1)</f>
        <v>25664.42390170143</v>
      </c>
      <c r="T61" s="21">
        <f>AO61*IF(입력란!$C$12=0,1,IF(입력란!$C$12=1,1.35,IF(입력란!$C$12=2,1.55,IF(입력란!$C$12=3,1.75,1))))*IF(MID(E61,3,1)="3",트라이포드!$N$7,트라이포드!$M$7)*IF(MID(E61,5,1)="2",트라이포드!$R$7,트라이포드!$Q$7)*IF(입력란!$C$9=1,IF(입력란!$C$15=0,1.05,IF(입력란!$C$15=1,1.05*1.05,IF(입력란!$C$15=2,1.05*1.12,IF(입력란!$C$15=3,1.05*1.25)))),1)</f>
        <v>102663.6091539232</v>
      </c>
      <c r="U61" s="21"/>
      <c r="V61" s="21"/>
      <c r="W61" s="21"/>
      <c r="X61" s="21"/>
      <c r="Y61" s="21"/>
      <c r="Z61" s="20"/>
      <c r="AA61" s="21">
        <f>SUM(AB61:AI61)</f>
        <v>256656.06611124927</v>
      </c>
      <c r="AB61" s="21">
        <f>S61*2</f>
        <v>51328.847803402859</v>
      </c>
      <c r="AC61" s="21">
        <f>T61*2</f>
        <v>205327.2183078464</v>
      </c>
      <c r="AD61" s="21"/>
      <c r="AE61" s="21"/>
      <c r="AF61" s="21"/>
      <c r="AG61" s="21"/>
      <c r="AH61" s="21"/>
      <c r="AI61" s="20"/>
      <c r="AJ61" s="21">
        <f>AQ61*(1-입력란!$P$10/100)</f>
        <v>11.85573206304</v>
      </c>
      <c r="AK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" s="21">
        <f>입력란!$P$24+입력란!$P$16+IF(입력란!$C$18=1,10,IF(입력란!$C$18=2,25,IF(입력란!$C$18=3,50,0)))+IF(입력란!$C$23&lt;&gt;0,-12)</f>
        <v>380.66103559999999</v>
      </c>
      <c r="AM61" s="21">
        <f>SUM(AN61:AP61)</f>
        <v>122217.17433869012</v>
      </c>
      <c r="AN61" s="21">
        <f>(VLOOKUP(C61,$B$4:$AJ$7,4,FALSE)+VLOOKUP(C61,$B$8:$AJ$11,4,FALSE)*입력란!$P$4)*입력란!$P$25/100</f>
        <v>24442.308477810886</v>
      </c>
      <c r="AO61" s="21">
        <f>(VLOOKUP(C61,$B$4:$AJ$7,5,FALSE)+VLOOKUP(C61,$B$8:$AJ$11,5,FALSE)*입력란!$P$4)*입력란!$P$25/100</f>
        <v>97774.865860879232</v>
      </c>
      <c r="AP61" s="21"/>
      <c r="AQ61" s="22">
        <v>12</v>
      </c>
    </row>
    <row r="62" spans="2:43" ht="13.5" customHeight="1" x14ac:dyDescent="0.55000000000000004">
      <c r="B62" s="66">
        <v>47</v>
      </c>
      <c r="C62" s="29">
        <v>7</v>
      </c>
      <c r="D62" s="30" t="s">
        <v>118</v>
      </c>
      <c r="E62" s="27" t="s">
        <v>95</v>
      </c>
      <c r="F62" s="29"/>
      <c r="G62" s="29"/>
      <c r="H62" s="36">
        <f>I62/AJ62</f>
        <v>45204.230105519258</v>
      </c>
      <c r="I62" s="37">
        <f>SUM(J62:Q62)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535929.24024704273</v>
      </c>
      <c r="J62" s="21">
        <f>S62*(1+IF($AK62+IF(입력란!$C$26=1,10,0)+IF(입력란!$C$9=1,10,0)+IF(MID(E62,1,1)="3",트라이포드!G$7,0)&gt;100,100,$AK62+IF(입력란!$C$26=1,10,0)+IF(입력란!$C$9=1,10,0))/100*(($AL62+트라이포드!H$7+IF(입력란!$C$30=1,IF(OR(입력란!$C$9=1,입력란!$C$10=1),55,17),IF(입력란!$C$30=2,IF(OR(입력란!$C$9=1,입력란!$C$10=1),60,20),IF(입력란!$C$30=3,IF(OR(입력란!$C$9=1,입력란!$C$10=1),65,22),0))))/100-1))</f>
        <v>97694.461804990584</v>
      </c>
      <c r="K62" s="21">
        <f>T62*(1+IF($AK62+IF(입력란!$C$26=1,10,0)+IF(입력란!$C$9=1,10,0)+IF(MID(E62,5,1)="1",트라이포드!P$7,0)&gt;100,100,$AK62+IF(입력란!$C$26=1,10,0)+IF(입력란!$C$9=1,10,0)+IF(MID(E62,5,1)="1",트라이포드!P$7,0))/100*(($AL62+IF(입력란!$C$30=1,IF(OR(입력란!$C$9=1,입력란!$C$10=1),55,17),IF(입력란!$C$30=2,IF(OR(입력란!$C$9=1,입력란!$C$10=1),60,20),IF(입력란!$C$30=3,IF(OR(입력란!$C$9=1,입력란!$C$10=1),65,22),0))))/100-1))</f>
        <v>281831.94584818033</v>
      </c>
      <c r="L62" s="21"/>
      <c r="M62" s="21"/>
      <c r="N62" s="21"/>
      <c r="O62" s="21"/>
      <c r="P62" s="21"/>
      <c r="Q62" s="105"/>
      <c r="R62" s="19">
        <f>SUM(S62:Z62)</f>
        <v>128328.03305562463</v>
      </c>
      <c r="S62" s="21">
        <f>AN62*IF(입력란!$C$12=0,1,IF(입력란!$C$12=1,1.35,IF(입력란!$C$12=2,1.55,IF(입력란!$C$12=3,1.75,1))))*IF(입력란!$C$9=1,IF(입력란!$C$15=0,1.05,IF(입력란!$C$15=1,1.05*1.05,IF(입력란!$C$15=2,1.05*1.12,IF(입력란!$C$15=3,1.05*1.25)))),1)</f>
        <v>25664.42390170143</v>
      </c>
      <c r="T62" s="21">
        <f>AO62*IF(입력란!$C$12=0,1,IF(입력란!$C$12=1,1.35,IF(입력란!$C$12=2,1.55,IF(입력란!$C$12=3,1.75,1))))*IF(MID(E62,3,1)="3",트라이포드!$N$7,트라이포드!$M$7)*IF(MID(E62,5,1)="2",트라이포드!$R$7,트라이포드!$Q$7)*IF(입력란!$C$9=1,IF(입력란!$C$15=0,1.05,IF(입력란!$C$15=1,1.05*1.05,IF(입력란!$C$15=2,1.05*1.12,IF(입력란!$C$15=3,1.05*1.25)))),1)</f>
        <v>102663.6091539232</v>
      </c>
      <c r="U62" s="21"/>
      <c r="V62" s="21"/>
      <c r="W62" s="21"/>
      <c r="X62" s="21"/>
      <c r="Y62" s="21"/>
      <c r="Z62" s="20"/>
      <c r="AA62" s="21">
        <f>SUM(AB62:AI62)</f>
        <v>256656.06611124927</v>
      </c>
      <c r="AB62" s="21">
        <f>S62*2</f>
        <v>51328.847803402859</v>
      </c>
      <c r="AC62" s="21">
        <f>T62*2</f>
        <v>205327.2183078464</v>
      </c>
      <c r="AD62" s="21"/>
      <c r="AE62" s="21"/>
      <c r="AF62" s="21"/>
      <c r="AG62" s="21"/>
      <c r="AH62" s="21"/>
      <c r="AI62" s="20"/>
      <c r="AJ62" s="21">
        <f>AQ62*(1-입력란!$P$10/100)</f>
        <v>11.85573206304</v>
      </c>
      <c r="AK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" s="21">
        <f>입력란!$P$24+입력란!$P$16+IF(입력란!$C$18=1,10,IF(입력란!$C$18=2,25,IF(입력란!$C$18=3,50,0)))+IF(입력란!$C$23&lt;&gt;0,-12)</f>
        <v>380.66103559999999</v>
      </c>
      <c r="AM62" s="21">
        <f>SUM(AN62:AP62)</f>
        <v>122217.17433869012</v>
      </c>
      <c r="AN62" s="21">
        <f>(VLOOKUP(C62,$B$4:$AJ$7,4,FALSE)+VLOOKUP(C62,$B$8:$AJ$11,4,FALSE)*입력란!$P$4)*입력란!$P$25/100</f>
        <v>24442.308477810886</v>
      </c>
      <c r="AO62" s="21">
        <f>(VLOOKUP(C62,$B$4:$AJ$7,5,FALSE)+VLOOKUP(C62,$B$8:$AJ$11,5,FALSE)*입력란!$P$4)*입력란!$P$25/100</f>
        <v>97774.865860879232</v>
      </c>
      <c r="AP62" s="21"/>
      <c r="AQ62" s="22">
        <v>12</v>
      </c>
    </row>
    <row r="63" spans="2:43" ht="13.5" customHeight="1" x14ac:dyDescent="0.55000000000000004">
      <c r="B63" s="66">
        <v>48</v>
      </c>
      <c r="C63" s="29">
        <v>7</v>
      </c>
      <c r="D63" s="30" t="s">
        <v>118</v>
      </c>
      <c r="E63" s="27" t="s">
        <v>109</v>
      </c>
      <c r="F63" s="29" t="s">
        <v>123</v>
      </c>
      <c r="G63" s="29"/>
      <c r="H63" s="36">
        <f>I63/AJ63</f>
        <v>58631.486680350063</v>
      </c>
      <c r="I63" s="37">
        <f>SUM(J63:Q63)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695119.1965399289</v>
      </c>
      <c r="J63" s="21">
        <f>S63*(1+IF($AK63+IF(입력란!$C$26=1,10,0)+IF(입력란!$C$9=1,10,0)+IF(MID(E63,1,1)="3",트라이포드!G$7,0)&gt;100,100,$AK63+IF(입력란!$C$26=1,10,0)+IF(입력란!$C$9=1,10,0))/100*(($AL63+트라이포드!H$7+IF(입력란!$C$30=1,IF(OR(입력란!$C$9=1,입력란!$C$10=1),55,17),IF(입력란!$C$30=2,IF(OR(입력란!$C$9=1,입력란!$C$10=1),60,20),IF(입력란!$C$30=3,IF(OR(입력란!$C$9=1,입력란!$C$10=1),65,22),0))))/100-1))</f>
        <v>97694.461804990584</v>
      </c>
      <c r="K63" s="21">
        <f>T63*(1+IF($AK63+IF(입력란!$C$26=1,10,0)+IF(입력란!$C$9=1,10,0)+IF(MID(E63,5,1)="1",트라이포드!P$7,0)&gt;100,100,$AK63+IF(입력란!$C$26=1,10,0)+IF(입력란!$C$9=1,10,0)+IF(MID(E63,5,1)="1",트라이포드!P$7,0))/100*(($AL63+IF(입력란!$C$30=1,IF(OR(입력란!$C$9=1,입력란!$C$10=1),55,17),IF(입력란!$C$30=2,IF(OR(입력란!$C$9=1,입력란!$C$10=1),60,20),IF(입력란!$C$30=3,IF(OR(입력란!$C$9=1,입력란!$C$10=1),65,22),0))))/100-1))</f>
        <v>394564.72418745246</v>
      </c>
      <c r="L63" s="21"/>
      <c r="M63" s="21"/>
      <c r="N63" s="21"/>
      <c r="O63" s="21"/>
      <c r="P63" s="21"/>
      <c r="Q63" s="105"/>
      <c r="R63" s="19">
        <f>SUM(S63:Z63)</f>
        <v>169393.4767171939</v>
      </c>
      <c r="S63" s="21">
        <f>AN63*IF(입력란!$C$12=0,1,IF(입력란!$C$12=1,1.35,IF(입력란!$C$12=2,1.55,IF(입력란!$C$12=3,1.75,1))))*IF(입력란!$C$9=1,IF(입력란!$C$15=0,1.05,IF(입력란!$C$15=1,1.05*1.05,IF(입력란!$C$15=2,1.05*1.12,IF(입력란!$C$15=3,1.05*1.25)))),1)</f>
        <v>25664.42390170143</v>
      </c>
      <c r="T63" s="21">
        <f>AO63*IF(입력란!$C$12=0,1,IF(입력란!$C$12=1,1.35,IF(입력란!$C$12=2,1.55,IF(입력란!$C$12=3,1.75,1))))*IF(MID(E63,3,1)="3",트라이포드!$N$7,트라이포드!$M$7)*IF(MID(E63,5,1)="2",트라이포드!$R$7,트라이포드!$Q$7)*IF(입력란!$C$9=1,IF(입력란!$C$15=0,1.05,IF(입력란!$C$15=1,1.05*1.05,IF(입력란!$C$15=2,1.05*1.12,IF(입력란!$C$15=3,1.05*1.25)))),1)</f>
        <v>143729.05281549247</v>
      </c>
      <c r="U63" s="21"/>
      <c r="V63" s="21"/>
      <c r="W63" s="21"/>
      <c r="X63" s="21"/>
      <c r="Y63" s="21"/>
      <c r="Z63" s="20"/>
      <c r="AA63" s="21">
        <f>SUM(AB63:AI63)</f>
        <v>338786.9534343878</v>
      </c>
      <c r="AB63" s="21">
        <f>S63*2</f>
        <v>51328.847803402859</v>
      </c>
      <c r="AC63" s="21">
        <f>T63*2</f>
        <v>287458.10563098494</v>
      </c>
      <c r="AD63" s="21"/>
      <c r="AE63" s="21"/>
      <c r="AF63" s="21"/>
      <c r="AG63" s="21"/>
      <c r="AH63" s="21"/>
      <c r="AI63" s="20"/>
      <c r="AJ63" s="21">
        <f>AQ63*(1-입력란!$P$10/100)</f>
        <v>11.85573206304</v>
      </c>
      <c r="AK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" s="21">
        <f>입력란!$P$24+입력란!$P$16+IF(입력란!$C$18=1,10,IF(입력란!$C$18=2,25,IF(입력란!$C$18=3,50,0)))+IF(입력란!$C$23&lt;&gt;0,-12)</f>
        <v>380.66103559999999</v>
      </c>
      <c r="AM63" s="21">
        <f>SUM(AN63:AP63)</f>
        <v>122217.17433869012</v>
      </c>
      <c r="AN63" s="21">
        <f>(VLOOKUP(C63,$B$4:$AJ$7,4,FALSE)+VLOOKUP(C63,$B$8:$AJ$11,4,FALSE)*입력란!$P$4)*입력란!$P$25/100</f>
        <v>24442.308477810886</v>
      </c>
      <c r="AO63" s="21">
        <f>(VLOOKUP(C63,$B$4:$AJ$7,5,FALSE)+VLOOKUP(C63,$B$8:$AJ$11,5,FALSE)*입력란!$P$4)*입력란!$P$25/100</f>
        <v>97774.865860879232</v>
      </c>
      <c r="AP63" s="21"/>
      <c r="AQ63" s="22">
        <v>12</v>
      </c>
    </row>
    <row r="64" spans="2:43" ht="13.5" customHeight="1" x14ac:dyDescent="0.55000000000000004">
      <c r="B64" s="66">
        <v>49</v>
      </c>
      <c r="C64" s="29">
        <v>10</v>
      </c>
      <c r="D64" s="30" t="s">
        <v>118</v>
      </c>
      <c r="E64" s="27" t="s">
        <v>94</v>
      </c>
      <c r="F64" s="29"/>
      <c r="G64" s="29"/>
      <c r="H64" s="36">
        <f>I64/AJ64</f>
        <v>41979.204993282663</v>
      </c>
      <c r="I64" s="37">
        <f>SUM(J64:Q64)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497694.20661979011</v>
      </c>
      <c r="J64" s="21">
        <f>S64*(1+IF($AK64+IF(입력란!$C$26=1,10,0)+IF(입력란!$C$9=1,10,0)+IF(MID(E64,1,1)="3",트라이포드!G$7,0)&gt;100,100,$AK64+IF(입력란!$C$26=1,10,0)+IF(입력란!$C$9=1,10,0))/100*(($AL64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4" s="21">
        <f>T64*(1+IF($AK64+IF(입력란!$C$26=1,10,0)+IF(입력란!$C$9=1,10,0)+IF(MID(E64,5,1)="1",트라이포드!P$7,0)&gt;100,100,$AK64+IF(입력란!$C$26=1,10,0)+IF(입력란!$C$9=1,10,0)+IF(MID(E64,5,1)="1",트라이포드!P$7,0))/100*(($AL64+IF(입력란!$C$30=1,IF(OR(입력란!$C$9=1,입력란!$C$10=1),55,17),IF(입력란!$C$30=2,IF(OR(입력란!$C$9=1,입력란!$C$10=1),60,20),IF(입력란!$C$30=3,IF(OR(입력란!$C$9=1,입력란!$C$10=1),65,22),0))))/100-1))</f>
        <v>281949.55013522651</v>
      </c>
      <c r="L64" s="21"/>
      <c r="M64" s="21"/>
      <c r="N64" s="21"/>
      <c r="O64" s="21"/>
      <c r="P64" s="21"/>
      <c r="Q64" s="105"/>
      <c r="R64" s="19">
        <f>SUM(S64:Z64)</f>
        <v>128387.70660274211</v>
      </c>
      <c r="S64" s="21">
        <f>AN64*IF(입력란!$C$12=0,1,IF(입력란!$C$12=1,1.35,IF(입력란!$C$12=2,1.55,IF(입력란!$C$12=3,1.75,1))))*IF(입력란!$C$9=1,IF(입력란!$C$15=0,1.05,IF(입력란!$C$15=1,1.05*1.05,IF(입력란!$C$15=2,1.05*1.12,IF(입력란!$C$15=3,1.05*1.25)))),1)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4" s="21">
        <f>AO64*IF(입력란!$C$12=0,1,IF(입력란!$C$12=1,1.35,IF(입력란!$C$12=2,1.55,IF(입력란!$C$12=3,1.75,1))))*IF(MID(E64,3,1)="3",트라이포드!$N$7,트라이포드!$M$7)*IF(MID(E64,5,1)="2",트라이포드!$R$7,트라이포드!$Q$7)*IF(입력란!$C$9=1,IF(입력란!$C$15=0,1.05,IF(입력란!$C$15=1,1.05*1.05,IF(입력란!$C$15=2,1.05*1.12,IF(입력란!$C$15=3,1.05*1.25)))),1)</f>
        <v>102706.4491539232</v>
      </c>
      <c r="U64" s="21"/>
      <c r="V64" s="21"/>
      <c r="W64" s="21"/>
      <c r="X64" s="21"/>
      <c r="Y64" s="21"/>
      <c r="Z64" s="20"/>
      <c r="AA64" s="21">
        <f>SUM(AB64:AI64)</f>
        <v>256775.41320548422</v>
      </c>
      <c r="AB64" s="21">
        <f>S64*2</f>
        <v>51362.514897637811</v>
      </c>
      <c r="AC64" s="21">
        <f>T64*2</f>
        <v>205412.89830784639</v>
      </c>
      <c r="AD64" s="21"/>
      <c r="AE64" s="21"/>
      <c r="AF64" s="21"/>
      <c r="AG64" s="21"/>
      <c r="AH64" s="21"/>
      <c r="AI64" s="20"/>
      <c r="AJ64" s="21">
        <f>AQ64*(1-입력란!$P$10/100)</f>
        <v>11.85573206304</v>
      </c>
      <c r="AK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4" s="21">
        <f>입력란!$P$24+입력란!$P$16+IF(입력란!$C$18=1,10,IF(입력란!$C$18=2,25,IF(입력란!$C$18=3,50,0)))+IF(입력란!$C$23&lt;&gt;0,-12)</f>
        <v>380.66103559999999</v>
      </c>
      <c r="AM64" s="21">
        <f>SUM(AN64:AP64)</f>
        <v>122274.00628832581</v>
      </c>
      <c r="AN64" s="21">
        <f>(VLOOKUP(C64,$B$4:$AJ$7,4,FALSE)+VLOOKUP(C64,$B$8:$AJ$11,4,FALSE)*입력란!$P$4)*입력란!$P$25/100</f>
        <v>24458.340427446576</v>
      </c>
      <c r="AO64" s="21">
        <f>(VLOOKUP(C64,$B$4:$AJ$7,5,FALSE)+VLOOKUP(C64,$B$8:$AJ$11,5,FALSE)*입력란!$P$4)*입력란!$P$25/100</f>
        <v>97815.665860879235</v>
      </c>
      <c r="AP64" s="21"/>
      <c r="AQ64" s="22">
        <v>12</v>
      </c>
    </row>
    <row r="65" spans="2:43" ht="13.5" customHeight="1" x14ac:dyDescent="0.55000000000000004">
      <c r="B65" s="66">
        <v>50</v>
      </c>
      <c r="C65" s="29">
        <v>10</v>
      </c>
      <c r="D65" s="30" t="s">
        <v>118</v>
      </c>
      <c r="E65" s="27" t="s">
        <v>121</v>
      </c>
      <c r="F65" s="29" t="s">
        <v>124</v>
      </c>
      <c r="G65" s="29"/>
      <c r="H65" s="36">
        <f>I65/AJ65</f>
        <v>54963.515295065561</v>
      </c>
      <c r="I65" s="37">
        <f>SUM(J65:Q65)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651632.71058109822</v>
      </c>
      <c r="J65" s="21">
        <f>S65*(1+IF($AK65+IF(입력란!$C$26=1,10,0)+IF(입력란!$C$9=1,10,0)+IF(MID(E65,1,1)="3",트라이포드!G$7,0)&gt;100,100,$AK65+IF(입력란!$C$26=1,10,0)+IF(입력란!$C$9=1,10,0))/100*(($AL65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5" s="21">
        <f>T65*(1+IF($AK65+IF(입력란!$C$26=1,10,0)+IF(입력란!$C$9=1,10,0)+IF(MID(E65,5,1)="1",트라이포드!P$7,0)&gt;100,100,$AK65+IF(입력란!$C$26=1,10,0)+IF(입력란!$C$9=1,10,0)+IF(MID(E65,5,1)="1",트라이포드!P$7,0))/100*(($AL65+IF(입력란!$C$30=1,IF(OR(입력란!$C$9=1,입력란!$C$10=1),55,17),IF(입력란!$C$30=2,IF(OR(입력란!$C$9=1,입력란!$C$10=1),60,20),IF(입력란!$C$30=3,IF(OR(입력란!$C$9=1,입력란!$C$10=1),65,22),0))))/100-1))</f>
        <v>390963.43297731143</v>
      </c>
      <c r="L65" s="21"/>
      <c r="M65" s="21"/>
      <c r="N65" s="21"/>
      <c r="O65" s="21"/>
      <c r="P65" s="21"/>
      <c r="Q65" s="105"/>
      <c r="R65" s="19">
        <f>SUM(S65:Z65)</f>
        <v>128387.70660274211</v>
      </c>
      <c r="S65" s="21">
        <f>AN65*IF(입력란!$C$12=0,1,IF(입력란!$C$12=1,1.35,IF(입력란!$C$12=2,1.55,IF(입력란!$C$12=3,1.75,1))))*IF(입력란!$C$9=1,IF(입력란!$C$15=0,1.05,IF(입력란!$C$15=1,1.05*1.05,IF(입력란!$C$15=2,1.05*1.12,IF(입력란!$C$15=3,1.05*1.25)))),1)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5" s="21">
        <f>AO65*IF(입력란!$C$12=0,1,IF(입력란!$C$12=1,1.35,IF(입력란!$C$12=2,1.55,IF(입력란!$C$12=3,1.75,1))))*IF(MID(E65,3,1)="3",트라이포드!$N$7,트라이포드!$M$7)*IF(MID(E65,5,1)="2",트라이포드!$R$7,트라이포드!$Q$7)*IF(입력란!$C$9=1,IF(입력란!$C$15=0,1.05,IF(입력란!$C$15=1,1.05*1.05,IF(입력란!$C$15=2,1.05*1.12,IF(입력란!$C$15=3,1.05*1.25)))),1)</f>
        <v>102706.4491539232</v>
      </c>
      <c r="U65" s="21"/>
      <c r="V65" s="21"/>
      <c r="W65" s="21"/>
      <c r="X65" s="21"/>
      <c r="Y65" s="21"/>
      <c r="Z65" s="20"/>
      <c r="AA65" s="21">
        <f>SUM(AB65:AI65)</f>
        <v>256775.41320548422</v>
      </c>
      <c r="AB65" s="21">
        <f>S65*2</f>
        <v>51362.514897637811</v>
      </c>
      <c r="AC65" s="21">
        <f>T65*2</f>
        <v>205412.89830784639</v>
      </c>
      <c r="AD65" s="21"/>
      <c r="AE65" s="21"/>
      <c r="AF65" s="21"/>
      <c r="AG65" s="21"/>
      <c r="AH65" s="21"/>
      <c r="AI65" s="20"/>
      <c r="AJ65" s="21">
        <f>AQ65*(1-입력란!$P$10/100)</f>
        <v>11.85573206304</v>
      </c>
      <c r="AK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5" s="21">
        <f>입력란!$P$24+입력란!$P$16+IF(입력란!$C$18=1,10,IF(입력란!$C$18=2,25,IF(입력란!$C$18=3,50,0)))+IF(입력란!$C$23&lt;&gt;0,-12)</f>
        <v>380.66103559999999</v>
      </c>
      <c r="AM65" s="21">
        <f>SUM(AN65:AP65)</f>
        <v>122274.00628832581</v>
      </c>
      <c r="AN65" s="21">
        <f>(VLOOKUP(C65,$B$4:$AJ$7,4,FALSE)+VLOOKUP(C65,$B$8:$AJ$11,4,FALSE)*입력란!$P$4)*입력란!$P$25/100</f>
        <v>24458.340427446576</v>
      </c>
      <c r="AO65" s="21">
        <f>(VLOOKUP(C65,$B$4:$AJ$7,5,FALSE)+VLOOKUP(C65,$B$8:$AJ$11,5,FALSE)*입력란!$P$4)*입력란!$P$25/100</f>
        <v>97815.665860879235</v>
      </c>
      <c r="AP65" s="21"/>
      <c r="AQ65" s="22">
        <v>12</v>
      </c>
    </row>
    <row r="66" spans="2:43" ht="13.5" customHeight="1" x14ac:dyDescent="0.55000000000000004">
      <c r="B66" s="66">
        <v>51</v>
      </c>
      <c r="C66" s="29">
        <v>10</v>
      </c>
      <c r="D66" s="30" t="s">
        <v>118</v>
      </c>
      <c r="E66" s="27" t="s">
        <v>122</v>
      </c>
      <c r="F66" s="29"/>
      <c r="G66" s="29"/>
      <c r="H66" s="36">
        <f>I66/AJ66</f>
        <v>66326.262963299014</v>
      </c>
      <c r="I66" s="37">
        <f>SUM(J66:Q66)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786346.40243560646</v>
      </c>
      <c r="J66" s="21">
        <f>S66*(1+IF($AK66+IF(입력란!$C$26=1,10,0)+IF(입력란!$C$9=1,10,0)+IF(MID(E66,1,1)="3",트라이포드!G$7,0)&gt;100,100,$AK66+IF(입력란!$C$26=1,10,0)+IF(입력란!$C$9=1,10,0))/100*(($AL66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6" s="21">
        <f>T66*(1+IF($AK66+IF(입력란!$C$26=1,10,0)+IF(입력란!$C$9=1,10,0)+IF(MID(E66,5,1)="1",트라이포드!P$7,0)&gt;100,100,$AK66+IF(입력란!$C$26=1,10,0)+IF(입력란!$C$9=1,10,0)+IF(MID(E66,5,1)="1",트라이포드!P$7,0))/100*(($AL66+IF(입력란!$C$30=1,IF(OR(입력란!$C$9=1,입력란!$C$10=1),55,17),IF(입력란!$C$30=2,IF(OR(입력란!$C$9=1,입력란!$C$10=1),60,20),IF(입력란!$C$30=3,IF(OR(입력란!$C$9=1,입력란!$C$10=1),65,22),0))))/100-1))</f>
        <v>486362.97398326581</v>
      </c>
      <c r="L66" s="21"/>
      <c r="M66" s="21"/>
      <c r="N66" s="21"/>
      <c r="O66" s="21"/>
      <c r="P66" s="21"/>
      <c r="Q66" s="105"/>
      <c r="R66" s="19">
        <f>SUM(S66:Z66)</f>
        <v>202849.88223933644</v>
      </c>
      <c r="S66" s="21">
        <f>AN66*IF(입력란!$C$12=0,1,IF(입력란!$C$12=1,1.35,IF(입력란!$C$12=2,1.55,IF(입력란!$C$12=3,1.75,1))))*IF(입력란!$C$9=1,IF(입력란!$C$15=0,1.05,IF(입력란!$C$15=1,1.05*1.05,IF(입력란!$C$15=2,1.05*1.12,IF(입력란!$C$15=3,1.05*1.25)))),1)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6" s="21">
        <f>AO66*IF(입력란!$C$12=0,1,IF(입력란!$C$12=1,1.35,IF(입력란!$C$12=2,1.55,IF(입력란!$C$12=3,1.75,1))))*IF(MID(E66,3,1)="3",트라이포드!$N$7,트라이포드!$M$7)*IF(MID(E66,5,1)="2",트라이포드!$R$7,트라이포드!$Q$7)*IF(입력란!$C$9=1,IF(입력란!$C$15=0,1.05,IF(입력란!$C$15=1,1.05*1.05,IF(입력란!$C$15=2,1.05*1.12,IF(입력란!$C$15=3,1.05*1.25)))),1)</f>
        <v>177168.62479051753</v>
      </c>
      <c r="U66" s="21"/>
      <c r="V66" s="21"/>
      <c r="W66" s="21"/>
      <c r="X66" s="21"/>
      <c r="Y66" s="21"/>
      <c r="Z66" s="20"/>
      <c r="AA66" s="21">
        <f>SUM(AB66:AI66)</f>
        <v>405699.76447867288</v>
      </c>
      <c r="AB66" s="21">
        <f>S66*2</f>
        <v>51362.514897637811</v>
      </c>
      <c r="AC66" s="21">
        <f>T66*2</f>
        <v>354337.24958103505</v>
      </c>
      <c r="AD66" s="21"/>
      <c r="AE66" s="21"/>
      <c r="AF66" s="21"/>
      <c r="AG66" s="21"/>
      <c r="AH66" s="21"/>
      <c r="AI66" s="20"/>
      <c r="AJ66" s="21">
        <f>AQ66*(1-입력란!$P$10/100)</f>
        <v>11.85573206304</v>
      </c>
      <c r="AK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6" s="21">
        <f>입력란!$P$24+입력란!$P$16+IF(입력란!$C$18=1,10,IF(입력란!$C$18=2,25,IF(입력란!$C$18=3,50,0)))+IF(입력란!$C$23&lt;&gt;0,-12)</f>
        <v>380.66103559999999</v>
      </c>
      <c r="AM66" s="21">
        <f>SUM(AN66:AP66)</f>
        <v>122274.00628832581</v>
      </c>
      <c r="AN66" s="21">
        <f>(VLOOKUP(C66,$B$4:$AJ$7,4,FALSE)+VLOOKUP(C66,$B$8:$AJ$11,4,FALSE)*입력란!$P$4)*입력란!$P$25/100</f>
        <v>24458.340427446576</v>
      </c>
      <c r="AO66" s="21">
        <f>(VLOOKUP(C66,$B$4:$AJ$7,5,FALSE)+VLOOKUP(C66,$B$8:$AJ$11,5,FALSE)*입력란!$P$4)*입력란!$P$25/100</f>
        <v>97815.665860879235</v>
      </c>
      <c r="AP66" s="21"/>
      <c r="AQ66" s="22">
        <v>12</v>
      </c>
    </row>
    <row r="67" spans="2:43" ht="13.5" customHeight="1" x14ac:dyDescent="0.55000000000000004">
      <c r="B67" s="66">
        <v>52</v>
      </c>
      <c r="C67" s="29">
        <v>10</v>
      </c>
      <c r="D67" s="30" t="s">
        <v>118</v>
      </c>
      <c r="E67" s="27" t="s">
        <v>98</v>
      </c>
      <c r="F67" s="29" t="s">
        <v>123</v>
      </c>
      <c r="G67" s="29"/>
      <c r="H67" s="36">
        <f>I67/AJ67</f>
        <v>55412.064562946864</v>
      </c>
      <c r="I67" s="37">
        <f>SUM(J67:Q67)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656950.59051817167</v>
      </c>
      <c r="J67" s="21">
        <f>S67*(1+IF($AK67+IF(입력란!$C$26=1,10,0)+IF(입력란!$C$9=1,10,0)+IF(MID(E67,1,1)="3",트라이포드!G$7,0)&gt;100,100,$AK67+IF(입력란!$C$26=1,10,0)+IF(입력란!$C$9=1,10,0))/100*(($AL67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7" s="21">
        <f>T67*(1+IF($AK67+IF(입력란!$C$26=1,10,0)+IF(입력란!$C$9=1,10,0)+IF(MID(E67,5,1)="1",트라이포드!P$7,0)&gt;100,100,$AK67+IF(입력란!$C$26=1,10,0)+IF(입력란!$C$9=1,10,0)+IF(MID(E67,5,1)="1",트라이포드!P$7,0))/100*(($AL67+IF(입력란!$C$30=1,IF(OR(입력란!$C$9=1,입력란!$C$10=1),55,17),IF(입력란!$C$30=2,IF(OR(입력란!$C$9=1,입력란!$C$10=1),60,20),IF(입력란!$C$30=3,IF(OR(입력란!$C$9=1,입력란!$C$10=1),65,22),0))))/100-1))</f>
        <v>394729.37018931721</v>
      </c>
      <c r="L67" s="21"/>
      <c r="M67" s="21"/>
      <c r="N67" s="21"/>
      <c r="O67" s="21"/>
      <c r="P67" s="21"/>
      <c r="Q67" s="105"/>
      <c r="R67" s="19">
        <f>SUM(S67:Z67)</f>
        <v>169470.28626431141</v>
      </c>
      <c r="S67" s="21">
        <f>AN67*IF(입력란!$C$12=0,1,IF(입력란!$C$12=1,1.35,IF(입력란!$C$12=2,1.55,IF(입력란!$C$12=3,1.75,1))))*IF(입력란!$C$9=1,IF(입력란!$C$15=0,1.05,IF(입력란!$C$15=1,1.05*1.05,IF(입력란!$C$15=2,1.05*1.12,IF(입력란!$C$15=3,1.05*1.25)))),1)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7" s="21">
        <f>AO67*IF(입력란!$C$12=0,1,IF(입력란!$C$12=1,1.35,IF(입력란!$C$12=2,1.55,IF(입력란!$C$12=3,1.75,1))))*IF(MID(E67,3,1)="3",트라이포드!$N$7,트라이포드!$M$7)*IF(MID(E67,5,1)="2",트라이포드!$R$7,트라이포드!$Q$7)*IF(입력란!$C$9=1,IF(입력란!$C$15=0,1.05,IF(입력란!$C$15=1,1.05*1.05,IF(입력란!$C$15=2,1.05*1.12,IF(입력란!$C$15=3,1.05*1.25)))),1)</f>
        <v>143789.02881549249</v>
      </c>
      <c r="U67" s="21"/>
      <c r="V67" s="21"/>
      <c r="W67" s="21"/>
      <c r="X67" s="21"/>
      <c r="Y67" s="21"/>
      <c r="Z67" s="20"/>
      <c r="AA67" s="21">
        <f>SUM(AB67:AI67)</f>
        <v>338940.57252862281</v>
      </c>
      <c r="AB67" s="21">
        <f>S67*2</f>
        <v>51362.514897637811</v>
      </c>
      <c r="AC67" s="21">
        <f>T67*2</f>
        <v>287578.05763098499</v>
      </c>
      <c r="AD67" s="21"/>
      <c r="AE67" s="21"/>
      <c r="AF67" s="21"/>
      <c r="AG67" s="21"/>
      <c r="AH67" s="21"/>
      <c r="AI67" s="20"/>
      <c r="AJ67" s="21">
        <f>AQ67*(1-입력란!$P$10/100)</f>
        <v>11.85573206304</v>
      </c>
      <c r="AK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7" s="21">
        <f>입력란!$P$24+입력란!$P$16+IF(입력란!$C$18=1,10,IF(입력란!$C$18=2,25,IF(입력란!$C$18=3,50,0)))+IF(입력란!$C$23&lt;&gt;0,-12)</f>
        <v>380.66103559999999</v>
      </c>
      <c r="AM67" s="21">
        <f>SUM(AN67:AP67)</f>
        <v>122274.00628832581</v>
      </c>
      <c r="AN67" s="21">
        <f>(VLOOKUP(C67,$B$4:$AJ$7,4,FALSE)+VLOOKUP(C67,$B$8:$AJ$11,4,FALSE)*입력란!$P$4)*입력란!$P$25/100</f>
        <v>24458.340427446576</v>
      </c>
      <c r="AO67" s="21">
        <f>(VLOOKUP(C67,$B$4:$AJ$7,5,FALSE)+VLOOKUP(C67,$B$8:$AJ$11,5,FALSE)*입력란!$P$4)*입력란!$P$25/100</f>
        <v>97815.665860879235</v>
      </c>
      <c r="AP67" s="21"/>
      <c r="AQ67" s="22">
        <v>12</v>
      </c>
    </row>
    <row r="68" spans="2:43" ht="13.5" customHeight="1" x14ac:dyDescent="0.55000000000000004">
      <c r="B68" s="66">
        <v>53</v>
      </c>
      <c r="C68" s="29">
        <v>10</v>
      </c>
      <c r="D68" s="30" t="s">
        <v>118</v>
      </c>
      <c r="E68" s="27" t="s">
        <v>126</v>
      </c>
      <c r="F68" s="29" t="s">
        <v>125</v>
      </c>
      <c r="G68" s="29"/>
      <c r="H68" s="36">
        <f>I68/AJ68</f>
        <v>73590.098985442921</v>
      </c>
      <c r="I68" s="37">
        <f>SUM(J68:Q68)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872464.49606400297</v>
      </c>
      <c r="J68" s="21">
        <f>S68*(1+IF($AK68+IF(입력란!$C$26=1,10,0)+IF(입력란!$C$9=1,10,0)+IF(MID(E68,1,1)="3",트라이포드!G$7,0)&gt;100,100,$AK68+IF(입력란!$C$26=1,10,0)+IF(입력란!$C$9=1,10,0))/100*(($AL68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8" s="21">
        <f>T68*(1+IF($AK68+IF(입력란!$C$26=1,10,0)+IF(입력란!$C$9=1,10,0)+IF(MID(E68,5,1)="1",트라이포드!P$7,0)&gt;100,100,$AK68+IF(입력란!$C$26=1,10,0)+IF(입력란!$C$9=1,10,0)+IF(MID(E68,5,1)="1",트라이포드!P$7,0))/100*(($AL68+IF(입력란!$C$30=1,IF(OR(입력란!$C$9=1,입력란!$C$10=1),55,17),IF(입력란!$C$30=2,IF(OR(입력란!$C$9=1,입력란!$C$10=1),60,20),IF(입력란!$C$30=3,IF(OR(입력란!$C$9=1,입력란!$C$10=1),65,22),0))))/100-1))</f>
        <v>547348.80616823607</v>
      </c>
      <c r="L68" s="21"/>
      <c r="M68" s="21"/>
      <c r="N68" s="21"/>
      <c r="O68" s="21"/>
      <c r="P68" s="21"/>
      <c r="Q68" s="105"/>
      <c r="R68" s="19">
        <f>SUM(S68:Z68)</f>
        <v>169470.28626431141</v>
      </c>
      <c r="S68" s="21">
        <f>AN68*IF(입력란!$C$12=0,1,IF(입력란!$C$12=1,1.35,IF(입력란!$C$12=2,1.55,IF(입력란!$C$12=3,1.75,1))))*IF(입력란!$C$9=1,IF(입력란!$C$15=0,1.05,IF(입력란!$C$15=1,1.05*1.05,IF(입력란!$C$15=2,1.05*1.12,IF(입력란!$C$15=3,1.05*1.25)))),1)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8" s="21">
        <f>AO68*IF(입력란!$C$12=0,1,IF(입력란!$C$12=1,1.35,IF(입력란!$C$12=2,1.55,IF(입력란!$C$12=3,1.75,1))))*IF(MID(E68,3,1)="3",트라이포드!$N$7,트라이포드!$M$7)*IF(MID(E68,5,1)="2",트라이포드!$R$7,트라이포드!$Q$7)*IF(입력란!$C$9=1,IF(입력란!$C$15=0,1.05,IF(입력란!$C$15=1,1.05*1.05,IF(입력란!$C$15=2,1.05*1.12,IF(입력란!$C$15=3,1.05*1.25)))),1)</f>
        <v>143789.02881549249</v>
      </c>
      <c r="U68" s="21"/>
      <c r="V68" s="21"/>
      <c r="W68" s="21"/>
      <c r="X68" s="21"/>
      <c r="Y68" s="21"/>
      <c r="Z68" s="20"/>
      <c r="AA68" s="21">
        <f>SUM(AB68:AI68)</f>
        <v>338940.57252862281</v>
      </c>
      <c r="AB68" s="21">
        <f>S68*2</f>
        <v>51362.514897637811</v>
      </c>
      <c r="AC68" s="21">
        <f>T68*2</f>
        <v>287578.05763098499</v>
      </c>
      <c r="AD68" s="21"/>
      <c r="AE68" s="21"/>
      <c r="AF68" s="21"/>
      <c r="AG68" s="21"/>
      <c r="AH68" s="21"/>
      <c r="AI68" s="20"/>
      <c r="AJ68" s="21">
        <f>AQ68*(1-입력란!$P$10/100)</f>
        <v>11.85573206304</v>
      </c>
      <c r="AK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8" s="21">
        <f>입력란!$P$24+입력란!$P$16+IF(입력란!$C$18=1,10,IF(입력란!$C$18=2,25,IF(입력란!$C$18=3,50,0)))+IF(입력란!$C$23&lt;&gt;0,-12)</f>
        <v>380.66103559999999</v>
      </c>
      <c r="AM68" s="21">
        <f>SUM(AN68:AP68)</f>
        <v>122274.00628832581</v>
      </c>
      <c r="AN68" s="21">
        <f>(VLOOKUP(C68,$B$4:$AJ$7,4,FALSE)+VLOOKUP(C68,$B$8:$AJ$11,4,FALSE)*입력란!$P$4)*입력란!$P$25/100</f>
        <v>24458.340427446576</v>
      </c>
      <c r="AO68" s="21">
        <f>(VLOOKUP(C68,$B$4:$AJ$7,5,FALSE)+VLOOKUP(C68,$B$8:$AJ$11,5,FALSE)*입력란!$P$4)*입력란!$P$25/100</f>
        <v>97815.665860879235</v>
      </c>
      <c r="AP68" s="21"/>
      <c r="AQ68" s="22">
        <v>12</v>
      </c>
    </row>
    <row r="69" spans="2:43" ht="13.5" customHeight="1" x14ac:dyDescent="0.55000000000000004">
      <c r="B69" s="66">
        <v>54</v>
      </c>
      <c r="C69" s="29">
        <v>10</v>
      </c>
      <c r="D69" s="30" t="s">
        <v>118</v>
      </c>
      <c r="E69" s="27" t="s">
        <v>127</v>
      </c>
      <c r="F69" s="29" t="s">
        <v>123</v>
      </c>
      <c r="G69" s="29"/>
      <c r="H69" s="36">
        <f>I69/AJ69</f>
        <v>89497.945720969728</v>
      </c>
      <c r="I69" s="37">
        <f>SUM(J69:Q69)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1061063.6646603143</v>
      </c>
      <c r="J69" s="21">
        <f>S69*(1+IF($AK69+IF(입력란!$C$26=1,10,0)+IF(입력란!$C$9=1,10,0)+IF(MID(E69,1,1)="3",트라이포드!G$7,0)&gt;100,100,$AK69+IF(입력란!$C$26=1,10,0)+IF(입력란!$C$9=1,10,0))/100*(($AL69+트라이포드!H$7+IF(입력란!$C$30=1,IF(OR(입력란!$C$9=1,입력란!$C$10=1),55,17),IF(입력란!$C$30=2,IF(OR(입력란!$C$9=1,입력란!$C$10=1),60,20),IF(입력란!$C$30=3,IF(OR(입력란!$C$9=1,입력란!$C$10=1),65,22),0))))/100-1))</f>
        <v>70500.139419188941</v>
      </c>
      <c r="K69" s="21">
        <f>T69*(1+IF($AK69+IF(입력란!$C$26=1,10,0)+IF(입력란!$C$9=1,10,0)+IF(MID(E69,5,1)="1",트라이포드!P$7,0)&gt;100,100,$AK69+IF(입력란!$C$26=1,10,0)+IF(입력란!$C$9=1,10,0)+IF(MID(E69,5,1)="1",트라이포드!P$7,0))/100*(($AL69+IF(입력란!$C$30=1,IF(OR(입력란!$C$9=1,입력란!$C$10=1),55,17),IF(입력란!$C$30=2,IF(OR(입력란!$C$9=1,입력란!$C$10=1),60,20),IF(입력란!$C$30=3,IF(OR(입력란!$C$9=1,입력란!$C$10=1),65,22),0))))/100-1))</f>
        <v>680908.16357657209</v>
      </c>
      <c r="L69" s="21"/>
      <c r="M69" s="21"/>
      <c r="N69" s="21"/>
      <c r="O69" s="21"/>
      <c r="P69" s="21"/>
      <c r="Q69" s="105"/>
      <c r="R69" s="19">
        <f>SUM(S69:Z69)</f>
        <v>273717.33215554344</v>
      </c>
      <c r="S69" s="21">
        <f>AN69*IF(입력란!$C$12=0,1,IF(입력란!$C$12=1,1.35,IF(입력란!$C$12=2,1.55,IF(입력란!$C$12=3,1.75,1))))*IF(입력란!$C$9=1,IF(입력란!$C$15=0,1.05,IF(입력란!$C$15=1,1.05*1.05,IF(입력란!$C$15=2,1.05*1.12,IF(입력란!$C$15=3,1.05*1.25)))),1)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69" s="21">
        <f>AO69*IF(입력란!$C$12=0,1,IF(입력란!$C$12=1,1.35,IF(입력란!$C$12=2,1.55,IF(입력란!$C$12=3,1.75,1))))*IF(MID(E69,3,1)="3",트라이포드!$N$7,트라이포드!$M$7)*IF(MID(E69,5,1)="2",트라이포드!$R$7,트라이포드!$Q$7)*IF(입력란!$C$9=1,IF(입력란!$C$15=0,1.05,IF(입력란!$C$15=1,1.05*1.05,IF(입력란!$C$15=2,1.05*1.12,IF(입력란!$C$15=3,1.05*1.25)))),1)</f>
        <v>248036.07470672452</v>
      </c>
      <c r="U69" s="21"/>
      <c r="V69" s="21"/>
      <c r="W69" s="21"/>
      <c r="X69" s="21"/>
      <c r="Y69" s="21"/>
      <c r="Z69" s="20"/>
      <c r="AA69" s="21">
        <f>SUM(AB69:AI69)</f>
        <v>547434.66431108688</v>
      </c>
      <c r="AB69" s="21">
        <f>S69*2</f>
        <v>51362.514897637811</v>
      </c>
      <c r="AC69" s="21">
        <f>T69*2</f>
        <v>496072.14941344905</v>
      </c>
      <c r="AD69" s="21"/>
      <c r="AE69" s="21"/>
      <c r="AF69" s="21"/>
      <c r="AG69" s="21"/>
      <c r="AH69" s="21"/>
      <c r="AI69" s="20"/>
      <c r="AJ69" s="21">
        <f>AQ69*(1-입력란!$P$10/100)</f>
        <v>11.85573206304</v>
      </c>
      <c r="AK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9" s="21">
        <f>입력란!$P$24+입력란!$P$16+IF(입력란!$C$18=1,10,IF(입력란!$C$18=2,25,IF(입력란!$C$18=3,50,0)))+IF(입력란!$C$23&lt;&gt;0,-12)</f>
        <v>380.66103559999999</v>
      </c>
      <c r="AM69" s="21">
        <f>SUM(AN69:AP69)</f>
        <v>122274.00628832581</v>
      </c>
      <c r="AN69" s="21">
        <f>(VLOOKUP(C69,$B$4:$AJ$7,4,FALSE)+VLOOKUP(C69,$B$8:$AJ$11,4,FALSE)*입력란!$P$4)*입력란!$P$25/100</f>
        <v>24458.340427446576</v>
      </c>
      <c r="AO69" s="21">
        <f>(VLOOKUP(C69,$B$4:$AJ$7,5,FALSE)+VLOOKUP(C69,$B$8:$AJ$11,5,FALSE)*입력란!$P$4)*입력란!$P$25/100</f>
        <v>97815.665860879235</v>
      </c>
      <c r="AP69" s="21"/>
      <c r="AQ69" s="22">
        <v>12</v>
      </c>
    </row>
    <row r="70" spans="2:43" ht="13.5" customHeight="1" x14ac:dyDescent="0.55000000000000004">
      <c r="B70" s="66">
        <v>55</v>
      </c>
      <c r="C70" s="29">
        <v>10</v>
      </c>
      <c r="D70" s="30" t="s">
        <v>118</v>
      </c>
      <c r="E70" s="27" t="s">
        <v>95</v>
      </c>
      <c r="F70" s="29"/>
      <c r="G70" s="29"/>
      <c r="H70" s="36">
        <f>I70/AJ70</f>
        <v>45225.869817179955</v>
      </c>
      <c r="I70" s="37">
        <f>SUM(J70:Q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536185.79487041337</v>
      </c>
      <c r="J70" s="21">
        <f>S70*(1+IF($AK70+IF(입력란!$C$26=1,10,0)+IF(입력란!$C$9=1,10,0)+IF(MID(E70,1,1)="3",트라이포드!G$7,0)&gt;100,100,$AK70+IF(입력란!$C$26=1,10,0)+IF(입력란!$C$9=1,10,0))/100*(($AL70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0" s="21">
        <f>T70*(1+IF($AK70+IF(입력란!$C$26=1,10,0)+IF(입력란!$C$9=1,10,0)+IF(MID(E70,5,1)="1",트라이포드!P$7,0)&gt;100,100,$AK70+IF(입력란!$C$26=1,10,0)+IF(입력란!$C$9=1,10,0)+IF(MID(E70,5,1)="1",트라이포드!P$7,0))/100*(($AL70+IF(입력란!$C$30=1,IF(OR(입력란!$C$9=1,입력란!$C$10=1),55,17),IF(입력란!$C$30=2,IF(OR(입력란!$C$9=1,입력란!$C$10=1),60,20),IF(입력란!$C$30=3,IF(OR(입력란!$C$9=1,입력란!$C$10=1),65,22),0))))/100-1))</f>
        <v>281949.55013522651</v>
      </c>
      <c r="L70" s="21"/>
      <c r="M70" s="21"/>
      <c r="N70" s="21"/>
      <c r="O70" s="21"/>
      <c r="P70" s="21"/>
      <c r="Q70" s="105"/>
      <c r="R70" s="19">
        <f>SUM(S70:Z70)</f>
        <v>128387.70660274211</v>
      </c>
      <c r="S70" s="21">
        <f>AN70*IF(입력란!$C$12=0,1,IF(입력란!$C$12=1,1.35,IF(입력란!$C$12=2,1.55,IF(입력란!$C$12=3,1.75,1))))*IF(입력란!$C$9=1,IF(입력란!$C$15=0,1.05,IF(입력란!$C$15=1,1.05*1.05,IF(입력란!$C$15=2,1.05*1.12,IF(입력란!$C$15=3,1.05*1.25)))),1)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0" s="21">
        <f>AO70*IF(입력란!$C$12=0,1,IF(입력란!$C$12=1,1.35,IF(입력란!$C$12=2,1.55,IF(입력란!$C$12=3,1.75,1))))*IF(MID(E70,3,1)="3",트라이포드!$N$7,트라이포드!$M$7)*IF(MID(E70,5,1)="2",트라이포드!$R$7,트라이포드!$Q$7)*IF(입력란!$C$9=1,IF(입력란!$C$15=0,1.05,IF(입력란!$C$15=1,1.05*1.05,IF(입력란!$C$15=2,1.05*1.12,IF(입력란!$C$15=3,1.05*1.25)))),1)</f>
        <v>102706.4491539232</v>
      </c>
      <c r="U70" s="21"/>
      <c r="V70" s="21"/>
      <c r="W70" s="21"/>
      <c r="X70" s="21"/>
      <c r="Y70" s="21"/>
      <c r="Z70" s="20"/>
      <c r="AA70" s="21">
        <f>SUM(AB70:AI70)</f>
        <v>256775.41320548422</v>
      </c>
      <c r="AB70" s="21">
        <f>S70*2</f>
        <v>51362.514897637811</v>
      </c>
      <c r="AC70" s="21">
        <f>T70*2</f>
        <v>205412.89830784639</v>
      </c>
      <c r="AD70" s="21"/>
      <c r="AE70" s="21"/>
      <c r="AF70" s="21"/>
      <c r="AG70" s="21"/>
      <c r="AH70" s="21"/>
      <c r="AI70" s="20"/>
      <c r="AJ70" s="21">
        <f>AQ70*(1-입력란!$P$10/100)</f>
        <v>11.85573206304</v>
      </c>
      <c r="AK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0" s="21">
        <f>입력란!$P$24+입력란!$P$16+IF(입력란!$C$18=1,10,IF(입력란!$C$18=2,25,IF(입력란!$C$18=3,50,0)))+IF(입력란!$C$23&lt;&gt;0,-12)</f>
        <v>380.66103559999999</v>
      </c>
      <c r="AM70" s="21">
        <f>SUM(AN70:AP70)</f>
        <v>122274.00628832581</v>
      </c>
      <c r="AN70" s="21">
        <f>(VLOOKUP(C70,$B$4:$AJ$7,4,FALSE)+VLOOKUP(C70,$B$8:$AJ$11,4,FALSE)*입력란!$P$4)*입력란!$P$25/100</f>
        <v>24458.340427446576</v>
      </c>
      <c r="AO70" s="21">
        <f>(VLOOKUP(C70,$B$4:$AJ$7,5,FALSE)+VLOOKUP(C70,$B$8:$AJ$11,5,FALSE)*입력란!$P$4)*입력란!$P$25/100</f>
        <v>97815.665860879235</v>
      </c>
      <c r="AP70" s="21"/>
      <c r="AQ70" s="22">
        <v>12</v>
      </c>
    </row>
    <row r="71" spans="2:43" ht="13.5" customHeight="1" x14ac:dyDescent="0.55000000000000004">
      <c r="B71" s="66">
        <v>56</v>
      </c>
      <c r="C71" s="29">
        <v>10</v>
      </c>
      <c r="D71" s="30" t="s">
        <v>118</v>
      </c>
      <c r="E71" s="27" t="s">
        <v>110</v>
      </c>
      <c r="F71" s="29" t="s">
        <v>124</v>
      </c>
      <c r="G71" s="29"/>
      <c r="H71" s="36">
        <f>I71/AJ71</f>
        <v>58210.18011896286</v>
      </c>
      <c r="I71" s="37">
        <f>SUM(J71:Q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690124.29883172153</v>
      </c>
      <c r="J71" s="21">
        <f>S71*(1+IF($AK71+IF(입력란!$C$26=1,10,0)+IF(입력란!$C$9=1,10,0)+IF(MID(E71,1,1)="3",트라이포드!G$7,0)&gt;100,100,$AK71+IF(입력란!$C$26=1,10,0)+IF(입력란!$C$9=1,10,0))/100*(($AL71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1" s="21">
        <f>T71*(1+IF($AK71+IF(입력란!$C$26=1,10,0)+IF(입력란!$C$9=1,10,0)+IF(MID(E71,5,1)="1",트라이포드!P$7,0)&gt;100,100,$AK71+IF(입력란!$C$26=1,10,0)+IF(입력란!$C$9=1,10,0)+IF(MID(E71,5,1)="1",트라이포드!P$7,0))/100*(($AL71+IF(입력란!$C$30=1,IF(OR(입력란!$C$9=1,입력란!$C$10=1),55,17),IF(입력란!$C$30=2,IF(OR(입력란!$C$9=1,입력란!$C$10=1),60,20),IF(입력란!$C$30=3,IF(OR(입력란!$C$9=1,입력란!$C$10=1),65,22),0))))/100-1))</f>
        <v>390963.43297731143</v>
      </c>
      <c r="L71" s="21"/>
      <c r="M71" s="21"/>
      <c r="N71" s="21"/>
      <c r="O71" s="21"/>
      <c r="P71" s="21"/>
      <c r="Q71" s="105"/>
      <c r="R71" s="19">
        <f>SUM(S71:Z71)</f>
        <v>128387.70660274211</v>
      </c>
      <c r="S71" s="21">
        <f>AN71*IF(입력란!$C$12=0,1,IF(입력란!$C$12=1,1.35,IF(입력란!$C$12=2,1.55,IF(입력란!$C$12=3,1.75,1))))*IF(입력란!$C$9=1,IF(입력란!$C$15=0,1.05,IF(입력란!$C$15=1,1.05*1.05,IF(입력란!$C$15=2,1.05*1.12,IF(입력란!$C$15=3,1.05*1.25)))),1)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1" s="21">
        <f>AO71*IF(입력란!$C$12=0,1,IF(입력란!$C$12=1,1.35,IF(입력란!$C$12=2,1.55,IF(입력란!$C$12=3,1.75,1))))*IF(MID(E71,3,1)="3",트라이포드!$N$7,트라이포드!$M$7)*IF(MID(E71,5,1)="2",트라이포드!$R$7,트라이포드!$Q$7)*IF(입력란!$C$9=1,IF(입력란!$C$15=0,1.05,IF(입력란!$C$15=1,1.05*1.05,IF(입력란!$C$15=2,1.05*1.12,IF(입력란!$C$15=3,1.05*1.25)))),1)</f>
        <v>102706.4491539232</v>
      </c>
      <c r="U71" s="21"/>
      <c r="V71" s="21"/>
      <c r="W71" s="21"/>
      <c r="X71" s="21"/>
      <c r="Y71" s="21"/>
      <c r="Z71" s="20"/>
      <c r="AA71" s="21">
        <f>SUM(AB71:AI71)</f>
        <v>256775.41320548422</v>
      </c>
      <c r="AB71" s="21">
        <f>S71*2</f>
        <v>51362.514897637811</v>
      </c>
      <c r="AC71" s="21">
        <f>T71*2</f>
        <v>205412.89830784639</v>
      </c>
      <c r="AD71" s="21"/>
      <c r="AE71" s="21"/>
      <c r="AF71" s="21"/>
      <c r="AG71" s="21"/>
      <c r="AH71" s="21"/>
      <c r="AI71" s="20"/>
      <c r="AJ71" s="21">
        <f>AQ71*(1-입력란!$P$10/100)</f>
        <v>11.85573206304</v>
      </c>
      <c r="AK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1" s="21">
        <f>입력란!$P$24+입력란!$P$16+IF(입력란!$C$18=1,10,IF(입력란!$C$18=2,25,IF(입력란!$C$18=3,50,0)))+IF(입력란!$C$23&lt;&gt;0,-12)</f>
        <v>380.66103559999999</v>
      </c>
      <c r="AM71" s="21">
        <f>SUM(AN71:AP71)</f>
        <v>122274.00628832581</v>
      </c>
      <c r="AN71" s="21">
        <f>(VLOOKUP(C71,$B$4:$AJ$7,4,FALSE)+VLOOKUP(C71,$B$8:$AJ$11,4,FALSE)*입력란!$P$4)*입력란!$P$25/100</f>
        <v>24458.340427446576</v>
      </c>
      <c r="AO71" s="21">
        <f>(VLOOKUP(C71,$B$4:$AJ$7,5,FALSE)+VLOOKUP(C71,$B$8:$AJ$11,5,FALSE)*입력란!$P$4)*입력란!$P$25/100</f>
        <v>97815.665860879235</v>
      </c>
      <c r="AP71" s="21"/>
      <c r="AQ71" s="22">
        <v>12</v>
      </c>
    </row>
    <row r="72" spans="2:43" ht="13.5" customHeight="1" x14ac:dyDescent="0.55000000000000004">
      <c r="B72" s="66">
        <v>57</v>
      </c>
      <c r="C72" s="29">
        <v>10</v>
      </c>
      <c r="D72" s="30" t="s">
        <v>118</v>
      </c>
      <c r="E72" s="27" t="s">
        <v>111</v>
      </c>
      <c r="F72" s="29"/>
      <c r="G72" s="29"/>
      <c r="H72" s="36">
        <f>I72/AJ72</f>
        <v>69572.927787196313</v>
      </c>
      <c r="I72" s="37">
        <f>SUM(J72:Q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824837.99068622978</v>
      </c>
      <c r="J72" s="21">
        <f>S72*(1+IF($AK72+IF(입력란!$C$26=1,10,0)+IF(입력란!$C$9=1,10,0)+IF(MID(E72,1,1)="3",트라이포드!G$7,0)&gt;100,100,$AK72+IF(입력란!$C$26=1,10,0)+IF(입력란!$C$9=1,10,0))/100*(($AL72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2" s="21">
        <f>T72*(1+IF($AK72+IF(입력란!$C$26=1,10,0)+IF(입력란!$C$9=1,10,0)+IF(MID(E72,5,1)="1",트라이포드!P$7,0)&gt;100,100,$AK72+IF(입력란!$C$26=1,10,0)+IF(입력란!$C$9=1,10,0)+IF(MID(E72,5,1)="1",트라이포드!P$7,0))/100*(($AL72+IF(입력란!$C$30=1,IF(OR(입력란!$C$9=1,입력란!$C$10=1),55,17),IF(입력란!$C$30=2,IF(OR(입력란!$C$9=1,입력란!$C$10=1),60,20),IF(입력란!$C$30=3,IF(OR(입력란!$C$9=1,입력란!$C$10=1),65,22),0))))/100-1))</f>
        <v>486362.97398326581</v>
      </c>
      <c r="L72" s="21"/>
      <c r="M72" s="21"/>
      <c r="N72" s="21"/>
      <c r="O72" s="21"/>
      <c r="P72" s="21"/>
      <c r="Q72" s="105"/>
      <c r="R72" s="19">
        <f>SUM(S72:Z72)</f>
        <v>202849.88223933644</v>
      </c>
      <c r="S72" s="21">
        <f>AN72*IF(입력란!$C$12=0,1,IF(입력란!$C$12=1,1.35,IF(입력란!$C$12=2,1.55,IF(입력란!$C$12=3,1.75,1))))*IF(입력란!$C$9=1,IF(입력란!$C$15=0,1.05,IF(입력란!$C$15=1,1.05*1.05,IF(입력란!$C$15=2,1.05*1.12,IF(입력란!$C$15=3,1.05*1.25)))),1)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2" s="21">
        <f>AO72*IF(입력란!$C$12=0,1,IF(입력란!$C$12=1,1.35,IF(입력란!$C$12=2,1.55,IF(입력란!$C$12=3,1.75,1))))*IF(MID(E72,3,1)="3",트라이포드!$N$7,트라이포드!$M$7)*IF(MID(E72,5,1)="2",트라이포드!$R$7,트라이포드!$Q$7)*IF(입력란!$C$9=1,IF(입력란!$C$15=0,1.05,IF(입력란!$C$15=1,1.05*1.05,IF(입력란!$C$15=2,1.05*1.12,IF(입력란!$C$15=3,1.05*1.25)))),1)</f>
        <v>177168.62479051753</v>
      </c>
      <c r="U72" s="21"/>
      <c r="V72" s="21"/>
      <c r="W72" s="21"/>
      <c r="X72" s="21"/>
      <c r="Y72" s="21"/>
      <c r="Z72" s="20"/>
      <c r="AA72" s="21">
        <f>SUM(AB72:AI72)</f>
        <v>405699.76447867288</v>
      </c>
      <c r="AB72" s="21">
        <f>S72*2</f>
        <v>51362.514897637811</v>
      </c>
      <c r="AC72" s="21">
        <f>T72*2</f>
        <v>354337.24958103505</v>
      </c>
      <c r="AD72" s="21"/>
      <c r="AE72" s="21"/>
      <c r="AF72" s="21"/>
      <c r="AG72" s="21"/>
      <c r="AH72" s="21"/>
      <c r="AI72" s="20"/>
      <c r="AJ72" s="21">
        <f>AQ72*(1-입력란!$P$10/100)</f>
        <v>11.85573206304</v>
      </c>
      <c r="AK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2" s="21">
        <f>입력란!$P$24+입력란!$P$16+IF(입력란!$C$18=1,10,IF(입력란!$C$18=2,25,IF(입력란!$C$18=3,50,0)))+IF(입력란!$C$23&lt;&gt;0,-12)</f>
        <v>380.66103559999999</v>
      </c>
      <c r="AM72" s="21">
        <f>SUM(AN72:AP72)</f>
        <v>122274.00628832581</v>
      </c>
      <c r="AN72" s="21">
        <f>(VLOOKUP(C72,$B$4:$AJ$7,4,FALSE)+VLOOKUP(C72,$B$8:$AJ$11,4,FALSE)*입력란!$P$4)*입력란!$P$25/100</f>
        <v>24458.340427446576</v>
      </c>
      <c r="AO72" s="21">
        <f>(VLOOKUP(C72,$B$4:$AJ$7,5,FALSE)+VLOOKUP(C72,$B$8:$AJ$11,5,FALSE)*입력란!$P$4)*입력란!$P$25/100</f>
        <v>97815.665860879235</v>
      </c>
      <c r="AP72" s="21"/>
      <c r="AQ72" s="22">
        <v>12</v>
      </c>
    </row>
    <row r="73" spans="2:43" ht="13.5" customHeight="1" x14ac:dyDescent="0.55000000000000004">
      <c r="B73" s="66">
        <v>58</v>
      </c>
      <c r="C73" s="29">
        <v>10</v>
      </c>
      <c r="D73" s="30" t="s">
        <v>118</v>
      </c>
      <c r="E73" s="27" t="s">
        <v>109</v>
      </c>
      <c r="F73" s="29" t="s">
        <v>123</v>
      </c>
      <c r="G73" s="29"/>
      <c r="H73" s="36">
        <f>I73/AJ73</f>
        <v>58658.729386844148</v>
      </c>
      <c r="I73" s="37">
        <f>SUM(J73:Q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695442.17876879487</v>
      </c>
      <c r="J73" s="21">
        <f>S73*(1+IF($AK73+IF(입력란!$C$26=1,10,0)+IF(입력란!$C$9=1,10,0)+IF(MID(E73,1,1)="3",트라이포드!G$7,0)&gt;100,100,$AK73+IF(입력란!$C$26=1,10,0)+IF(입력란!$C$9=1,10,0))/100*(($AL73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3" s="21">
        <f>T73*(1+IF($AK73+IF(입력란!$C$26=1,10,0)+IF(입력란!$C$9=1,10,0)+IF(MID(E73,5,1)="1",트라이포드!P$7,0)&gt;100,100,$AK73+IF(입력란!$C$26=1,10,0)+IF(입력란!$C$9=1,10,0)+IF(MID(E73,5,1)="1",트라이포드!P$7,0))/100*(($AL73+IF(입력란!$C$30=1,IF(OR(입력란!$C$9=1,입력란!$C$10=1),55,17),IF(입력란!$C$30=2,IF(OR(입력란!$C$9=1,입력란!$C$10=1),60,20),IF(입력란!$C$30=3,IF(OR(입력란!$C$9=1,입력란!$C$10=1),65,22),0))))/100-1))</f>
        <v>394729.37018931721</v>
      </c>
      <c r="L73" s="21"/>
      <c r="M73" s="21"/>
      <c r="N73" s="21"/>
      <c r="O73" s="21"/>
      <c r="P73" s="21"/>
      <c r="Q73" s="105"/>
      <c r="R73" s="19">
        <f>SUM(S73:Z73)</f>
        <v>169470.28626431141</v>
      </c>
      <c r="S73" s="21">
        <f>AN73*IF(입력란!$C$12=0,1,IF(입력란!$C$12=1,1.35,IF(입력란!$C$12=2,1.55,IF(입력란!$C$12=3,1.75,1))))*IF(입력란!$C$9=1,IF(입력란!$C$15=0,1.05,IF(입력란!$C$15=1,1.05*1.05,IF(입력란!$C$15=2,1.05*1.12,IF(입력란!$C$15=3,1.05*1.25)))),1)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3" s="21">
        <f>AO73*IF(입력란!$C$12=0,1,IF(입력란!$C$12=1,1.35,IF(입력란!$C$12=2,1.55,IF(입력란!$C$12=3,1.75,1))))*IF(MID(E73,3,1)="3",트라이포드!$N$7,트라이포드!$M$7)*IF(MID(E73,5,1)="2",트라이포드!$R$7,트라이포드!$Q$7)*IF(입력란!$C$9=1,IF(입력란!$C$15=0,1.05,IF(입력란!$C$15=1,1.05*1.05,IF(입력란!$C$15=2,1.05*1.12,IF(입력란!$C$15=3,1.05*1.25)))),1)</f>
        <v>143789.02881549249</v>
      </c>
      <c r="U73" s="21"/>
      <c r="V73" s="21"/>
      <c r="W73" s="21"/>
      <c r="X73" s="21"/>
      <c r="Y73" s="21"/>
      <c r="Z73" s="20"/>
      <c r="AA73" s="21">
        <f>SUM(AB73:AI73)</f>
        <v>338940.57252862281</v>
      </c>
      <c r="AB73" s="21">
        <f>S73*2</f>
        <v>51362.514897637811</v>
      </c>
      <c r="AC73" s="21">
        <f>T73*2</f>
        <v>287578.05763098499</v>
      </c>
      <c r="AD73" s="21"/>
      <c r="AE73" s="21"/>
      <c r="AF73" s="21"/>
      <c r="AG73" s="21"/>
      <c r="AH73" s="21"/>
      <c r="AI73" s="20"/>
      <c r="AJ73" s="21">
        <f>AQ73*(1-입력란!$P$10/100)</f>
        <v>11.85573206304</v>
      </c>
      <c r="AK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3" s="21">
        <f>입력란!$P$24+입력란!$P$16+IF(입력란!$C$18=1,10,IF(입력란!$C$18=2,25,IF(입력란!$C$18=3,50,0)))+IF(입력란!$C$23&lt;&gt;0,-12)</f>
        <v>380.66103559999999</v>
      </c>
      <c r="AM73" s="21">
        <f>SUM(AN73:AP73)</f>
        <v>122274.00628832581</v>
      </c>
      <c r="AN73" s="21">
        <f>(VLOOKUP(C73,$B$4:$AJ$7,4,FALSE)+VLOOKUP(C73,$B$8:$AJ$11,4,FALSE)*입력란!$P$4)*입력란!$P$25/100</f>
        <v>24458.340427446576</v>
      </c>
      <c r="AO73" s="21">
        <f>(VLOOKUP(C73,$B$4:$AJ$7,5,FALSE)+VLOOKUP(C73,$B$8:$AJ$11,5,FALSE)*입력란!$P$4)*입력란!$P$25/100</f>
        <v>97815.665860879235</v>
      </c>
      <c r="AP73" s="21"/>
      <c r="AQ73" s="22">
        <v>12</v>
      </c>
    </row>
    <row r="74" spans="2:43" ht="13.5" customHeight="1" x14ac:dyDescent="0.55000000000000004">
      <c r="B74" s="66">
        <v>59</v>
      </c>
      <c r="C74" s="29">
        <v>10</v>
      </c>
      <c r="D74" s="30" t="s">
        <v>118</v>
      </c>
      <c r="E74" s="27" t="s">
        <v>116</v>
      </c>
      <c r="F74" s="29" t="s">
        <v>125</v>
      </c>
      <c r="G74" s="29"/>
      <c r="H74" s="36">
        <f>I74/AJ74</f>
        <v>76836.763809340206</v>
      </c>
      <c r="I74" s="37">
        <f>SUM(J74:Q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910956.08431462606</v>
      </c>
      <c r="J74" s="21">
        <f>S74*(1+IF($AK74+IF(입력란!$C$26=1,10,0)+IF(입력란!$C$9=1,10,0)+IF(MID(E74,1,1)="3",트라이포드!G$7,0)&gt;100,100,$AK74+IF(입력란!$C$26=1,10,0)+IF(입력란!$C$9=1,10,0))/100*(($AL74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4" s="21">
        <f>T74*(1+IF($AK74+IF(입력란!$C$26=1,10,0)+IF(입력란!$C$9=1,10,0)+IF(MID(E74,5,1)="1",트라이포드!P$7,0)&gt;100,100,$AK74+IF(입력란!$C$26=1,10,0)+IF(입력란!$C$9=1,10,0)+IF(MID(E74,5,1)="1",트라이포드!P$7,0))/100*(($AL74+IF(입력란!$C$30=1,IF(OR(입력란!$C$9=1,입력란!$C$10=1),55,17),IF(입력란!$C$30=2,IF(OR(입력란!$C$9=1,입력란!$C$10=1),60,20),IF(입력란!$C$30=3,IF(OR(입력란!$C$9=1,입력란!$C$10=1),65,22),0))))/100-1))</f>
        <v>547348.80616823607</v>
      </c>
      <c r="L74" s="21"/>
      <c r="M74" s="21"/>
      <c r="N74" s="21"/>
      <c r="O74" s="21"/>
      <c r="P74" s="21"/>
      <c r="Q74" s="105"/>
      <c r="R74" s="19">
        <f>SUM(S74:Z74)</f>
        <v>169470.28626431141</v>
      </c>
      <c r="S74" s="21">
        <f>AN74*IF(입력란!$C$12=0,1,IF(입력란!$C$12=1,1.35,IF(입력란!$C$12=2,1.55,IF(입력란!$C$12=3,1.75,1))))*IF(입력란!$C$9=1,IF(입력란!$C$15=0,1.05,IF(입력란!$C$15=1,1.05*1.05,IF(입력란!$C$15=2,1.05*1.12,IF(입력란!$C$15=3,1.05*1.25)))),1)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4" s="21">
        <f>AO74*IF(입력란!$C$12=0,1,IF(입력란!$C$12=1,1.35,IF(입력란!$C$12=2,1.55,IF(입력란!$C$12=3,1.75,1))))*IF(MID(E74,3,1)="3",트라이포드!$N$7,트라이포드!$M$7)*IF(MID(E74,5,1)="2",트라이포드!$R$7,트라이포드!$Q$7)*IF(입력란!$C$9=1,IF(입력란!$C$15=0,1.05,IF(입력란!$C$15=1,1.05*1.05,IF(입력란!$C$15=2,1.05*1.12,IF(입력란!$C$15=3,1.05*1.25)))),1)</f>
        <v>143789.02881549249</v>
      </c>
      <c r="U74" s="21"/>
      <c r="V74" s="21"/>
      <c r="W74" s="21"/>
      <c r="X74" s="21"/>
      <c r="Y74" s="21"/>
      <c r="Z74" s="20"/>
      <c r="AA74" s="21">
        <f>SUM(AB74:AI74)</f>
        <v>338940.57252862281</v>
      </c>
      <c r="AB74" s="21">
        <f>S74*2</f>
        <v>51362.514897637811</v>
      </c>
      <c r="AC74" s="21">
        <f>T74*2</f>
        <v>287578.05763098499</v>
      </c>
      <c r="AD74" s="21"/>
      <c r="AE74" s="21"/>
      <c r="AF74" s="21"/>
      <c r="AG74" s="21"/>
      <c r="AH74" s="21"/>
      <c r="AI74" s="20"/>
      <c r="AJ74" s="21">
        <f>AQ74*(1-입력란!$P$10/100)</f>
        <v>11.85573206304</v>
      </c>
      <c r="AK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4" s="21">
        <f>입력란!$P$24+입력란!$P$16+IF(입력란!$C$18=1,10,IF(입력란!$C$18=2,25,IF(입력란!$C$18=3,50,0)))+IF(입력란!$C$23&lt;&gt;0,-12)</f>
        <v>380.66103559999999</v>
      </c>
      <c r="AM74" s="21">
        <f>SUM(AN74:AP74)</f>
        <v>122274.00628832581</v>
      </c>
      <c r="AN74" s="21">
        <f>(VLOOKUP(C74,$B$4:$AJ$7,4,FALSE)+VLOOKUP(C74,$B$8:$AJ$11,4,FALSE)*입력란!$P$4)*입력란!$P$25/100</f>
        <v>24458.340427446576</v>
      </c>
      <c r="AO74" s="21">
        <f>(VLOOKUP(C74,$B$4:$AJ$7,5,FALSE)+VLOOKUP(C74,$B$8:$AJ$11,5,FALSE)*입력란!$P$4)*입력란!$P$25/100</f>
        <v>97815.665860879235</v>
      </c>
      <c r="AP74" s="21"/>
      <c r="AQ74" s="22">
        <v>12</v>
      </c>
    </row>
    <row r="75" spans="2:43" ht="13.5" customHeight="1" x14ac:dyDescent="0.55000000000000004">
      <c r="B75" s="66">
        <v>60</v>
      </c>
      <c r="C75" s="29">
        <v>10</v>
      </c>
      <c r="D75" s="30" t="s">
        <v>118</v>
      </c>
      <c r="E75" s="27" t="s">
        <v>117</v>
      </c>
      <c r="F75" s="29" t="s">
        <v>123</v>
      </c>
      <c r="G75" s="29"/>
      <c r="H75" s="36">
        <f>I75/AJ75</f>
        <v>92744.610544867028</v>
      </c>
      <c r="I75" s="37">
        <f>SUM(J75:Q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1099555.2529109376</v>
      </c>
      <c r="J75" s="21">
        <f>S75*(1+IF($AK75+IF(입력란!$C$26=1,10,0)+IF(입력란!$C$9=1,10,0)+IF(MID(E75,1,1)="3",트라이포드!G$7,0)&gt;100,100,$AK75+IF(입력란!$C$26=1,10,0)+IF(입력란!$C$9=1,10,0))/100*(($AL75+트라이포드!H$7+IF(입력란!$C$30=1,IF(OR(입력란!$C$9=1,입력란!$C$10=1),55,17),IF(입력란!$C$30=2,IF(OR(입력란!$C$9=1,입력란!$C$10=1),60,20),IF(입력란!$C$30=3,IF(OR(입력란!$C$9=1,입력란!$C$10=1),65,22),0))))/100-1))</f>
        <v>97758.540559776186</v>
      </c>
      <c r="K75" s="21">
        <f>T75*(1+IF($AK75+IF(입력란!$C$26=1,10,0)+IF(입력란!$C$9=1,10,0)+IF(MID(E75,5,1)="1",트라이포드!P$7,0)&gt;100,100,$AK75+IF(입력란!$C$26=1,10,0)+IF(입력란!$C$9=1,10,0)+IF(MID(E75,5,1)="1",트라이포드!P$7,0))/100*(($AL75+IF(입력란!$C$30=1,IF(OR(입력란!$C$9=1,입력란!$C$10=1),55,17),IF(입력란!$C$30=2,IF(OR(입력란!$C$9=1,입력란!$C$10=1),60,20),IF(입력란!$C$30=3,IF(OR(입력란!$C$9=1,입력란!$C$10=1),65,22),0))))/100-1))</f>
        <v>680908.16357657209</v>
      </c>
      <c r="L75" s="21"/>
      <c r="M75" s="21"/>
      <c r="N75" s="21"/>
      <c r="O75" s="21"/>
      <c r="P75" s="21"/>
      <c r="Q75" s="105"/>
      <c r="R75" s="19">
        <f>SUM(S75:Z75)</f>
        <v>273717.33215554344</v>
      </c>
      <c r="S75" s="21">
        <f>AN75*IF(입력란!$C$12=0,1,IF(입력란!$C$12=1,1.35,IF(입력란!$C$12=2,1.55,IF(입력란!$C$12=3,1.75,1))))*IF(입력란!$C$9=1,IF(입력란!$C$15=0,1.05,IF(입력란!$C$15=1,1.05*1.05,IF(입력란!$C$15=2,1.05*1.12,IF(입력란!$C$15=3,1.05*1.25)))),1)</f>
        <v>25681.257448818906</v>
      </c>
      <c r="T75" s="21">
        <f>AO75*IF(입력란!$C$12=0,1,IF(입력란!$C$12=1,1.35,IF(입력란!$C$12=2,1.55,IF(입력란!$C$12=3,1.75,1))))*IF(MID(E75,3,1)="3",트라이포드!$N$7,트라이포드!$M$7)*IF(MID(E75,5,1)="2",트라이포드!$R$7,트라이포드!$Q$7)*IF(입력란!$C$9=1,IF(입력란!$C$15=0,1.05,IF(입력란!$C$15=1,1.05*1.05,IF(입력란!$C$15=2,1.05*1.12,IF(입력란!$C$15=3,1.05*1.25)))),1)</f>
        <v>248036.07470672452</v>
      </c>
      <c r="U75" s="21"/>
      <c r="V75" s="21"/>
      <c r="W75" s="21"/>
      <c r="X75" s="21"/>
      <c r="Y75" s="21"/>
      <c r="Z75" s="20"/>
      <c r="AA75" s="21">
        <f>SUM(AB75:AI75)</f>
        <v>547434.66431108688</v>
      </c>
      <c r="AB75" s="21">
        <f>S75*2</f>
        <v>51362.514897637811</v>
      </c>
      <c r="AC75" s="21">
        <f>T75*2</f>
        <v>496072.14941344905</v>
      </c>
      <c r="AD75" s="21"/>
      <c r="AE75" s="21"/>
      <c r="AF75" s="21"/>
      <c r="AG75" s="21"/>
      <c r="AH75" s="21"/>
      <c r="AI75" s="20"/>
      <c r="AJ75" s="21">
        <f>AQ75*(1-입력란!$P$10/100)</f>
        <v>11.85573206304</v>
      </c>
      <c r="AK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5" s="21">
        <f>입력란!$P$24+입력란!$P$16+IF(입력란!$C$18=1,10,IF(입력란!$C$18=2,25,IF(입력란!$C$18=3,50,0)))+IF(입력란!$C$23&lt;&gt;0,-12)</f>
        <v>380.66103559999999</v>
      </c>
      <c r="AM75" s="21">
        <f>SUM(AN75:AP75)</f>
        <v>122274.00628832581</v>
      </c>
      <c r="AN75" s="21">
        <f>(VLOOKUP(C75,$B$4:$AJ$7,4,FALSE)+VLOOKUP(C75,$B$8:$AJ$11,4,FALSE)*입력란!$P$4)*입력란!$P$25/100</f>
        <v>24458.340427446576</v>
      </c>
      <c r="AO75" s="21">
        <f>(VLOOKUP(C75,$B$4:$AJ$7,5,FALSE)+VLOOKUP(C75,$B$8:$AJ$11,5,FALSE)*입력란!$P$4)*입력란!$P$25/100</f>
        <v>97815.665860879235</v>
      </c>
      <c r="AP75" s="21"/>
      <c r="AQ75" s="22">
        <v>12</v>
      </c>
    </row>
    <row r="76" spans="2:43" ht="13.5" customHeight="1" x14ac:dyDescent="0.55000000000000004">
      <c r="B76" s="66">
        <v>61</v>
      </c>
      <c r="C76" s="29">
        <v>1</v>
      </c>
      <c r="D76" s="30" t="s">
        <v>129</v>
      </c>
      <c r="E76" s="27" t="s">
        <v>94</v>
      </c>
      <c r="F76" s="29"/>
      <c r="G76" s="29" t="s">
        <v>131</v>
      </c>
      <c r="H76" s="36">
        <f>I76/AJ76</f>
        <v>48828.718185771395</v>
      </c>
      <c r="I76" s="37">
        <f>SUM(J76:Q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385933.46652812947</v>
      </c>
      <c r="J76" s="21">
        <f>S76*(1+IF($AK76+IF(입력란!$C$26=1,10,0)+IF(MID(E76,3,1)="3",트라이포드!N$8,0)&gt;100,100,$AK76+IF(입력란!$C$26=1,10,0)+IF(MID(E76,3,1)="3",트라이포드!N$8,0))/100*(($AL76+IF(입력란!$C$30=1,17,IF(입력란!$C$30=2,20,IF(입력란!$C$30=3,22,0))))/100-1))</f>
        <v>273304.62894138478</v>
      </c>
      <c r="K76" s="21"/>
      <c r="L76" s="21"/>
      <c r="M76" s="21"/>
      <c r="N76" s="21"/>
      <c r="O76" s="21"/>
      <c r="P76" s="21"/>
      <c r="Q76" s="105"/>
      <c r="R76" s="19">
        <f>SUM(S76:Z76)</f>
        <v>110894.91480756892</v>
      </c>
      <c r="S76" s="21">
        <f>AN76*IF(입력란!$C$12=0,1,IF(입력란!$C$12=1,1.35,IF(입력란!$C$12=2,1.55,IF(입력란!$C$12=3,1.75,1))))*IF(MID(E76,5,1)="1",10*트라이포드!$P$8,10)*IF(MID(E76,5,1)="2",트라이포드!$R$8,트라이포드!$Q$8)</f>
        <v>110894.91480756892</v>
      </c>
      <c r="T76" s="21"/>
      <c r="U76" s="21"/>
      <c r="V76" s="21"/>
      <c r="W76" s="21"/>
      <c r="X76" s="21"/>
      <c r="Y76" s="21"/>
      <c r="Z76" s="20"/>
      <c r="AA76" s="21">
        <f>SUM(AB76:AI76)</f>
        <v>221789.82961513783</v>
      </c>
      <c r="AB76" s="21">
        <f>S76*2</f>
        <v>221789.82961513783</v>
      </c>
      <c r="AC76" s="21"/>
      <c r="AD76" s="21"/>
      <c r="AE76" s="21"/>
      <c r="AF76" s="21"/>
      <c r="AG76" s="21"/>
      <c r="AH76" s="21"/>
      <c r="AI76" s="20"/>
      <c r="AJ76" s="21">
        <f>AQ76*(1-입력란!$P$10/100)</f>
        <v>7.9038213753599997</v>
      </c>
      <c r="AK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6" s="21">
        <f>입력란!$P$24+입력란!$P$16+IF(입력란!$C$18=1,10,IF(입력란!$C$18=2,25,IF(입력란!$C$18=3,50,0)))+IF(입력란!$C$23&lt;&gt;0,-12)</f>
        <v>380.66103559999999</v>
      </c>
      <c r="AM76" s="21">
        <f>SUM(AN76:AP76)</f>
        <v>11089.491480756891</v>
      </c>
      <c r="AN76" s="21">
        <f>(VLOOKUP(C76,$B$4:$AJ$7,6,FALSE)+VLOOKUP(C76,$B$8:$AJ$11,6,FALSE)*입력란!$P$4)*입력란!$P$25/100</f>
        <v>11089.491480756891</v>
      </c>
      <c r="AO76" s="21"/>
      <c r="AP76" s="21"/>
      <c r="AQ76" s="22">
        <v>8</v>
      </c>
    </row>
    <row r="77" spans="2:43" ht="13.5" customHeight="1" x14ac:dyDescent="0.55000000000000004">
      <c r="B77" s="66">
        <v>62</v>
      </c>
      <c r="C77" s="29">
        <v>4</v>
      </c>
      <c r="D77" s="30" t="s">
        <v>129</v>
      </c>
      <c r="E77" s="27" t="s">
        <v>94</v>
      </c>
      <c r="F77" s="29"/>
      <c r="G77" s="29" t="s">
        <v>131</v>
      </c>
      <c r="H77" s="36">
        <f>I77/AJ77</f>
        <v>48893.884837497797</v>
      </c>
      <c r="I77" s="37">
        <f>SUM(J77:Q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386448.53210300527</v>
      </c>
      <c r="J77" s="21">
        <f>S77*(1+IF($AK77+IF(입력란!$C$26=1,10,0)+IF(MID(E77,3,1)="3",트라이포드!N$8,0)&gt;100,100,$AK77+IF(입력란!$C$26=1,10,0)+IF(MID(E77,3,1)="3",트라이포드!N$8,0))/100*(($AL77+IF(입력란!$C$30=1,17,IF(입력란!$C$30=2,20,IF(입력란!$C$30=3,22,0))))/100-1))</f>
        <v>273669.3804284436</v>
      </c>
      <c r="K77" s="21"/>
      <c r="L77" s="21"/>
      <c r="M77" s="21"/>
      <c r="N77" s="21"/>
      <c r="O77" s="21"/>
      <c r="P77" s="21"/>
      <c r="Q77" s="105"/>
      <c r="R77" s="19">
        <f>SUM(S77:Z77)</f>
        <v>111042.9148075689</v>
      </c>
      <c r="S77" s="21">
        <f>AN77*IF(입력란!$C$12=0,1,IF(입력란!$C$12=1,1.35,IF(입력란!$C$12=2,1.55,IF(입력란!$C$12=3,1.75,1))))*IF(MID(E77,5,1)="1",10*트라이포드!$P$8,10)*IF(MID(E77,5,1)="2",트라이포드!$R$8,트라이포드!$Q$8)</f>
        <v>111042.9148075689</v>
      </c>
      <c r="T77" s="21"/>
      <c r="U77" s="21"/>
      <c r="V77" s="21"/>
      <c r="W77" s="21"/>
      <c r="X77" s="21"/>
      <c r="Y77" s="21"/>
      <c r="Z77" s="20"/>
      <c r="AA77" s="21">
        <f>SUM(AB77:AI77)</f>
        <v>222085.8296151378</v>
      </c>
      <c r="AB77" s="21">
        <f>S77*2</f>
        <v>222085.8296151378</v>
      </c>
      <c r="AC77" s="21"/>
      <c r="AD77" s="21"/>
      <c r="AE77" s="21"/>
      <c r="AF77" s="21"/>
      <c r="AG77" s="21"/>
      <c r="AH77" s="21"/>
      <c r="AI77" s="20"/>
      <c r="AJ77" s="21">
        <f>AQ77*(1-입력란!$P$10/100)</f>
        <v>7.9038213753599997</v>
      </c>
      <c r="AK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7" s="21">
        <f>입력란!$P$24+입력란!$P$16+IF(입력란!$C$18=1,10,IF(입력란!$C$18=2,25,IF(입력란!$C$18=3,50,0)))+IF(입력란!$C$23&lt;&gt;0,-12)</f>
        <v>380.66103559999999</v>
      </c>
      <c r="AM77" s="21">
        <f>SUM(AN77:AP77)</f>
        <v>11104.29148075689</v>
      </c>
      <c r="AN77" s="21">
        <f>(VLOOKUP(C77,$B$4:$AJ$7,6,FALSE)+VLOOKUP(C77,$B$8:$AJ$11,6,FALSE)*입력란!$P$4)*입력란!$P$25/100</f>
        <v>11104.29148075689</v>
      </c>
      <c r="AO77" s="21"/>
      <c r="AP77" s="21"/>
      <c r="AQ77" s="22">
        <v>8</v>
      </c>
    </row>
    <row r="78" spans="2:43" ht="13.5" customHeight="1" x14ac:dyDescent="0.55000000000000004">
      <c r="B78" s="66">
        <v>63</v>
      </c>
      <c r="C78" s="29">
        <v>7</v>
      </c>
      <c r="D78" s="30" t="s">
        <v>129</v>
      </c>
      <c r="E78" s="27" t="s">
        <v>94</v>
      </c>
      <c r="F78" s="29"/>
      <c r="G78" s="29" t="s">
        <v>131</v>
      </c>
      <c r="H78" s="36">
        <f>I78/AJ78</f>
        <v>48922.065011217317</v>
      </c>
      <c r="I78" s="37">
        <f>SUM(J78:Q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386671.26316241099</v>
      </c>
      <c r="J78" s="21">
        <f>S78*(1+IF($AK78+IF(입력란!$C$26=1,10,0)+IF(MID(E78,3,1)="3",트라이포드!N$8,0)&gt;100,100,$AK78+IF(입력란!$C$26=1,10,0)+IF(MID(E78,3,1)="3",트라이포드!N$8,0))/100*(($AL78+IF(입력란!$C$30=1,17,IF(입력란!$C$30=2,20,IF(입력란!$C$30=3,22,0))))/100-1))</f>
        <v>273827.11080122582</v>
      </c>
      <c r="K78" s="21"/>
      <c r="L78" s="21"/>
      <c r="M78" s="21"/>
      <c r="N78" s="21"/>
      <c r="O78" s="21"/>
      <c r="P78" s="21"/>
      <c r="Q78" s="105"/>
      <c r="R78" s="19">
        <f>SUM(S78:Z78)</f>
        <v>111106.9148075689</v>
      </c>
      <c r="S78" s="21">
        <f>AN78*IF(입력란!$C$12=0,1,IF(입력란!$C$12=1,1.35,IF(입력란!$C$12=2,1.55,IF(입력란!$C$12=3,1.75,1))))*IF(MID(E78,5,1)="1",10*트라이포드!$P$8,10)*IF(MID(E78,5,1)="2",트라이포드!$R$8,트라이포드!$Q$8)</f>
        <v>111106.9148075689</v>
      </c>
      <c r="T78" s="21"/>
      <c r="U78" s="21"/>
      <c r="V78" s="21"/>
      <c r="W78" s="21"/>
      <c r="X78" s="21"/>
      <c r="Y78" s="21"/>
      <c r="Z78" s="20"/>
      <c r="AA78" s="21">
        <f>SUM(AB78:AI78)</f>
        <v>222213.8296151378</v>
      </c>
      <c r="AB78" s="21">
        <f>S78*2</f>
        <v>222213.8296151378</v>
      </c>
      <c r="AC78" s="21"/>
      <c r="AD78" s="21"/>
      <c r="AE78" s="21"/>
      <c r="AF78" s="21"/>
      <c r="AG78" s="21"/>
      <c r="AH78" s="21"/>
      <c r="AI78" s="20"/>
      <c r="AJ78" s="21">
        <f>AQ78*(1-입력란!$P$10/100)</f>
        <v>7.9038213753599997</v>
      </c>
      <c r="AK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8" s="21">
        <f>입력란!$P$24+입력란!$P$16+IF(입력란!$C$18=1,10,IF(입력란!$C$18=2,25,IF(입력란!$C$18=3,50,0)))+IF(입력란!$C$23&lt;&gt;0,-12)</f>
        <v>380.66103559999999</v>
      </c>
      <c r="AM78" s="21">
        <f>SUM(AN78:AP78)</f>
        <v>11110.69148075689</v>
      </c>
      <c r="AN78" s="21">
        <f>(VLOOKUP(C78,$B$4:$AJ$7,6,FALSE)+VLOOKUP(C78,$B$8:$AJ$11,6,FALSE)*입력란!$P$4)*입력란!$P$25/100</f>
        <v>11110.69148075689</v>
      </c>
      <c r="AO78" s="21"/>
      <c r="AP78" s="21"/>
      <c r="AQ78" s="22">
        <v>8</v>
      </c>
    </row>
    <row r="79" spans="2:43" ht="13.5" customHeight="1" x14ac:dyDescent="0.55000000000000004">
      <c r="B79" s="66">
        <v>64</v>
      </c>
      <c r="C79" s="29">
        <v>7</v>
      </c>
      <c r="D79" s="30" t="s">
        <v>129</v>
      </c>
      <c r="E79" s="27" t="s">
        <v>98</v>
      </c>
      <c r="F79" s="29"/>
      <c r="G79" s="29" t="s">
        <v>131</v>
      </c>
      <c r="H79" s="36">
        <f>I79/AJ79</f>
        <v>65635.772713855054</v>
      </c>
      <c r="I79" s="37">
        <f>SUM(J79:Q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518773.42336403817</v>
      </c>
      <c r="J79" s="21">
        <f>S79*(1+IF($AK79+IF(입력란!$C$26=1,10,0)+IF(MID(E79,3,1)="3",트라이포드!N$8,0)&gt;100,100,$AK79+IF(입력란!$C$26=1,10,0)+IF(MID(E79,3,1)="3",트라이포드!N$8,0))/100*(($AL79+IF(입력란!$C$30=1,17,IF(입력란!$C$30=2,20,IF(입력란!$C$30=3,22,0))))/100-1))</f>
        <v>367377.25611786568</v>
      </c>
      <c r="K79" s="21"/>
      <c r="L79" s="21"/>
      <c r="M79" s="21"/>
      <c r="N79" s="21"/>
      <c r="O79" s="21"/>
      <c r="P79" s="21"/>
      <c r="Q79" s="105"/>
      <c r="R79" s="19">
        <f>SUM(S79:Z79)</f>
        <v>111106.9148075689</v>
      </c>
      <c r="S79" s="21">
        <f>AN79*IF(입력란!$C$12=0,1,IF(입력란!$C$12=1,1.35,IF(입력란!$C$12=2,1.55,IF(입력란!$C$12=3,1.75,1))))*IF(MID(E79,5,1)="1",10*트라이포드!$P$8,10)*IF(MID(E79,5,1)="2",트라이포드!$R$8,트라이포드!$Q$8)</f>
        <v>111106.9148075689</v>
      </c>
      <c r="T79" s="21"/>
      <c r="U79" s="21"/>
      <c r="V79" s="21"/>
      <c r="W79" s="21"/>
      <c r="X79" s="21"/>
      <c r="Y79" s="21"/>
      <c r="Z79" s="20"/>
      <c r="AA79" s="21">
        <f>SUM(AB79:AI79)</f>
        <v>222213.8296151378</v>
      </c>
      <c r="AB79" s="21">
        <f>S79*2</f>
        <v>222213.8296151378</v>
      </c>
      <c r="AC79" s="21"/>
      <c r="AD79" s="21"/>
      <c r="AE79" s="21"/>
      <c r="AF79" s="21"/>
      <c r="AG79" s="21"/>
      <c r="AH79" s="21"/>
      <c r="AI79" s="20"/>
      <c r="AJ79" s="21">
        <f>AQ79*(1-입력란!$P$10/100)</f>
        <v>7.9038213753599997</v>
      </c>
      <c r="AK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79" s="21">
        <f>입력란!$P$24+입력란!$P$16+IF(입력란!$C$18=1,10,IF(입력란!$C$18=2,25,IF(입력란!$C$18=3,50,0)))+IF(입력란!$C$23&lt;&gt;0,-12)</f>
        <v>380.66103559999999</v>
      </c>
      <c r="AM79" s="21">
        <f>SUM(AN79:AP79)</f>
        <v>11110.69148075689</v>
      </c>
      <c r="AN79" s="21">
        <f>(VLOOKUP(C79,$B$4:$AJ$7,6,FALSE)+VLOOKUP(C79,$B$8:$AJ$11,6,FALSE)*입력란!$P$4)*입력란!$P$25/100</f>
        <v>11110.69148075689</v>
      </c>
      <c r="AO79" s="21"/>
      <c r="AP79" s="21"/>
      <c r="AQ79" s="22">
        <v>8</v>
      </c>
    </row>
    <row r="80" spans="2:43" ht="13.5" customHeight="1" x14ac:dyDescent="0.55000000000000004">
      <c r="B80" s="66">
        <v>65</v>
      </c>
      <c r="C80" s="29">
        <v>10</v>
      </c>
      <c r="D80" s="30" t="s">
        <v>129</v>
      </c>
      <c r="E80" s="27" t="s">
        <v>94</v>
      </c>
      <c r="F80" s="29"/>
      <c r="G80" s="29" t="s">
        <v>131</v>
      </c>
      <c r="H80" s="36">
        <f>I80/AJ80</f>
        <v>48941.438880649504</v>
      </c>
      <c r="I80" s="37">
        <f>SUM(J80:Q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386824.39076575253</v>
      </c>
      <c r="J80" s="21">
        <f>S80*(1+IF($AK80+IF(입력란!$C$26=1,10,0)+IF(MID(E80,3,1)="3",트라이포드!N$8,0)&gt;100,100,$AK80+IF(입력란!$C$26=1,10,0)+IF(MID(E80,3,1)="3",트라이포드!N$8,0))/100*(($AL80+IF(입력란!$C$30=1,17,IF(입력란!$C$30=2,20,IF(입력란!$C$30=3,22,0))))/100-1))</f>
        <v>273935.55043251364</v>
      </c>
      <c r="K80" s="21"/>
      <c r="L80" s="21"/>
      <c r="M80" s="21"/>
      <c r="N80" s="21"/>
      <c r="O80" s="21"/>
      <c r="P80" s="21"/>
      <c r="Q80" s="105"/>
      <c r="R80" s="19">
        <f>SUM(S80:Z80)</f>
        <v>111150.91480756892</v>
      </c>
      <c r="S80" s="21">
        <f>AN80*IF(입력란!$C$12=0,1,IF(입력란!$C$12=1,1.35,IF(입력란!$C$12=2,1.55,IF(입력란!$C$12=3,1.75,1))))*IF(MID(E80,5,1)="1",10*트라이포드!$P$8,10)*IF(MID(E80,5,1)="2",트라이포드!$R$8,트라이포드!$Q$8)</f>
        <v>111150.91480756892</v>
      </c>
      <c r="T80" s="21"/>
      <c r="U80" s="21"/>
      <c r="V80" s="21"/>
      <c r="W80" s="21"/>
      <c r="X80" s="21"/>
      <c r="Y80" s="21"/>
      <c r="Z80" s="20"/>
      <c r="AA80" s="21">
        <f>SUM(AB80:AI80)</f>
        <v>222301.82961513783</v>
      </c>
      <c r="AB80" s="21">
        <f>S80*2</f>
        <v>222301.82961513783</v>
      </c>
      <c r="AC80" s="21"/>
      <c r="AD80" s="21"/>
      <c r="AE80" s="21"/>
      <c r="AF80" s="21"/>
      <c r="AG80" s="21"/>
      <c r="AH80" s="21"/>
      <c r="AI80" s="20"/>
      <c r="AJ80" s="21">
        <f>AQ80*(1-입력란!$P$10/100)</f>
        <v>7.9038213753599997</v>
      </c>
      <c r="AK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0" s="21">
        <f>입력란!$P$24+입력란!$P$16+IF(입력란!$C$18=1,10,IF(입력란!$C$18=2,25,IF(입력란!$C$18=3,50,0)))+IF(입력란!$C$23&lt;&gt;0,-12)</f>
        <v>380.66103559999999</v>
      </c>
      <c r="AM80" s="21">
        <f>SUM(AN80:AP80)</f>
        <v>11115.091480756892</v>
      </c>
      <c r="AN80" s="21">
        <f>(VLOOKUP(C80,$B$4:$AJ$7,6,FALSE)+VLOOKUP(C80,$B$8:$AJ$11,6,FALSE)*입력란!$P$4)*입력란!$P$25/100</f>
        <v>11115.091480756892</v>
      </c>
      <c r="AO80" s="21"/>
      <c r="AP80" s="21"/>
      <c r="AQ80" s="22">
        <v>8</v>
      </c>
    </row>
    <row r="81" spans="2:43" ht="13.5" customHeight="1" x14ac:dyDescent="0.55000000000000004">
      <c r="B81" s="66">
        <v>66</v>
      </c>
      <c r="C81" s="29">
        <v>10</v>
      </c>
      <c r="D81" s="30" t="s">
        <v>129</v>
      </c>
      <c r="E81" s="27" t="s">
        <v>98</v>
      </c>
      <c r="F81" s="29"/>
      <c r="G81" s="29" t="s">
        <v>131</v>
      </c>
      <c r="H81" s="36">
        <f>I81/AJ81</f>
        <v>65661.765461510877</v>
      </c>
      <c r="I81" s="37">
        <f>SUM(J81:Q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518978.86539856461</v>
      </c>
      <c r="J81" s="21">
        <f>S81*(1+IF($AK81+IF(입력란!$C$26=1,10,0)+IF(MID(E81,3,1)="3",트라이포드!N$8,0)&gt;100,100,$AK81+IF(입력란!$C$26=1,10,0)+IF(MID(E81,3,1)="3",트라이포드!N$8,0))/100*(($AL81+IF(입력란!$C$30=1,17,IF(입력란!$C$30=2,20,IF(입력란!$C$30=3,22,0))))/100-1))</f>
        <v>367522.74300585268</v>
      </c>
      <c r="K81" s="21"/>
      <c r="L81" s="21"/>
      <c r="M81" s="21"/>
      <c r="N81" s="21"/>
      <c r="O81" s="21"/>
      <c r="P81" s="21"/>
      <c r="Q81" s="105"/>
      <c r="R81" s="19">
        <f>SUM(S81:Z81)</f>
        <v>111150.91480756892</v>
      </c>
      <c r="S81" s="21">
        <f>AN81*IF(입력란!$C$12=0,1,IF(입력란!$C$12=1,1.35,IF(입력란!$C$12=2,1.55,IF(입력란!$C$12=3,1.75,1))))*IF(MID(E81,5,1)="1",10*트라이포드!$P$8,10)*IF(MID(E81,5,1)="2",트라이포드!$R$8,트라이포드!$Q$8)</f>
        <v>111150.91480756892</v>
      </c>
      <c r="T81" s="21"/>
      <c r="U81" s="21"/>
      <c r="V81" s="21"/>
      <c r="W81" s="21"/>
      <c r="X81" s="21"/>
      <c r="Y81" s="21"/>
      <c r="Z81" s="20"/>
      <c r="AA81" s="21">
        <f>SUM(AB81:AI81)</f>
        <v>222301.82961513783</v>
      </c>
      <c r="AB81" s="21">
        <f>S81*2</f>
        <v>222301.82961513783</v>
      </c>
      <c r="AC81" s="21"/>
      <c r="AD81" s="21"/>
      <c r="AE81" s="21"/>
      <c r="AF81" s="21"/>
      <c r="AG81" s="21"/>
      <c r="AH81" s="21"/>
      <c r="AI81" s="20"/>
      <c r="AJ81" s="21">
        <f>AQ81*(1-입력란!$P$10/100)</f>
        <v>7.9038213753599997</v>
      </c>
      <c r="AK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1" s="21">
        <f>입력란!$P$24+입력란!$P$16+IF(입력란!$C$18=1,10,IF(입력란!$C$18=2,25,IF(입력란!$C$18=3,50,0)))+IF(입력란!$C$23&lt;&gt;0,-12)</f>
        <v>380.66103559999999</v>
      </c>
      <c r="AM81" s="21">
        <f>SUM(AN81:AP81)</f>
        <v>11115.091480756892</v>
      </c>
      <c r="AN81" s="21">
        <f>(VLOOKUP(C81,$B$4:$AJ$7,6,FALSE)+VLOOKUP(C81,$B$8:$AJ$11,6,FALSE)*입력란!$P$4)*입력란!$P$25/100</f>
        <v>11115.091480756892</v>
      </c>
      <c r="AO81" s="21"/>
      <c r="AP81" s="21"/>
      <c r="AQ81" s="22">
        <v>8</v>
      </c>
    </row>
    <row r="82" spans="2:43" ht="13.5" customHeight="1" x14ac:dyDescent="0.55000000000000004">
      <c r="B82" s="66">
        <v>67</v>
      </c>
      <c r="C82" s="29">
        <v>10</v>
      </c>
      <c r="D82" s="30" t="s">
        <v>129</v>
      </c>
      <c r="E82" s="27" t="s">
        <v>121</v>
      </c>
      <c r="F82" s="29"/>
      <c r="G82" s="29" t="s">
        <v>130</v>
      </c>
      <c r="H82" s="36">
        <f>I82/AJ82</f>
        <v>66070.942488876841</v>
      </c>
      <c r="I82" s="37">
        <f>SUM(J82:Q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522212.92753376596</v>
      </c>
      <c r="J82" s="21">
        <f>S82*(1+IF($AK82+IF(입력란!$C$26=1,10,0)+IF(MID(E82,3,1)="3",트라이포드!N$8,0)&gt;100,100,$AK82+IF(입력란!$C$26=1,10,0)+IF(MID(E82,3,1)="3",트라이포드!N$8,0))/100*(($AL82+IF(입력란!$C$30=1,17,IF(입력란!$C$30=2,20,IF(입력란!$C$30=3,22,0))))/100-1))</f>
        <v>369812.99308389344</v>
      </c>
      <c r="K82" s="21"/>
      <c r="L82" s="21"/>
      <c r="M82" s="21"/>
      <c r="N82" s="21"/>
      <c r="O82" s="21"/>
      <c r="P82" s="21"/>
      <c r="Q82" s="105"/>
      <c r="R82" s="19">
        <f>SUM(S82:Z82)</f>
        <v>150053.73499021804</v>
      </c>
      <c r="S82" s="21">
        <f>AN82*IF(입력란!$C$12=0,1,IF(입력란!$C$12=1,1.35,IF(입력란!$C$12=2,1.55,IF(입력란!$C$12=3,1.75,1))))*IF(MID(E82,5,1)="1",10*트라이포드!$P$8,10)*IF(MID(E82,5,1)="2",트라이포드!$R$8,트라이포드!$Q$8)</f>
        <v>150053.73499021804</v>
      </c>
      <c r="T82" s="21"/>
      <c r="U82" s="21"/>
      <c r="V82" s="21"/>
      <c r="W82" s="21"/>
      <c r="X82" s="21"/>
      <c r="Y82" s="21"/>
      <c r="Z82" s="20"/>
      <c r="AA82" s="21">
        <f>SUM(AB82:AI82)</f>
        <v>300107.46998043609</v>
      </c>
      <c r="AB82" s="21">
        <f>S82*2</f>
        <v>300107.46998043609</v>
      </c>
      <c r="AC82" s="21"/>
      <c r="AD82" s="21"/>
      <c r="AE82" s="21"/>
      <c r="AF82" s="21"/>
      <c r="AG82" s="21"/>
      <c r="AH82" s="21"/>
      <c r="AI82" s="20"/>
      <c r="AJ82" s="21">
        <f>AQ82*(1-입력란!$P$10/100)</f>
        <v>7.9038213753599997</v>
      </c>
      <c r="AK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2" s="21">
        <f>입력란!$P$24+입력란!$P$16+IF(입력란!$C$18=1,10,IF(입력란!$C$18=2,25,IF(입력란!$C$18=3,50,0)))+IF(입력란!$C$23&lt;&gt;0,-12)</f>
        <v>380.66103559999999</v>
      </c>
      <c r="AM82" s="21">
        <f>SUM(AN82:AP82)</f>
        <v>11115.091480756892</v>
      </c>
      <c r="AN82" s="21">
        <f>(VLOOKUP(C82,$B$4:$AJ$7,6,FALSE)+VLOOKUP(C82,$B$8:$AJ$11,6,FALSE)*입력란!$P$4)*입력란!$P$25/100</f>
        <v>11115.091480756892</v>
      </c>
      <c r="AO82" s="21"/>
      <c r="AP82" s="21"/>
      <c r="AQ82" s="22">
        <v>8</v>
      </c>
    </row>
    <row r="83" spans="2:43" ht="13.5" customHeight="1" x14ac:dyDescent="0.55000000000000004">
      <c r="B83" s="66">
        <v>68</v>
      </c>
      <c r="C83" s="29">
        <v>10</v>
      </c>
      <c r="D83" s="30" t="s">
        <v>129</v>
      </c>
      <c r="E83" s="27" t="s">
        <v>122</v>
      </c>
      <c r="F83" s="29"/>
      <c r="G83" s="29" t="s">
        <v>131</v>
      </c>
      <c r="H83" s="36">
        <f>I83/AJ83</f>
        <v>88094.589985169121</v>
      </c>
      <c r="I83" s="37">
        <f>SUM(J83:Q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696283.90337835462</v>
      </c>
      <c r="J83" s="21">
        <f>S83*(1+IF($AK83+IF(입력란!$C$26=1,10,0)+IF(MID(E83,3,1)="3",트라이포드!N$8,0)&gt;100,100,$AK83+IF(입력란!$C$26=1,10,0)+IF(MID(E83,3,1)="3",트라이포드!N$8,0))/100*(($AL83+IF(입력란!$C$30=1,17,IF(입력란!$C$30=2,20,IF(입력란!$C$30=3,22,0))))/100-1))</f>
        <v>493083.99077852455</v>
      </c>
      <c r="K83" s="21"/>
      <c r="L83" s="21"/>
      <c r="M83" s="21"/>
      <c r="N83" s="21"/>
      <c r="O83" s="21"/>
      <c r="P83" s="21"/>
      <c r="Q83" s="105"/>
      <c r="R83" s="19">
        <f>SUM(S83:Z83)</f>
        <v>200071.64665362405</v>
      </c>
      <c r="S83" s="21">
        <f>AN83*IF(입력란!$C$12=0,1,IF(입력란!$C$12=1,1.35,IF(입력란!$C$12=2,1.55,IF(입력란!$C$12=3,1.75,1))))*IF(MID(E83,5,1)="1",10*트라이포드!$P$8,10)*IF(MID(E83,5,1)="2",트라이포드!$R$8,트라이포드!$Q$8)</f>
        <v>200071.64665362405</v>
      </c>
      <c r="T83" s="21"/>
      <c r="U83" s="21"/>
      <c r="V83" s="21"/>
      <c r="W83" s="21"/>
      <c r="X83" s="21"/>
      <c r="Y83" s="21"/>
      <c r="Z83" s="20"/>
      <c r="AA83" s="21">
        <f>SUM(AB83:AI83)</f>
        <v>400143.2933072481</v>
      </c>
      <c r="AB83" s="21">
        <f>S83*2</f>
        <v>400143.2933072481</v>
      </c>
      <c r="AC83" s="21"/>
      <c r="AD83" s="21"/>
      <c r="AE83" s="21"/>
      <c r="AF83" s="21"/>
      <c r="AG83" s="21"/>
      <c r="AH83" s="21"/>
      <c r="AI83" s="20"/>
      <c r="AJ83" s="21">
        <f>AQ83*(1-입력란!$P$10/100)</f>
        <v>7.9038213753599997</v>
      </c>
      <c r="AK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3" s="21">
        <f>입력란!$P$24+입력란!$P$16+IF(입력란!$C$18=1,10,IF(입력란!$C$18=2,25,IF(입력란!$C$18=3,50,0)))+IF(입력란!$C$23&lt;&gt;0,-12)</f>
        <v>380.66103559999999</v>
      </c>
      <c r="AM83" s="21">
        <f>SUM(AN83:AP83)</f>
        <v>11115.091480756892</v>
      </c>
      <c r="AN83" s="21">
        <f>(VLOOKUP(C83,$B$4:$AJ$7,6,FALSE)+VLOOKUP(C83,$B$8:$AJ$11,6,FALSE)*입력란!$P$4)*입력란!$P$25/100</f>
        <v>11115.091480756892</v>
      </c>
      <c r="AO83" s="21"/>
      <c r="AP83" s="21"/>
      <c r="AQ83" s="22">
        <v>8</v>
      </c>
    </row>
    <row r="84" spans="2:43" ht="13.5" customHeight="1" x14ac:dyDescent="0.55000000000000004">
      <c r="B84" s="66">
        <v>69</v>
      </c>
      <c r="C84" s="29">
        <v>10</v>
      </c>
      <c r="D84" s="30" t="s">
        <v>129</v>
      </c>
      <c r="E84" s="27" t="s">
        <v>126</v>
      </c>
      <c r="F84" s="29"/>
      <c r="G84" s="29" t="s">
        <v>130</v>
      </c>
      <c r="H84" s="36">
        <f>I84/AJ84</f>
        <v>88643.383373039687</v>
      </c>
      <c r="I84" s="37">
        <f>SUM(J84:Q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700621.46828806226</v>
      </c>
      <c r="J84" s="21">
        <f>S84*(1+IF($AK84+IF(입력란!$C$26=1,10,0)+IF(MID(E84,3,1)="3",트라이포드!N$8,0)&gt;100,100,$AK84+IF(입력란!$C$26=1,10,0)+IF(MID(E84,3,1)="3",트라이포드!N$8,0))/100*(($AL84+IF(입력란!$C$30=1,17,IF(입력란!$C$30=2,20,IF(입력란!$C$30=3,22,0))))/100-1))</f>
        <v>496155.70305790112</v>
      </c>
      <c r="K84" s="21"/>
      <c r="L84" s="21"/>
      <c r="M84" s="21"/>
      <c r="N84" s="21"/>
      <c r="O84" s="21"/>
      <c r="P84" s="21"/>
      <c r="Q84" s="105"/>
      <c r="R84" s="19">
        <f>SUM(S84:Z84)</f>
        <v>150053.73499021804</v>
      </c>
      <c r="S84" s="21">
        <f>AN84*IF(입력란!$C$12=0,1,IF(입력란!$C$12=1,1.35,IF(입력란!$C$12=2,1.55,IF(입력란!$C$12=3,1.75,1))))*IF(MID(E84,5,1)="1",10*트라이포드!$P$8,10)*IF(MID(E84,5,1)="2",트라이포드!$R$8,트라이포드!$Q$8)</f>
        <v>150053.73499021804</v>
      </c>
      <c r="T84" s="21"/>
      <c r="U84" s="21"/>
      <c r="V84" s="21"/>
      <c r="W84" s="21"/>
      <c r="X84" s="21"/>
      <c r="Y84" s="21"/>
      <c r="Z84" s="20"/>
      <c r="AA84" s="21">
        <f>SUM(AB84:AI84)</f>
        <v>300107.46998043609</v>
      </c>
      <c r="AB84" s="21">
        <f>S84*2</f>
        <v>300107.46998043609</v>
      </c>
      <c r="AC84" s="21"/>
      <c r="AD84" s="21"/>
      <c r="AE84" s="21"/>
      <c r="AF84" s="21"/>
      <c r="AG84" s="21"/>
      <c r="AH84" s="21"/>
      <c r="AI84" s="20"/>
      <c r="AJ84" s="21">
        <f>AQ84*(1-입력란!$P$10/100)</f>
        <v>7.9038213753599997</v>
      </c>
      <c r="AK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4" s="21">
        <f>입력란!$P$24+입력란!$P$16+IF(입력란!$C$18=1,10,IF(입력란!$C$18=2,25,IF(입력란!$C$18=3,50,0)))+IF(입력란!$C$23&lt;&gt;0,-12)</f>
        <v>380.66103559999999</v>
      </c>
      <c r="AM84" s="21">
        <f>SUM(AN84:AP84)</f>
        <v>11115.091480756892</v>
      </c>
      <c r="AN84" s="21">
        <f>(VLOOKUP(C84,$B$4:$AJ$7,6,FALSE)+VLOOKUP(C84,$B$8:$AJ$11,6,FALSE)*입력란!$P$4)*입력란!$P$25/100</f>
        <v>11115.091480756892</v>
      </c>
      <c r="AO84" s="21"/>
      <c r="AP84" s="21"/>
      <c r="AQ84" s="22">
        <v>8</v>
      </c>
    </row>
    <row r="85" spans="2:43" ht="13.5" customHeight="1" x14ac:dyDescent="0.55000000000000004">
      <c r="B85" s="66">
        <v>70</v>
      </c>
      <c r="C85" s="29">
        <v>10</v>
      </c>
      <c r="D85" s="30" t="s">
        <v>129</v>
      </c>
      <c r="E85" s="27" t="s">
        <v>127</v>
      </c>
      <c r="F85" s="29"/>
      <c r="G85" s="29" t="s">
        <v>131</v>
      </c>
      <c r="H85" s="36">
        <f>I85/AJ85</f>
        <v>118191.17783071958</v>
      </c>
      <c r="I85" s="37">
        <f>SUM(J85:Q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934161.95771741634</v>
      </c>
      <c r="J85" s="21">
        <f>S85*(1+IF($AK85+IF(입력란!$C$26=1,10,0)+IF(MID(E85,3,1)="3",트라이포드!N$8,0)&gt;100,100,$AK85+IF(입력란!$C$26=1,10,0)+IF(MID(E85,3,1)="3",트라이포드!N$8,0))/100*(($AL85+IF(입력란!$C$30=1,17,IF(입력란!$C$30=2,20,IF(입력란!$C$30=3,22,0))))/100-1))</f>
        <v>661540.93741053483</v>
      </c>
      <c r="K85" s="21"/>
      <c r="L85" s="21"/>
      <c r="M85" s="21"/>
      <c r="N85" s="21"/>
      <c r="O85" s="21"/>
      <c r="P85" s="21"/>
      <c r="Q85" s="105"/>
      <c r="R85" s="19">
        <f>SUM(S85:Z85)</f>
        <v>200071.64665362405</v>
      </c>
      <c r="S85" s="21">
        <f>AN85*IF(입력란!$C$12=0,1,IF(입력란!$C$12=1,1.35,IF(입력란!$C$12=2,1.55,IF(입력란!$C$12=3,1.75,1))))*IF(MID(E85,5,1)="1",10*트라이포드!$P$8,10)*IF(MID(E85,5,1)="2",트라이포드!$R$8,트라이포드!$Q$8)</f>
        <v>200071.64665362405</v>
      </c>
      <c r="T85" s="21"/>
      <c r="U85" s="21"/>
      <c r="V85" s="21"/>
      <c r="W85" s="21"/>
      <c r="X85" s="21"/>
      <c r="Y85" s="21"/>
      <c r="Z85" s="20"/>
      <c r="AA85" s="21">
        <f>SUM(AB85:AI85)</f>
        <v>400143.2933072481</v>
      </c>
      <c r="AB85" s="21">
        <f>S85*2</f>
        <v>400143.2933072481</v>
      </c>
      <c r="AC85" s="21"/>
      <c r="AD85" s="21"/>
      <c r="AE85" s="21"/>
      <c r="AF85" s="21"/>
      <c r="AG85" s="21"/>
      <c r="AH85" s="21"/>
      <c r="AI85" s="20"/>
      <c r="AJ85" s="21">
        <f>AQ85*(1-입력란!$P$10/100)</f>
        <v>7.9038213753599997</v>
      </c>
      <c r="AK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5" s="21">
        <f>입력란!$P$24+입력란!$P$16+IF(입력란!$C$18=1,10,IF(입력란!$C$18=2,25,IF(입력란!$C$18=3,50,0)))+IF(입력란!$C$23&lt;&gt;0,-12)</f>
        <v>380.66103559999999</v>
      </c>
      <c r="AM85" s="21">
        <f>SUM(AN85:AP85)</f>
        <v>11115.091480756892</v>
      </c>
      <c r="AN85" s="21">
        <f>(VLOOKUP(C85,$B$4:$AJ$7,6,FALSE)+VLOOKUP(C85,$B$8:$AJ$11,6,FALSE)*입력란!$P$4)*입력란!$P$25/100</f>
        <v>11115.091480756892</v>
      </c>
      <c r="AO85" s="21"/>
      <c r="AP85" s="21"/>
      <c r="AQ85" s="22">
        <v>8</v>
      </c>
    </row>
    <row r="86" spans="2:43" ht="13.5" customHeight="1" x14ac:dyDescent="0.55000000000000004">
      <c r="B86" s="66">
        <v>71</v>
      </c>
      <c r="C86" s="29">
        <v>1</v>
      </c>
      <c r="D86" s="30" t="s">
        <v>133</v>
      </c>
      <c r="E86" s="27" t="s">
        <v>94</v>
      </c>
      <c r="F86" s="29"/>
      <c r="G86" s="29"/>
      <c r="H86" s="36">
        <f>I86/AJ86</f>
        <v>49707.692328179532</v>
      </c>
      <c r="I86" s="37">
        <f>SUM(J86:Q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982201.802858209</v>
      </c>
      <c r="J86" s="21">
        <f>S86*(1+IF($AK86+IF(입력란!$C$26=1,10,0)+IF(MID(E86,3,1)="2",IF(MID(E86,1,1)="3",0,트라이포드!L$9),0)&gt;100,100,$AK86+IF(입력란!$C$26=1,10,0)+IF(MID(E86,3,1)="2",IF(MID(E86,1,1)="3",0,트라이포드!L$9),0))/100*(($AL86+IF(입력란!$C$30=1,17,IF(입력란!$C$30=2,20,IF(입력란!$C$30=3,22,0))))/100-1))</f>
        <v>695561.08126776351</v>
      </c>
      <c r="K86" s="21"/>
      <c r="L86" s="21"/>
      <c r="M86" s="21"/>
      <c r="N86" s="21"/>
      <c r="O86" s="21"/>
      <c r="P86" s="21"/>
      <c r="Q86" s="105"/>
      <c r="R86" s="19">
        <f>SUM(S86:Z86)</f>
        <v>282227.88303813175</v>
      </c>
      <c r="S86" s="21">
        <f>AN86*IF(입력란!$C$12=0,1,IF(입력란!$C$12=1,1.35,IF(입력란!$C$12=2,1.55,IF(입력란!$C$12=3,1.75,1))))*IF(MID(E86,1,1)="3",트라이포드!$H$9,트라이포드!$G$9)*IF(MID(E86,3,1)="3",트라이포드!$N$9,트라이포드!$M$9)*IF(MID(E86,5,1)="1",트라이포드!$P$9,IF(MID(E86,5,1)="2",트라이포드!$R$9,트라이포드!$O$9))</f>
        <v>282227.88303813175</v>
      </c>
      <c r="T86" s="21"/>
      <c r="U86" s="21"/>
      <c r="V86" s="21"/>
      <c r="W86" s="21"/>
      <c r="X86" s="21"/>
      <c r="Y86" s="21"/>
      <c r="Z86" s="20"/>
      <c r="AA86" s="21">
        <f>SUM(AB86:AI86)</f>
        <v>564455.76607626351</v>
      </c>
      <c r="AB86" s="21">
        <f>S86*2</f>
        <v>564455.76607626351</v>
      </c>
      <c r="AC86" s="21"/>
      <c r="AD86" s="21"/>
      <c r="AE86" s="21"/>
      <c r="AF86" s="21"/>
      <c r="AG86" s="21"/>
      <c r="AH86" s="21"/>
      <c r="AI86" s="20"/>
      <c r="AJ86" s="21">
        <f>AQ86*(1-입력란!$P$10/100)</f>
        <v>19.759553438399998</v>
      </c>
      <c r="AK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6" s="21">
        <f>입력란!$P$24+입력란!$P$16+IF(입력란!$C$18=1,10,IF(입력란!$C$18=2,25,IF(입력란!$C$18=3,50,0)))+IF(입력란!$C$23&lt;&gt;0,-12)</f>
        <v>380.66103559999999</v>
      </c>
      <c r="AM86" s="21">
        <f>SUM(AN86:AP86)</f>
        <v>282227.88303813175</v>
      </c>
      <c r="AN86" s="21">
        <f>(VLOOKUP(C86,$B$4:$AJ$7,7,FALSE)+VLOOKUP(C86,$B$8:$AJ$11,7,FALSE)*입력란!$P$4)*입력란!$P$25/100</f>
        <v>282227.88303813175</v>
      </c>
      <c r="AO86" s="21"/>
      <c r="AP86" s="21"/>
      <c r="AQ86" s="22">
        <v>20</v>
      </c>
    </row>
    <row r="87" spans="2:43" ht="13.5" customHeight="1" x14ac:dyDescent="0.55000000000000004">
      <c r="B87" s="66">
        <v>72</v>
      </c>
      <c r="C87" s="29">
        <v>4</v>
      </c>
      <c r="D87" s="30" t="s">
        <v>133</v>
      </c>
      <c r="E87" s="27" t="s">
        <v>94</v>
      </c>
      <c r="F87" s="29"/>
      <c r="G87" s="29"/>
      <c r="H87" s="36">
        <f>I87/AJ87</f>
        <v>49772.999880774521</v>
      </c>
      <c r="I87" s="37">
        <f>SUM(J87:Q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983492.25093364087</v>
      </c>
      <c r="J87" s="21">
        <f>S87*(1+IF($AK87+IF(입력란!$C$26=1,10,0)+IF(MID(E87,3,1)="2",IF(MID(E87,1,1)="3",0,트라이포드!L$9),0)&gt;100,100,$AK87+IF(입력란!$C$26=1,10,0)+IF(MID(E87,3,1)="2",IF(MID(E87,1,1)="3",0,트라이포드!L$9),0))/100*(($AL87+IF(입력란!$C$30=1,17,IF(입력란!$C$30=2,20,IF(입력란!$C$30=3,22,0))))/100-1))</f>
        <v>696474.93161507032</v>
      </c>
      <c r="K87" s="21"/>
      <c r="L87" s="21"/>
      <c r="M87" s="21"/>
      <c r="N87" s="21"/>
      <c r="O87" s="21"/>
      <c r="P87" s="21"/>
      <c r="Q87" s="105"/>
      <c r="R87" s="19">
        <f>SUM(S87:Z87)</f>
        <v>282598.68303813174</v>
      </c>
      <c r="S87" s="21">
        <f>AN87*IF(입력란!$C$12=0,1,IF(입력란!$C$12=1,1.35,IF(입력란!$C$12=2,1.55,IF(입력란!$C$12=3,1.75,1))))*IF(MID(E87,1,1)="3",트라이포드!$H$9,트라이포드!$G$9)*IF(MID(E87,3,1)="3",트라이포드!$N$9,트라이포드!$M$9)*IF(MID(E87,5,1)="1",트라이포드!$P$9,IF(MID(E87,5,1)="2",트라이포드!$R$9,트라이포드!$O$9))</f>
        <v>282598.68303813174</v>
      </c>
      <c r="T87" s="21"/>
      <c r="U87" s="21"/>
      <c r="V87" s="21"/>
      <c r="W87" s="21"/>
      <c r="X87" s="21"/>
      <c r="Y87" s="21"/>
      <c r="Z87" s="20"/>
      <c r="AA87" s="21">
        <f>SUM(AB87:AI87)</f>
        <v>565197.36607626348</v>
      </c>
      <c r="AB87" s="21">
        <f>S87*2</f>
        <v>565197.36607626348</v>
      </c>
      <c r="AC87" s="21"/>
      <c r="AD87" s="21"/>
      <c r="AE87" s="21"/>
      <c r="AF87" s="21"/>
      <c r="AG87" s="21"/>
      <c r="AH87" s="21"/>
      <c r="AI87" s="20"/>
      <c r="AJ87" s="21">
        <f>AQ87*(1-입력란!$P$10/100)</f>
        <v>19.759553438399998</v>
      </c>
      <c r="AK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7" s="21">
        <f>입력란!$P$24+입력란!$P$16+IF(입력란!$C$18=1,10,IF(입력란!$C$18=2,25,IF(입력란!$C$18=3,50,0)))+IF(입력란!$C$23&lt;&gt;0,-12)</f>
        <v>380.66103559999999</v>
      </c>
      <c r="AM87" s="21">
        <f>SUM(AN87:AP87)</f>
        <v>282598.68303813174</v>
      </c>
      <c r="AN87" s="21">
        <f>(VLOOKUP(C87,$B$4:$AJ$7,7,FALSE)+VLOOKUP(C87,$B$8:$AJ$11,7,FALSE)*입력란!$P$4)*입력란!$P$25/100</f>
        <v>282598.68303813174</v>
      </c>
      <c r="AO87" s="21"/>
      <c r="AP87" s="21"/>
      <c r="AQ87" s="22">
        <v>20</v>
      </c>
    </row>
    <row r="88" spans="2:43" ht="13.5" customHeight="1" x14ac:dyDescent="0.55000000000000004">
      <c r="B88" s="66">
        <v>73</v>
      </c>
      <c r="C88" s="29">
        <v>4</v>
      </c>
      <c r="D88" s="30" t="s">
        <v>133</v>
      </c>
      <c r="E88" s="27" t="s">
        <v>95</v>
      </c>
      <c r="F88" s="29" t="s">
        <v>136</v>
      </c>
      <c r="G88" s="29"/>
      <c r="H88" s="36">
        <f>I88/AJ88</f>
        <v>59727.599856929417</v>
      </c>
      <c r="I88" s="37">
        <f>SUM(J88:Q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1180190.7011203689</v>
      </c>
      <c r="J88" s="21">
        <f>S88*(1+IF($AK88+IF(입력란!$C$26=1,10,0)+IF(MID(E88,3,1)="2",IF(MID(E88,1,1)="3",0,트라이포드!L$9),0)&gt;100,100,$AK88+IF(입력란!$C$26=1,10,0)+IF(MID(E88,3,1)="2",IF(MID(E88,1,1)="3",0,트라이포드!L$9),0))/100*(($AL88+IF(입력란!$C$30=1,17,IF(입력란!$C$30=2,20,IF(입력란!$C$30=3,22,0))))/100-1))</f>
        <v>835769.91793808434</v>
      </c>
      <c r="K88" s="21"/>
      <c r="L88" s="21"/>
      <c r="M88" s="21"/>
      <c r="N88" s="21"/>
      <c r="O88" s="21"/>
      <c r="P88" s="21"/>
      <c r="Q88" s="105"/>
      <c r="R88" s="19">
        <f>SUM(S88:Z88)</f>
        <v>339118.41964575805</v>
      </c>
      <c r="S88" s="21">
        <f>AN88*IF(입력란!$C$12=0,1,IF(입력란!$C$12=1,1.35,IF(입력란!$C$12=2,1.55,IF(입력란!$C$12=3,1.75,1))))*IF(MID(E88,1,1)="3",트라이포드!$H$9,트라이포드!$G$9)*IF(MID(E88,3,1)="3",트라이포드!$N$9,트라이포드!$M$9)*IF(MID(E88,5,1)="1",트라이포드!$P$9,IF(MID(E88,5,1)="2",트라이포드!$R$9,트라이포드!$O$9))</f>
        <v>339118.41964575805</v>
      </c>
      <c r="T88" s="21"/>
      <c r="U88" s="21"/>
      <c r="V88" s="21"/>
      <c r="W88" s="21"/>
      <c r="X88" s="21"/>
      <c r="Y88" s="21"/>
      <c r="Z88" s="20"/>
      <c r="AA88" s="21">
        <f>SUM(AB88:AI88)</f>
        <v>678236.83929151611</v>
      </c>
      <c r="AB88" s="21">
        <f>S88*2</f>
        <v>678236.83929151611</v>
      </c>
      <c r="AC88" s="21"/>
      <c r="AD88" s="21"/>
      <c r="AE88" s="21"/>
      <c r="AF88" s="21"/>
      <c r="AG88" s="21"/>
      <c r="AH88" s="21"/>
      <c r="AI88" s="20"/>
      <c r="AJ88" s="21">
        <f>AQ88*(1-입력란!$P$10/100)</f>
        <v>19.759553438399998</v>
      </c>
      <c r="AK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8" s="21">
        <f>입력란!$P$24+입력란!$P$16+IF(입력란!$C$18=1,10,IF(입력란!$C$18=2,25,IF(입력란!$C$18=3,50,0)))+IF(입력란!$C$23&lt;&gt;0,-12)</f>
        <v>380.66103559999999</v>
      </c>
      <c r="AM88" s="21">
        <f>SUM(AN88:AP88)</f>
        <v>282598.68303813174</v>
      </c>
      <c r="AN88" s="21">
        <f>(VLOOKUP(C88,$B$4:$AJ$7,7,FALSE)+VLOOKUP(C88,$B$8:$AJ$11,7,FALSE)*입력란!$P$4)*입력란!$P$25/100</f>
        <v>282598.68303813174</v>
      </c>
      <c r="AO88" s="21"/>
      <c r="AP88" s="21"/>
      <c r="AQ88" s="22">
        <v>20</v>
      </c>
    </row>
    <row r="89" spans="2:43" ht="13.5" customHeight="1" x14ac:dyDescent="0.55000000000000004">
      <c r="B89" s="66">
        <v>74</v>
      </c>
      <c r="C89" s="29">
        <v>7</v>
      </c>
      <c r="D89" s="30" t="s">
        <v>133</v>
      </c>
      <c r="E89" s="27" t="s">
        <v>94</v>
      </c>
      <c r="F89" s="29"/>
      <c r="G89" s="29"/>
      <c r="H89" s="36">
        <f>I89/AJ89</f>
        <v>49803.364017957327</v>
      </c>
      <c r="I89" s="37">
        <f>SUM(J89:Q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984092.23272491538</v>
      </c>
      <c r="J89" s="21">
        <f>S89*(1+IF($AK89+IF(입력란!$C$26=1,10,0)+IF(MID(E89,3,1)="2",IF(MID(E89,1,1)="3",0,트라이포드!L$9),0)&gt;100,100,$AK89+IF(입력란!$C$26=1,10,0)+IF(MID(E89,3,1)="2",IF(MID(E89,1,1)="3",0,트라이포드!L$9),0))/100*(($AL89+IF(입력란!$C$30=1,17,IF(입력란!$C$30=2,20,IF(입력란!$C$30=3,22,0))))/100-1))</f>
        <v>696899.81780675252</v>
      </c>
      <c r="K89" s="21"/>
      <c r="L89" s="21"/>
      <c r="M89" s="21"/>
      <c r="N89" s="21"/>
      <c r="O89" s="21"/>
      <c r="P89" s="21"/>
      <c r="Q89" s="105"/>
      <c r="R89" s="19">
        <f>SUM(S89:Z89)</f>
        <v>282771.08303813176</v>
      </c>
      <c r="S89" s="21">
        <f>AN89*IF(입력란!$C$12=0,1,IF(입력란!$C$12=1,1.35,IF(입력란!$C$12=2,1.55,IF(입력란!$C$12=3,1.75,1))))*IF(MID(E89,1,1)="3",트라이포드!$H$9,트라이포드!$G$9)*IF(MID(E89,3,1)="3",트라이포드!$N$9,트라이포드!$M$9)*IF(MID(E89,5,1)="1",트라이포드!$P$9,IF(MID(E89,5,1)="2",트라이포드!$R$9,트라이포드!$O$9))</f>
        <v>282771.08303813176</v>
      </c>
      <c r="T89" s="21"/>
      <c r="U89" s="21"/>
      <c r="V89" s="21"/>
      <c r="W89" s="21"/>
      <c r="X89" s="21"/>
      <c r="Y89" s="21"/>
      <c r="Z89" s="20"/>
      <c r="AA89" s="21">
        <f>SUM(AB89:AI89)</f>
        <v>565542.16607626353</v>
      </c>
      <c r="AB89" s="21">
        <f>S89*2</f>
        <v>565542.16607626353</v>
      </c>
      <c r="AC89" s="21"/>
      <c r="AD89" s="21"/>
      <c r="AE89" s="21"/>
      <c r="AF89" s="21"/>
      <c r="AG89" s="21"/>
      <c r="AH89" s="21"/>
      <c r="AI89" s="20"/>
      <c r="AJ89" s="21">
        <f>AQ89*(1-입력란!$P$10/100)</f>
        <v>19.759553438399998</v>
      </c>
      <c r="AK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89" s="21">
        <f>입력란!$P$24+입력란!$P$16+IF(입력란!$C$18=1,10,IF(입력란!$C$18=2,25,IF(입력란!$C$18=3,50,0)))+IF(입력란!$C$23&lt;&gt;0,-12)</f>
        <v>380.66103559999999</v>
      </c>
      <c r="AM89" s="21">
        <f>SUM(AN89:AP89)</f>
        <v>282771.08303813176</v>
      </c>
      <c r="AN89" s="21">
        <f>(VLOOKUP(C89,$B$4:$AJ$7,7,FALSE)+VLOOKUP(C89,$B$8:$AJ$11,7,FALSE)*입력란!$P$4)*입력란!$P$25/100</f>
        <v>282771.08303813176</v>
      </c>
      <c r="AO89" s="21"/>
      <c r="AP89" s="21"/>
      <c r="AQ89" s="22">
        <v>20</v>
      </c>
    </row>
    <row r="90" spans="2:43" ht="13.5" customHeight="1" x14ac:dyDescent="0.55000000000000004">
      <c r="B90" s="66">
        <v>75</v>
      </c>
      <c r="C90" s="29">
        <v>7</v>
      </c>
      <c r="D90" s="30" t="s">
        <v>133</v>
      </c>
      <c r="E90" s="27" t="s">
        <v>97</v>
      </c>
      <c r="F90" s="29" t="s">
        <v>137</v>
      </c>
      <c r="G90" s="29"/>
      <c r="H90" s="36">
        <f>I90/AJ90</f>
        <v>76923.980239081386</v>
      </c>
      <c r="I90" s="37">
        <f>SUM(J90:Q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1519983.4982285541</v>
      </c>
      <c r="J90" s="21">
        <f>S90*(1+IF($AK90+IF(입력란!$C$26=1,10,0)+IF(MID(E90,3,1)="2",IF(MID(E90,1,1)="3",0,트라이포드!L$9),0)&gt;100,100,$AK90+IF(입력란!$C$26=1,10,0)+IF(MID(E90,3,1)="2",IF(MID(E90,1,1)="3",0,트라이포드!L$9),0))/100*(($AL90+IF(입력란!$C$30=1,17,IF(입력란!$C$30=2,20,IF(입력란!$C$30=3,22,0))))/100-1))</f>
        <v>1076399.3330702882</v>
      </c>
      <c r="K90" s="21"/>
      <c r="L90" s="21"/>
      <c r="M90" s="21"/>
      <c r="N90" s="21"/>
      <c r="O90" s="21"/>
      <c r="P90" s="21"/>
      <c r="Q90" s="105"/>
      <c r="R90" s="19">
        <f>SUM(S90:Z90)</f>
        <v>282771.08303813176</v>
      </c>
      <c r="S90" s="21">
        <f>AN90*IF(입력란!$C$12=0,1,IF(입력란!$C$12=1,1.35,IF(입력란!$C$12=2,1.55,IF(입력란!$C$12=3,1.75,1))))*IF(MID(E90,1,1)="3",트라이포드!$H$9,트라이포드!$G$9)*IF(MID(E90,3,1)="3",트라이포드!$N$9,트라이포드!$M$9)*IF(MID(E90,5,1)="1",트라이포드!$P$9,IF(MID(E90,5,1)="2",트라이포드!$R$9,트라이포드!$O$9))</f>
        <v>282771.08303813176</v>
      </c>
      <c r="T90" s="21"/>
      <c r="U90" s="21"/>
      <c r="V90" s="21"/>
      <c r="W90" s="21"/>
      <c r="X90" s="21"/>
      <c r="Y90" s="21"/>
      <c r="Z90" s="20"/>
      <c r="AA90" s="21">
        <f>SUM(AB90:AI90)</f>
        <v>565542.16607626353</v>
      </c>
      <c r="AB90" s="21">
        <f>S90*2</f>
        <v>565542.16607626353</v>
      </c>
      <c r="AC90" s="21"/>
      <c r="AD90" s="21"/>
      <c r="AE90" s="21"/>
      <c r="AF90" s="21"/>
      <c r="AG90" s="21"/>
      <c r="AH90" s="21"/>
      <c r="AI90" s="20"/>
      <c r="AJ90" s="21">
        <f>AQ90*(1-입력란!$P$10/100)</f>
        <v>19.759553438399998</v>
      </c>
      <c r="AK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0" s="21">
        <f>입력란!$P$24+입력란!$P$16+IF(입력란!$C$18=1,10,IF(입력란!$C$18=2,25,IF(입력란!$C$18=3,50,0)))+IF(입력란!$C$23&lt;&gt;0,-12)</f>
        <v>380.66103559999999</v>
      </c>
      <c r="AM90" s="21">
        <f>SUM(AN90:AP90)</f>
        <v>282771.08303813176</v>
      </c>
      <c r="AN90" s="21">
        <f>(VLOOKUP(C90,$B$4:$AJ$7,7,FALSE)+VLOOKUP(C90,$B$8:$AJ$11,7,FALSE)*입력란!$P$4)*입력란!$P$25/100</f>
        <v>282771.08303813176</v>
      </c>
      <c r="AO90" s="21"/>
      <c r="AP90" s="21"/>
      <c r="AQ90" s="22">
        <v>20</v>
      </c>
    </row>
    <row r="91" spans="2:43" ht="13.5" customHeight="1" x14ac:dyDescent="0.55000000000000004">
      <c r="B91" s="66">
        <v>76</v>
      </c>
      <c r="C91" s="29">
        <v>7</v>
      </c>
      <c r="D91" s="30" t="s">
        <v>133</v>
      </c>
      <c r="E91" s="27" t="s">
        <v>98</v>
      </c>
      <c r="F91" s="29"/>
      <c r="G91" s="29"/>
      <c r="H91" s="36">
        <f>I91/AJ91</f>
        <v>61756.171382267064</v>
      </c>
      <c r="I91" s="37">
        <f>SUM(J91:Q91)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1220274.3685788948</v>
      </c>
      <c r="J91" s="21">
        <f>S91*(1+IF($AK91+IF(입력란!$C$26=1,10,0)+IF(MID(E91,3,1)="2",IF(MID(E91,1,1)="3",0,트라이포드!L$9),0)&gt;100,100,$AK91+IF(입력란!$C$26=1,10,0)+IF(MID(E91,3,1)="2",IF(MID(E91,1,1)="3",0,트라이포드!L$9),0))/100*(($AL91+IF(입력란!$C$30=1,17,IF(입력란!$C$30=2,20,IF(입력란!$C$30=3,22,0))))/100-1))</f>
        <v>864155.774080373</v>
      </c>
      <c r="K91" s="21"/>
      <c r="L91" s="21"/>
      <c r="M91" s="21"/>
      <c r="N91" s="21"/>
      <c r="O91" s="21"/>
      <c r="P91" s="21"/>
      <c r="Q91" s="105"/>
      <c r="R91" s="19">
        <f>SUM(S91:Z91)</f>
        <v>350636.14296728338</v>
      </c>
      <c r="S91" s="21">
        <f>AN91*IF(입력란!$C$12=0,1,IF(입력란!$C$12=1,1.35,IF(입력란!$C$12=2,1.55,IF(입력란!$C$12=3,1.75,1))))*IF(MID(E91,1,1)="3",트라이포드!$H$9,트라이포드!$G$9)*IF(MID(E91,3,1)="3",트라이포드!$N$9,트라이포드!$M$9)*IF(MID(E91,5,1)="1",트라이포드!$P$9,IF(MID(E91,5,1)="2",트라이포드!$R$9,트라이포드!$O$9))</f>
        <v>350636.14296728338</v>
      </c>
      <c r="T91" s="21"/>
      <c r="U91" s="21"/>
      <c r="V91" s="21"/>
      <c r="W91" s="21"/>
      <c r="X91" s="21"/>
      <c r="Y91" s="21"/>
      <c r="Z91" s="20"/>
      <c r="AA91" s="21">
        <f>SUM(AB91:AI91)</f>
        <v>701272.28593456675</v>
      </c>
      <c r="AB91" s="21">
        <f>S91*2</f>
        <v>701272.28593456675</v>
      </c>
      <c r="AC91" s="21"/>
      <c r="AD91" s="21"/>
      <c r="AE91" s="21"/>
      <c r="AF91" s="21"/>
      <c r="AG91" s="21"/>
      <c r="AH91" s="21"/>
      <c r="AI91" s="20"/>
      <c r="AJ91" s="21">
        <f>AQ91*(1-입력란!$P$10/100)</f>
        <v>19.759553438399998</v>
      </c>
      <c r="AK9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1" s="21">
        <f>입력란!$P$24+입력란!$P$16+IF(입력란!$C$18=1,10,IF(입력란!$C$18=2,25,IF(입력란!$C$18=3,50,0)))+IF(입력란!$C$23&lt;&gt;0,-12)</f>
        <v>380.66103559999999</v>
      </c>
      <c r="AM91" s="21">
        <f>SUM(AN91:AP91)</f>
        <v>282771.08303813176</v>
      </c>
      <c r="AN91" s="21">
        <f>(VLOOKUP(C91,$B$4:$AJ$7,7,FALSE)+VLOOKUP(C91,$B$8:$AJ$11,7,FALSE)*입력란!$P$4)*입력란!$P$25/100</f>
        <v>282771.08303813176</v>
      </c>
      <c r="AO91" s="21"/>
      <c r="AP91" s="21"/>
      <c r="AQ91" s="22">
        <v>20</v>
      </c>
    </row>
    <row r="92" spans="2:43" ht="13.5" customHeight="1" x14ac:dyDescent="0.55000000000000004">
      <c r="B92" s="66">
        <v>77</v>
      </c>
      <c r="C92" s="29">
        <v>7</v>
      </c>
      <c r="D92" s="30" t="s">
        <v>133</v>
      </c>
      <c r="E92" s="27" t="s">
        <v>108</v>
      </c>
      <c r="F92" s="29" t="s">
        <v>361</v>
      </c>
      <c r="G92" s="29"/>
      <c r="H92" s="36">
        <f>I92/AJ92</f>
        <v>59764.036821548791</v>
      </c>
      <c r="I92" s="37">
        <f>SUM(J92:Q92)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1180910.6792698985</v>
      </c>
      <c r="J92" s="21">
        <f>S92*(1+IF($AK92+IF(입력란!$C$26=1,10,0)+IF(MID(E92,3,1)="2",IF(MID(E92,1,1)="3",0,트라이포드!L$9),0)&gt;100,100,$AK92+IF(입력란!$C$26=1,10,0)+IF(MID(E92,3,1)="2",IF(MID(E92,1,1)="3",0,트라이포드!L$9),0))/100*(($AL92+IF(입력란!$C$30=1,17,IF(입력란!$C$30=2,20,IF(입력란!$C$30=3,22,0))))/100-1))</f>
        <v>836279.78136810299</v>
      </c>
      <c r="K92" s="21"/>
      <c r="L92" s="21"/>
      <c r="M92" s="21"/>
      <c r="N92" s="21"/>
      <c r="O92" s="21"/>
      <c r="P92" s="21"/>
      <c r="Q92" s="105"/>
      <c r="R92" s="19">
        <f>SUM(S92:Z92)</f>
        <v>339325.29964575812</v>
      </c>
      <c r="S92" s="21">
        <f>AN92*IF(입력란!$C$12=0,1,IF(입력란!$C$12=1,1.35,IF(입력란!$C$12=2,1.55,IF(입력란!$C$12=3,1.75,1))))*IF(MID(E92,1,1)="3",트라이포드!$H$9,트라이포드!$G$9)*IF(MID(E92,3,1)="3",트라이포드!$N$9,트라이포드!$M$9)*IF(MID(E92,5,1)="1",트라이포드!$P$9,IF(MID(E92,5,1)="2",트라이포드!$R$9,트라이포드!$O$9))</f>
        <v>339325.29964575812</v>
      </c>
      <c r="T92" s="21"/>
      <c r="U92" s="21"/>
      <c r="V92" s="21"/>
      <c r="W92" s="21"/>
      <c r="X92" s="21"/>
      <c r="Y92" s="21"/>
      <c r="Z92" s="20"/>
      <c r="AA92" s="21">
        <f>SUM(AB92:AI92)</f>
        <v>678650.59929151624</v>
      </c>
      <c r="AB92" s="21">
        <f>S92*2</f>
        <v>678650.59929151624</v>
      </c>
      <c r="AC92" s="21"/>
      <c r="AD92" s="21"/>
      <c r="AE92" s="21"/>
      <c r="AF92" s="21"/>
      <c r="AG92" s="21"/>
      <c r="AH92" s="21"/>
      <c r="AI92" s="20"/>
      <c r="AJ92" s="21">
        <f>AQ92*(1-입력란!$P$10/100)</f>
        <v>19.759553438399998</v>
      </c>
      <c r="AK9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2" s="21">
        <f>입력란!$P$24+입력란!$P$16+IF(입력란!$C$18=1,10,IF(입력란!$C$18=2,25,IF(입력란!$C$18=3,50,0)))+IF(입력란!$C$23&lt;&gt;0,-12)</f>
        <v>380.66103559999999</v>
      </c>
      <c r="AM92" s="21">
        <f>SUM(AN92:AP92)</f>
        <v>282771.08303813176</v>
      </c>
      <c r="AN92" s="21">
        <f>(VLOOKUP(C92,$B$4:$AJ$7,7,FALSE)+VLOOKUP(C92,$B$8:$AJ$11,7,FALSE)*입력란!$P$4)*입력란!$P$25/100</f>
        <v>282771.08303813176</v>
      </c>
      <c r="AO92" s="21"/>
      <c r="AP92" s="21"/>
      <c r="AQ92" s="22">
        <v>20</v>
      </c>
    </row>
    <row r="93" spans="2:43" ht="13.5" customHeight="1" x14ac:dyDescent="0.55000000000000004">
      <c r="B93" s="66">
        <v>78</v>
      </c>
      <c r="C93" s="29">
        <v>7</v>
      </c>
      <c r="D93" s="30" t="s">
        <v>133</v>
      </c>
      <c r="E93" s="27" t="s">
        <v>109</v>
      </c>
      <c r="F93" s="29"/>
      <c r="G93" s="29"/>
      <c r="H93" s="36">
        <f>I93/AJ93</f>
        <v>74107.405658720483</v>
      </c>
      <c r="I93" s="37">
        <f>SUM(J93:Q93)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1464329.2422946738</v>
      </c>
      <c r="J93" s="21">
        <f>S93*(1+IF($AK93+IF(입력란!$C$26=1,10,0)+IF(MID(E93,3,1)="2",IF(MID(E93,1,1)="3",0,트라이포드!L$9),0)&gt;100,100,$AK93+IF(입력란!$C$26=1,10,0)+IF(MID(E93,3,1)="2",IF(MID(E93,1,1)="3",0,트라이포드!L$9),0))/100*(($AL93+IF(입력란!$C$30=1,17,IF(입력란!$C$30=2,20,IF(입력란!$C$30=3,22,0))))/100-1))</f>
        <v>1036986.9288964476</v>
      </c>
      <c r="K93" s="21"/>
      <c r="L93" s="21"/>
      <c r="M93" s="21"/>
      <c r="N93" s="21"/>
      <c r="O93" s="21"/>
      <c r="P93" s="21"/>
      <c r="Q93" s="105"/>
      <c r="R93" s="19">
        <f>SUM(S93:Z93)</f>
        <v>420763.37156074005</v>
      </c>
      <c r="S93" s="21">
        <f>AN93*IF(입력란!$C$12=0,1,IF(입력란!$C$12=1,1.35,IF(입력란!$C$12=2,1.55,IF(입력란!$C$12=3,1.75,1))))*IF(MID(E93,1,1)="3",트라이포드!$H$9,트라이포드!$G$9)*IF(MID(E93,3,1)="3",트라이포드!$N$9,트라이포드!$M$9)*IF(MID(E93,5,1)="1",트라이포드!$P$9,IF(MID(E93,5,1)="2",트라이포드!$R$9,트라이포드!$O$9))</f>
        <v>420763.37156074005</v>
      </c>
      <c r="T93" s="21"/>
      <c r="U93" s="21"/>
      <c r="V93" s="21"/>
      <c r="W93" s="21"/>
      <c r="X93" s="21"/>
      <c r="Y93" s="21"/>
      <c r="Z93" s="20"/>
      <c r="AA93" s="21">
        <f>SUM(AB93:AI93)</f>
        <v>841526.7431214801</v>
      </c>
      <c r="AB93" s="21">
        <f>S93*2</f>
        <v>841526.7431214801</v>
      </c>
      <c r="AC93" s="21"/>
      <c r="AD93" s="21"/>
      <c r="AE93" s="21"/>
      <c r="AF93" s="21"/>
      <c r="AG93" s="21"/>
      <c r="AH93" s="21"/>
      <c r="AI93" s="20"/>
      <c r="AJ93" s="21">
        <f>AQ93*(1-입력란!$P$10/100)</f>
        <v>19.759553438399998</v>
      </c>
      <c r="AK9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3" s="21">
        <f>입력란!$P$24+입력란!$P$16+IF(입력란!$C$18=1,10,IF(입력란!$C$18=2,25,IF(입력란!$C$18=3,50,0)))+IF(입력란!$C$23&lt;&gt;0,-12)</f>
        <v>380.66103559999999</v>
      </c>
      <c r="AM93" s="21">
        <f>SUM(AN93:AP93)</f>
        <v>282771.08303813176</v>
      </c>
      <c r="AN93" s="21">
        <f>(VLOOKUP(C93,$B$4:$AJ$7,7,FALSE)+VLOOKUP(C93,$B$8:$AJ$11,7,FALSE)*입력란!$P$4)*입력란!$P$25/100</f>
        <v>282771.08303813176</v>
      </c>
      <c r="AO93" s="21"/>
      <c r="AP93" s="21"/>
      <c r="AQ93" s="22">
        <v>20</v>
      </c>
    </row>
    <row r="94" spans="2:43" ht="13.5" customHeight="1" x14ac:dyDescent="0.55000000000000004">
      <c r="B94" s="66">
        <v>79</v>
      </c>
      <c r="C94" s="29">
        <v>10</v>
      </c>
      <c r="D94" s="30" t="s">
        <v>133</v>
      </c>
      <c r="E94" s="27" t="s">
        <v>94</v>
      </c>
      <c r="F94" s="29"/>
      <c r="G94" s="29"/>
      <c r="H94" s="36">
        <f>I94/AJ94</f>
        <v>49822.667436955191</v>
      </c>
      <c r="I94" s="37">
        <f>SUM(J94:Q94)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984473.65966414753</v>
      </c>
      <c r="J94" s="21">
        <f>S94*(1+IF($AK94+IF(입력란!$C$26=1,10,0)+IF(MID(E94,3,1)="2",IF(MID(E94,1,1)="3",0,트라이포드!L$9),0)&gt;100,100,$AK94+IF(입력란!$C$26=1,10,0)+IF(MID(E94,3,1)="2",IF(MID(E94,1,1)="3",0,트라이포드!L$9),0))/100*(($AL94+IF(입력란!$C$30=1,17,IF(입력란!$C$30=2,20,IF(입력란!$C$30=3,22,0))))/100-1))</f>
        <v>697169.93107014196</v>
      </c>
      <c r="K94" s="21"/>
      <c r="L94" s="21"/>
      <c r="M94" s="21"/>
      <c r="N94" s="21"/>
      <c r="O94" s="21"/>
      <c r="P94" s="21"/>
      <c r="Q94" s="105"/>
      <c r="R94" s="19">
        <f>SUM(S94:Z94)</f>
        <v>282880.68303813174</v>
      </c>
      <c r="S94" s="21">
        <f>AN94*IF(입력란!$C$12=0,1,IF(입력란!$C$12=1,1.35,IF(입력란!$C$12=2,1.55,IF(입력란!$C$12=3,1.75,1))))*IF(MID(E94,1,1)="3",트라이포드!$H$9,트라이포드!$G$9)*IF(MID(E94,3,1)="3",트라이포드!$N$9,트라이포드!$M$9)*IF(MID(E94,5,1)="1",트라이포드!$P$9,IF(MID(E94,5,1)="2",트라이포드!$R$9,트라이포드!$O$9))</f>
        <v>282880.68303813174</v>
      </c>
      <c r="T94" s="21"/>
      <c r="U94" s="21"/>
      <c r="V94" s="21"/>
      <c r="W94" s="21"/>
      <c r="X94" s="21"/>
      <c r="Y94" s="21"/>
      <c r="Z94" s="20"/>
      <c r="AA94" s="21">
        <f>SUM(AB94:AI94)</f>
        <v>565761.36607626348</v>
      </c>
      <c r="AB94" s="21">
        <f>S94*2</f>
        <v>565761.36607626348</v>
      </c>
      <c r="AC94" s="21"/>
      <c r="AD94" s="21"/>
      <c r="AE94" s="21"/>
      <c r="AF94" s="21"/>
      <c r="AG94" s="21"/>
      <c r="AH94" s="21"/>
      <c r="AI94" s="20"/>
      <c r="AJ94" s="21">
        <f>AQ94*(1-입력란!$P$10/100)</f>
        <v>19.759553438399998</v>
      </c>
      <c r="AK9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4" s="21">
        <f>입력란!$P$24+입력란!$P$16+IF(입력란!$C$18=1,10,IF(입력란!$C$18=2,25,IF(입력란!$C$18=3,50,0)))+IF(입력란!$C$23&lt;&gt;0,-12)</f>
        <v>380.66103559999999</v>
      </c>
      <c r="AM94" s="21">
        <f>SUM(AN94:AP94)</f>
        <v>282880.68303813174</v>
      </c>
      <c r="AN94" s="21">
        <f>(VLOOKUP(C94,$B$4:$AJ$7,7,FALSE)+VLOOKUP(C94,$B$8:$AJ$11,7,FALSE)*입력란!$P$4)*입력란!$P$25/100</f>
        <v>282880.68303813174</v>
      </c>
      <c r="AO94" s="21"/>
      <c r="AP94" s="21"/>
      <c r="AQ94" s="22">
        <v>20</v>
      </c>
    </row>
    <row r="95" spans="2:43" ht="13.5" customHeight="1" x14ac:dyDescent="0.55000000000000004">
      <c r="B95" s="66">
        <v>80</v>
      </c>
      <c r="C95" s="29">
        <v>10</v>
      </c>
      <c r="D95" s="30" t="s">
        <v>133</v>
      </c>
      <c r="E95" s="27" t="s">
        <v>95</v>
      </c>
      <c r="F95" s="29" t="s">
        <v>136</v>
      </c>
      <c r="G95" s="29"/>
      <c r="H95" s="36">
        <f>I95/AJ95</f>
        <v>59787.200924346223</v>
      </c>
      <c r="I95" s="37">
        <f>SUM(J95:Q95)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1181368.3915969769</v>
      </c>
      <c r="J95" s="21">
        <f>S95*(1+IF($AK95+IF(입력란!$C$26=1,10,0)+IF(MID(E95,3,1)="2",IF(MID(E95,1,1)="3",0,트라이포드!L$9),0)&gt;100,100,$AK95+IF(입력란!$C$26=1,10,0)+IF(MID(E95,3,1)="2",IF(MID(E95,1,1)="3",0,트라이포드!L$9),0))/100*(($AL95+IF(입력란!$C$30=1,17,IF(입력란!$C$30=2,20,IF(입력란!$C$30=3,22,0))))/100-1))</f>
        <v>836603.91728417028</v>
      </c>
      <c r="K95" s="21"/>
      <c r="L95" s="21"/>
      <c r="M95" s="21"/>
      <c r="N95" s="21"/>
      <c r="O95" s="21"/>
      <c r="P95" s="21"/>
      <c r="Q95" s="105"/>
      <c r="R95" s="19">
        <f>SUM(S95:Z95)</f>
        <v>339456.81964575808</v>
      </c>
      <c r="S95" s="21">
        <f>AN95*IF(입력란!$C$12=0,1,IF(입력란!$C$12=1,1.35,IF(입력란!$C$12=2,1.55,IF(입력란!$C$12=3,1.75,1))))*IF(MID(E95,1,1)="3",트라이포드!$H$9,트라이포드!$G$9)*IF(MID(E95,3,1)="3",트라이포드!$N$9,트라이포드!$M$9)*IF(MID(E95,5,1)="1",트라이포드!$P$9,IF(MID(E95,5,1)="2",트라이포드!$R$9,트라이포드!$O$9))</f>
        <v>339456.81964575808</v>
      </c>
      <c r="T95" s="21"/>
      <c r="U95" s="21"/>
      <c r="V95" s="21"/>
      <c r="W95" s="21"/>
      <c r="X95" s="21"/>
      <c r="Y95" s="21"/>
      <c r="Z95" s="20"/>
      <c r="AA95" s="21">
        <f>SUM(AB95:AI95)</f>
        <v>678913.63929151616</v>
      </c>
      <c r="AB95" s="21">
        <f>S95*2</f>
        <v>678913.63929151616</v>
      </c>
      <c r="AC95" s="21"/>
      <c r="AD95" s="21"/>
      <c r="AE95" s="21"/>
      <c r="AF95" s="21"/>
      <c r="AG95" s="21"/>
      <c r="AH95" s="21"/>
      <c r="AI95" s="20"/>
      <c r="AJ95" s="21">
        <f>AQ95*(1-입력란!$P$10/100)</f>
        <v>19.759553438399998</v>
      </c>
      <c r="AK9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5" s="21">
        <f>입력란!$P$24+입력란!$P$16+IF(입력란!$C$18=1,10,IF(입력란!$C$18=2,25,IF(입력란!$C$18=3,50,0)))+IF(입력란!$C$23&lt;&gt;0,-12)</f>
        <v>380.66103559999999</v>
      </c>
      <c r="AM95" s="21">
        <f>SUM(AN95:AP95)</f>
        <v>282880.68303813174</v>
      </c>
      <c r="AN95" s="21">
        <f>(VLOOKUP(C95,$B$4:$AJ$7,7,FALSE)+VLOOKUP(C95,$B$8:$AJ$11,7,FALSE)*입력란!$P$4)*입력란!$P$25/100</f>
        <v>282880.68303813174</v>
      </c>
      <c r="AO95" s="21"/>
      <c r="AP95" s="21"/>
      <c r="AQ95" s="22">
        <v>20</v>
      </c>
    </row>
    <row r="96" spans="2:43" ht="13.5" customHeight="1" x14ac:dyDescent="0.55000000000000004">
      <c r="B96" s="66">
        <v>81</v>
      </c>
      <c r="C96" s="29">
        <v>10</v>
      </c>
      <c r="D96" s="30" t="s">
        <v>133</v>
      </c>
      <c r="E96" s="27" t="s">
        <v>121</v>
      </c>
      <c r="F96" s="29"/>
      <c r="G96" s="29"/>
      <c r="H96" s="36">
        <f>I96/AJ96</f>
        <v>89680.801386519335</v>
      </c>
      <c r="I96" s="37">
        <f>SUM(J96:Q96)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1772052.5873954655</v>
      </c>
      <c r="J96" s="21">
        <f>S96*(1+IF($AK96+IF(입력란!$C$26=1,10,0)+IF(MID(E96,3,1)="2",IF(MID(E96,1,1)="3",0,트라이포드!L$9),0)&gt;100,100,$AK96+IF(입력란!$C$26=1,10,0)+IF(MID(E96,3,1)="2",IF(MID(E96,1,1)="3",0,트라이포드!L$9),0))/100*(($AL96+IF(입력란!$C$30=1,17,IF(입력란!$C$30=2,20,IF(입력란!$C$30=3,22,0))))/100-1))</f>
        <v>1254905.8759262555</v>
      </c>
      <c r="K96" s="21"/>
      <c r="L96" s="21"/>
      <c r="M96" s="21"/>
      <c r="N96" s="21"/>
      <c r="O96" s="21"/>
      <c r="P96" s="21"/>
      <c r="Q96" s="105"/>
      <c r="R96" s="19">
        <f>SUM(S96:Z96)</f>
        <v>509185.22946863715</v>
      </c>
      <c r="S96" s="21">
        <f>AN96*IF(입력란!$C$12=0,1,IF(입력란!$C$12=1,1.35,IF(입력란!$C$12=2,1.55,IF(입력란!$C$12=3,1.75,1))))*IF(MID(E96,1,1)="3",트라이포드!$H$9,트라이포드!$G$9)*IF(MID(E96,3,1)="3",트라이포드!$N$9,트라이포드!$M$9)*IF(MID(E96,5,1)="1",트라이포드!$P$9,IF(MID(E96,5,1)="2",트라이포드!$R$9,트라이포드!$O$9))</f>
        <v>509185.22946863715</v>
      </c>
      <c r="T96" s="21"/>
      <c r="U96" s="21"/>
      <c r="V96" s="21"/>
      <c r="W96" s="21"/>
      <c r="X96" s="21"/>
      <c r="Y96" s="21"/>
      <c r="Z96" s="20"/>
      <c r="AA96" s="21">
        <f>SUM(AB96:AI96)</f>
        <v>1018370.4589372743</v>
      </c>
      <c r="AB96" s="21">
        <f>S96*2</f>
        <v>1018370.4589372743</v>
      </c>
      <c r="AC96" s="21"/>
      <c r="AD96" s="21"/>
      <c r="AE96" s="21"/>
      <c r="AF96" s="21"/>
      <c r="AG96" s="21"/>
      <c r="AH96" s="21"/>
      <c r="AI96" s="20"/>
      <c r="AJ96" s="21">
        <f>AQ96*(1-입력란!$P$10/100)</f>
        <v>19.759553438399998</v>
      </c>
      <c r="AK9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6" s="21">
        <f>입력란!$P$24+입력란!$P$16+IF(입력란!$C$18=1,10,IF(입력란!$C$18=2,25,IF(입력란!$C$18=3,50,0)))+IF(입력란!$C$23&lt;&gt;0,-12)</f>
        <v>380.66103559999999</v>
      </c>
      <c r="AM96" s="21">
        <f>SUM(AN96:AP96)</f>
        <v>282880.68303813174</v>
      </c>
      <c r="AN96" s="21">
        <f>(VLOOKUP(C96,$B$4:$AJ$7,7,FALSE)+VLOOKUP(C96,$B$8:$AJ$11,7,FALSE)*입력란!$P$4)*입력란!$P$25/100</f>
        <v>282880.68303813174</v>
      </c>
      <c r="AO96" s="21"/>
      <c r="AP96" s="21"/>
      <c r="AQ96" s="22">
        <v>20</v>
      </c>
    </row>
    <row r="97" spans="2:43" ht="13.5" customHeight="1" x14ac:dyDescent="0.55000000000000004">
      <c r="B97" s="66">
        <v>82</v>
      </c>
      <c r="C97" s="29">
        <v>10</v>
      </c>
      <c r="D97" s="30" t="s">
        <v>133</v>
      </c>
      <c r="E97" s="27" t="s">
        <v>122</v>
      </c>
      <c r="F97" s="29"/>
      <c r="G97" s="29"/>
      <c r="H97" s="36">
        <f>I97/AJ97</f>
        <v>79716.267899128303</v>
      </c>
      <c r="I97" s="37">
        <f>SUM(J97:Q97)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1575157.8554626359</v>
      </c>
      <c r="J97" s="21">
        <f>S97*(1+IF($AK97+IF(입력란!$C$26=1,10,0)+IF(MID(E97,3,1)="2",IF(MID(E97,1,1)="3",0,트라이포드!L$9),0)&gt;100,100,$AK97+IF(입력란!$C$26=1,10,0)+IF(MID(E97,3,1)="2",IF(MID(E97,1,1)="3",0,트라이포드!L$9),0))/100*(($AL97+IF(입력란!$C$30=1,17,IF(입력란!$C$30=2,20,IF(입력란!$C$30=3,22,0))))/100-1))</f>
        <v>1115471.889712227</v>
      </c>
      <c r="K97" s="21"/>
      <c r="L97" s="21"/>
      <c r="M97" s="21"/>
      <c r="N97" s="21"/>
      <c r="O97" s="21"/>
      <c r="P97" s="21"/>
      <c r="Q97" s="105"/>
      <c r="R97" s="19">
        <f>SUM(S97:Z97)</f>
        <v>452609.09286101081</v>
      </c>
      <c r="S97" s="21">
        <f>AN97*IF(입력란!$C$12=0,1,IF(입력란!$C$12=1,1.35,IF(입력란!$C$12=2,1.55,IF(입력란!$C$12=3,1.75,1))))*IF(MID(E97,1,1)="3",트라이포드!$H$9,트라이포드!$G$9)*IF(MID(E97,3,1)="3",트라이포드!$N$9,트라이포드!$M$9)*IF(MID(E97,5,1)="1",트라이포드!$P$9,IF(MID(E97,5,1)="2",트라이포드!$R$9,트라이포드!$O$9))</f>
        <v>452609.09286101081</v>
      </c>
      <c r="T97" s="21"/>
      <c r="U97" s="21"/>
      <c r="V97" s="21"/>
      <c r="W97" s="21"/>
      <c r="X97" s="21"/>
      <c r="Y97" s="21"/>
      <c r="Z97" s="20"/>
      <c r="AA97" s="21">
        <f>SUM(AB97:AI97)</f>
        <v>905218.18572202162</v>
      </c>
      <c r="AB97" s="21">
        <f>S97*2</f>
        <v>905218.18572202162</v>
      </c>
      <c r="AC97" s="21"/>
      <c r="AD97" s="21"/>
      <c r="AE97" s="21"/>
      <c r="AF97" s="21"/>
      <c r="AG97" s="21"/>
      <c r="AH97" s="21"/>
      <c r="AI97" s="20"/>
      <c r="AJ97" s="21">
        <f>AQ97*(1-입력란!$P$10/100)</f>
        <v>19.759553438399998</v>
      </c>
      <c r="AK9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7" s="21">
        <f>입력란!$P$24+입력란!$P$16+IF(입력란!$C$18=1,10,IF(입력란!$C$18=2,25,IF(입력란!$C$18=3,50,0)))+IF(입력란!$C$23&lt;&gt;0,-12)</f>
        <v>380.66103559999999</v>
      </c>
      <c r="AM97" s="21">
        <f>SUM(AN97:AP97)</f>
        <v>282880.68303813174</v>
      </c>
      <c r="AN97" s="21">
        <f>(VLOOKUP(C97,$B$4:$AJ$7,7,FALSE)+VLOOKUP(C97,$B$8:$AJ$11,7,FALSE)*입력란!$P$4)*입력란!$P$25/100</f>
        <v>282880.68303813174</v>
      </c>
      <c r="AO97" s="21"/>
      <c r="AP97" s="21"/>
      <c r="AQ97" s="22">
        <v>20</v>
      </c>
    </row>
    <row r="98" spans="2:43" ht="13.5" customHeight="1" x14ac:dyDescent="0.55000000000000004">
      <c r="B98" s="66">
        <v>83</v>
      </c>
      <c r="C98" s="29">
        <v>10</v>
      </c>
      <c r="D98" s="30" t="s">
        <v>133</v>
      </c>
      <c r="E98" s="27" t="s">
        <v>110</v>
      </c>
      <c r="F98" s="29" t="s">
        <v>136</v>
      </c>
      <c r="G98" s="29"/>
      <c r="H98" s="36">
        <f>I98/AJ98</f>
        <v>107616.96166382321</v>
      </c>
      <c r="I98" s="37">
        <f>SUM(J98:Q98)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2126463.1048745587</v>
      </c>
      <c r="J98" s="21">
        <f>S98*(1+IF($AK98+IF(입력란!$C$26=1,10,0)+IF(MID(E98,3,1)="2",IF(MID(E98,1,1)="3",0,트라이포드!L$9),0)&gt;100,100,$AK98+IF(입력란!$C$26=1,10,0)+IF(MID(E98,3,1)="2",IF(MID(E98,1,1)="3",0,트라이포드!L$9),0))/100*(($AL98+IF(입력란!$C$30=1,17,IF(입력란!$C$30=2,20,IF(입력란!$C$30=3,22,0))))/100-1))</f>
        <v>1505887.0511115068</v>
      </c>
      <c r="K98" s="21"/>
      <c r="L98" s="21"/>
      <c r="M98" s="21"/>
      <c r="N98" s="21"/>
      <c r="O98" s="21"/>
      <c r="P98" s="21"/>
      <c r="Q98" s="105"/>
      <c r="R98" s="19">
        <f>SUM(S98:Z98)</f>
        <v>611022.2753623646</v>
      </c>
      <c r="S98" s="21">
        <f>AN98*IF(입력란!$C$12=0,1,IF(입력란!$C$12=1,1.35,IF(입력란!$C$12=2,1.55,IF(입력란!$C$12=3,1.75,1))))*IF(MID(E98,1,1)="3",트라이포드!$H$9,트라이포드!$G$9)*IF(MID(E98,3,1)="3",트라이포드!$N$9,트라이포드!$M$9)*IF(MID(E98,5,1)="1",트라이포드!$P$9,IF(MID(E98,5,1)="2",트라이포드!$R$9,트라이포드!$O$9))</f>
        <v>611022.2753623646</v>
      </c>
      <c r="T98" s="21"/>
      <c r="U98" s="21"/>
      <c r="V98" s="21"/>
      <c r="W98" s="21"/>
      <c r="X98" s="21"/>
      <c r="Y98" s="21"/>
      <c r="Z98" s="20"/>
      <c r="AA98" s="21">
        <f>SUM(AB98:AI98)</f>
        <v>1222044.5507247292</v>
      </c>
      <c r="AB98" s="21">
        <f>S98*2</f>
        <v>1222044.5507247292</v>
      </c>
      <c r="AC98" s="21"/>
      <c r="AD98" s="21"/>
      <c r="AE98" s="21"/>
      <c r="AF98" s="21"/>
      <c r="AG98" s="21"/>
      <c r="AH98" s="21"/>
      <c r="AI98" s="20"/>
      <c r="AJ98" s="21">
        <f>AQ98*(1-입력란!$P$10/100)</f>
        <v>19.759553438399998</v>
      </c>
      <c r="AK9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8" s="21">
        <f>입력란!$P$24+입력란!$P$16+IF(입력란!$C$18=1,10,IF(입력란!$C$18=2,25,IF(입력란!$C$18=3,50,0)))+IF(입력란!$C$23&lt;&gt;0,-12)</f>
        <v>380.66103559999999</v>
      </c>
      <c r="AM98" s="21">
        <f>SUM(AN98:AP98)</f>
        <v>282880.68303813174</v>
      </c>
      <c r="AN98" s="21">
        <f>(VLOOKUP(C98,$B$4:$AJ$7,7,FALSE)+VLOOKUP(C98,$B$8:$AJ$11,7,FALSE)*입력란!$P$4)*입력란!$P$25/100</f>
        <v>282880.68303813174</v>
      </c>
      <c r="AO98" s="21"/>
      <c r="AP98" s="21"/>
      <c r="AQ98" s="22">
        <v>20</v>
      </c>
    </row>
    <row r="99" spans="2:43" ht="13.5" customHeight="1" x14ac:dyDescent="0.55000000000000004">
      <c r="B99" s="66">
        <v>84</v>
      </c>
      <c r="C99" s="29">
        <v>10</v>
      </c>
      <c r="D99" s="30" t="s">
        <v>133</v>
      </c>
      <c r="E99" s="27" t="s">
        <v>111</v>
      </c>
      <c r="F99" s="29" t="s">
        <v>136</v>
      </c>
      <c r="G99" s="29"/>
      <c r="H99" s="36">
        <f>I99/AJ99</f>
        <v>95659.52147895396</v>
      </c>
      <c r="I99" s="37">
        <f>SUM(J99:Q99)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1890189.4265551632</v>
      </c>
      <c r="J99" s="21">
        <f>S99*(1+IF($AK99+IF(입력란!$C$26=1,10,0)+IF(MID(E99,3,1)="2",IF(MID(E99,1,1)="3",0,트라이포드!L$9),0)&gt;100,100,$AK99+IF(입력란!$C$26=1,10,0)+IF(MID(E99,3,1)="2",IF(MID(E99,1,1)="3",0,트라이포드!L$9),0))/100*(($AL99+IF(입력란!$C$30=1,17,IF(입력란!$C$30=2,20,IF(입력란!$C$30=3,22,0))))/100-1))</f>
        <v>1338566.2676546725</v>
      </c>
      <c r="K99" s="21"/>
      <c r="L99" s="21"/>
      <c r="M99" s="21"/>
      <c r="N99" s="21"/>
      <c r="O99" s="21"/>
      <c r="P99" s="21"/>
      <c r="Q99" s="105"/>
      <c r="R99" s="19">
        <f>SUM(S99:Z99)</f>
        <v>543130.91143321292</v>
      </c>
      <c r="S99" s="21">
        <f>AN99*IF(입력란!$C$12=0,1,IF(입력란!$C$12=1,1.35,IF(입력란!$C$12=2,1.55,IF(입력란!$C$12=3,1.75,1))))*IF(MID(E99,1,1)="3",트라이포드!$H$9,트라이포드!$G$9)*IF(MID(E99,3,1)="3",트라이포드!$N$9,트라이포드!$M$9)*IF(MID(E99,5,1)="1",트라이포드!$P$9,IF(MID(E99,5,1)="2",트라이포드!$R$9,트라이포드!$O$9))</f>
        <v>543130.91143321292</v>
      </c>
      <c r="T99" s="21"/>
      <c r="U99" s="21"/>
      <c r="V99" s="21"/>
      <c r="W99" s="21"/>
      <c r="X99" s="21"/>
      <c r="Y99" s="21"/>
      <c r="Z99" s="20"/>
      <c r="AA99" s="21">
        <f>SUM(AB99:AI99)</f>
        <v>1086261.8228664258</v>
      </c>
      <c r="AB99" s="21">
        <f>S99*2</f>
        <v>1086261.8228664258</v>
      </c>
      <c r="AC99" s="21"/>
      <c r="AD99" s="21"/>
      <c r="AE99" s="21"/>
      <c r="AF99" s="21"/>
      <c r="AG99" s="21"/>
      <c r="AH99" s="21"/>
      <c r="AI99" s="20"/>
      <c r="AJ99" s="21">
        <f>AQ99*(1-입력란!$P$10/100)</f>
        <v>19.759553438399998</v>
      </c>
      <c r="AK9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99" s="21">
        <f>입력란!$P$24+입력란!$P$16+IF(입력란!$C$18=1,10,IF(입력란!$C$18=2,25,IF(입력란!$C$18=3,50,0)))+IF(입력란!$C$23&lt;&gt;0,-12)</f>
        <v>380.66103559999999</v>
      </c>
      <c r="AM99" s="21">
        <f>SUM(AN99:AP99)</f>
        <v>282880.68303813174</v>
      </c>
      <c r="AN99" s="21">
        <f>(VLOOKUP(C99,$B$4:$AJ$7,7,FALSE)+VLOOKUP(C99,$B$8:$AJ$11,7,FALSE)*입력란!$P$4)*입력란!$P$25/100</f>
        <v>282880.68303813174</v>
      </c>
      <c r="AO99" s="21"/>
      <c r="AP99" s="21"/>
      <c r="AQ99" s="22">
        <v>20</v>
      </c>
    </row>
    <row r="100" spans="2:43" ht="13.5" customHeight="1" x14ac:dyDescent="0.55000000000000004">
      <c r="B100" s="66">
        <v>85</v>
      </c>
      <c r="C100" s="29">
        <v>10</v>
      </c>
      <c r="D100" s="30" t="s">
        <v>133</v>
      </c>
      <c r="E100" s="27" t="s">
        <v>134</v>
      </c>
      <c r="F100" s="29" t="s">
        <v>362</v>
      </c>
      <c r="G100" s="29"/>
      <c r="H100" s="36">
        <f>I100/AJ100</f>
        <v>107616.96166382321</v>
      </c>
      <c r="I100" s="37">
        <f>SUM(J100:Q100)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2126463.1048745587</v>
      </c>
      <c r="J100" s="21">
        <f>S100*(1+IF($AK100+IF(입력란!$C$26=1,10,0)+IF(MID(E100,3,1)="2",IF(MID(E100,1,1)="3",0,트라이포드!L$9),0)&gt;100,100,$AK100+IF(입력란!$C$26=1,10,0)+IF(MID(E100,3,1)="2",IF(MID(E100,1,1)="3",0,트라이포드!L$9),0))/100*(($AL100+IF(입력란!$C$30=1,17,IF(입력란!$C$30=2,20,IF(입력란!$C$30=3,22,0))))/100-1))</f>
        <v>1505887.0511115068</v>
      </c>
      <c r="K100" s="21"/>
      <c r="L100" s="21"/>
      <c r="M100" s="21"/>
      <c r="N100" s="21"/>
      <c r="O100" s="21"/>
      <c r="P100" s="21"/>
      <c r="Q100" s="105"/>
      <c r="R100" s="19">
        <f>SUM(S100:Z100)</f>
        <v>611022.2753623646</v>
      </c>
      <c r="S100" s="21">
        <f>AN100*IF(입력란!$C$12=0,1,IF(입력란!$C$12=1,1.35,IF(입력란!$C$12=2,1.55,IF(입력란!$C$12=3,1.75,1))))*IF(MID(E100,1,1)="3",트라이포드!$H$9,트라이포드!$G$9)*IF(MID(E100,3,1)="3",트라이포드!$N$9,트라이포드!$M$9)*IF(MID(E100,5,1)="1",트라이포드!$P$9,IF(MID(E100,5,1)="2",트라이포드!$R$9,트라이포드!$O$9))</f>
        <v>611022.2753623646</v>
      </c>
      <c r="T100" s="21"/>
      <c r="U100" s="21"/>
      <c r="V100" s="21"/>
      <c r="W100" s="21"/>
      <c r="X100" s="21"/>
      <c r="Y100" s="21"/>
      <c r="Z100" s="20"/>
      <c r="AA100" s="21">
        <f>SUM(AB100:AI100)</f>
        <v>1222044.5507247292</v>
      </c>
      <c r="AB100" s="21">
        <f>S100*2</f>
        <v>1222044.5507247292</v>
      </c>
      <c r="AC100" s="21"/>
      <c r="AD100" s="21"/>
      <c r="AE100" s="21"/>
      <c r="AF100" s="21"/>
      <c r="AG100" s="21"/>
      <c r="AH100" s="21"/>
      <c r="AI100" s="20"/>
      <c r="AJ100" s="21">
        <f>AQ100*(1-입력란!$P$10/100)</f>
        <v>19.759553438399998</v>
      </c>
      <c r="AK10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0" s="21">
        <f>입력란!$P$24+입력란!$P$16+IF(입력란!$C$18=1,10,IF(입력란!$C$18=2,25,IF(입력란!$C$18=3,50,0)))+IF(입력란!$C$23&lt;&gt;0,-12)</f>
        <v>380.66103559999999</v>
      </c>
      <c r="AM100" s="21">
        <f>SUM(AN100:AP100)</f>
        <v>282880.68303813174</v>
      </c>
      <c r="AN100" s="21">
        <f>(VLOOKUP(C100,$B$4:$AJ$7,7,FALSE)+VLOOKUP(C100,$B$8:$AJ$11,7,FALSE)*입력란!$P$4)*입력란!$P$25/100</f>
        <v>282880.68303813174</v>
      </c>
      <c r="AO100" s="21"/>
      <c r="AP100" s="21"/>
      <c r="AQ100" s="22">
        <v>20</v>
      </c>
    </row>
    <row r="101" spans="2:43" ht="13.5" customHeight="1" x14ac:dyDescent="0.55000000000000004">
      <c r="B101" s="66">
        <v>86</v>
      </c>
      <c r="C101" s="29">
        <v>10</v>
      </c>
      <c r="D101" s="30" t="s">
        <v>133</v>
      </c>
      <c r="E101" s="27" t="s">
        <v>135</v>
      </c>
      <c r="F101" s="29" t="s">
        <v>362</v>
      </c>
      <c r="G101" s="29"/>
      <c r="H101" s="36">
        <f>I101/AJ101</f>
        <v>95659.52147895396</v>
      </c>
      <c r="I101" s="37">
        <f>SUM(J101:Q101)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1890189.4265551632</v>
      </c>
      <c r="J101" s="21">
        <f>S101*(1+IF($AK101+IF(입력란!$C$26=1,10,0)+IF(MID(E101,3,1)="2",IF(MID(E101,1,1)="3",0,트라이포드!L$9),0)&gt;100,100,$AK101+IF(입력란!$C$26=1,10,0)+IF(MID(E101,3,1)="2",IF(MID(E101,1,1)="3",0,트라이포드!L$9),0))/100*(($AL101+IF(입력란!$C$30=1,17,IF(입력란!$C$30=2,20,IF(입력란!$C$30=3,22,0))))/100-1))</f>
        <v>1338566.2676546725</v>
      </c>
      <c r="K101" s="21"/>
      <c r="L101" s="21"/>
      <c r="M101" s="21"/>
      <c r="N101" s="21"/>
      <c r="O101" s="21"/>
      <c r="P101" s="21"/>
      <c r="Q101" s="105"/>
      <c r="R101" s="19">
        <f>SUM(S101:Z101)</f>
        <v>543130.91143321292</v>
      </c>
      <c r="S101" s="21">
        <f>AN101*IF(입력란!$C$12=0,1,IF(입력란!$C$12=1,1.35,IF(입력란!$C$12=2,1.55,IF(입력란!$C$12=3,1.75,1))))*IF(MID(E101,1,1)="3",트라이포드!$H$9,트라이포드!$G$9)*IF(MID(E101,3,1)="3",트라이포드!$N$9,트라이포드!$M$9)*IF(MID(E101,5,1)="1",트라이포드!$P$9,IF(MID(E101,5,1)="2",트라이포드!$R$9,트라이포드!$O$9))</f>
        <v>543130.91143321292</v>
      </c>
      <c r="T101" s="21"/>
      <c r="U101" s="21"/>
      <c r="V101" s="21"/>
      <c r="W101" s="21"/>
      <c r="X101" s="21"/>
      <c r="Y101" s="21"/>
      <c r="Z101" s="20"/>
      <c r="AA101" s="21">
        <f>SUM(AB101:AI101)</f>
        <v>1086261.8228664258</v>
      </c>
      <c r="AB101" s="21">
        <f>S101*2</f>
        <v>1086261.8228664258</v>
      </c>
      <c r="AC101" s="21"/>
      <c r="AD101" s="21"/>
      <c r="AE101" s="21"/>
      <c r="AF101" s="21"/>
      <c r="AG101" s="21"/>
      <c r="AH101" s="21"/>
      <c r="AI101" s="20"/>
      <c r="AJ101" s="21">
        <f>AQ101*(1-입력란!$P$10/100)</f>
        <v>19.759553438399998</v>
      </c>
      <c r="AK10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1" s="21">
        <f>입력란!$P$24+입력란!$P$16+IF(입력란!$C$18=1,10,IF(입력란!$C$18=2,25,IF(입력란!$C$18=3,50,0)))+IF(입력란!$C$23&lt;&gt;0,-12)</f>
        <v>380.66103559999999</v>
      </c>
      <c r="AM101" s="21">
        <f>SUM(AN101:AP101)</f>
        <v>282880.68303813174</v>
      </c>
      <c r="AN101" s="21">
        <f>(VLOOKUP(C101,$B$4:$AJ$7,7,FALSE)+VLOOKUP(C101,$B$8:$AJ$11,7,FALSE)*입력란!$P$4)*입력란!$P$25/100</f>
        <v>282880.68303813174</v>
      </c>
      <c r="AO101" s="21"/>
      <c r="AP101" s="21"/>
      <c r="AQ101" s="22">
        <v>20</v>
      </c>
    </row>
    <row r="102" spans="2:43" ht="13.5" customHeight="1" x14ac:dyDescent="0.55000000000000004">
      <c r="B102" s="66">
        <v>87</v>
      </c>
      <c r="C102" s="29">
        <v>10</v>
      </c>
      <c r="D102" s="30" t="s">
        <v>133</v>
      </c>
      <c r="E102" s="27" t="s">
        <v>116</v>
      </c>
      <c r="F102" s="29" t="s">
        <v>136</v>
      </c>
      <c r="G102" s="29"/>
      <c r="H102" s="36">
        <f>I102/AJ102</f>
        <v>133445.03246314076</v>
      </c>
      <c r="I102" s="37">
        <f>SUM(J102:Q102)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2636814.2500444525</v>
      </c>
      <c r="J102" s="21">
        <f>S102*(1+IF($AK102+IF(입력란!$C$26=1,10,0)+IF(MID(E102,3,1)="2",IF(MID(E102,1,1)="3",0,트라이포드!L$9),0)&gt;100,100,$AK102+IF(입력란!$C$26=1,10,0)+IF(MID(E102,3,1)="2",IF(MID(E102,1,1)="3",0,트라이포드!L$9),0))/100*(($AL102+IF(입력란!$C$30=1,17,IF(입력란!$C$30=2,20,IF(입력란!$C$30=3,22,0))))/100-1))</f>
        <v>1867299.943378268</v>
      </c>
      <c r="K102" s="21"/>
      <c r="L102" s="21"/>
      <c r="M102" s="21"/>
      <c r="N102" s="21"/>
      <c r="O102" s="21"/>
      <c r="P102" s="21"/>
      <c r="Q102" s="105"/>
      <c r="R102" s="19">
        <f>SUM(S102:Z102)</f>
        <v>757667.62144933199</v>
      </c>
      <c r="S102" s="21">
        <f>AN102*IF(입력란!$C$12=0,1,IF(입력란!$C$12=1,1.35,IF(입력란!$C$12=2,1.55,IF(입력란!$C$12=3,1.75,1))))*IF(MID(E102,1,1)="3",트라이포드!$H$9,트라이포드!$G$9)*IF(MID(E102,3,1)="3",트라이포드!$N$9,트라이포드!$M$9)*IF(MID(E102,5,1)="1",트라이포드!$P$9,IF(MID(E102,5,1)="2",트라이포드!$R$9,트라이포드!$O$9))</f>
        <v>757667.62144933199</v>
      </c>
      <c r="T102" s="21"/>
      <c r="U102" s="21"/>
      <c r="V102" s="21"/>
      <c r="W102" s="21"/>
      <c r="X102" s="21"/>
      <c r="Y102" s="21"/>
      <c r="Z102" s="20"/>
      <c r="AA102" s="21">
        <f>SUM(AB102:AI102)</f>
        <v>1515335.242898664</v>
      </c>
      <c r="AB102" s="21">
        <f>S102*2</f>
        <v>1515335.242898664</v>
      </c>
      <c r="AC102" s="21"/>
      <c r="AD102" s="21"/>
      <c r="AE102" s="21"/>
      <c r="AF102" s="21"/>
      <c r="AG102" s="21"/>
      <c r="AH102" s="21"/>
      <c r="AI102" s="20"/>
      <c r="AJ102" s="21">
        <f>AQ102*(1-입력란!$P$10/100)</f>
        <v>19.759553438399998</v>
      </c>
      <c r="AK10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2" s="21">
        <f>입력란!$P$24+입력란!$P$16+IF(입력란!$C$18=1,10,IF(입력란!$C$18=2,25,IF(입력란!$C$18=3,50,0)))+IF(입력란!$C$23&lt;&gt;0,-12)</f>
        <v>380.66103559999999</v>
      </c>
      <c r="AM102" s="21">
        <f>SUM(AN102:AP102)</f>
        <v>282880.68303813174</v>
      </c>
      <c r="AN102" s="21">
        <f>(VLOOKUP(C102,$B$4:$AJ$7,7,FALSE)+VLOOKUP(C102,$B$8:$AJ$11,7,FALSE)*입력란!$P$4)*입력란!$P$25/100</f>
        <v>282880.68303813174</v>
      </c>
      <c r="AO102" s="21"/>
      <c r="AP102" s="21"/>
      <c r="AQ102" s="22">
        <v>20</v>
      </c>
    </row>
    <row r="103" spans="2:43" ht="13.5" customHeight="1" x14ac:dyDescent="0.55000000000000004">
      <c r="B103" s="66">
        <v>88</v>
      </c>
      <c r="C103" s="29">
        <v>10</v>
      </c>
      <c r="D103" s="30" t="s">
        <v>133</v>
      </c>
      <c r="E103" s="27" t="s">
        <v>117</v>
      </c>
      <c r="F103" s="29" t="s">
        <v>136</v>
      </c>
      <c r="G103" s="29"/>
      <c r="H103" s="36">
        <f>I103/AJ103</f>
        <v>118617.80663390293</v>
      </c>
      <c r="I103" s="37">
        <f>SUM(J103:Q103)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2343834.8889284027</v>
      </c>
      <c r="J103" s="21">
        <f>S103*(1+IF($AK103+IF(입력란!$C$26=1,10,0)+IF(MID(E103,3,1)="2",IF(MID(E103,1,1)="3",0,트라이포드!L$9),0)&gt;100,100,$AK103+IF(입력란!$C$26=1,10,0)+IF(MID(E103,3,1)="2",IF(MID(E103,1,1)="3",0,트라이포드!L$9),0))/100*(($AL103+IF(입력란!$C$30=1,17,IF(입력란!$C$30=2,20,IF(입력란!$C$30=3,22,0))))/100-1))</f>
        <v>1659822.1718917941</v>
      </c>
      <c r="K103" s="21"/>
      <c r="L103" s="21"/>
      <c r="M103" s="21"/>
      <c r="N103" s="21"/>
      <c r="O103" s="21"/>
      <c r="P103" s="21"/>
      <c r="Q103" s="105"/>
      <c r="R103" s="19">
        <f>SUM(S103:Z103)</f>
        <v>673482.33017718408</v>
      </c>
      <c r="S103" s="21">
        <f>AN103*IF(입력란!$C$12=0,1,IF(입력란!$C$12=1,1.35,IF(입력란!$C$12=2,1.55,IF(입력란!$C$12=3,1.75,1))))*IF(MID(E103,1,1)="3",트라이포드!$H$9,트라이포드!$G$9)*IF(MID(E103,3,1)="3",트라이포드!$N$9,트라이포드!$M$9)*IF(MID(E103,5,1)="1",트라이포드!$P$9,IF(MID(E103,5,1)="2",트라이포드!$R$9,트라이포드!$O$9))</f>
        <v>673482.33017718408</v>
      </c>
      <c r="T103" s="21"/>
      <c r="U103" s="21"/>
      <c r="V103" s="21"/>
      <c r="W103" s="21"/>
      <c r="X103" s="21"/>
      <c r="Y103" s="21"/>
      <c r="Z103" s="20"/>
      <c r="AA103" s="21">
        <f>SUM(AB103:AI103)</f>
        <v>1346964.6603543682</v>
      </c>
      <c r="AB103" s="21">
        <f>S103*2</f>
        <v>1346964.6603543682</v>
      </c>
      <c r="AC103" s="21"/>
      <c r="AD103" s="21"/>
      <c r="AE103" s="21"/>
      <c r="AF103" s="21"/>
      <c r="AG103" s="21"/>
      <c r="AH103" s="21"/>
      <c r="AI103" s="20"/>
      <c r="AJ103" s="21">
        <f>AQ103*(1-입력란!$P$10/100)</f>
        <v>19.759553438399998</v>
      </c>
      <c r="AK10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3" s="21">
        <f>입력란!$P$24+입력란!$P$16+IF(입력란!$C$18=1,10,IF(입력란!$C$18=2,25,IF(입력란!$C$18=3,50,0)))+IF(입력란!$C$23&lt;&gt;0,-12)</f>
        <v>380.66103559999999</v>
      </c>
      <c r="AM103" s="21">
        <f>SUM(AN103:AP103)</f>
        <v>282880.68303813174</v>
      </c>
      <c r="AN103" s="21">
        <f>(VLOOKUP(C103,$B$4:$AJ$7,7,FALSE)+VLOOKUP(C103,$B$8:$AJ$11,7,FALSE)*입력란!$P$4)*입력란!$P$25/100</f>
        <v>282880.68303813174</v>
      </c>
      <c r="AO103" s="21"/>
      <c r="AP103" s="21"/>
      <c r="AQ103" s="22">
        <v>20</v>
      </c>
    </row>
    <row r="104" spans="2:43" ht="13.5" customHeight="1" x14ac:dyDescent="0.55000000000000004">
      <c r="B104" s="66">
        <v>89</v>
      </c>
      <c r="C104" s="29">
        <v>1</v>
      </c>
      <c r="D104" s="30" t="s">
        <v>138</v>
      </c>
      <c r="E104" s="27" t="s">
        <v>94</v>
      </c>
      <c r="F104" s="29"/>
      <c r="G104" s="29"/>
      <c r="H104" s="36">
        <f>I104/AJ104</f>
        <v>30550.247186836281</v>
      </c>
      <c r="I104" s="37">
        <f>SUM(J104:Q104)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271646.65883007931</v>
      </c>
      <c r="J104" s="21">
        <f>S104*(1+IF($AK104+IF(입력란!$C$26=1,10,0)+IF(MID(E104,3,1)="2",트라이포드!L$10,0)&gt;100,100,$AK104+IF(입력란!$C$26=1,10,0)+IF(MID(E104,3,1)="2",트라이포드!L$10,0))/100*(($AL104+IF(입력란!$C$30=1,17,IF(입력란!$C$30=2,20,IF(입력란!$C$30=3,22,0))))/100-1))</f>
        <v>192370.69529783959</v>
      </c>
      <c r="K104" s="21"/>
      <c r="L104" s="21"/>
      <c r="M104" s="21"/>
      <c r="N104" s="21"/>
      <c r="O104" s="21"/>
      <c r="P104" s="21"/>
      <c r="Q104" s="105">
        <f>Z104*(1+IF($AK104+IF(입력란!$C$26=1,10,0)&gt;100,100,$AK104+IF(입력란!$C$26=1,10,0))/100*(($AL104+IF(입력란!$C$30=1,17,IF(입력란!$C$30=2,20,IF(입력란!$C$30=3,22,0))))/100-1))</f>
        <v>0</v>
      </c>
      <c r="R104" s="19">
        <f>SUM(S104:Z104)</f>
        <v>78055.508789432017</v>
      </c>
      <c r="S104" s="21">
        <f>AN104*IF(입력란!$C$12=0,1,IF(입력란!$C$12=1,1.35,IF(입력란!$C$12=2,1.55,IF(입력란!$C$12=3,1.75,1))))*IF(MID(E104,5,1)="1",트라이포드!$P$10,트라이포드!$O$10)</f>
        <v>78055.508789432017</v>
      </c>
      <c r="T104" s="21"/>
      <c r="U104" s="21"/>
      <c r="V104" s="21"/>
      <c r="W104" s="21"/>
      <c r="X104" s="21"/>
      <c r="Y104" s="21"/>
      <c r="Z104" s="20">
        <f>AN104*IF(입력란!$C$12=0,1,IF(입력란!$C$12=1,1.35,IF(입력란!$C$12=2,1.55,IF(입력란!$C$12=3,1.75,1))))*IF(MID(E104,3,1)="1",트라이포드!$J$10,트라이포드!$I$10)</f>
        <v>0</v>
      </c>
      <c r="AA104" s="21">
        <f>SUM(AB104:AI104)</f>
        <v>156111.01757886403</v>
      </c>
      <c r="AB104" s="21">
        <f>S104*2</f>
        <v>156111.01757886403</v>
      </c>
      <c r="AC104" s="21"/>
      <c r="AD104" s="21"/>
      <c r="AE104" s="21"/>
      <c r="AF104" s="21"/>
      <c r="AG104" s="21"/>
      <c r="AH104" s="21"/>
      <c r="AI104" s="20">
        <f>Z104*2</f>
        <v>0</v>
      </c>
      <c r="AJ104" s="21">
        <f>(AQ104-IF(MID(E104,5,1)="2",트라이포드!R$10,0))*(1-입력란!$P$10/100)</f>
        <v>8.8917990472799993</v>
      </c>
      <c r="AK10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4" s="21">
        <f>입력란!$P$24+입력란!$P$16+IF(입력란!$C$18=1,10,IF(입력란!$C$18=2,25,IF(입력란!$C$18=3,50,0)))+IF(입력란!$C$23&lt;&gt;0,-12)</f>
        <v>380.66103559999999</v>
      </c>
      <c r="AM104" s="21">
        <f>SUM(AN104:AP104)</f>
        <v>78055.508789432017</v>
      </c>
      <c r="AN104" s="21">
        <f>(VLOOKUP(C104,$B$4:$AJ$7,8,FALSE)+VLOOKUP(C104,$B$8:$AJ$11,8,FALSE)*입력란!$P$4)*입력란!$P$25/100</f>
        <v>78055.508789432017</v>
      </c>
      <c r="AO104" s="21"/>
      <c r="AP104" s="21"/>
      <c r="AQ104" s="22">
        <v>9</v>
      </c>
    </row>
    <row r="105" spans="2:43" ht="13.5" customHeight="1" x14ac:dyDescent="0.55000000000000004">
      <c r="B105" s="66">
        <v>90</v>
      </c>
      <c r="C105" s="29">
        <v>4</v>
      </c>
      <c r="D105" s="30" t="s">
        <v>138</v>
      </c>
      <c r="E105" s="27" t="s">
        <v>94</v>
      </c>
      <c r="F105" s="29"/>
      <c r="G105" s="29"/>
      <c r="H105" s="36">
        <f>I105/AJ105</f>
        <v>30590.325656126271</v>
      </c>
      <c r="I105" s="37">
        <f>SUM(J105:Q105)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272003.02852512849</v>
      </c>
      <c r="J105" s="21">
        <f>S105*(1+IF($AK105+IF(입력란!$C$26=1,10,0)+IF(MID(E105,3,1)="2",트라이포드!L$10,0)&gt;100,100,$AK105+IF(입력란!$C$26=1,10,0)+IF(MID(E105,3,1)="2",트라이포드!L$10,0))/100*(($AL105+IF(입력란!$C$30=1,17,IF(입력란!$C$30=2,20,IF(입력란!$C$30=3,22,0))))/100-1))</f>
        <v>192623.06389429109</v>
      </c>
      <c r="K105" s="21"/>
      <c r="L105" s="21"/>
      <c r="M105" s="21"/>
      <c r="N105" s="21"/>
      <c r="O105" s="21"/>
      <c r="P105" s="21"/>
      <c r="Q105" s="105">
        <f>Z105*(1+IF($AK105+IF(입력란!$C$26=1,10,0)&gt;100,100,$AK105+IF(입력란!$C$26=1,10,0))/100*(($AL105+IF(입력란!$C$30=1,17,IF(입력란!$C$30=2,20,IF(입력란!$C$30=3,22,0))))/100-1))</f>
        <v>0</v>
      </c>
      <c r="R105" s="19">
        <f>SUM(S105:Z105)</f>
        <v>78157.908789432011</v>
      </c>
      <c r="S105" s="21">
        <f>AN105*IF(입력란!$C$12=0,1,IF(입력란!$C$12=1,1.35,IF(입력란!$C$12=2,1.55,IF(입력란!$C$12=3,1.75,1))))*IF(MID(E105,5,1)="1",트라이포드!$P$10,트라이포드!$O$10)</f>
        <v>78157.908789432011</v>
      </c>
      <c r="T105" s="21"/>
      <c r="U105" s="21"/>
      <c r="V105" s="21"/>
      <c r="W105" s="21"/>
      <c r="X105" s="21"/>
      <c r="Y105" s="21"/>
      <c r="Z105" s="20">
        <f>AN105*IF(입력란!$C$12=0,1,IF(입력란!$C$12=1,1.35,IF(입력란!$C$12=2,1.55,IF(입력란!$C$12=3,1.75,1))))*IF(MID(E105,3,1)="1",트라이포드!$J$10,트라이포드!$I$10)</f>
        <v>0</v>
      </c>
      <c r="AA105" s="21">
        <f>SUM(AB105:AI105)</f>
        <v>156315.81757886402</v>
      </c>
      <c r="AB105" s="21">
        <f>S105*2</f>
        <v>156315.81757886402</v>
      </c>
      <c r="AC105" s="21"/>
      <c r="AD105" s="21"/>
      <c r="AE105" s="21"/>
      <c r="AF105" s="21"/>
      <c r="AG105" s="21"/>
      <c r="AH105" s="21"/>
      <c r="AI105" s="20">
        <f>Z105*2</f>
        <v>0</v>
      </c>
      <c r="AJ105" s="21">
        <f>(AQ105-IF(MID(E105,5,1)="2",트라이포드!R$10,0))*(1-입력란!$P$10/100)</f>
        <v>8.8917990472799993</v>
      </c>
      <c r="AK10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5" s="21">
        <f>입력란!$P$24+입력란!$P$16+IF(입력란!$C$18=1,10,IF(입력란!$C$18=2,25,IF(입력란!$C$18=3,50,0)))+IF(입력란!$C$23&lt;&gt;0,-12)</f>
        <v>380.66103559999999</v>
      </c>
      <c r="AM105" s="21">
        <f>SUM(AN105:AP105)</f>
        <v>78157.908789432011</v>
      </c>
      <c r="AN105" s="21">
        <f>(VLOOKUP(C105,$B$4:$AJ$7,8,FALSE)+VLOOKUP(C105,$B$8:$AJ$11,8,FALSE)*입력란!$P$4)*입력란!$P$25/100</f>
        <v>78157.908789432011</v>
      </c>
      <c r="AO105" s="21"/>
      <c r="AP105" s="21"/>
      <c r="AQ105" s="22">
        <v>9</v>
      </c>
    </row>
    <row r="106" spans="2:43" ht="13.5" customHeight="1" x14ac:dyDescent="0.55000000000000004">
      <c r="B106" s="66">
        <v>91</v>
      </c>
      <c r="C106" s="29">
        <v>7</v>
      </c>
      <c r="D106" s="30" t="s">
        <v>138</v>
      </c>
      <c r="E106" s="27" t="s">
        <v>337</v>
      </c>
      <c r="F106" s="29" t="s">
        <v>346</v>
      </c>
      <c r="G106" s="29"/>
      <c r="H106" s="36">
        <f>I106/AJ106</f>
        <v>48977.856285094538</v>
      </c>
      <c r="I106" s="37">
        <f>SUM(J106:Q106)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435501.25585362036</v>
      </c>
      <c r="J106" s="21">
        <f>S106*(1+IF($AK106+IF(입력란!$C$26=1,10,0)+IF(MID(E106,3,1)="2",트라이포드!L$10,0)&gt;100,100,$AK106+IF(입력란!$C$26=1,10,0)+IF(MID(E106,3,1)="2",트라이포드!L$10,0))/100*(($AL106+IF(입력란!$C$30=1,17,IF(입력란!$C$30=2,20,IF(입력란!$C$30=3,22,0))))/100-1))</f>
        <v>192754.25600772799</v>
      </c>
      <c r="K106" s="21"/>
      <c r="L106" s="21"/>
      <c r="M106" s="21"/>
      <c r="N106" s="21"/>
      <c r="O106" s="21"/>
      <c r="P106" s="21"/>
      <c r="Q106" s="105">
        <f>Z106*(1+IF($AK106+IF(입력란!$C$26=1,10,0)&gt;100,100,$AK106+IF(입력란!$C$26=1,10,0))/100*(($AL106+IF(입력란!$C$30=1,17,IF(입력란!$C$30=2,20,IF(입력란!$C$30=3,22,0))))/100-1))</f>
        <v>115652.55360463679</v>
      </c>
      <c r="R106" s="19">
        <f>SUM(S106:Z106)</f>
        <v>125137.82518250833</v>
      </c>
      <c r="S106" s="21">
        <f>AN106*IF(입력란!$C$12=0,1,IF(입력란!$C$12=1,1.35,IF(입력란!$C$12=2,1.55,IF(입력란!$C$12=3,1.75,1))))*IF(MID(E106,5,1)="1",트라이포드!$P$10,트라이포드!$O$10)</f>
        <v>78211.140739067705</v>
      </c>
      <c r="T106" s="21"/>
      <c r="U106" s="21"/>
      <c r="V106" s="21"/>
      <c r="W106" s="21"/>
      <c r="X106" s="21"/>
      <c r="Y106" s="21"/>
      <c r="Z106" s="20">
        <f>AN106*IF(입력란!$C$12=0,1,IF(입력란!$C$12=1,1.35,IF(입력란!$C$12=2,1.55,IF(입력란!$C$12=3,1.75,1))))*IF(MID(E106,3,1)="1",트라이포드!$J$10,트라이포드!$I$10)</f>
        <v>46926.684443440623</v>
      </c>
      <c r="AA106" s="21">
        <f>SUM(AB106:AI106)</f>
        <v>250275.65036501666</v>
      </c>
      <c r="AB106" s="21">
        <f>S106*2</f>
        <v>156422.28147813541</v>
      </c>
      <c r="AC106" s="21"/>
      <c r="AD106" s="21"/>
      <c r="AE106" s="21"/>
      <c r="AF106" s="21"/>
      <c r="AG106" s="21"/>
      <c r="AH106" s="21"/>
      <c r="AI106" s="20">
        <f>Z106*2</f>
        <v>93853.368886881246</v>
      </c>
      <c r="AJ106" s="21">
        <f>(AQ106-IF(MID(E106,5,1)="2",트라이포드!R$10,0))*(1-입력란!$P$10/100)</f>
        <v>8.8917990472799993</v>
      </c>
      <c r="AK10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6" s="21">
        <f>입력란!$P$24+입력란!$P$16+IF(입력란!$C$18=1,10,IF(입력란!$C$18=2,25,IF(입력란!$C$18=3,50,0)))+IF(입력란!$C$23&lt;&gt;0,-12)</f>
        <v>380.66103559999999</v>
      </c>
      <c r="AM106" s="21">
        <f>SUM(AN106:AP106)</f>
        <v>78211.140739067705</v>
      </c>
      <c r="AN106" s="21">
        <f>(VLOOKUP(C106,$B$4:$AJ$7,8,FALSE)+VLOOKUP(C106,$B$8:$AJ$11,8,FALSE)*입력란!$P$4)*입력란!$P$25/100</f>
        <v>78211.140739067705</v>
      </c>
      <c r="AO106" s="21"/>
      <c r="AP106" s="21"/>
      <c r="AQ106" s="22">
        <v>9</v>
      </c>
    </row>
    <row r="107" spans="2:43" ht="13.5" customHeight="1" x14ac:dyDescent="0.55000000000000004">
      <c r="B107" s="66">
        <v>92</v>
      </c>
      <c r="C107" s="29">
        <v>7</v>
      </c>
      <c r="D107" s="30" t="s">
        <v>138</v>
      </c>
      <c r="E107" s="27" t="s">
        <v>336</v>
      </c>
      <c r="F107" s="29"/>
      <c r="G107" s="29"/>
      <c r="H107" s="36">
        <f>I107/AJ107</f>
        <v>30611.160178184087</v>
      </c>
      <c r="I107" s="37">
        <f>SUM(J107:Q107)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272188.28490851272</v>
      </c>
      <c r="J107" s="21">
        <f>S107*(1+IF($AK107+IF(입력란!$C$26=1,10,0)+IF(MID(E107,3,1)="2",트라이포드!L$10,0)&gt;100,100,$AK107+IF(입력란!$C$26=1,10,0)+IF(MID(E107,3,1)="2",트라이포드!L$10,0))/100*(($AL107+IF(입력란!$C$30=1,17,IF(입력란!$C$30=2,20,IF(입력란!$C$30=3,22,0))))/100-1))</f>
        <v>192754.25600772799</v>
      </c>
      <c r="K107" s="21"/>
      <c r="L107" s="21"/>
      <c r="M107" s="21"/>
      <c r="N107" s="21"/>
      <c r="O107" s="21"/>
      <c r="P107" s="21"/>
      <c r="Q107" s="105">
        <f>Z107*(1+IF($AK107+IF(입력란!$C$26=1,10,0)&gt;100,100,$AK107+IF(입력란!$C$26=1,10,0))/100*(($AL107+IF(입력란!$C$30=1,17,IF(입력란!$C$30=2,20,IF(입력란!$C$30=3,22,0))))/100-1))</f>
        <v>0</v>
      </c>
      <c r="R107" s="19">
        <f>SUM(S107:Z107)</f>
        <v>78211.140739067705</v>
      </c>
      <c r="S107" s="21">
        <f>AN107*IF(입력란!$C$12=0,1,IF(입력란!$C$12=1,1.35,IF(입력란!$C$12=2,1.55,IF(입력란!$C$12=3,1.75,1))))*IF(MID(E107,5,1)="1",트라이포드!$P$10,트라이포드!$O$10)</f>
        <v>78211.140739067705</v>
      </c>
      <c r="T107" s="21"/>
      <c r="U107" s="21"/>
      <c r="V107" s="21"/>
      <c r="W107" s="21"/>
      <c r="X107" s="21"/>
      <c r="Y107" s="21"/>
      <c r="Z107" s="20">
        <f>AN107*IF(입력란!$C$12=0,1,IF(입력란!$C$12=1,1.35,IF(입력란!$C$12=2,1.55,IF(입력란!$C$12=3,1.75,1))))*IF(MID(E107,3,1)="1",트라이포드!$J$10,트라이포드!$I$10)</f>
        <v>0</v>
      </c>
      <c r="AA107" s="21">
        <f>SUM(AB107:AI107)</f>
        <v>156422.28147813541</v>
      </c>
      <c r="AB107" s="21">
        <f>S107*2</f>
        <v>156422.28147813541</v>
      </c>
      <c r="AC107" s="21"/>
      <c r="AD107" s="21"/>
      <c r="AE107" s="21"/>
      <c r="AF107" s="21"/>
      <c r="AG107" s="21"/>
      <c r="AH107" s="21"/>
      <c r="AI107" s="20">
        <f>Z107*2</f>
        <v>0</v>
      </c>
      <c r="AJ107" s="21">
        <f>(AQ107-IF(MID(E107,5,1)="2",트라이포드!R$10,0))*(1-입력란!$P$10/100)</f>
        <v>8.8917990472799993</v>
      </c>
      <c r="AK10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7" s="21">
        <f>입력란!$P$24+입력란!$P$16+IF(입력란!$C$18=1,10,IF(입력란!$C$18=2,25,IF(입력란!$C$18=3,50,0)))+IF(입력란!$C$23&lt;&gt;0,-12)</f>
        <v>380.66103559999999</v>
      </c>
      <c r="AM107" s="21">
        <f>SUM(AN107:AP107)</f>
        <v>78211.140739067705</v>
      </c>
      <c r="AN107" s="21">
        <f>(VLOOKUP(C107,$B$4:$AJ$7,8,FALSE)+VLOOKUP(C107,$B$8:$AJ$11,8,FALSE)*입력란!$P$4)*입력란!$P$25/100</f>
        <v>78211.140739067705</v>
      </c>
      <c r="AO107" s="21"/>
      <c r="AP107" s="21"/>
      <c r="AQ107" s="22">
        <v>9</v>
      </c>
    </row>
    <row r="108" spans="2:43" ht="13.5" customHeight="1" x14ac:dyDescent="0.55000000000000004">
      <c r="B108" s="66">
        <v>93</v>
      </c>
      <c r="C108" s="29">
        <v>7</v>
      </c>
      <c r="D108" s="30" t="s">
        <v>138</v>
      </c>
      <c r="E108" s="27" t="s">
        <v>97</v>
      </c>
      <c r="F108" s="29"/>
      <c r="G108" s="29"/>
      <c r="H108" s="36">
        <f>I108/AJ108</f>
        <v>47280.586905594479</v>
      </c>
      <c r="I108" s="37">
        <f>SUM(J108:Q108)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420409.47760200419</v>
      </c>
      <c r="J108" s="21">
        <f>S108*(1+IF($AK108+IF(입력란!$C$26=1,10,0)+IF(MID(E108,3,1)="2",트라이포드!L$10,0)&gt;100,100,$AK108+IF(입력란!$C$26=1,10,0)+IF(MID(E108,3,1)="2",트라이포드!L$10,0))/100*(($AL108+IF(입력란!$C$30=1,17,IF(입력란!$C$30=2,20,IF(입력란!$C$30=3,22,0))))/100-1))</f>
        <v>297719.33829190861</v>
      </c>
      <c r="K108" s="21"/>
      <c r="L108" s="21"/>
      <c r="M108" s="21"/>
      <c r="N108" s="21"/>
      <c r="O108" s="21"/>
      <c r="P108" s="21"/>
      <c r="Q108" s="105">
        <f>Z108*(1+IF($AK108+IF(입력란!$C$26=1,10,0)&gt;100,100,$AK108+IF(입력란!$C$26=1,10,0))/100*(($AL108+IF(입력란!$C$30=1,17,IF(입력란!$C$30=2,20,IF(입력란!$C$30=3,22,0))))/100-1))</f>
        <v>0</v>
      </c>
      <c r="R108" s="19">
        <f>SUM(S108:Z108)</f>
        <v>78211.140739067705</v>
      </c>
      <c r="S108" s="21">
        <f>AN108*IF(입력란!$C$12=0,1,IF(입력란!$C$12=1,1.35,IF(입력란!$C$12=2,1.55,IF(입력란!$C$12=3,1.75,1))))*IF(MID(E108,5,1)="1",트라이포드!$P$10,트라이포드!$O$10)</f>
        <v>78211.140739067705</v>
      </c>
      <c r="T108" s="21"/>
      <c r="U108" s="21"/>
      <c r="V108" s="21"/>
      <c r="W108" s="21"/>
      <c r="X108" s="21"/>
      <c r="Y108" s="21"/>
      <c r="Z108" s="20">
        <f>AN108*IF(입력란!$C$12=0,1,IF(입력란!$C$12=1,1.35,IF(입력란!$C$12=2,1.55,IF(입력란!$C$12=3,1.75,1))))*IF(MID(E108,3,1)="1",트라이포드!$J$10,트라이포드!$I$10)</f>
        <v>0</v>
      </c>
      <c r="AA108" s="21">
        <f>SUM(AB108:AI108)</f>
        <v>156422.28147813541</v>
      </c>
      <c r="AB108" s="21">
        <f>S108*2</f>
        <v>156422.28147813541</v>
      </c>
      <c r="AC108" s="21"/>
      <c r="AD108" s="21"/>
      <c r="AE108" s="21"/>
      <c r="AF108" s="21"/>
      <c r="AG108" s="21"/>
      <c r="AH108" s="21"/>
      <c r="AI108" s="20">
        <f>Z108*2</f>
        <v>0</v>
      </c>
      <c r="AJ108" s="21">
        <f>(AQ108-IF(MID(E108,5,1)="2",트라이포드!R$10,0))*(1-입력란!$P$10/100)</f>
        <v>8.8917990472799993</v>
      </c>
      <c r="AK1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8" s="21">
        <f>입력란!$P$24+입력란!$P$16+IF(입력란!$C$18=1,10,IF(입력란!$C$18=2,25,IF(입력란!$C$18=3,50,0)))+IF(입력란!$C$23&lt;&gt;0,-12)</f>
        <v>380.66103559999999</v>
      </c>
      <c r="AM108" s="21">
        <f>SUM(AN108:AP108)</f>
        <v>78211.140739067705</v>
      </c>
      <c r="AN108" s="21">
        <f>(VLOOKUP(C108,$B$4:$AJ$7,8,FALSE)+VLOOKUP(C108,$B$8:$AJ$11,8,FALSE)*입력란!$P$4)*입력란!$P$25/100</f>
        <v>78211.140739067705</v>
      </c>
      <c r="AO108" s="21"/>
      <c r="AP108" s="21"/>
      <c r="AQ108" s="22">
        <v>9</v>
      </c>
    </row>
    <row r="109" spans="2:43" ht="13.5" customHeight="1" x14ac:dyDescent="0.55000000000000004">
      <c r="B109" s="66">
        <v>94</v>
      </c>
      <c r="C109" s="29">
        <v>10</v>
      </c>
      <c r="D109" s="30" t="s">
        <v>138</v>
      </c>
      <c r="E109" s="27" t="s">
        <v>94</v>
      </c>
      <c r="F109" s="29"/>
      <c r="G109" s="29"/>
      <c r="H109" s="36">
        <f>I109/AJ109</f>
        <v>30620.541064614423</v>
      </c>
      <c r="I109" s="37">
        <f>SUM(J109:Q109)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272271.69786553661</v>
      </c>
      <c r="J109" s="21">
        <f>S109*(1+IF($AK109+IF(입력란!$C$26=1,10,0)+IF(MID(E109,3,1)="2",트라이포드!L$10,0)&gt;100,100,$AK109+IF(입력란!$C$26=1,10,0)+IF(MID(E109,3,1)="2",트라이포드!L$10,0))/100*(($AL109+IF(입력란!$C$30=1,17,IF(입력란!$C$30=2,20,IF(입력란!$C$30=3,22,0))))/100-1))</f>
        <v>192813.3261564596</v>
      </c>
      <c r="K109" s="21"/>
      <c r="L109" s="21"/>
      <c r="M109" s="21"/>
      <c r="N109" s="21"/>
      <c r="O109" s="21"/>
      <c r="P109" s="21"/>
      <c r="Q109" s="105">
        <f>Z109*(1+IF($AK109+IF(입력란!$C$26=1,10,0)&gt;100,100,$AK109+IF(입력란!$C$26=1,10,0))/100*(($AL109+IF(입력란!$C$30=1,17,IF(입력란!$C$30=2,20,IF(입력란!$C$30=3,22,0))))/100-1))</f>
        <v>0</v>
      </c>
      <c r="R109" s="19">
        <f>SUM(S109:Z109)</f>
        <v>78235.108789432008</v>
      </c>
      <c r="S109" s="21">
        <f>AN109*IF(입력란!$C$12=0,1,IF(입력란!$C$12=1,1.35,IF(입력란!$C$12=2,1.55,IF(입력란!$C$12=3,1.75,1))))*IF(MID(E109,5,1)="1",트라이포드!$P$10,트라이포드!$O$10)</f>
        <v>78235.108789432008</v>
      </c>
      <c r="T109" s="21"/>
      <c r="U109" s="21"/>
      <c r="V109" s="21"/>
      <c r="W109" s="21"/>
      <c r="X109" s="21"/>
      <c r="Y109" s="21"/>
      <c r="Z109" s="20">
        <f>AN109*IF(입력란!$C$12=0,1,IF(입력란!$C$12=1,1.35,IF(입력란!$C$12=2,1.55,IF(입력란!$C$12=3,1.75,1))))*IF(MID(E109,3,1)="1",트라이포드!$J$10,트라이포드!$I$10)</f>
        <v>0</v>
      </c>
      <c r="AA109" s="21">
        <f>SUM(AB109:AI109)</f>
        <v>156470.21757886402</v>
      </c>
      <c r="AB109" s="21">
        <f>S109*2</f>
        <v>156470.21757886402</v>
      </c>
      <c r="AC109" s="21"/>
      <c r="AD109" s="21"/>
      <c r="AE109" s="21"/>
      <c r="AF109" s="21"/>
      <c r="AG109" s="21"/>
      <c r="AH109" s="21"/>
      <c r="AI109" s="20">
        <f>Z109*2</f>
        <v>0</v>
      </c>
      <c r="AJ109" s="21">
        <f>(AQ109-IF(MID(E109,5,1)="2",트라이포드!R$10,0))*(1-입력란!$P$10/100)</f>
        <v>8.8917990472799993</v>
      </c>
      <c r="AK1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09" s="21">
        <f>입력란!$P$24+입력란!$P$16+IF(입력란!$C$18=1,10,IF(입력란!$C$18=2,25,IF(입력란!$C$18=3,50,0)))+IF(입력란!$C$23&lt;&gt;0,-12)</f>
        <v>380.66103559999999</v>
      </c>
      <c r="AM109" s="21">
        <f>SUM(AN109:AP109)</f>
        <v>78235.108789432008</v>
      </c>
      <c r="AN109" s="21">
        <f>(VLOOKUP(C109,$B$4:$AJ$7,8,FALSE)+VLOOKUP(C109,$B$8:$AJ$11,8,FALSE)*입력란!$P$4)*입력란!$P$25/100</f>
        <v>78235.108789432008</v>
      </c>
      <c r="AO109" s="21"/>
      <c r="AP109" s="21"/>
      <c r="AQ109" s="22">
        <v>9</v>
      </c>
    </row>
    <row r="110" spans="2:43" ht="13.5" customHeight="1" x14ac:dyDescent="0.55000000000000004">
      <c r="B110" s="66">
        <v>95</v>
      </c>
      <c r="C110" s="29">
        <v>10</v>
      </c>
      <c r="D110" s="30" t="s">
        <v>138</v>
      </c>
      <c r="E110" s="27" t="s">
        <v>337</v>
      </c>
      <c r="F110" s="29" t="s">
        <v>346</v>
      </c>
      <c r="G110" s="29"/>
      <c r="H110" s="36">
        <f>I110/AJ110</f>
        <v>48992.865703383075</v>
      </c>
      <c r="I110" s="37">
        <f>SUM(J110:Q110)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435634.7165848586</v>
      </c>
      <c r="J110" s="21">
        <f>S110*(1+IF($AK110+IF(입력란!$C$26=1,10,0)+IF(MID(E110,3,1)="2",트라이포드!L$10,0)&gt;100,100,$AK110+IF(입력란!$C$26=1,10,0)+IF(MID(E110,3,1)="2",트라이포드!L$10,0))/100*(($AL110+IF(입력란!$C$30=1,17,IF(입력란!$C$30=2,20,IF(입력란!$C$30=3,22,0))))/100-1))</f>
        <v>192813.3261564596</v>
      </c>
      <c r="K110" s="21"/>
      <c r="L110" s="21"/>
      <c r="M110" s="21"/>
      <c r="N110" s="21"/>
      <c r="O110" s="21"/>
      <c r="P110" s="21"/>
      <c r="Q110" s="105">
        <f>Z110*(1+IF($AK110+IF(입력란!$C$26=1,10,0)&gt;100,100,$AK110+IF(입력란!$C$26=1,10,0))/100*(($AL110+IF(입력란!$C$30=1,17,IF(입력란!$C$30=2,20,IF(입력란!$C$30=3,22,0))))/100-1))</f>
        <v>115687.99569387577</v>
      </c>
      <c r="R110" s="19">
        <f>SUM(S110:Z110)</f>
        <v>125176.17406309121</v>
      </c>
      <c r="S110" s="21">
        <f>AN110*IF(입력란!$C$12=0,1,IF(입력란!$C$12=1,1.35,IF(입력란!$C$12=2,1.55,IF(입력란!$C$12=3,1.75,1))))*IF(MID(E110,5,1)="1",트라이포드!$P$10,트라이포드!$O$10)</f>
        <v>78235.108789432008</v>
      </c>
      <c r="T110" s="21"/>
      <c r="U110" s="21"/>
      <c r="V110" s="21"/>
      <c r="W110" s="21"/>
      <c r="X110" s="21"/>
      <c r="Y110" s="21"/>
      <c r="Z110" s="20">
        <f>AN110*IF(입력란!$C$12=0,1,IF(입력란!$C$12=1,1.35,IF(입력란!$C$12=2,1.55,IF(입력란!$C$12=3,1.75,1))))*IF(MID(E110,3,1)="1",트라이포드!$J$10,트라이포드!$I$10)</f>
        <v>46941.065273659202</v>
      </c>
      <c r="AA110" s="21">
        <f>SUM(AB110:AI110)</f>
        <v>250352.34812618242</v>
      </c>
      <c r="AB110" s="21">
        <f>S110*2</f>
        <v>156470.21757886402</v>
      </c>
      <c r="AC110" s="21"/>
      <c r="AD110" s="21"/>
      <c r="AE110" s="21"/>
      <c r="AF110" s="21"/>
      <c r="AG110" s="21"/>
      <c r="AH110" s="21"/>
      <c r="AI110" s="20">
        <f>Z110*2</f>
        <v>93882.130547318404</v>
      </c>
      <c r="AJ110" s="21">
        <f>(AQ110-IF(MID(E110,5,1)="2",트라이포드!R$10,0))*(1-입력란!$P$10/100)</f>
        <v>8.8917990472799993</v>
      </c>
      <c r="AK1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0" s="21">
        <f>입력란!$P$24+입력란!$P$16+IF(입력란!$C$18=1,10,IF(입력란!$C$18=2,25,IF(입력란!$C$18=3,50,0)))+IF(입력란!$C$23&lt;&gt;0,-12)</f>
        <v>380.66103559999999</v>
      </c>
      <c r="AM110" s="21">
        <f>SUM(AN110:AP110)</f>
        <v>78235.108789432008</v>
      </c>
      <c r="AN110" s="21">
        <f>(VLOOKUP(C110,$B$4:$AJ$7,8,FALSE)+VLOOKUP(C110,$B$8:$AJ$11,8,FALSE)*입력란!$P$4)*입력란!$P$25/100</f>
        <v>78235.108789432008</v>
      </c>
      <c r="AO110" s="21"/>
      <c r="AP110" s="21"/>
      <c r="AQ110" s="22">
        <v>9</v>
      </c>
    </row>
    <row r="111" spans="2:43" ht="13.5" customHeight="1" x14ac:dyDescent="0.55000000000000004">
      <c r="B111" s="66">
        <v>96</v>
      </c>
      <c r="C111" s="29">
        <v>10</v>
      </c>
      <c r="D111" s="30" t="s">
        <v>138</v>
      </c>
      <c r="E111" s="27" t="s">
        <v>335</v>
      </c>
      <c r="F111" s="29"/>
      <c r="G111" s="29"/>
      <c r="H111" s="36">
        <f>I111/AJ111</f>
        <v>47295.076190337015</v>
      </c>
      <c r="I111" s="37">
        <f>SUM(J111:Q111)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420538.31341027364</v>
      </c>
      <c r="J111" s="21">
        <f>S111*(1+IF($AK111+IF(입력란!$C$26=1,10,0)+IF(MID(E111,3,1)="2",트라이포드!L$10,0)&gt;100,100,$AK111+IF(입력란!$C$26=1,10,0)+IF(MID(E111,3,1)="2",트라이포드!L$10,0))/100*(($AL111+IF(입력란!$C$30=1,17,IF(입력란!$C$30=2,20,IF(입력란!$C$30=3,22,0))))/100-1))</f>
        <v>297810.57532063848</v>
      </c>
      <c r="K111" s="21"/>
      <c r="L111" s="21"/>
      <c r="M111" s="21"/>
      <c r="N111" s="21"/>
      <c r="O111" s="21"/>
      <c r="P111" s="21"/>
      <c r="Q111" s="105">
        <f>Z111*(1+IF($AK111+IF(입력란!$C$26=1,10,0)&gt;100,100,$AK111+IF(입력란!$C$26=1,10,0))/100*(($AL111+IF(입력란!$C$30=1,17,IF(입력란!$C$30=2,20,IF(입력란!$C$30=3,22,0))))/100-1))</f>
        <v>0</v>
      </c>
      <c r="R111" s="19">
        <f>SUM(S111:Z111)</f>
        <v>78235.108789432008</v>
      </c>
      <c r="S111" s="21">
        <f>AN111*IF(입력란!$C$12=0,1,IF(입력란!$C$12=1,1.35,IF(입력란!$C$12=2,1.55,IF(입력란!$C$12=3,1.75,1))))*IF(MID(E111,5,1)="1",트라이포드!$P$10,트라이포드!$O$10)</f>
        <v>78235.108789432008</v>
      </c>
      <c r="T111" s="21"/>
      <c r="U111" s="21"/>
      <c r="V111" s="21"/>
      <c r="W111" s="21"/>
      <c r="X111" s="21"/>
      <c r="Y111" s="21"/>
      <c r="Z111" s="20">
        <f>AN111*IF(입력란!$C$12=0,1,IF(입력란!$C$12=1,1.35,IF(입력란!$C$12=2,1.55,IF(입력란!$C$12=3,1.75,1))))*IF(MID(E111,3,1)="1",트라이포드!$J$10,트라이포드!$I$10)</f>
        <v>0</v>
      </c>
      <c r="AA111" s="21">
        <f>SUM(AB111:AI111)</f>
        <v>156470.21757886402</v>
      </c>
      <c r="AB111" s="21">
        <f>S111*2</f>
        <v>156470.21757886402</v>
      </c>
      <c r="AC111" s="21"/>
      <c r="AD111" s="21"/>
      <c r="AE111" s="21"/>
      <c r="AF111" s="21"/>
      <c r="AG111" s="21"/>
      <c r="AH111" s="21"/>
      <c r="AI111" s="20">
        <f>Z111*2</f>
        <v>0</v>
      </c>
      <c r="AJ111" s="21">
        <f>(AQ111-IF(MID(E111,5,1)="2",트라이포드!R$10,0))*(1-입력란!$P$10/100)</f>
        <v>8.8917990472799993</v>
      </c>
      <c r="AK1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1" s="21">
        <f>입력란!$P$24+입력란!$P$16+IF(입력란!$C$18=1,10,IF(입력란!$C$18=2,25,IF(입력란!$C$18=3,50,0)))+IF(입력란!$C$23&lt;&gt;0,-12)</f>
        <v>380.66103559999999</v>
      </c>
      <c r="AM111" s="21">
        <f>SUM(AN111:AP111)</f>
        <v>78235.108789432008</v>
      </c>
      <c r="AN111" s="21">
        <f>(VLOOKUP(C111,$B$4:$AJ$7,8,FALSE)+VLOOKUP(C111,$B$8:$AJ$11,8,FALSE)*입력란!$P$4)*입력란!$P$25/100</f>
        <v>78235.108789432008</v>
      </c>
      <c r="AO111" s="21"/>
      <c r="AP111" s="21"/>
      <c r="AQ111" s="22">
        <v>9</v>
      </c>
    </row>
    <row r="112" spans="2:43" ht="13.5" customHeight="1" x14ac:dyDescent="0.55000000000000004">
      <c r="B112" s="66">
        <v>97</v>
      </c>
      <c r="C112" s="29">
        <v>10</v>
      </c>
      <c r="D112" s="30" t="s">
        <v>138</v>
      </c>
      <c r="E112" s="27" t="s">
        <v>145</v>
      </c>
      <c r="F112" s="29" t="s">
        <v>346</v>
      </c>
      <c r="G112" s="29"/>
      <c r="H112" s="36">
        <f>I112/AJ112</f>
        <v>79613.406767997512</v>
      </c>
      <c r="I112" s="37">
        <f>SUM(J112:Q112)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707906.41445039527</v>
      </c>
      <c r="J112" s="21">
        <f>S112*(1+IF($AK112+IF(입력란!$C$26=1,10,0)+IF(MID(E112,3,1)="2",트라이포드!L$10,0)&gt;100,100,$AK112+IF(입력란!$C$26=1,10,0)+IF(MID(E112,3,1)="2",트라이포드!L$10,0))/100*(($AL112+IF(입력란!$C$30=1,17,IF(입력란!$C$30=2,20,IF(입력란!$C$30=3,22,0))))/100-1))</f>
        <v>385626.65231291921</v>
      </c>
      <c r="K112" s="21"/>
      <c r="L112" s="21"/>
      <c r="M112" s="21"/>
      <c r="N112" s="21"/>
      <c r="O112" s="21"/>
      <c r="P112" s="21"/>
      <c r="Q112" s="105">
        <f>Z112*(1+IF($AK112+IF(입력란!$C$26=1,10,0)&gt;100,100,$AK112+IF(입력란!$C$26=1,10,0))/100*(($AL112+IF(입력란!$C$30=1,17,IF(입력란!$C$30=2,20,IF(입력란!$C$30=3,22,0))))/100-1))</f>
        <v>115687.99569387577</v>
      </c>
      <c r="R112" s="19">
        <f>SUM(S112:Z112)</f>
        <v>203411.2828525232</v>
      </c>
      <c r="S112" s="21">
        <f>AN112*IF(입력란!$C$12=0,1,IF(입력란!$C$12=1,1.35,IF(입력란!$C$12=2,1.55,IF(입력란!$C$12=3,1.75,1))))*IF(MID(E112,5,1)="1",트라이포드!$P$10,트라이포드!$O$10)</f>
        <v>156470.21757886402</v>
      </c>
      <c r="T112" s="21"/>
      <c r="U112" s="21"/>
      <c r="V112" s="21"/>
      <c r="W112" s="21"/>
      <c r="X112" s="21"/>
      <c r="Y112" s="21"/>
      <c r="Z112" s="20">
        <f>AN112*IF(입력란!$C$12=0,1,IF(입력란!$C$12=1,1.35,IF(입력란!$C$12=2,1.55,IF(입력란!$C$12=3,1.75,1))))*IF(MID(E112,3,1)="1",트라이포드!$J$10,트라이포드!$I$10)</f>
        <v>46941.065273659202</v>
      </c>
      <c r="AA112" s="21">
        <f>SUM(AB112:AI112)</f>
        <v>406822.56570504641</v>
      </c>
      <c r="AB112" s="21">
        <f>S112*2</f>
        <v>312940.43515772803</v>
      </c>
      <c r="AC112" s="21"/>
      <c r="AD112" s="21"/>
      <c r="AE112" s="21"/>
      <c r="AF112" s="21"/>
      <c r="AG112" s="21"/>
      <c r="AH112" s="21"/>
      <c r="AI112" s="20">
        <f>Z112*2</f>
        <v>93882.130547318404</v>
      </c>
      <c r="AJ112" s="21">
        <f>(AQ112-IF(MID(E112,5,1)="2",트라이포드!R$10,0))*(1-입력란!$P$10/100)</f>
        <v>8.8917990472799993</v>
      </c>
      <c r="AK1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2" s="21">
        <f>입력란!$P$24+입력란!$P$16+IF(입력란!$C$18=1,10,IF(입력란!$C$18=2,25,IF(입력란!$C$18=3,50,0)))+IF(입력란!$C$23&lt;&gt;0,-12)</f>
        <v>380.66103559999999</v>
      </c>
      <c r="AM112" s="21">
        <f>SUM(AN112:AP112)</f>
        <v>78235.108789432008</v>
      </c>
      <c r="AN112" s="21">
        <f>(VLOOKUP(C112,$B$4:$AJ$7,8,FALSE)+VLOOKUP(C112,$B$8:$AJ$11,8,FALSE)*입력란!$P$4)*입력란!$P$25/100</f>
        <v>78235.108789432008</v>
      </c>
      <c r="AO112" s="21"/>
      <c r="AP112" s="21"/>
      <c r="AQ112" s="22">
        <v>9</v>
      </c>
    </row>
    <row r="113" spans="2:43" ht="13.5" customHeight="1" x14ac:dyDescent="0.55000000000000004">
      <c r="B113" s="66">
        <v>98</v>
      </c>
      <c r="C113" s="29">
        <v>10</v>
      </c>
      <c r="D113" s="30" t="s">
        <v>138</v>
      </c>
      <c r="E113" s="27" t="s">
        <v>338</v>
      </c>
      <c r="F113" s="29"/>
      <c r="G113" s="29"/>
      <c r="H113" s="36">
        <f>I113/AJ113</f>
        <v>94590.15238067403</v>
      </c>
      <c r="I113" s="37">
        <f>SUM(J113:Q113)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841076.62682054727</v>
      </c>
      <c r="J113" s="21">
        <f>S113*(1+IF($AK113+IF(입력란!$C$26=1,10,0)+IF(MID(E113,3,1)="2",트라이포드!L$10,0)&gt;100,100,$AK113+IF(입력란!$C$26=1,10,0)+IF(MID(E113,3,1)="2",트라이포드!L$10,0))/100*(($AL113+IF(입력란!$C$30=1,17,IF(입력란!$C$30=2,20,IF(입력란!$C$30=3,22,0))))/100-1))</f>
        <v>595621.15064127697</v>
      </c>
      <c r="K113" s="21"/>
      <c r="L113" s="21"/>
      <c r="M113" s="21"/>
      <c r="N113" s="21"/>
      <c r="O113" s="21"/>
      <c r="P113" s="21"/>
      <c r="Q113" s="105">
        <f>Z113*(1+IF($AK113+IF(입력란!$C$26=1,10,0)&gt;100,100,$AK113+IF(입력란!$C$26=1,10,0))/100*(($AL113+IF(입력란!$C$30=1,17,IF(입력란!$C$30=2,20,IF(입력란!$C$30=3,22,0))))/100-1))</f>
        <v>0</v>
      </c>
      <c r="R113" s="19">
        <f>SUM(S113:Z113)</f>
        <v>156470.21757886402</v>
      </c>
      <c r="S113" s="21">
        <f>AN113*IF(입력란!$C$12=0,1,IF(입력란!$C$12=1,1.35,IF(입력란!$C$12=2,1.55,IF(입력란!$C$12=3,1.75,1))))*IF(MID(E113,5,1)="1",트라이포드!$P$10,트라이포드!$O$10)</f>
        <v>156470.21757886402</v>
      </c>
      <c r="T113" s="21"/>
      <c r="U113" s="21"/>
      <c r="V113" s="21"/>
      <c r="W113" s="21"/>
      <c r="X113" s="21"/>
      <c r="Y113" s="21"/>
      <c r="Z113" s="20">
        <f>AN113*IF(입력란!$C$12=0,1,IF(입력란!$C$12=1,1.35,IF(입력란!$C$12=2,1.55,IF(입력란!$C$12=3,1.75,1))))*IF(MID(E113,3,1)="1",트라이포드!$J$10,트라이포드!$I$10)</f>
        <v>0</v>
      </c>
      <c r="AA113" s="21">
        <f>SUM(AB113:AI113)</f>
        <v>312940.43515772803</v>
      </c>
      <c r="AB113" s="21">
        <f>S113*2</f>
        <v>312940.43515772803</v>
      </c>
      <c r="AC113" s="21"/>
      <c r="AD113" s="21"/>
      <c r="AE113" s="21"/>
      <c r="AF113" s="21"/>
      <c r="AG113" s="21"/>
      <c r="AH113" s="21"/>
      <c r="AI113" s="20">
        <f>Z113*2</f>
        <v>0</v>
      </c>
      <c r="AJ113" s="21">
        <f>(AQ113-IF(MID(E113,5,1)="2",트라이포드!R$10,0))*(1-입력란!$P$10/100)</f>
        <v>8.8917990472799993</v>
      </c>
      <c r="AK1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3" s="21">
        <f>입력란!$P$24+입력란!$P$16+IF(입력란!$C$18=1,10,IF(입력란!$C$18=2,25,IF(입력란!$C$18=3,50,0)))+IF(입력란!$C$23&lt;&gt;0,-12)</f>
        <v>380.66103559999999</v>
      </c>
      <c r="AM113" s="21">
        <f>SUM(AN113:AP113)</f>
        <v>78235.108789432008</v>
      </c>
      <c r="AN113" s="21">
        <f>(VLOOKUP(C113,$B$4:$AJ$7,8,FALSE)+VLOOKUP(C113,$B$8:$AJ$11,8,FALSE)*입력란!$P$4)*입력란!$P$25/100</f>
        <v>78235.108789432008</v>
      </c>
      <c r="AO113" s="21"/>
      <c r="AP113" s="21"/>
      <c r="AQ113" s="22">
        <v>9</v>
      </c>
    </row>
    <row r="114" spans="2:43" ht="13.5" customHeight="1" x14ac:dyDescent="0.55000000000000004">
      <c r="B114" s="66">
        <v>99</v>
      </c>
      <c r="C114" s="29">
        <v>10</v>
      </c>
      <c r="D114" s="30" t="s">
        <v>138</v>
      </c>
      <c r="E114" s="27" t="s">
        <v>339</v>
      </c>
      <c r="F114" s="29" t="s">
        <v>346</v>
      </c>
      <c r="G114" s="29"/>
      <c r="H114" s="36">
        <f>I114/AJ114</f>
        <v>73489.298555074609</v>
      </c>
      <c r="I114" s="37">
        <f>SUM(J114:Q114)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435634.7165848586</v>
      </c>
      <c r="J114" s="21">
        <f>S114*(1+IF($AK114+IF(입력란!$C$26=1,10,0)+IF(MID(E114,3,1)="2",트라이포드!L$10,0)&gt;100,100,$AK114+IF(입력란!$C$26=1,10,0)+IF(MID(E114,3,1)="2",트라이포드!L$10,0))/100*(($AL114+IF(입력란!$C$30=1,17,IF(입력란!$C$30=2,20,IF(입력란!$C$30=3,22,0))))/100-1))</f>
        <v>192813.3261564596</v>
      </c>
      <c r="K114" s="21"/>
      <c r="L114" s="21"/>
      <c r="M114" s="21"/>
      <c r="N114" s="21"/>
      <c r="O114" s="21"/>
      <c r="P114" s="21"/>
      <c r="Q114" s="105">
        <f>Z114*(1+IF($AK114+IF(입력란!$C$26=1,10,0)&gt;100,100,$AK114+IF(입력란!$C$26=1,10,0))/100*(($AL114+IF(입력란!$C$30=1,17,IF(입력란!$C$30=2,20,IF(입력란!$C$30=3,22,0))))/100-1))</f>
        <v>115687.99569387577</v>
      </c>
      <c r="R114" s="19">
        <f>SUM(S114:Z114)</f>
        <v>125176.17406309121</v>
      </c>
      <c r="S114" s="21">
        <f>AN114*IF(입력란!$C$12=0,1,IF(입력란!$C$12=1,1.35,IF(입력란!$C$12=2,1.55,IF(입력란!$C$12=3,1.75,1))))*IF(MID(E114,5,1)="1",트라이포드!$P$10,트라이포드!$O$10)</f>
        <v>78235.108789432008</v>
      </c>
      <c r="T114" s="21"/>
      <c r="U114" s="21"/>
      <c r="V114" s="21"/>
      <c r="W114" s="21"/>
      <c r="X114" s="21"/>
      <c r="Y114" s="21"/>
      <c r="Z114" s="20">
        <f>AN114*IF(입력란!$C$12=0,1,IF(입력란!$C$12=1,1.35,IF(입력란!$C$12=2,1.55,IF(입력란!$C$12=3,1.75,1))))*IF(MID(E114,3,1)="1",트라이포드!$J$10,트라이포드!$I$10)</f>
        <v>46941.065273659202</v>
      </c>
      <c r="AA114" s="21">
        <f>SUM(AB114:AI114)</f>
        <v>250352.34812618242</v>
      </c>
      <c r="AB114" s="21">
        <f>S114*2</f>
        <v>156470.21757886402</v>
      </c>
      <c r="AC114" s="21"/>
      <c r="AD114" s="21"/>
      <c r="AE114" s="21"/>
      <c r="AF114" s="21"/>
      <c r="AG114" s="21"/>
      <c r="AH114" s="21"/>
      <c r="AI114" s="20">
        <f>Z114*2</f>
        <v>93882.130547318404</v>
      </c>
      <c r="AJ114" s="21">
        <f>(AQ114-IF(MID(E114,5,1)="2",트라이포드!R$10,0))*(1-입력란!$P$10/100)</f>
        <v>5.9278660315199998</v>
      </c>
      <c r="AK1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4" s="21">
        <f>입력란!$P$24+입력란!$P$16+IF(입력란!$C$18=1,10,IF(입력란!$C$18=2,25,IF(입력란!$C$18=3,50,0)))+IF(입력란!$C$23&lt;&gt;0,-12)</f>
        <v>380.66103559999999</v>
      </c>
      <c r="AM114" s="21">
        <f>SUM(AN114:AP114)</f>
        <v>78235.108789432008</v>
      </c>
      <c r="AN114" s="21">
        <f>(VLOOKUP(C114,$B$4:$AJ$7,8,FALSE)+VLOOKUP(C114,$B$8:$AJ$11,8,FALSE)*입력란!$P$4)*입력란!$P$25/100</f>
        <v>78235.108789432008</v>
      </c>
      <c r="AO114" s="21"/>
      <c r="AP114" s="21"/>
      <c r="AQ114" s="22">
        <v>9</v>
      </c>
    </row>
    <row r="115" spans="2:43" ht="13.5" customHeight="1" x14ac:dyDescent="0.55000000000000004">
      <c r="B115" s="66">
        <v>100</v>
      </c>
      <c r="C115" s="29">
        <v>10</v>
      </c>
      <c r="D115" s="30" t="s">
        <v>138</v>
      </c>
      <c r="E115" s="27" t="s">
        <v>340</v>
      </c>
      <c r="F115" s="29"/>
      <c r="G115" s="29"/>
      <c r="H115" s="36">
        <f>I115/AJ115</f>
        <v>70942.614285505522</v>
      </c>
      <c r="I115" s="37">
        <f>SUM(J115:Q115)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420538.31341027364</v>
      </c>
      <c r="J115" s="21">
        <f>S115*(1+IF($AK115+IF(입력란!$C$26=1,10,0)+IF(MID(E115,3,1)="2",트라이포드!L$10,0)&gt;100,100,$AK115+IF(입력란!$C$26=1,10,0)+IF(MID(E115,3,1)="2",트라이포드!L$10,0))/100*(($AL115+IF(입력란!$C$30=1,17,IF(입력란!$C$30=2,20,IF(입력란!$C$30=3,22,0))))/100-1))</f>
        <v>297810.57532063848</v>
      </c>
      <c r="K115" s="21"/>
      <c r="L115" s="21"/>
      <c r="M115" s="21"/>
      <c r="N115" s="21"/>
      <c r="O115" s="21"/>
      <c r="P115" s="21"/>
      <c r="Q115" s="105">
        <f>Z115*(1+IF($AK115+IF(입력란!$C$26=1,10,0)&gt;100,100,$AK115+IF(입력란!$C$26=1,10,0))/100*(($AL115+IF(입력란!$C$30=1,17,IF(입력란!$C$30=2,20,IF(입력란!$C$30=3,22,0))))/100-1))</f>
        <v>0</v>
      </c>
      <c r="R115" s="19">
        <f>SUM(S115:Z115)</f>
        <v>78235.108789432008</v>
      </c>
      <c r="S115" s="21">
        <f>AN115*IF(입력란!$C$12=0,1,IF(입력란!$C$12=1,1.35,IF(입력란!$C$12=2,1.55,IF(입력란!$C$12=3,1.75,1))))*IF(MID(E115,5,1)="1",트라이포드!$P$10,트라이포드!$O$10)</f>
        <v>78235.108789432008</v>
      </c>
      <c r="T115" s="21"/>
      <c r="U115" s="21"/>
      <c r="V115" s="21"/>
      <c r="W115" s="21"/>
      <c r="X115" s="21"/>
      <c r="Y115" s="21"/>
      <c r="Z115" s="20">
        <f>AN115*IF(입력란!$C$12=0,1,IF(입력란!$C$12=1,1.35,IF(입력란!$C$12=2,1.55,IF(입력란!$C$12=3,1.75,1))))*IF(MID(E115,3,1)="1",트라이포드!$J$10,트라이포드!$I$10)</f>
        <v>0</v>
      </c>
      <c r="AA115" s="21">
        <f>SUM(AB115:AI115)</f>
        <v>156470.21757886402</v>
      </c>
      <c r="AB115" s="21">
        <f>S115*2</f>
        <v>156470.21757886402</v>
      </c>
      <c r="AC115" s="21"/>
      <c r="AD115" s="21"/>
      <c r="AE115" s="21"/>
      <c r="AF115" s="21"/>
      <c r="AG115" s="21"/>
      <c r="AH115" s="21"/>
      <c r="AI115" s="20">
        <f>Z115*2</f>
        <v>0</v>
      </c>
      <c r="AJ115" s="21">
        <f>(AQ115-IF(MID(E115,5,1)="2",트라이포드!R$10,0))*(1-입력란!$P$10/100)</f>
        <v>5.9278660315199998</v>
      </c>
      <c r="AK1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5" s="21">
        <f>입력란!$P$24+입력란!$P$16+IF(입력란!$C$18=1,10,IF(입력란!$C$18=2,25,IF(입력란!$C$18=3,50,0)))+IF(입력란!$C$23&lt;&gt;0,-12)</f>
        <v>380.66103559999999</v>
      </c>
      <c r="AM115" s="21">
        <f>SUM(AN115:AP115)</f>
        <v>78235.108789432008</v>
      </c>
      <c r="AN115" s="21">
        <f>(VLOOKUP(C115,$B$4:$AJ$7,8,FALSE)+VLOOKUP(C115,$B$8:$AJ$11,8,FALSE)*입력란!$P$4)*입력란!$P$25/100</f>
        <v>78235.108789432008</v>
      </c>
      <c r="AO115" s="21"/>
      <c r="AP115" s="21"/>
      <c r="AQ115" s="22">
        <v>9</v>
      </c>
    </row>
    <row r="116" spans="2:43" ht="13.5" customHeight="1" x14ac:dyDescent="0.55000000000000004">
      <c r="B116" s="66">
        <v>101</v>
      </c>
      <c r="C116" s="29">
        <v>1</v>
      </c>
      <c r="D116" s="30" t="s">
        <v>142</v>
      </c>
      <c r="E116" s="27" t="s">
        <v>94</v>
      </c>
      <c r="F116" s="29"/>
      <c r="G116" s="29"/>
      <c r="H116" s="36">
        <f>I116/AJ116</f>
        <v>69465.589626231362</v>
      </c>
      <c r="I116" s="37">
        <f>SUM(J116:Q116)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1098087.2242795867</v>
      </c>
      <c r="J116" s="21">
        <f>S116*(1+IF($AK116+IF(입력란!$C$26=1,10,0)+IF(입력란!$C$9=1,10,0)&gt;100,100,$AK116+IF(입력란!$C$26=1,10,0)+IF(입력란!$C$9=1,10,0))/100*(($AL116+IF(입력란!$C$30=1,IF(OR(입력란!$C$9=1,입력란!$C$10=1),55,17),IF(입력란!$C$30=2,IF(OR(입력란!$C$9=1,입력란!$C$10=1),60,20),IF(입력란!$C$30=3,IF(OR(입력란!$C$9=1,입력란!$C$10=1),65,22),0)))+IF(MID($E116,3,1)="3",80,0))/100-1))</f>
        <v>194406.77435726693</v>
      </c>
      <c r="K116" s="21">
        <f>T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+IF(MID($E116,3,1)="3",80,0))/100-1))</f>
        <v>194406.77435726693</v>
      </c>
      <c r="L116" s="21">
        <f>U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+IF(MID($E116,3,1)="3",80,0))/100-1))</f>
        <v>194406.77435726693</v>
      </c>
      <c r="M116" s="21">
        <f>V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+IF(MID($E116,3,1)="3",80,0))/100-1))</f>
        <v>194406.77435726693</v>
      </c>
      <c r="N116" s="21">
        <f>W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)/100-1))</f>
        <v>0</v>
      </c>
      <c r="O116" s="21">
        <f>X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)/100-1))</f>
        <v>0</v>
      </c>
      <c r="P116" s="21">
        <f>Y116*(1+IF($AK116+IF(입력란!$C$26=1,10,IF(MID($E116,1,1)="2",10,0))+IF(입력란!$C$9=1,10,0)&gt;100,100,$AK116+IF(입력란!$C$26=1,10,IF(MID($E116,1,1)="2",10,0))+IF(입력란!$C$9=1,10,0))/100*(($AL116+IF(입력란!$C$30=1,IF(OR(입력란!$C$9=1,입력란!$C$10=1),55,17),IF(입력란!$C$30=2,IF(OR(입력란!$C$9=1,입력란!$C$10=1),60,20),IF(입력란!$C$30=3,IF(OR(입력란!$C$9=1,입력란!$C$10=1),65,22),0))))/100-1))</f>
        <v>0</v>
      </c>
      <c r="Q116" s="20">
        <f>Z116*(1+IF($AK116+IF(입력란!$C$26=1,10,IF(MID($E116,1,1)="2",10,0))&gt;100,100,$AK116+IF(입력란!$C$26=1,10,IF(MID($E116,1,1)="2",10,0)))/100*(($AL116+IF(입력란!$C$30=1,17,IF(입력란!$C$30=2,20,IF(입력란!$C$30=3,22,0))))/100-1))</f>
        <v>0</v>
      </c>
      <c r="R116" s="19">
        <f>SUM(S116:Z116)</f>
        <v>283268.11624457658</v>
      </c>
      <c r="S116" s="21">
        <f>AN116*IF(입력란!$C$12=0,1,IF(입력란!$C$12=1,1.35,IF(입력란!$C$12=2,1.55,IF(입력란!$C$12=3,1.75,1))))*IF(MID(E116,3,1)="1",트라이포드!$J$11,트라이포드!$I$11)*IF(MID(E116,3,1)="2",트라이포드!$L$11,트라이포드!$K$11)*IF(MID(E116,3,1)="3",트라이포드!$N$11,트라이포드!$M$11)*IF(MID(E116,5,1)="1",트라이포드!$O$11,1)*IF(MID(E116,5,1)="2",트라이포드!$Q$11*트라이포드!$R$11,1)*IF(입력란!$C$9=1,IF(입력란!$C$15=0,1.05,IF(입력란!$C$15=1,1.05*1.05,IF(입력란!$C$15=2,1.05*1.12,IF(입력란!$C$15=3,1.05*1.25)))),1)/IF(MID(E116,3,1)="1",7,4)*IF(입력란!$C$30=1,IF(OR(입력란!$C$9=1,입력란!$C$10=1),1.21,1.07),IF(입력란!$C$30=2,IF(OR(입력란!$C$9=1,입력란!$C$10=1),1.24,1.08),IF(입력란!$C$30=3,IF(OR(입력란!$C$9=1,입력란!$C$10=1),1.26,1.09),1)))</f>
        <v>70817.029061144145</v>
      </c>
      <c r="T116" s="21">
        <f>S116</f>
        <v>70817.029061144145</v>
      </c>
      <c r="U116" s="21">
        <f>T116</f>
        <v>70817.029061144145</v>
      </c>
      <c r="V116" s="21">
        <f>U116</f>
        <v>70817.029061144145</v>
      </c>
      <c r="W116" s="21">
        <f>IF(MID($E116,3,1)="1",$S116,0)</f>
        <v>0</v>
      </c>
      <c r="X116" s="21">
        <f>IF(MID($E116,3,1)="1",$S116,0)</f>
        <v>0</v>
      </c>
      <c r="Y116" s="21">
        <f>IF(MID($E116,3,1)="1",$S116,0)</f>
        <v>0</v>
      </c>
      <c r="Z116" s="20">
        <f>AN116*IF(입력란!$C$12=0,1,IF(입력란!$C$12=1,1.35,IF(입력란!$C$12=2,1.55,IF(입력란!$C$12=3,1.75,1))))*IF(MID(E116,5,1)="1",트라이포드!$P$11*IF(MID(E116,3,1)="1",7,4)*5,0)*IF(입력란!$C$30=1,1.07,IF(입력란!$C$30=2,1.08,IF(입력란!$C$30=3,1.09,1)))</f>
        <v>0</v>
      </c>
      <c r="AA116" s="21">
        <f>SUM(AB116:AI116)</f>
        <v>566536.23248915316</v>
      </c>
      <c r="AB116" s="21">
        <f>S116*2</f>
        <v>141634.05812228829</v>
      </c>
      <c r="AC116" s="21">
        <f>T116*2</f>
        <v>141634.05812228829</v>
      </c>
      <c r="AD116" s="21">
        <f>U116*2</f>
        <v>141634.05812228829</v>
      </c>
      <c r="AE116" s="21">
        <f>V116*2</f>
        <v>141634.05812228829</v>
      </c>
      <c r="AF116" s="21">
        <f>W116*2</f>
        <v>0</v>
      </c>
      <c r="AG116" s="21">
        <f>X116*2</f>
        <v>0</v>
      </c>
      <c r="AH116" s="21">
        <f>Y116*2</f>
        <v>0</v>
      </c>
      <c r="AI116" s="20">
        <f>Z116*2</f>
        <v>0</v>
      </c>
      <c r="AJ116" s="21">
        <f>AQ116*(1-입력란!$P$10/100)</f>
        <v>15.807642750719999</v>
      </c>
      <c r="AK1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6" s="21">
        <f>입력란!$P$24+입력란!$P$16+IF(입력란!$C$18=1,10,IF(입력란!$C$18=2,25,IF(입력란!$C$18=3,50,0)))+IF(입력란!$C$23&lt;&gt;0,-12)</f>
        <v>380.66103559999999</v>
      </c>
      <c r="AM116" s="21">
        <f>SUM(AN116:AP116)</f>
        <v>269779.15832816815</v>
      </c>
      <c r="AN116" s="21">
        <f>(VLOOKUP(C116,$B$4:$AJ$7,9,FALSE)+VLOOKUP(C116,$B$8:$AJ$11,9,FALSE)*입력란!$P$4)*입력란!$P$25/100</f>
        <v>269779.15832816815</v>
      </c>
      <c r="AO116" s="21"/>
      <c r="AP116" s="21"/>
      <c r="AQ116" s="22">
        <v>16</v>
      </c>
    </row>
    <row r="117" spans="2:43" ht="13.5" customHeight="1" x14ac:dyDescent="0.55000000000000004">
      <c r="B117" s="66">
        <v>102</v>
      </c>
      <c r="C117" s="29">
        <v>4</v>
      </c>
      <c r="D117" s="30" t="s">
        <v>142</v>
      </c>
      <c r="E117" s="27" t="s">
        <v>94</v>
      </c>
      <c r="F117" s="29"/>
      <c r="G117" s="29"/>
      <c r="H117" s="36">
        <f>I117/AJ117</f>
        <v>69556.226307359597</v>
      </c>
      <c r="I117" s="37">
        <f>SUM(J117:Q117)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1099519.9765549726</v>
      </c>
      <c r="J117" s="21">
        <f>S117*(1+IF($AK117+IF(입력란!$C$26=1,10,0)+IF(입력란!$C$9=1,10,0)&gt;100,100,$AK117+IF(입력란!$C$26=1,10,0)+IF(입력란!$C$9=1,10,0))/100*(($AL117+IF(입력란!$C$30=1,IF(OR(입력란!$C$9=1,입력란!$C$10=1),55,17),IF(입력란!$C$30=2,IF(OR(입력란!$C$9=1,입력란!$C$10=1),60,20),IF(입력란!$C$30=3,IF(OR(입력란!$C$9=1,입력란!$C$10=1),65,22),0)))+IF(MID($E117,3,1)="3",80,0))/100-1))</f>
        <v>194660.43066266066</v>
      </c>
      <c r="K117" s="21">
        <f>T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+IF(MID($E117,3,1)="3",80,0))/100-1))</f>
        <v>194660.43066266066</v>
      </c>
      <c r="L117" s="21">
        <f>U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+IF(MID($E117,3,1)="3",80,0))/100-1))</f>
        <v>194660.43066266066</v>
      </c>
      <c r="M117" s="21">
        <f>V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+IF(MID($E117,3,1)="3",80,0))/100-1))</f>
        <v>194660.43066266066</v>
      </c>
      <c r="N117" s="21">
        <f>W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)/100-1))</f>
        <v>0</v>
      </c>
      <c r="O117" s="21">
        <f>X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)/100-1))</f>
        <v>0</v>
      </c>
      <c r="P117" s="21">
        <f>Y117*(1+IF($AK117+IF(입력란!$C$26=1,10,IF(MID($E117,1,1)="2",10,0))+IF(입력란!$C$9=1,10,0)&gt;100,100,$AK117+IF(입력란!$C$26=1,10,IF(MID($E117,1,1)="2",10,0))+IF(입력란!$C$9=1,10,0))/100*(($AL117+IF(입력란!$C$30=1,IF(OR(입력란!$C$9=1,입력란!$C$10=1),55,17),IF(입력란!$C$30=2,IF(OR(입력란!$C$9=1,입력란!$C$10=1),60,20),IF(입력란!$C$30=3,IF(OR(입력란!$C$9=1,입력란!$C$10=1),65,22),0))))/100-1))</f>
        <v>0</v>
      </c>
      <c r="Q117" s="20">
        <f>Z117*(1+IF($AK117+IF(입력란!$C$26=1,10,IF(MID($E117,1,1)="2",10,0))&gt;100,100,$AK117+IF(입력란!$C$26=1,10,IF(MID($E117,1,1)="2",10,0)))/100*(($AL117+IF(입력란!$C$30=1,17,IF(입력란!$C$30=2,20,IF(입력란!$C$30=3,22,0))))/100-1))</f>
        <v>0</v>
      </c>
      <c r="R117" s="19">
        <f>SUM(S117:Z117)</f>
        <v>283637.71624457656</v>
      </c>
      <c r="S117" s="21">
        <f>AN117*IF(입력란!$C$12=0,1,IF(입력란!$C$12=1,1.35,IF(입력란!$C$12=2,1.55,IF(입력란!$C$12=3,1.75,1))))*IF(MID(E117,3,1)="1",트라이포드!$J$11,트라이포드!$I$11)*IF(MID(E117,3,1)="2",트라이포드!$L$11,트라이포드!$K$11)*IF(MID(E117,3,1)="3",트라이포드!$N$11,트라이포드!$M$11)*IF(MID(E117,5,1)="1",트라이포드!$O$11,1)*IF(MID(E117,5,1)="2",트라이포드!$Q$11*트라이포드!$R$11,1)*IF(입력란!$C$9=1,IF(입력란!$C$15=0,1.05,IF(입력란!$C$15=1,1.05*1.05,IF(입력란!$C$15=2,1.05*1.12,IF(입력란!$C$15=3,1.05*1.25)))),1)/IF(MID(E117,3,1)="1",7,4)*IF(입력란!$C$30=1,IF(OR(입력란!$C$9=1,입력란!$C$10=1),1.21,1.07),IF(입력란!$C$30=2,IF(OR(입력란!$C$9=1,입력란!$C$10=1),1.24,1.08),IF(입력란!$C$30=3,IF(OR(입력란!$C$9=1,입력란!$C$10=1),1.26,1.09),1)))</f>
        <v>70909.429061144139</v>
      </c>
      <c r="T117" s="21">
        <f>S117</f>
        <v>70909.429061144139</v>
      </c>
      <c r="U117" s="21">
        <f>T117</f>
        <v>70909.429061144139</v>
      </c>
      <c r="V117" s="21">
        <f>U117</f>
        <v>70909.429061144139</v>
      </c>
      <c r="W117" s="21">
        <f>IF(MID($E117,3,1)="1",$S117,0)</f>
        <v>0</v>
      </c>
      <c r="X117" s="21">
        <f>IF(MID($E117,3,1)="1",$S117,0)</f>
        <v>0</v>
      </c>
      <c r="Y117" s="21">
        <f>IF(MID($E117,3,1)="1",$S117,0)</f>
        <v>0</v>
      </c>
      <c r="Z117" s="20">
        <f>AN117*IF(입력란!$C$12=0,1,IF(입력란!$C$12=1,1.35,IF(입력란!$C$12=2,1.55,IF(입력란!$C$12=3,1.75,1))))*IF(MID(E117,5,1)="1",트라이포드!$P$11*IF(MID(E117,3,1)="1",7,4)*5,0)*IF(입력란!$C$30=1,1.07,IF(입력란!$C$30=2,1.08,IF(입력란!$C$30=3,1.09,1)))</f>
        <v>0</v>
      </c>
      <c r="AA117" s="21">
        <f>SUM(AB117:AI117)</f>
        <v>567275.43248915311</v>
      </c>
      <c r="AB117" s="21">
        <f>S117*2</f>
        <v>141818.85812228828</v>
      </c>
      <c r="AC117" s="21">
        <f>T117*2</f>
        <v>141818.85812228828</v>
      </c>
      <c r="AD117" s="21">
        <f>U117*2</f>
        <v>141818.85812228828</v>
      </c>
      <c r="AE117" s="21">
        <f>V117*2</f>
        <v>141818.85812228828</v>
      </c>
      <c r="AF117" s="21">
        <f>W117*2</f>
        <v>0</v>
      </c>
      <c r="AG117" s="21">
        <f>X117*2</f>
        <v>0</v>
      </c>
      <c r="AH117" s="21">
        <f>Y117*2</f>
        <v>0</v>
      </c>
      <c r="AI117" s="20">
        <f>Z117*2</f>
        <v>0</v>
      </c>
      <c r="AJ117" s="21">
        <f>AQ117*(1-입력란!$P$10/100)</f>
        <v>15.807642750719999</v>
      </c>
      <c r="AK1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7" s="21">
        <f>입력란!$P$24+입력란!$P$16+IF(입력란!$C$18=1,10,IF(입력란!$C$18=2,25,IF(입력란!$C$18=3,50,0)))+IF(입력란!$C$23&lt;&gt;0,-12)</f>
        <v>380.66103559999999</v>
      </c>
      <c r="AM117" s="21">
        <f>SUM(AN117:AP117)</f>
        <v>270131.15832816815</v>
      </c>
      <c r="AN117" s="21">
        <f>(VLOOKUP(C117,$B$4:$AJ$7,9,FALSE)+VLOOKUP(C117,$B$8:$AJ$11,9,FALSE)*입력란!$P$4)*입력란!$P$25/100</f>
        <v>270131.15832816815</v>
      </c>
      <c r="AO117" s="21"/>
      <c r="AP117" s="21"/>
      <c r="AQ117" s="22">
        <v>16</v>
      </c>
    </row>
    <row r="118" spans="2:43" ht="13.5" customHeight="1" x14ac:dyDescent="0.55000000000000004">
      <c r="B118" s="66">
        <v>103</v>
      </c>
      <c r="C118" s="29">
        <v>4</v>
      </c>
      <c r="D118" s="30" t="s">
        <v>142</v>
      </c>
      <c r="E118" s="27" t="s">
        <v>105</v>
      </c>
      <c r="F118" s="29"/>
      <c r="G118" s="29"/>
      <c r="H118" s="36">
        <f>I118/AJ118</f>
        <v>69556.226307359597</v>
      </c>
      <c r="I118" s="37">
        <f>SUM(J118:Q118)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1099519.9765549726</v>
      </c>
      <c r="J118" s="21">
        <f>S118*(1+IF($AK118+IF(입력란!$C$26=1,10,0)+IF(입력란!$C$9=1,10,0)&gt;100,100,$AK118+IF(입력란!$C$26=1,10,0)+IF(입력란!$C$9=1,10,0))/100*(($AL118+IF(입력란!$C$30=1,IF(OR(입력란!$C$9=1,입력란!$C$10=1),55,17),IF(입력란!$C$30=2,IF(OR(입력란!$C$9=1,입력란!$C$10=1),60,20),IF(입력란!$C$30=3,IF(OR(입력란!$C$9=1,입력란!$C$10=1),65,22),0)))+IF(MID($E118,3,1)="3",80,0))/100-1))</f>
        <v>194660.43066266066</v>
      </c>
      <c r="K118" s="21">
        <f>T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+IF(MID($E118,3,1)="3",80,0))/100-1))</f>
        <v>194660.43066266066</v>
      </c>
      <c r="L118" s="21">
        <f>U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+IF(MID($E118,3,1)="3",80,0))/100-1))</f>
        <v>194660.43066266066</v>
      </c>
      <c r="M118" s="21">
        <f>V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+IF(MID($E118,3,1)="3",80,0))/100-1))</f>
        <v>194660.43066266066</v>
      </c>
      <c r="N118" s="21">
        <f>W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)/100-1))</f>
        <v>0</v>
      </c>
      <c r="O118" s="21">
        <f>X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)/100-1))</f>
        <v>0</v>
      </c>
      <c r="P118" s="21">
        <f>Y118*(1+IF($AK118+IF(입력란!$C$26=1,10,IF(MID($E118,1,1)="2",10,0))+IF(입력란!$C$9=1,10,0)&gt;100,100,$AK118+IF(입력란!$C$26=1,10,IF(MID($E118,1,1)="2",10,0))+IF(입력란!$C$9=1,10,0))/100*(($AL118+IF(입력란!$C$30=1,IF(OR(입력란!$C$9=1,입력란!$C$10=1),55,17),IF(입력란!$C$30=2,IF(OR(입력란!$C$9=1,입력란!$C$10=1),60,20),IF(입력란!$C$30=3,IF(OR(입력란!$C$9=1,입력란!$C$10=1),65,22),0))))/100-1))</f>
        <v>0</v>
      </c>
      <c r="Q118" s="20">
        <f>Z118*(1+IF($AK118+IF(입력란!$C$26=1,10,IF(MID($E118,1,1)="2",10,0))&gt;100,100,$AK118+IF(입력란!$C$26=1,10,IF(MID($E118,1,1)="2",10,0)))/100*(($AL118+IF(입력란!$C$30=1,17,IF(입력란!$C$30=2,20,IF(입력란!$C$30=3,22,0))))/100-1))</f>
        <v>0</v>
      </c>
      <c r="R118" s="19">
        <f>SUM(S118:Z118)</f>
        <v>283637.71624457656</v>
      </c>
      <c r="S118" s="21">
        <f>AN118*IF(입력란!$C$12=0,1,IF(입력란!$C$12=1,1.35,IF(입력란!$C$12=2,1.55,IF(입력란!$C$12=3,1.75,1))))*IF(MID(E118,3,1)="1",트라이포드!$J$11,트라이포드!$I$11)*IF(MID(E118,3,1)="2",트라이포드!$L$11,트라이포드!$K$11)*IF(MID(E118,3,1)="3",트라이포드!$N$11,트라이포드!$M$11)*IF(MID(E118,5,1)="1",트라이포드!$O$11,1)*IF(MID(E118,5,1)="2",트라이포드!$Q$11*트라이포드!$R$11,1)*IF(입력란!$C$9=1,IF(입력란!$C$15=0,1.05,IF(입력란!$C$15=1,1.05*1.05,IF(입력란!$C$15=2,1.05*1.12,IF(입력란!$C$15=3,1.05*1.25)))),1)/IF(MID(E118,3,1)="1",7,4)*IF(입력란!$C$30=1,IF(OR(입력란!$C$9=1,입력란!$C$10=1),1.21,1.07),IF(입력란!$C$30=2,IF(OR(입력란!$C$9=1,입력란!$C$10=1),1.24,1.08),IF(입력란!$C$30=3,IF(OR(입력란!$C$9=1,입력란!$C$10=1),1.26,1.09),1)))</f>
        <v>70909.429061144139</v>
      </c>
      <c r="T118" s="21">
        <f>S118</f>
        <v>70909.429061144139</v>
      </c>
      <c r="U118" s="21">
        <f>T118</f>
        <v>70909.429061144139</v>
      </c>
      <c r="V118" s="21">
        <f>U118</f>
        <v>70909.429061144139</v>
      </c>
      <c r="W118" s="21">
        <f>IF(MID($E118,3,1)="1",$S118,0)</f>
        <v>0</v>
      </c>
      <c r="X118" s="21">
        <f>IF(MID($E118,3,1)="1",$S118,0)</f>
        <v>0</v>
      </c>
      <c r="Y118" s="21">
        <f>IF(MID($E118,3,1)="1",$S118,0)</f>
        <v>0</v>
      </c>
      <c r="Z118" s="20">
        <f>AN118*IF(입력란!$C$12=0,1,IF(입력란!$C$12=1,1.35,IF(입력란!$C$12=2,1.55,IF(입력란!$C$12=3,1.75,1))))*IF(MID(E118,5,1)="1",트라이포드!$P$11*IF(MID(E118,3,1)="1",7,4)*5,0)*IF(입력란!$C$30=1,1.07,IF(입력란!$C$30=2,1.08,IF(입력란!$C$30=3,1.09,1)))</f>
        <v>0</v>
      </c>
      <c r="AA118" s="21">
        <f>SUM(AB118:AI118)</f>
        <v>567275.43248915311</v>
      </c>
      <c r="AB118" s="21">
        <f>S118*2</f>
        <v>141818.85812228828</v>
      </c>
      <c r="AC118" s="21">
        <f>T118*2</f>
        <v>141818.85812228828</v>
      </c>
      <c r="AD118" s="21">
        <f>U118*2</f>
        <v>141818.85812228828</v>
      </c>
      <c r="AE118" s="21">
        <f>V118*2</f>
        <v>141818.85812228828</v>
      </c>
      <c r="AF118" s="21">
        <f>W118*2</f>
        <v>0</v>
      </c>
      <c r="AG118" s="21">
        <f>X118*2</f>
        <v>0</v>
      </c>
      <c r="AH118" s="21">
        <f>Y118*2</f>
        <v>0</v>
      </c>
      <c r="AI118" s="20">
        <f>Z118*2</f>
        <v>0</v>
      </c>
      <c r="AJ118" s="21">
        <f>AQ118*(1-입력란!$P$10/100)</f>
        <v>15.807642750719999</v>
      </c>
      <c r="AK1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8" s="21">
        <f>입력란!$P$24+입력란!$P$16+IF(입력란!$C$18=1,10,IF(입력란!$C$18=2,25,IF(입력란!$C$18=3,50,0)))+IF(입력란!$C$23&lt;&gt;0,-12)</f>
        <v>380.66103559999999</v>
      </c>
      <c r="AM118" s="21">
        <f>SUM(AN118:AP118)</f>
        <v>270131.15832816815</v>
      </c>
      <c r="AN118" s="21">
        <f>(VLOOKUP(C118,$B$4:$AJ$7,9,FALSE)+VLOOKUP(C118,$B$8:$AJ$11,9,FALSE)*입력란!$P$4)*입력란!$P$25/100</f>
        <v>270131.15832816815</v>
      </c>
      <c r="AO118" s="21"/>
      <c r="AP118" s="21"/>
      <c r="AQ118" s="22">
        <v>16</v>
      </c>
    </row>
    <row r="119" spans="2:43" ht="13.5" customHeight="1" x14ac:dyDescent="0.55000000000000004">
      <c r="B119" s="66">
        <v>104</v>
      </c>
      <c r="C119" s="29">
        <v>7</v>
      </c>
      <c r="D119" s="30" t="s">
        <v>142</v>
      </c>
      <c r="E119" s="27" t="s">
        <v>94</v>
      </c>
      <c r="F119" s="29"/>
      <c r="G119" s="29"/>
      <c r="H119" s="36">
        <f>I119/AJ119</f>
        <v>69597.836783695733</v>
      </c>
      <c r="I119" s="37">
        <f>SUM(J119:Q119)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1100177.7400995817</v>
      </c>
      <c r="J119" s="21">
        <f>S119*(1+IF($AK119+IF(입력란!$C$26=1,10,0)+IF(입력란!$C$9=1,10,0)&gt;100,100,$AK119+IF(입력란!$C$26=1,10,0)+IF(입력란!$C$9=1,10,0))/100*(($AL119+IF(입력란!$C$30=1,IF(OR(입력란!$C$9=1,입력란!$C$10=1),55,17),IF(입력란!$C$30=2,IF(OR(입력란!$C$9=1,입력란!$C$10=1),60,20),IF(입력란!$C$30=3,IF(OR(입력란!$C$9=1,입력란!$C$10=1),65,22),0)))+IF(MID($E119,3,1)="3",80,0))/100-1))</f>
        <v>194776.88196650054</v>
      </c>
      <c r="K119" s="21">
        <f>T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+IF(MID($E119,3,1)="3",80,0))/100-1))</f>
        <v>194776.88196650054</v>
      </c>
      <c r="L119" s="21">
        <f>U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+IF(MID($E119,3,1)="3",80,0))/100-1))</f>
        <v>194776.88196650054</v>
      </c>
      <c r="M119" s="21">
        <f>V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+IF(MID($E119,3,1)="3",80,0))/100-1))</f>
        <v>194776.88196650054</v>
      </c>
      <c r="N119" s="21">
        <f>W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)/100-1))</f>
        <v>0</v>
      </c>
      <c r="O119" s="21">
        <f>X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)/100-1))</f>
        <v>0</v>
      </c>
      <c r="P119" s="21">
        <f>Y119*(1+IF($AK119+IF(입력란!$C$26=1,10,IF(MID($E119,1,1)="2",10,0))+IF(입력란!$C$9=1,10,0)&gt;100,100,$AK119+IF(입력란!$C$26=1,10,IF(MID($E119,1,1)="2",10,0))+IF(입력란!$C$9=1,10,0))/100*(($AL119+IF(입력란!$C$30=1,IF(OR(입력란!$C$9=1,입력란!$C$10=1),55,17),IF(입력란!$C$30=2,IF(OR(입력란!$C$9=1,입력란!$C$10=1),60,20),IF(입력란!$C$30=3,IF(OR(입력란!$C$9=1,입력란!$C$10=1),65,22),0))))/100-1))</f>
        <v>0</v>
      </c>
      <c r="Q119" s="20">
        <f>Z119*(1+IF($AK119+IF(입력란!$C$26=1,10,IF(MID($E119,1,1)="2",10,0))&gt;100,100,$AK119+IF(입력란!$C$26=1,10,IF(MID($E119,1,1)="2",10,0)))/100*(($AL119+IF(입력란!$C$30=1,17,IF(입력란!$C$30=2,20,IF(입력란!$C$30=3,22,0))))/100-1))</f>
        <v>0</v>
      </c>
      <c r="R119" s="19">
        <f>SUM(S119:Z119)</f>
        <v>283807.39624457661</v>
      </c>
      <c r="S119" s="21">
        <f>AN119*IF(입력란!$C$12=0,1,IF(입력란!$C$12=1,1.35,IF(입력란!$C$12=2,1.55,IF(입력란!$C$12=3,1.75,1))))*IF(MID(E119,3,1)="1",트라이포드!$J$11,트라이포드!$I$11)*IF(MID(E119,3,1)="2",트라이포드!$L$11,트라이포드!$K$11)*IF(MID(E119,3,1)="3",트라이포드!$N$11,트라이포드!$M$11)*IF(MID(E119,5,1)="1",트라이포드!$O$11,1)*IF(MID(E119,5,1)="2",트라이포드!$Q$11*트라이포드!$R$11,1)*IF(입력란!$C$9=1,IF(입력란!$C$15=0,1.05,IF(입력란!$C$15=1,1.05*1.05,IF(입력란!$C$15=2,1.05*1.12,IF(입력란!$C$15=3,1.05*1.25)))),1)/IF(MID(E119,3,1)="1",7,4)*IF(입력란!$C$30=1,IF(OR(입력란!$C$9=1,입력란!$C$10=1),1.21,1.07),IF(입력란!$C$30=2,IF(OR(입력란!$C$9=1,입력란!$C$10=1),1.24,1.08),IF(입력란!$C$30=3,IF(OR(입력란!$C$9=1,입력란!$C$10=1),1.26,1.09),1)))</f>
        <v>70951.849061144152</v>
      </c>
      <c r="T119" s="21">
        <f>S119</f>
        <v>70951.849061144152</v>
      </c>
      <c r="U119" s="21">
        <f>T119</f>
        <v>70951.849061144152</v>
      </c>
      <c r="V119" s="21">
        <f>U119</f>
        <v>70951.849061144152</v>
      </c>
      <c r="W119" s="21">
        <f>IF(MID($E119,3,1)="1",$S119,0)</f>
        <v>0</v>
      </c>
      <c r="X119" s="21">
        <f>IF(MID($E119,3,1)="1",$S119,0)</f>
        <v>0</v>
      </c>
      <c r="Y119" s="21">
        <f>IF(MID($E119,3,1)="1",$S119,0)</f>
        <v>0</v>
      </c>
      <c r="Z119" s="20">
        <f>AN119*IF(입력란!$C$12=0,1,IF(입력란!$C$12=1,1.35,IF(입력란!$C$12=2,1.55,IF(입력란!$C$12=3,1.75,1))))*IF(MID(E119,5,1)="1",트라이포드!$P$11*IF(MID(E119,3,1)="1",7,4)*5,0)*IF(입력란!$C$30=1,1.07,IF(입력란!$C$30=2,1.08,IF(입력란!$C$30=3,1.09,1)))</f>
        <v>0</v>
      </c>
      <c r="AA119" s="21">
        <f>SUM(AB119:AI119)</f>
        <v>567614.79248915322</v>
      </c>
      <c r="AB119" s="21">
        <f>S119*2</f>
        <v>141903.6981222883</v>
      </c>
      <c r="AC119" s="21">
        <f>T119*2</f>
        <v>141903.6981222883</v>
      </c>
      <c r="AD119" s="21">
        <f>U119*2</f>
        <v>141903.6981222883</v>
      </c>
      <c r="AE119" s="21">
        <f>V119*2</f>
        <v>141903.6981222883</v>
      </c>
      <c r="AF119" s="21">
        <f>W119*2</f>
        <v>0</v>
      </c>
      <c r="AG119" s="21">
        <f>X119*2</f>
        <v>0</v>
      </c>
      <c r="AH119" s="21">
        <f>Y119*2</f>
        <v>0</v>
      </c>
      <c r="AI119" s="20">
        <f>Z119*2</f>
        <v>0</v>
      </c>
      <c r="AJ119" s="21">
        <f>AQ119*(1-입력란!$P$10/100)</f>
        <v>15.807642750719999</v>
      </c>
      <c r="AK1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19" s="21">
        <f>입력란!$P$24+입력란!$P$16+IF(입력란!$C$18=1,10,IF(입력란!$C$18=2,25,IF(입력란!$C$18=3,50,0)))+IF(입력란!$C$23&lt;&gt;0,-12)</f>
        <v>380.66103559999999</v>
      </c>
      <c r="AM119" s="21">
        <f>SUM(AN119:AP119)</f>
        <v>270292.75832816819</v>
      </c>
      <c r="AN119" s="21">
        <f>(VLOOKUP(C119,$B$4:$AJ$7,9,FALSE)+VLOOKUP(C119,$B$8:$AJ$11,9,FALSE)*입력란!$P$4)*입력란!$P$25/100</f>
        <v>270292.75832816819</v>
      </c>
      <c r="AO119" s="21"/>
      <c r="AP119" s="21"/>
      <c r="AQ119" s="22">
        <v>16</v>
      </c>
    </row>
    <row r="120" spans="2:43" ht="13.5" customHeight="1" x14ac:dyDescent="0.55000000000000004">
      <c r="B120" s="66">
        <v>105</v>
      </c>
      <c r="C120" s="29">
        <v>7</v>
      </c>
      <c r="D120" s="30" t="s">
        <v>142</v>
      </c>
      <c r="E120" s="27" t="s">
        <v>96</v>
      </c>
      <c r="F120" s="29"/>
      <c r="G120" s="29"/>
      <c r="H120" s="36">
        <f>I120/AJ120</f>
        <v>111356.53885391321</v>
      </c>
      <c r="I120" s="37">
        <f>SUM(J120:Q120)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1760284.3841593312</v>
      </c>
      <c r="J120" s="21">
        <f>S120*(1+IF($AK120+IF(입력란!$C$26=1,10,0)+IF(입력란!$C$9=1,10,0)&gt;100,100,$AK120+IF(입력란!$C$26=1,10,0)+IF(입력란!$C$9=1,10,0))/100*(($AL120+IF(입력란!$C$30=1,IF(OR(입력란!$C$9=1,입력란!$C$10=1),55,17),IF(입력란!$C$30=2,IF(OR(입력란!$C$9=1,입력란!$C$10=1),60,20),IF(입력란!$C$30=3,IF(OR(입력란!$C$9=1,입력란!$C$10=1),65,22),0)))+IF(MID($E120,3,1)="3",80,0))/100-1))</f>
        <v>178081.72065508625</v>
      </c>
      <c r="K120" s="21">
        <f>T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+IF(MID($E120,3,1)="3",80,0))/100-1))</f>
        <v>178081.72065508625</v>
      </c>
      <c r="L120" s="21">
        <f>U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+IF(MID($E120,3,1)="3",80,0))/100-1))</f>
        <v>178081.72065508625</v>
      </c>
      <c r="M120" s="21">
        <f>V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+IF(MID($E120,3,1)="3",80,0))/100-1))</f>
        <v>178081.72065508625</v>
      </c>
      <c r="N120" s="21">
        <f>W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O120" s="21">
        <f>X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P120" s="21">
        <f>Y120*(1+IF($AK120+IF(입력란!$C$26=1,10,IF(MID($E120,1,1)="2",10,0))+IF(입력란!$C$9=1,10,0)&gt;100,100,$AK120+IF(입력란!$C$26=1,10,IF(MID($E120,1,1)="2",10,0))+IF(입력란!$C$9=1,10,0))/100*(($AL120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Q120" s="20">
        <f>Z120*(1+IF($AK120+IF(입력란!$C$26=1,10,IF(MID($E120,1,1)="2",10,0))&gt;100,100,$AK120+IF(입력란!$C$26=1,10,IF(MID($E120,1,1)="2",10,0)))/100*(($AL120+IF(입력란!$C$30=1,17,IF(입력란!$C$30=2,20,IF(입력란!$C$30=3,22,0))))/100-1))</f>
        <v>0</v>
      </c>
      <c r="R120" s="19">
        <f>SUM(S120:Z120)</f>
        <v>454091.83399132267</v>
      </c>
      <c r="S120" s="21">
        <f>AN120*IF(입력란!$C$12=0,1,IF(입력란!$C$12=1,1.35,IF(입력란!$C$12=2,1.55,IF(입력란!$C$12=3,1.75,1))))*IF(MID(E120,3,1)="1",트라이포드!$J$11,트라이포드!$I$11)*IF(MID(E120,3,1)="2",트라이포드!$L$11,트라이포드!$K$11)*IF(MID(E120,3,1)="3",트라이포드!$N$11,트라이포드!$M$11)*IF(MID(E120,5,1)="1",트라이포드!$O$11,1)*IF(MID(E120,5,1)="2",트라이포드!$Q$11*트라이포드!$R$11,1)*IF(입력란!$C$9=1,IF(입력란!$C$15=0,1.05,IF(입력란!$C$15=1,1.05*1.05,IF(입력란!$C$15=2,1.05*1.12,IF(입력란!$C$15=3,1.05*1.25)))),1)/IF(MID(E120,3,1)="1",7,4)*IF(입력란!$C$30=1,IF(OR(입력란!$C$9=1,입력란!$C$10=1),1.21,1.07),IF(입력란!$C$30=2,IF(OR(입력란!$C$9=1,입력란!$C$10=1),1.24,1.08),IF(입력란!$C$30=3,IF(OR(입력란!$C$9=1,입력란!$C$10=1),1.26,1.09),1)))</f>
        <v>64870.261998760376</v>
      </c>
      <c r="T120" s="21">
        <f>S120</f>
        <v>64870.261998760376</v>
      </c>
      <c r="U120" s="21">
        <f>T120</f>
        <v>64870.261998760376</v>
      </c>
      <c r="V120" s="21">
        <f>U120</f>
        <v>64870.261998760376</v>
      </c>
      <c r="W120" s="21">
        <f>IF(MID($E120,3,1)="1",$S120,0)</f>
        <v>64870.261998760376</v>
      </c>
      <c r="X120" s="21">
        <f>IF(MID($E120,3,1)="1",$S120,0)</f>
        <v>64870.261998760376</v>
      </c>
      <c r="Y120" s="21">
        <f>IF(MID($E120,3,1)="1",$S120,0)</f>
        <v>64870.261998760376</v>
      </c>
      <c r="Z120" s="20">
        <f>AN120*IF(입력란!$C$12=0,1,IF(입력란!$C$12=1,1.35,IF(입력란!$C$12=2,1.55,IF(입력란!$C$12=3,1.75,1))))*IF(MID(E120,5,1)="1",트라이포드!$P$11*IF(MID(E120,3,1)="1",7,4)*5,0)*IF(입력란!$C$30=1,1.07,IF(입력란!$C$30=2,1.08,IF(입력란!$C$30=3,1.09,1)))</f>
        <v>0</v>
      </c>
      <c r="AA120" s="21">
        <f>SUM(AB120:AI120)</f>
        <v>908183.66798264533</v>
      </c>
      <c r="AB120" s="21">
        <f>S120*2</f>
        <v>129740.52399752075</v>
      </c>
      <c r="AC120" s="21">
        <f>T120*2</f>
        <v>129740.52399752075</v>
      </c>
      <c r="AD120" s="21">
        <f>U120*2</f>
        <v>129740.52399752075</v>
      </c>
      <c r="AE120" s="21">
        <f>V120*2</f>
        <v>129740.52399752075</v>
      </c>
      <c r="AF120" s="21">
        <f>W120*2</f>
        <v>129740.52399752075</v>
      </c>
      <c r="AG120" s="21">
        <f>X120*2</f>
        <v>129740.52399752075</v>
      </c>
      <c r="AH120" s="21">
        <f>Y120*2</f>
        <v>129740.52399752075</v>
      </c>
      <c r="AI120" s="20">
        <f>Z120*2</f>
        <v>0</v>
      </c>
      <c r="AJ120" s="21">
        <f>AQ120*(1-입력란!$P$10/100)</f>
        <v>15.807642750719999</v>
      </c>
      <c r="AK1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0" s="21">
        <f>입력란!$P$24+입력란!$P$16+IF(입력란!$C$18=1,10,IF(입력란!$C$18=2,25,IF(입력란!$C$18=3,50,0)))+IF(입력란!$C$23&lt;&gt;0,-12)</f>
        <v>380.66103559999999</v>
      </c>
      <c r="AM120" s="21">
        <f>SUM(AN120:AP120)</f>
        <v>270292.75832816819</v>
      </c>
      <c r="AN120" s="21">
        <f>(VLOOKUP(C120,$B$4:$AJ$7,9,FALSE)+VLOOKUP(C120,$B$8:$AJ$11,9,FALSE)*입력란!$P$4)*입력란!$P$25/100</f>
        <v>270292.75832816819</v>
      </c>
      <c r="AO120" s="21"/>
      <c r="AP120" s="21"/>
      <c r="AQ120" s="22">
        <v>16</v>
      </c>
    </row>
    <row r="121" spans="2:43" ht="13.5" customHeight="1" x14ac:dyDescent="0.55000000000000004">
      <c r="B121" s="66">
        <v>106</v>
      </c>
      <c r="C121" s="29">
        <v>7</v>
      </c>
      <c r="D121" s="30" t="s">
        <v>142</v>
      </c>
      <c r="E121" s="27" t="s">
        <v>97</v>
      </c>
      <c r="F121" s="29" t="s">
        <v>349</v>
      </c>
      <c r="G121" s="29"/>
      <c r="H121" s="36">
        <f>I121/AJ121</f>
        <v>139195.67356739147</v>
      </c>
      <c r="I121" s="37">
        <f>SUM(J121:Q121)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2200355.4801991633</v>
      </c>
      <c r="J121" s="21">
        <f>S121*(1+IF($AK121+IF(입력란!$C$26=1,10,0)+IF(입력란!$C$9=1,10,0)&gt;100,100,$AK121+IF(입력란!$C$26=1,10,0)+IF(입력란!$C$9=1,10,0))/100*(($AL121+IF(입력란!$C$30=1,IF(OR(입력란!$C$9=1,입력란!$C$10=1),55,17),IF(입력란!$C$30=2,IF(OR(입력란!$C$9=1,입력란!$C$10=1),60,20),IF(입력란!$C$30=3,IF(OR(입력란!$C$9=1,입력란!$C$10=1),65,22),0)))+IF(MID($E121,3,1)="3",80,0))/100-1))</f>
        <v>389553.76393300109</v>
      </c>
      <c r="K121" s="21">
        <f>T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+IF(MID($E121,3,1)="3",80,0))/100-1))</f>
        <v>389553.76393300109</v>
      </c>
      <c r="L121" s="21">
        <f>U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+IF(MID($E121,3,1)="3",80,0))/100-1))</f>
        <v>389553.76393300109</v>
      </c>
      <c r="M121" s="21">
        <f>V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+IF(MID($E121,3,1)="3",80,0))/100-1))</f>
        <v>389553.76393300109</v>
      </c>
      <c r="N121" s="21">
        <f>W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)/100-1))</f>
        <v>0</v>
      </c>
      <c r="O121" s="21">
        <f>X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)/100-1))</f>
        <v>0</v>
      </c>
      <c r="P121" s="21">
        <f>Y121*(1+IF($AK121+IF(입력란!$C$26=1,10,IF(MID($E121,1,1)="2",10,0))+IF(입력란!$C$9=1,10,0)&gt;100,100,$AK121+IF(입력란!$C$26=1,10,IF(MID($E121,1,1)="2",10,0))+IF(입력란!$C$9=1,10,0))/100*(($AL121+IF(입력란!$C$30=1,IF(OR(입력란!$C$9=1,입력란!$C$10=1),55,17),IF(입력란!$C$30=2,IF(OR(입력란!$C$9=1,입력란!$C$10=1),60,20),IF(입력란!$C$30=3,IF(OR(입력란!$C$9=1,입력란!$C$10=1),65,22),0))))/100-1))</f>
        <v>0</v>
      </c>
      <c r="Q121" s="20">
        <f>Z121*(1+IF($AK121+IF(입력란!$C$26=1,10,IF(MID($E121,1,1)="2",10,0))&gt;100,100,$AK121+IF(입력란!$C$26=1,10,IF(MID($E121,1,1)="2",10,0)))/100*(($AL121+IF(입력란!$C$30=1,17,IF(입력란!$C$30=2,20,IF(입력란!$C$30=3,22,0))))/100-1))</f>
        <v>0</v>
      </c>
      <c r="R121" s="19">
        <f>SUM(S121:Z121)</f>
        <v>567614.79248915322</v>
      </c>
      <c r="S121" s="21">
        <f>AN121*IF(입력란!$C$12=0,1,IF(입력란!$C$12=1,1.35,IF(입력란!$C$12=2,1.55,IF(입력란!$C$12=3,1.75,1))))*IF(MID(E121,3,1)="1",트라이포드!$J$11,트라이포드!$I$11)*IF(MID(E121,3,1)="2",트라이포드!$L$11,트라이포드!$K$11)*IF(MID(E121,3,1)="3",트라이포드!$N$11,트라이포드!$M$11)*IF(MID(E121,5,1)="1",트라이포드!$O$11,1)*IF(MID(E121,5,1)="2",트라이포드!$Q$11*트라이포드!$R$11,1)*IF(입력란!$C$9=1,IF(입력란!$C$15=0,1.05,IF(입력란!$C$15=1,1.05*1.05,IF(입력란!$C$15=2,1.05*1.12,IF(입력란!$C$15=3,1.05*1.25)))),1)/IF(MID(E121,3,1)="1",7,4)*IF(입력란!$C$30=1,IF(OR(입력란!$C$9=1,입력란!$C$10=1),1.21,1.07),IF(입력란!$C$30=2,IF(OR(입력란!$C$9=1,입력란!$C$10=1),1.24,1.08),IF(입력란!$C$30=3,IF(OR(입력란!$C$9=1,입력란!$C$10=1),1.26,1.09),1)))</f>
        <v>141903.6981222883</v>
      </c>
      <c r="T121" s="21">
        <f>S121</f>
        <v>141903.6981222883</v>
      </c>
      <c r="U121" s="21">
        <f>T121</f>
        <v>141903.6981222883</v>
      </c>
      <c r="V121" s="21">
        <f>U121</f>
        <v>141903.6981222883</v>
      </c>
      <c r="W121" s="21">
        <f>IF(MID($E121,3,1)="1",$S121,0)</f>
        <v>0</v>
      </c>
      <c r="X121" s="21">
        <f>IF(MID($E121,3,1)="1",$S121,0)</f>
        <v>0</v>
      </c>
      <c r="Y121" s="21">
        <f>IF(MID($E121,3,1)="1",$S121,0)</f>
        <v>0</v>
      </c>
      <c r="Z121" s="20">
        <f>AN121*IF(입력란!$C$12=0,1,IF(입력란!$C$12=1,1.35,IF(입력란!$C$12=2,1.55,IF(입력란!$C$12=3,1.75,1))))*IF(MID(E121,5,1)="1",트라이포드!$P$11*IF(MID(E121,3,1)="1",7,4)*5,0)*IF(입력란!$C$30=1,1.07,IF(입력란!$C$30=2,1.08,IF(입력란!$C$30=3,1.09,1)))</f>
        <v>0</v>
      </c>
      <c r="AA121" s="21">
        <f>SUM(AB121:AI121)</f>
        <v>1135229.5849783064</v>
      </c>
      <c r="AB121" s="21">
        <f>S121*2</f>
        <v>283807.39624457661</v>
      </c>
      <c r="AC121" s="21">
        <f>T121*2</f>
        <v>283807.39624457661</v>
      </c>
      <c r="AD121" s="21">
        <f>U121*2</f>
        <v>283807.39624457661</v>
      </c>
      <c r="AE121" s="21">
        <f>V121*2</f>
        <v>283807.39624457661</v>
      </c>
      <c r="AF121" s="21">
        <f>W121*2</f>
        <v>0</v>
      </c>
      <c r="AG121" s="21">
        <f>X121*2</f>
        <v>0</v>
      </c>
      <c r="AH121" s="21">
        <f>Y121*2</f>
        <v>0</v>
      </c>
      <c r="AI121" s="20">
        <f>Z121*2</f>
        <v>0</v>
      </c>
      <c r="AJ121" s="21">
        <f>AQ121*(1-입력란!$P$10/100)</f>
        <v>15.807642750719999</v>
      </c>
      <c r="AK1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1" s="21">
        <f>입력란!$P$24+입력란!$P$16+IF(입력란!$C$18=1,10,IF(입력란!$C$18=2,25,IF(입력란!$C$18=3,50,0)))+IF(입력란!$C$23&lt;&gt;0,-12)</f>
        <v>380.66103559999999</v>
      </c>
      <c r="AM121" s="21">
        <f>SUM(AN121:AP121)</f>
        <v>270292.75832816819</v>
      </c>
      <c r="AN121" s="21">
        <f>(VLOOKUP(C121,$B$4:$AJ$7,9,FALSE)+VLOOKUP(C121,$B$8:$AJ$11,9,FALSE)*입력란!$P$4)*입력란!$P$25/100</f>
        <v>270292.75832816819</v>
      </c>
      <c r="AO121" s="21"/>
      <c r="AP121" s="21"/>
      <c r="AQ121" s="22">
        <v>16</v>
      </c>
    </row>
    <row r="122" spans="2:43" ht="13.5" customHeight="1" x14ac:dyDescent="0.55000000000000004">
      <c r="B122" s="66">
        <v>107</v>
      </c>
      <c r="C122" s="29">
        <v>7</v>
      </c>
      <c r="D122" s="30" t="s">
        <v>142</v>
      </c>
      <c r="E122" s="27" t="s">
        <v>347</v>
      </c>
      <c r="F122" s="29"/>
      <c r="G122" s="29"/>
      <c r="H122" s="36">
        <f>I122/AJ122</f>
        <v>94541.001237963734</v>
      </c>
      <c r="I122" s="37">
        <f>SUM(J122:Q122)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1494470.3728651078</v>
      </c>
      <c r="J122" s="21">
        <f>S122*(1+IF($AK122+IF(입력란!$C$26=1,10,0)+IF(입력란!$C$9=1,10,0)&gt;100,100,$AK122+IF(입력란!$C$26=1,10,0)+IF(입력란!$C$9=1,10,0))/100*(($AL122+IF(입력란!$C$30=1,IF(OR(입력란!$C$9=1,입력란!$C$10=1),55,17),IF(입력란!$C$30=2,IF(OR(입력란!$C$9=1,입력란!$C$10=1),60,20),IF(입력란!$C$30=3,IF(OR(입력란!$C$9=1,입력란!$C$10=1),65,22),0)))+IF(MID($E122,3,1)="3",80,0))/100-1))</f>
        <v>264582.95674263645</v>
      </c>
      <c r="K122" s="21">
        <f>T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+IF(MID($E122,3,1)="3",80,0))/100-1))</f>
        <v>264582.95674263645</v>
      </c>
      <c r="L122" s="21">
        <f>U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+IF(MID($E122,3,1)="3",80,0))/100-1))</f>
        <v>264582.95674263645</v>
      </c>
      <c r="M122" s="21">
        <f>V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+IF(MID($E122,3,1)="3",80,0))/100-1))</f>
        <v>264582.95674263645</v>
      </c>
      <c r="N122" s="21">
        <f>W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)/100-1))</f>
        <v>0</v>
      </c>
      <c r="O122" s="21">
        <f>X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)/100-1))</f>
        <v>0</v>
      </c>
      <c r="P122" s="21">
        <f>Y122*(1+IF($AK122+IF(입력란!$C$26=1,10,IF(MID($E122,1,1)="2",10,0))+IF(입력란!$C$9=1,10,0)&gt;100,100,$AK122+IF(입력란!$C$26=1,10,IF(MID($E122,1,1)="2",10,0))+IF(입력란!$C$9=1,10,0))/100*(($AL122+IF(입력란!$C$30=1,IF(OR(입력란!$C$9=1,입력란!$C$10=1),55,17),IF(입력란!$C$30=2,IF(OR(입력란!$C$9=1,입력란!$C$10=1),60,20),IF(입력란!$C$30=3,IF(OR(입력란!$C$9=1,입력란!$C$10=1),65,22),0))))/100-1))</f>
        <v>0</v>
      </c>
      <c r="Q122" s="20">
        <f>Z122*(1+IF($AK122+IF(입력란!$C$26=1,10,IF(MID($E122,1,1)="2",10,0))&gt;100,100,$AK122+IF(입력란!$C$26=1,10,IF(MID($E122,1,1)="2",10,0)))/100*(($AL122+IF(입력란!$C$30=1,17,IF(입력란!$C$30=2,20,IF(입력란!$C$30=3,22,0))))/100-1))</f>
        <v>0</v>
      </c>
      <c r="R122" s="19">
        <f>SUM(S122:Z122)</f>
        <v>326378.50568126305</v>
      </c>
      <c r="S122" s="21">
        <f>AN122*IF(입력란!$C$12=0,1,IF(입력란!$C$12=1,1.35,IF(입력란!$C$12=2,1.55,IF(입력란!$C$12=3,1.75,1))))*IF(MID(E122,3,1)="1",트라이포드!$J$11,트라이포드!$I$11)*IF(MID(E122,3,1)="2",트라이포드!$L$11,트라이포드!$K$11)*IF(MID(E122,3,1)="3",트라이포드!$N$11,트라이포드!$M$11)*IF(MID(E122,5,1)="1",트라이포드!$O$11,1)*IF(MID(E122,5,1)="2",트라이포드!$Q$11*트라이포드!$R$11,1)*IF(입력란!$C$9=1,IF(입력란!$C$15=0,1.05,IF(입력란!$C$15=1,1.05*1.05,IF(입력란!$C$15=2,1.05*1.12,IF(입력란!$C$15=3,1.05*1.25)))),1)/IF(MID(E122,3,1)="1",7,4)*IF(입력란!$C$30=1,IF(OR(입력란!$C$9=1,입력란!$C$10=1),1.21,1.07),IF(입력란!$C$30=2,IF(OR(입력란!$C$9=1,입력란!$C$10=1),1.24,1.08),IF(입력란!$C$30=3,IF(OR(입력란!$C$9=1,입력란!$C$10=1),1.26,1.09),1)))</f>
        <v>81594.626420315763</v>
      </c>
      <c r="T122" s="21">
        <f>S122</f>
        <v>81594.626420315763</v>
      </c>
      <c r="U122" s="21">
        <f>T122</f>
        <v>81594.626420315763</v>
      </c>
      <c r="V122" s="21">
        <f>U122</f>
        <v>81594.626420315763</v>
      </c>
      <c r="W122" s="21">
        <f>IF(MID($E122,3,1)="1",$S122,0)</f>
        <v>0</v>
      </c>
      <c r="X122" s="21">
        <f>IF(MID($E122,3,1)="1",$S122,0)</f>
        <v>0</v>
      </c>
      <c r="Y122" s="21">
        <f>IF(MID($E122,3,1)="1",$S122,0)</f>
        <v>0</v>
      </c>
      <c r="Z122" s="20">
        <f>AN122*IF(입력란!$C$12=0,1,IF(입력란!$C$12=1,1.35,IF(입력란!$C$12=2,1.55,IF(입력란!$C$12=3,1.75,1))))*IF(MID(E122,5,1)="1",트라이포드!$P$11*IF(MID(E122,3,1)="1",7,4)*5,0)*IF(입력란!$C$30=1,1.07,IF(입력란!$C$30=2,1.08,IF(입력란!$C$30=3,1.09,1)))</f>
        <v>0</v>
      </c>
      <c r="AA122" s="21">
        <f>SUM(AB122:AI122)</f>
        <v>652757.0113625261</v>
      </c>
      <c r="AB122" s="21">
        <f>S122*2</f>
        <v>163189.25284063153</v>
      </c>
      <c r="AC122" s="21">
        <f>T122*2</f>
        <v>163189.25284063153</v>
      </c>
      <c r="AD122" s="21">
        <f>U122*2</f>
        <v>163189.25284063153</v>
      </c>
      <c r="AE122" s="21">
        <f>V122*2</f>
        <v>163189.25284063153</v>
      </c>
      <c r="AF122" s="21">
        <f>W122*2</f>
        <v>0</v>
      </c>
      <c r="AG122" s="21">
        <f>X122*2</f>
        <v>0</v>
      </c>
      <c r="AH122" s="21">
        <f>Y122*2</f>
        <v>0</v>
      </c>
      <c r="AI122" s="20">
        <f>Z122*2</f>
        <v>0</v>
      </c>
      <c r="AJ122" s="21">
        <f>AQ122*(1-입력란!$P$10/100)</f>
        <v>15.807642750719999</v>
      </c>
      <c r="AK1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2" s="21">
        <f>입력란!$P$24+입력란!$P$16+IF(입력란!$C$18=1,10,IF(입력란!$C$18=2,25,IF(입력란!$C$18=3,50,0)))+IF(입력란!$C$23&lt;&gt;0,-12)</f>
        <v>380.66103559999999</v>
      </c>
      <c r="AM122" s="21">
        <f>SUM(AN122:AP122)</f>
        <v>270292.75832816819</v>
      </c>
      <c r="AN122" s="21">
        <f>(VLOOKUP(C122,$B$4:$AJ$7,9,FALSE)+VLOOKUP(C122,$B$8:$AJ$11,9,FALSE)*입력란!$P$4)*입력란!$P$25/100</f>
        <v>270292.75832816819</v>
      </c>
      <c r="AO122" s="21"/>
      <c r="AP122" s="21"/>
      <c r="AQ122" s="22">
        <v>16</v>
      </c>
    </row>
    <row r="123" spans="2:43" ht="13.5" customHeight="1" x14ac:dyDescent="0.55000000000000004">
      <c r="B123" s="66">
        <v>108</v>
      </c>
      <c r="C123" s="29">
        <v>7</v>
      </c>
      <c r="D123" s="30" t="s">
        <v>142</v>
      </c>
      <c r="E123" s="27" t="s">
        <v>143</v>
      </c>
      <c r="F123" s="29"/>
      <c r="G123" s="29"/>
      <c r="H123" s="36">
        <f>I123/AJ123</f>
        <v>69597.836783695733</v>
      </c>
      <c r="I123" s="37">
        <f>SUM(J123:Q123)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1100177.7400995817</v>
      </c>
      <c r="J123" s="21">
        <f>S123*(1+IF($AK123+IF(입력란!$C$26=1,10,0)+IF(입력란!$C$9=1,10,0)&gt;100,100,$AK123+IF(입력란!$C$26=1,10,0)+IF(입력란!$C$9=1,10,0))/100*(($AL123+IF(입력란!$C$30=1,IF(OR(입력란!$C$9=1,입력란!$C$10=1),55,17),IF(입력란!$C$30=2,IF(OR(입력란!$C$9=1,입력란!$C$10=1),60,20),IF(입력란!$C$30=3,IF(OR(입력란!$C$9=1,입력란!$C$10=1),65,22),0)))+IF(MID($E123,3,1)="3",80,0))/100-1))</f>
        <v>194776.88196650054</v>
      </c>
      <c r="K123" s="21">
        <f>T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+IF(MID($E123,3,1)="3",80,0))/100-1))</f>
        <v>194776.88196650054</v>
      </c>
      <c r="L123" s="21">
        <f>U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+IF(MID($E123,3,1)="3",80,0))/100-1))</f>
        <v>194776.88196650054</v>
      </c>
      <c r="M123" s="21">
        <f>V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+IF(MID($E123,3,1)="3",80,0))/100-1))</f>
        <v>194776.88196650054</v>
      </c>
      <c r="N123" s="21">
        <f>W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)/100-1))</f>
        <v>0</v>
      </c>
      <c r="O123" s="21">
        <f>X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)/100-1))</f>
        <v>0</v>
      </c>
      <c r="P123" s="21">
        <f>Y123*(1+IF($AK123+IF(입력란!$C$26=1,10,IF(MID($E123,1,1)="2",10,0))+IF(입력란!$C$9=1,10,0)&gt;100,100,$AK123+IF(입력란!$C$26=1,10,IF(MID($E123,1,1)="2",10,0))+IF(입력란!$C$9=1,10,0))/100*(($AL123+IF(입력란!$C$30=1,IF(OR(입력란!$C$9=1,입력란!$C$10=1),55,17),IF(입력란!$C$30=2,IF(OR(입력란!$C$9=1,입력란!$C$10=1),60,20),IF(입력란!$C$30=3,IF(OR(입력란!$C$9=1,입력란!$C$10=1),65,22),0))))/100-1))</f>
        <v>0</v>
      </c>
      <c r="Q123" s="20">
        <f>Z123*(1+IF($AK123+IF(입력란!$C$26=1,10,IF(MID($E123,1,1)="2",10,0))&gt;100,100,$AK123+IF(입력란!$C$26=1,10,IF(MID($E123,1,1)="2",10,0)))/100*(($AL123+IF(입력란!$C$30=1,17,IF(입력란!$C$30=2,20,IF(입력란!$C$30=3,22,0))))/100-1))</f>
        <v>0</v>
      </c>
      <c r="R123" s="19">
        <f>SUM(S123:Z123)</f>
        <v>283807.39624457661</v>
      </c>
      <c r="S123" s="21">
        <f>AN123*IF(입력란!$C$12=0,1,IF(입력란!$C$12=1,1.35,IF(입력란!$C$12=2,1.55,IF(입력란!$C$12=3,1.75,1))))*IF(MID(E123,3,1)="1",트라이포드!$J$11,트라이포드!$I$11)*IF(MID(E123,3,1)="2",트라이포드!$L$11,트라이포드!$K$11)*IF(MID(E123,3,1)="3",트라이포드!$N$11,트라이포드!$M$11)*IF(MID(E123,5,1)="1",트라이포드!$O$11,1)*IF(MID(E123,5,1)="2",트라이포드!$Q$11*트라이포드!$R$11,1)*IF(입력란!$C$9=1,IF(입력란!$C$15=0,1.05,IF(입력란!$C$15=1,1.05*1.05,IF(입력란!$C$15=2,1.05*1.12,IF(입력란!$C$15=3,1.05*1.25)))),1)/IF(MID(E123,3,1)="1",7,4)*IF(입력란!$C$30=1,IF(OR(입력란!$C$9=1,입력란!$C$10=1),1.21,1.07),IF(입력란!$C$30=2,IF(OR(입력란!$C$9=1,입력란!$C$10=1),1.24,1.08),IF(입력란!$C$30=3,IF(OR(입력란!$C$9=1,입력란!$C$10=1),1.26,1.09),1)))</f>
        <v>70951.849061144152</v>
      </c>
      <c r="T123" s="21">
        <f>S123</f>
        <v>70951.849061144152</v>
      </c>
      <c r="U123" s="21">
        <f>T123</f>
        <v>70951.849061144152</v>
      </c>
      <c r="V123" s="21">
        <f>U123</f>
        <v>70951.849061144152</v>
      </c>
      <c r="W123" s="21">
        <f>IF(MID($E123,3,1)="1",$S123,0)</f>
        <v>0</v>
      </c>
      <c r="X123" s="21">
        <f>IF(MID($E123,3,1)="1",$S123,0)</f>
        <v>0</v>
      </c>
      <c r="Y123" s="21">
        <f>IF(MID($E123,3,1)="1",$S123,0)</f>
        <v>0</v>
      </c>
      <c r="Z123" s="20">
        <f>AN123*IF(입력란!$C$12=0,1,IF(입력란!$C$12=1,1.35,IF(입력란!$C$12=2,1.55,IF(입력란!$C$12=3,1.75,1))))*IF(MID(E123,5,1)="1",트라이포드!$P$11*IF(MID(E123,3,1)="1",7,4)*5,0)*IF(입력란!$C$30=1,1.07,IF(입력란!$C$30=2,1.08,IF(입력란!$C$30=3,1.09,1)))</f>
        <v>0</v>
      </c>
      <c r="AA123" s="21">
        <f>SUM(AB123:AI123)</f>
        <v>567614.79248915322</v>
      </c>
      <c r="AB123" s="21">
        <f>S123*2</f>
        <v>141903.6981222883</v>
      </c>
      <c r="AC123" s="21">
        <f>T123*2</f>
        <v>141903.6981222883</v>
      </c>
      <c r="AD123" s="21">
        <f>U123*2</f>
        <v>141903.6981222883</v>
      </c>
      <c r="AE123" s="21">
        <f>V123*2</f>
        <v>141903.6981222883</v>
      </c>
      <c r="AF123" s="21">
        <f>W123*2</f>
        <v>0</v>
      </c>
      <c r="AG123" s="21">
        <f>X123*2</f>
        <v>0</v>
      </c>
      <c r="AH123" s="21">
        <f>Y123*2</f>
        <v>0</v>
      </c>
      <c r="AI123" s="20">
        <f>Z123*2</f>
        <v>0</v>
      </c>
      <c r="AJ123" s="21">
        <f>AQ123*(1-입력란!$P$10/100)</f>
        <v>15.807642750719999</v>
      </c>
      <c r="AK1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3" s="21">
        <f>입력란!$P$24+입력란!$P$16+IF(입력란!$C$18=1,10,IF(입력란!$C$18=2,25,IF(입력란!$C$18=3,50,0)))+IF(입력란!$C$23&lt;&gt;0,-12)</f>
        <v>380.66103559999999</v>
      </c>
      <c r="AM123" s="21">
        <f>SUM(AN123:AP123)</f>
        <v>270292.75832816819</v>
      </c>
      <c r="AN123" s="21">
        <f>(VLOOKUP(C123,$B$4:$AJ$7,9,FALSE)+VLOOKUP(C123,$B$8:$AJ$11,9,FALSE)*입력란!$P$4)*입력란!$P$25/100</f>
        <v>270292.75832816819</v>
      </c>
      <c r="AO123" s="21"/>
      <c r="AP123" s="21"/>
      <c r="AQ123" s="22">
        <v>16</v>
      </c>
    </row>
    <row r="124" spans="2:43" ht="13.5" customHeight="1" x14ac:dyDescent="0.55000000000000004">
      <c r="B124" s="66">
        <v>109</v>
      </c>
      <c r="C124" s="29">
        <v>7</v>
      </c>
      <c r="D124" s="30" t="s">
        <v>142</v>
      </c>
      <c r="E124" s="27" t="s">
        <v>144</v>
      </c>
      <c r="F124" s="29"/>
      <c r="G124" s="29"/>
      <c r="H124" s="36">
        <f>I124/AJ124</f>
        <v>111356.53885391321</v>
      </c>
      <c r="I124" s="37">
        <f>SUM(J124:Q124)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1760284.3841593312</v>
      </c>
      <c r="J124" s="21">
        <f>S124*(1+IF($AK124+IF(입력란!$C$26=1,10,0)+IF(입력란!$C$9=1,10,0)&gt;100,100,$AK124+IF(입력란!$C$26=1,10,0)+IF(입력란!$C$9=1,10,0))/100*(($AL124+IF(입력란!$C$30=1,IF(OR(입력란!$C$9=1,입력란!$C$10=1),55,17),IF(입력란!$C$30=2,IF(OR(입력란!$C$9=1,입력란!$C$10=1),60,20),IF(입력란!$C$30=3,IF(OR(입력란!$C$9=1,입력란!$C$10=1),65,22),0)))+IF(MID($E124,3,1)="3",80,0))/100-1))</f>
        <v>178081.72065508625</v>
      </c>
      <c r="K124" s="21">
        <f>T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+IF(MID($E124,3,1)="3",80,0))/100-1))</f>
        <v>178081.72065508625</v>
      </c>
      <c r="L124" s="21">
        <f>U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+IF(MID($E124,3,1)="3",80,0))/100-1))</f>
        <v>178081.72065508625</v>
      </c>
      <c r="M124" s="21">
        <f>V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+IF(MID($E124,3,1)="3",80,0))/100-1))</f>
        <v>178081.72065508625</v>
      </c>
      <c r="N124" s="21">
        <f>W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O124" s="21">
        <f>X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P124" s="21">
        <f>Y124*(1+IF($AK124+IF(입력란!$C$26=1,10,IF(MID($E124,1,1)="2",10,0))+IF(입력란!$C$9=1,10,0)&gt;100,100,$AK124+IF(입력란!$C$26=1,10,IF(MID($E124,1,1)="2",10,0))+IF(입력란!$C$9=1,10,0))/100*(($AL124+IF(입력란!$C$30=1,IF(OR(입력란!$C$9=1,입력란!$C$10=1),55,17),IF(입력란!$C$30=2,IF(OR(입력란!$C$9=1,입력란!$C$10=1),60,20),IF(입력란!$C$30=3,IF(OR(입력란!$C$9=1,입력란!$C$10=1),65,22),0))))/100-1))</f>
        <v>178081.72065508625</v>
      </c>
      <c r="Q124" s="20">
        <f>Z124*(1+IF($AK124+IF(입력란!$C$26=1,10,IF(MID($E124,1,1)="2",10,0))&gt;100,100,$AK124+IF(입력란!$C$26=1,10,IF(MID($E124,1,1)="2",10,0)))/100*(($AL124+IF(입력란!$C$30=1,17,IF(입력란!$C$30=2,20,IF(입력란!$C$30=3,22,0))))/100-1))</f>
        <v>0</v>
      </c>
      <c r="R124" s="19">
        <f>SUM(S124:Z124)</f>
        <v>454091.83399132267</v>
      </c>
      <c r="S124" s="21">
        <f>AN124*IF(입력란!$C$12=0,1,IF(입력란!$C$12=1,1.35,IF(입력란!$C$12=2,1.55,IF(입력란!$C$12=3,1.75,1))))*IF(MID(E124,3,1)="1",트라이포드!$J$11,트라이포드!$I$11)*IF(MID(E124,3,1)="2",트라이포드!$L$11,트라이포드!$K$11)*IF(MID(E124,3,1)="3",트라이포드!$N$11,트라이포드!$M$11)*IF(MID(E124,5,1)="1",트라이포드!$O$11,1)*IF(MID(E124,5,1)="2",트라이포드!$Q$11*트라이포드!$R$11,1)*IF(입력란!$C$9=1,IF(입력란!$C$15=0,1.05,IF(입력란!$C$15=1,1.05*1.05,IF(입력란!$C$15=2,1.05*1.12,IF(입력란!$C$15=3,1.05*1.25)))),1)/IF(MID(E124,3,1)="1",7,4)*IF(입력란!$C$30=1,IF(OR(입력란!$C$9=1,입력란!$C$10=1),1.21,1.07),IF(입력란!$C$30=2,IF(OR(입력란!$C$9=1,입력란!$C$10=1),1.24,1.08),IF(입력란!$C$30=3,IF(OR(입력란!$C$9=1,입력란!$C$10=1),1.26,1.09),1)))</f>
        <v>64870.261998760376</v>
      </c>
      <c r="T124" s="21">
        <f>S124</f>
        <v>64870.261998760376</v>
      </c>
      <c r="U124" s="21">
        <f>T124</f>
        <v>64870.261998760376</v>
      </c>
      <c r="V124" s="21">
        <f>U124</f>
        <v>64870.261998760376</v>
      </c>
      <c r="W124" s="21">
        <f>IF(MID($E124,3,1)="1",$S124,0)</f>
        <v>64870.261998760376</v>
      </c>
      <c r="X124" s="21">
        <f>IF(MID($E124,3,1)="1",$S124,0)</f>
        <v>64870.261998760376</v>
      </c>
      <c r="Y124" s="21">
        <f>IF(MID($E124,3,1)="1",$S124,0)</f>
        <v>64870.261998760376</v>
      </c>
      <c r="Z124" s="20">
        <f>AN124*IF(입력란!$C$12=0,1,IF(입력란!$C$12=1,1.35,IF(입력란!$C$12=2,1.55,IF(입력란!$C$12=3,1.75,1))))*IF(MID(E124,5,1)="1",트라이포드!$P$11*IF(MID(E124,3,1)="1",7,4)*5,0)*IF(입력란!$C$30=1,1.07,IF(입력란!$C$30=2,1.08,IF(입력란!$C$30=3,1.09,1)))</f>
        <v>0</v>
      </c>
      <c r="AA124" s="21">
        <f>SUM(AB124:AI124)</f>
        <v>908183.66798264533</v>
      </c>
      <c r="AB124" s="21">
        <f>S124*2</f>
        <v>129740.52399752075</v>
      </c>
      <c r="AC124" s="21">
        <f>T124*2</f>
        <v>129740.52399752075</v>
      </c>
      <c r="AD124" s="21">
        <f>U124*2</f>
        <v>129740.52399752075</v>
      </c>
      <c r="AE124" s="21">
        <f>V124*2</f>
        <v>129740.52399752075</v>
      </c>
      <c r="AF124" s="21">
        <f>W124*2</f>
        <v>129740.52399752075</v>
      </c>
      <c r="AG124" s="21">
        <f>X124*2</f>
        <v>129740.52399752075</v>
      </c>
      <c r="AH124" s="21">
        <f>Y124*2</f>
        <v>129740.52399752075</v>
      </c>
      <c r="AI124" s="20">
        <f>Z124*2</f>
        <v>0</v>
      </c>
      <c r="AJ124" s="21">
        <f>AQ124*(1-입력란!$P$10/100)</f>
        <v>15.807642750719999</v>
      </c>
      <c r="AK1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4" s="21">
        <f>입력란!$P$24+입력란!$P$16+IF(입력란!$C$18=1,10,IF(입력란!$C$18=2,25,IF(입력란!$C$18=3,50,0)))+IF(입력란!$C$23&lt;&gt;0,-12)</f>
        <v>380.66103559999999</v>
      </c>
      <c r="AM124" s="21">
        <f>SUM(AN124:AP124)</f>
        <v>270292.75832816819</v>
      </c>
      <c r="AN124" s="21">
        <f>(VLOOKUP(C124,$B$4:$AJ$7,9,FALSE)+VLOOKUP(C124,$B$8:$AJ$11,9,FALSE)*입력란!$P$4)*입력란!$P$25/100</f>
        <v>270292.75832816819</v>
      </c>
      <c r="AO124" s="21"/>
      <c r="AP124" s="21"/>
      <c r="AQ124" s="22">
        <v>16</v>
      </c>
    </row>
    <row r="125" spans="2:43" ht="13.5" customHeight="1" x14ac:dyDescent="0.55000000000000004">
      <c r="B125" s="66">
        <v>110</v>
      </c>
      <c r="C125" s="29">
        <v>7</v>
      </c>
      <c r="D125" s="30" t="s">
        <v>142</v>
      </c>
      <c r="E125" s="27" t="s">
        <v>139</v>
      </c>
      <c r="F125" s="29" t="s">
        <v>349</v>
      </c>
      <c r="G125" s="29"/>
      <c r="H125" s="36">
        <f>I125/AJ125</f>
        <v>139195.67356739147</v>
      </c>
      <c r="I125" s="37">
        <f>SUM(J125:Q125)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2200355.4801991633</v>
      </c>
      <c r="J125" s="21">
        <f>S125*(1+IF($AK125+IF(입력란!$C$26=1,10,0)+IF(입력란!$C$9=1,10,0)&gt;100,100,$AK125+IF(입력란!$C$26=1,10,0)+IF(입력란!$C$9=1,10,0))/100*(($AL125+IF(입력란!$C$30=1,IF(OR(입력란!$C$9=1,입력란!$C$10=1),55,17),IF(입력란!$C$30=2,IF(OR(입력란!$C$9=1,입력란!$C$10=1),60,20),IF(입력란!$C$30=3,IF(OR(입력란!$C$9=1,입력란!$C$10=1),65,22),0)))+IF(MID($E125,3,1)="3",80,0))/100-1))</f>
        <v>389553.76393300109</v>
      </c>
      <c r="K125" s="21">
        <f>T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+IF(MID($E125,3,1)="3",80,0))/100-1))</f>
        <v>389553.76393300109</v>
      </c>
      <c r="L125" s="21">
        <f>U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+IF(MID($E125,3,1)="3",80,0))/100-1))</f>
        <v>389553.76393300109</v>
      </c>
      <c r="M125" s="21">
        <f>V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+IF(MID($E125,3,1)="3",80,0))/100-1))</f>
        <v>389553.76393300109</v>
      </c>
      <c r="N125" s="21">
        <f>W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)/100-1))</f>
        <v>0</v>
      </c>
      <c r="O125" s="21">
        <f>X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)/100-1))</f>
        <v>0</v>
      </c>
      <c r="P125" s="21">
        <f>Y125*(1+IF($AK125+IF(입력란!$C$26=1,10,IF(MID($E125,1,1)="2",10,0))+IF(입력란!$C$9=1,10,0)&gt;100,100,$AK125+IF(입력란!$C$26=1,10,IF(MID($E125,1,1)="2",10,0))+IF(입력란!$C$9=1,10,0))/100*(($AL125+IF(입력란!$C$30=1,IF(OR(입력란!$C$9=1,입력란!$C$10=1),55,17),IF(입력란!$C$30=2,IF(OR(입력란!$C$9=1,입력란!$C$10=1),60,20),IF(입력란!$C$30=3,IF(OR(입력란!$C$9=1,입력란!$C$10=1),65,22),0))))/100-1))</f>
        <v>0</v>
      </c>
      <c r="Q125" s="20">
        <f>Z125*(1+IF($AK125+IF(입력란!$C$26=1,10,IF(MID($E125,1,1)="2",10,0))&gt;100,100,$AK125+IF(입력란!$C$26=1,10,IF(MID($E125,1,1)="2",10,0)))/100*(($AL125+IF(입력란!$C$30=1,17,IF(입력란!$C$30=2,20,IF(입력란!$C$30=3,22,0))))/100-1))</f>
        <v>0</v>
      </c>
      <c r="R125" s="19">
        <f>SUM(S125:Z125)</f>
        <v>567614.79248915322</v>
      </c>
      <c r="S125" s="21">
        <f>AN125*IF(입력란!$C$12=0,1,IF(입력란!$C$12=1,1.35,IF(입력란!$C$12=2,1.55,IF(입력란!$C$12=3,1.75,1))))*IF(MID(E125,3,1)="1",트라이포드!$J$11,트라이포드!$I$11)*IF(MID(E125,3,1)="2",트라이포드!$L$11,트라이포드!$K$11)*IF(MID(E125,3,1)="3",트라이포드!$N$11,트라이포드!$M$11)*IF(MID(E125,5,1)="1",트라이포드!$O$11,1)*IF(MID(E125,5,1)="2",트라이포드!$Q$11*트라이포드!$R$11,1)*IF(입력란!$C$9=1,IF(입력란!$C$15=0,1.05,IF(입력란!$C$15=1,1.05*1.05,IF(입력란!$C$15=2,1.05*1.12,IF(입력란!$C$15=3,1.05*1.25)))),1)/IF(MID(E125,3,1)="1",7,4)*IF(입력란!$C$30=1,IF(OR(입력란!$C$9=1,입력란!$C$10=1),1.21,1.07),IF(입력란!$C$30=2,IF(OR(입력란!$C$9=1,입력란!$C$10=1),1.24,1.08),IF(입력란!$C$30=3,IF(OR(입력란!$C$9=1,입력란!$C$10=1),1.26,1.09),1)))</f>
        <v>141903.6981222883</v>
      </c>
      <c r="T125" s="21">
        <f>S125</f>
        <v>141903.6981222883</v>
      </c>
      <c r="U125" s="21">
        <f>T125</f>
        <v>141903.6981222883</v>
      </c>
      <c r="V125" s="21">
        <f>U125</f>
        <v>141903.6981222883</v>
      </c>
      <c r="W125" s="21">
        <f>IF(MID($E125,3,1)="1",$S125,0)</f>
        <v>0</v>
      </c>
      <c r="X125" s="21">
        <f>IF(MID($E125,3,1)="1",$S125,0)</f>
        <v>0</v>
      </c>
      <c r="Y125" s="21">
        <f>IF(MID($E125,3,1)="1",$S125,0)</f>
        <v>0</v>
      </c>
      <c r="Z125" s="20">
        <f>AN125*IF(입력란!$C$12=0,1,IF(입력란!$C$12=1,1.35,IF(입력란!$C$12=2,1.55,IF(입력란!$C$12=3,1.75,1))))*IF(MID(E125,5,1)="1",트라이포드!$P$11*IF(MID(E125,3,1)="1",7,4)*5,0)*IF(입력란!$C$30=1,1.07,IF(입력란!$C$30=2,1.08,IF(입력란!$C$30=3,1.09,1)))</f>
        <v>0</v>
      </c>
      <c r="AA125" s="21">
        <f>SUM(AB125:AI125)</f>
        <v>1135229.5849783064</v>
      </c>
      <c r="AB125" s="21">
        <f>S125*2</f>
        <v>283807.39624457661</v>
      </c>
      <c r="AC125" s="21">
        <f>T125*2</f>
        <v>283807.39624457661</v>
      </c>
      <c r="AD125" s="21">
        <f>U125*2</f>
        <v>283807.39624457661</v>
      </c>
      <c r="AE125" s="21">
        <f>V125*2</f>
        <v>283807.39624457661</v>
      </c>
      <c r="AF125" s="21">
        <f>W125*2</f>
        <v>0</v>
      </c>
      <c r="AG125" s="21">
        <f>X125*2</f>
        <v>0</v>
      </c>
      <c r="AH125" s="21">
        <f>Y125*2</f>
        <v>0</v>
      </c>
      <c r="AI125" s="20">
        <f>Z125*2</f>
        <v>0</v>
      </c>
      <c r="AJ125" s="21">
        <f>AQ125*(1-입력란!$P$10/100)</f>
        <v>15.807642750719999</v>
      </c>
      <c r="AK1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5" s="21">
        <f>입력란!$P$24+입력란!$P$16+IF(입력란!$C$18=1,10,IF(입력란!$C$18=2,25,IF(입력란!$C$18=3,50,0)))+IF(입력란!$C$23&lt;&gt;0,-12)</f>
        <v>380.66103559999999</v>
      </c>
      <c r="AM125" s="21">
        <f>SUM(AN125:AP125)</f>
        <v>270292.75832816819</v>
      </c>
      <c r="AN125" s="21">
        <f>(VLOOKUP(C125,$B$4:$AJ$7,9,FALSE)+VLOOKUP(C125,$B$8:$AJ$11,9,FALSE)*입력란!$P$4)*입력란!$P$25/100</f>
        <v>270292.75832816819</v>
      </c>
      <c r="AO125" s="21"/>
      <c r="AP125" s="21"/>
      <c r="AQ125" s="22">
        <v>16</v>
      </c>
    </row>
    <row r="126" spans="2:43" ht="13.5" customHeight="1" x14ac:dyDescent="0.55000000000000004">
      <c r="B126" s="66">
        <v>111</v>
      </c>
      <c r="C126" s="29">
        <v>7</v>
      </c>
      <c r="D126" s="30" t="s">
        <v>142</v>
      </c>
      <c r="E126" s="27" t="s">
        <v>348</v>
      </c>
      <c r="F126" s="29"/>
      <c r="G126" s="29"/>
      <c r="H126" s="36">
        <f>I126/AJ126</f>
        <v>94541.001237963734</v>
      </c>
      <c r="I126" s="37">
        <f>SUM(J126:Q126)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1494470.3728651078</v>
      </c>
      <c r="J126" s="21">
        <f>S126*(1+IF($AK126+IF(입력란!$C$26=1,10,0)+IF(입력란!$C$9=1,10,0)&gt;100,100,$AK126+IF(입력란!$C$26=1,10,0)+IF(입력란!$C$9=1,10,0))/100*(($AL126+IF(입력란!$C$30=1,IF(OR(입력란!$C$9=1,입력란!$C$10=1),55,17),IF(입력란!$C$30=2,IF(OR(입력란!$C$9=1,입력란!$C$10=1),60,20),IF(입력란!$C$30=3,IF(OR(입력란!$C$9=1,입력란!$C$10=1),65,22),0)))+IF(MID($E126,3,1)="3",80,0))/100-1))</f>
        <v>264582.95674263645</v>
      </c>
      <c r="K126" s="21">
        <f>T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+IF(MID($E126,3,1)="3",80,0))/100-1))</f>
        <v>264582.95674263645</v>
      </c>
      <c r="L126" s="21">
        <f>U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+IF(MID($E126,3,1)="3",80,0))/100-1))</f>
        <v>264582.95674263645</v>
      </c>
      <c r="M126" s="21">
        <f>V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+IF(MID($E126,3,1)="3",80,0))/100-1))</f>
        <v>264582.95674263645</v>
      </c>
      <c r="N126" s="21">
        <f>W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)/100-1))</f>
        <v>0</v>
      </c>
      <c r="O126" s="21">
        <f>X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)/100-1))</f>
        <v>0</v>
      </c>
      <c r="P126" s="21">
        <f>Y126*(1+IF($AK126+IF(입력란!$C$26=1,10,IF(MID($E126,1,1)="2",10,0))+IF(입력란!$C$9=1,10,0)&gt;100,100,$AK126+IF(입력란!$C$26=1,10,IF(MID($E126,1,1)="2",10,0))+IF(입력란!$C$9=1,10,0))/100*(($AL126+IF(입력란!$C$30=1,IF(OR(입력란!$C$9=1,입력란!$C$10=1),55,17),IF(입력란!$C$30=2,IF(OR(입력란!$C$9=1,입력란!$C$10=1),60,20),IF(입력란!$C$30=3,IF(OR(입력란!$C$9=1,입력란!$C$10=1),65,22),0))))/100-1))</f>
        <v>0</v>
      </c>
      <c r="Q126" s="20">
        <f>Z126*(1+IF($AK126+IF(입력란!$C$26=1,10,IF(MID($E126,1,1)="2",10,0))&gt;100,100,$AK126+IF(입력란!$C$26=1,10,IF(MID($E126,1,1)="2",10,0)))/100*(($AL126+IF(입력란!$C$30=1,17,IF(입력란!$C$30=2,20,IF(입력란!$C$30=3,22,0))))/100-1))</f>
        <v>0</v>
      </c>
      <c r="R126" s="19">
        <f>SUM(S126:Z126)</f>
        <v>326378.50568126305</v>
      </c>
      <c r="S126" s="21">
        <f>AN126*IF(입력란!$C$12=0,1,IF(입력란!$C$12=1,1.35,IF(입력란!$C$12=2,1.55,IF(입력란!$C$12=3,1.75,1))))*IF(MID(E126,3,1)="1",트라이포드!$J$11,트라이포드!$I$11)*IF(MID(E126,3,1)="2",트라이포드!$L$11,트라이포드!$K$11)*IF(MID(E126,3,1)="3",트라이포드!$N$11,트라이포드!$M$11)*IF(MID(E126,5,1)="1",트라이포드!$O$11,1)*IF(MID(E126,5,1)="2",트라이포드!$Q$11*트라이포드!$R$11,1)*IF(입력란!$C$9=1,IF(입력란!$C$15=0,1.05,IF(입력란!$C$15=1,1.05*1.05,IF(입력란!$C$15=2,1.05*1.12,IF(입력란!$C$15=3,1.05*1.25)))),1)/IF(MID(E126,3,1)="1",7,4)*IF(입력란!$C$30=1,IF(OR(입력란!$C$9=1,입력란!$C$10=1),1.21,1.07),IF(입력란!$C$30=2,IF(OR(입력란!$C$9=1,입력란!$C$10=1),1.24,1.08),IF(입력란!$C$30=3,IF(OR(입력란!$C$9=1,입력란!$C$10=1),1.26,1.09),1)))</f>
        <v>81594.626420315763</v>
      </c>
      <c r="T126" s="21">
        <f>S126</f>
        <v>81594.626420315763</v>
      </c>
      <c r="U126" s="21">
        <f>T126</f>
        <v>81594.626420315763</v>
      </c>
      <c r="V126" s="21">
        <f>U126</f>
        <v>81594.626420315763</v>
      </c>
      <c r="W126" s="21">
        <f>IF(MID($E126,3,1)="1",$S126,0)</f>
        <v>0</v>
      </c>
      <c r="X126" s="21">
        <f>IF(MID($E126,3,1)="1",$S126,0)</f>
        <v>0</v>
      </c>
      <c r="Y126" s="21">
        <f>IF(MID($E126,3,1)="1",$S126,0)</f>
        <v>0</v>
      </c>
      <c r="Z126" s="20">
        <f>AN126*IF(입력란!$C$12=0,1,IF(입력란!$C$12=1,1.35,IF(입력란!$C$12=2,1.55,IF(입력란!$C$12=3,1.75,1))))*IF(MID(E126,5,1)="1",트라이포드!$P$11*IF(MID(E126,3,1)="1",7,4)*5,0)*IF(입력란!$C$30=1,1.07,IF(입력란!$C$30=2,1.08,IF(입력란!$C$30=3,1.09,1)))</f>
        <v>0</v>
      </c>
      <c r="AA126" s="21">
        <f>SUM(AB126:AI126)</f>
        <v>652757.0113625261</v>
      </c>
      <c r="AB126" s="21">
        <f>S126*2</f>
        <v>163189.25284063153</v>
      </c>
      <c r="AC126" s="21">
        <f>T126*2</f>
        <v>163189.25284063153</v>
      </c>
      <c r="AD126" s="21">
        <f>U126*2</f>
        <v>163189.25284063153</v>
      </c>
      <c r="AE126" s="21">
        <f>V126*2</f>
        <v>163189.25284063153</v>
      </c>
      <c r="AF126" s="21">
        <f>W126*2</f>
        <v>0</v>
      </c>
      <c r="AG126" s="21">
        <f>X126*2</f>
        <v>0</v>
      </c>
      <c r="AH126" s="21">
        <f>Y126*2</f>
        <v>0</v>
      </c>
      <c r="AI126" s="20">
        <f>Z126*2</f>
        <v>0</v>
      </c>
      <c r="AJ126" s="21">
        <f>AQ126*(1-입력란!$P$10/100)</f>
        <v>15.807642750719999</v>
      </c>
      <c r="AK1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6" s="21">
        <f>입력란!$P$24+입력란!$P$16+IF(입력란!$C$18=1,10,IF(입력란!$C$18=2,25,IF(입력란!$C$18=3,50,0)))+IF(입력란!$C$23&lt;&gt;0,-12)</f>
        <v>380.66103559999999</v>
      </c>
      <c r="AM126" s="21">
        <f>SUM(AN126:AP126)</f>
        <v>270292.75832816819</v>
      </c>
      <c r="AN126" s="21">
        <f>(VLOOKUP(C126,$B$4:$AJ$7,9,FALSE)+VLOOKUP(C126,$B$8:$AJ$11,9,FALSE)*입력란!$P$4)*입력란!$P$25/100</f>
        <v>270292.75832816819</v>
      </c>
      <c r="AO126" s="21"/>
      <c r="AP126" s="21"/>
      <c r="AQ126" s="22">
        <v>16</v>
      </c>
    </row>
    <row r="127" spans="2:43" ht="13.5" customHeight="1" x14ac:dyDescent="0.55000000000000004">
      <c r="B127" s="66">
        <v>112</v>
      </c>
      <c r="C127" s="29">
        <v>10</v>
      </c>
      <c r="D127" s="30" t="s">
        <v>142</v>
      </c>
      <c r="E127" s="27" t="s">
        <v>94</v>
      </c>
      <c r="F127" s="29"/>
      <c r="G127" s="29"/>
      <c r="H127" s="36">
        <f>I127/AJ127</f>
        <v>69625.027788034218</v>
      </c>
      <c r="I127" s="37">
        <f>SUM(J127:Q127)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1100607.5657821975</v>
      </c>
      <c r="J127" s="21">
        <f>S127*(1+IF($AK127+IF(입력란!$C$26=1,10,0)+IF(입력란!$C$9=1,10,0)&gt;100,100,$AK127+IF(입력란!$C$26=1,10,0)+IF(입력란!$C$9=1,10,0))/100*(($AL127+IF(입력란!$C$30=1,IF(OR(입력란!$C$9=1,입력란!$C$10=1),55,17),IF(입력란!$C$30=2,IF(OR(입력란!$C$9=1,입력란!$C$10=1),60,20),IF(입력란!$C$30=3,IF(OR(입력란!$C$9=1,입력란!$C$10=1),65,22),0)))+IF(MID($E127,3,1)="3",80,0))/100-1))</f>
        <v>194852.97885811867</v>
      </c>
      <c r="K127" s="21">
        <f>T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+IF(MID($E127,3,1)="3",80,0))/100-1))</f>
        <v>194852.97885811867</v>
      </c>
      <c r="L127" s="21">
        <f>U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+IF(MID($E127,3,1)="3",80,0))/100-1))</f>
        <v>194852.97885811867</v>
      </c>
      <c r="M127" s="21">
        <f>V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+IF(MID($E127,3,1)="3",80,0))/100-1))</f>
        <v>194852.97885811867</v>
      </c>
      <c r="N127" s="21">
        <f>W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)/100-1))</f>
        <v>0</v>
      </c>
      <c r="O127" s="21">
        <f>X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)/100-1))</f>
        <v>0</v>
      </c>
      <c r="P127" s="21">
        <f>Y127*(1+IF($AK127+IF(입력란!$C$26=1,10,IF(MID($E127,1,1)="2",10,0))+IF(입력란!$C$9=1,10,0)&gt;100,100,$AK127+IF(입력란!$C$26=1,10,IF(MID($E127,1,1)="2",10,0))+IF(입력란!$C$9=1,10,0))/100*(($AL127+IF(입력란!$C$30=1,IF(OR(입력란!$C$9=1,입력란!$C$10=1),55,17),IF(입력란!$C$30=2,IF(OR(입력란!$C$9=1,입력란!$C$10=1),60,20),IF(입력란!$C$30=3,IF(OR(입력란!$C$9=1,입력란!$C$10=1),65,22),0))))/100-1))</f>
        <v>0</v>
      </c>
      <c r="Q127" s="20">
        <f>Z127*(1+IF($AK127+IF(입력란!$C$26=1,10,IF(MID($E127,1,1)="2",10,0))&gt;100,100,$AK127+IF(입력란!$C$26=1,10,IF(MID($E127,1,1)="2",10,0)))/100*(($AL127+IF(입력란!$C$30=1,17,IF(입력란!$C$30=2,20,IF(입력란!$C$30=3,22,0))))/100-1))</f>
        <v>0</v>
      </c>
      <c r="R127" s="19">
        <f>SUM(S127:Z127)</f>
        <v>283918.27624457661</v>
      </c>
      <c r="S127" s="21">
        <f>AN127*IF(입력란!$C$12=0,1,IF(입력란!$C$12=1,1.35,IF(입력란!$C$12=2,1.55,IF(입력란!$C$12=3,1.75,1))))*IF(MID(E127,3,1)="1",트라이포드!$J$11,트라이포드!$I$11)*IF(MID(E127,3,1)="2",트라이포드!$L$11,트라이포드!$K$11)*IF(MID(E127,3,1)="3",트라이포드!$N$11,트라이포드!$M$11)*IF(MID(E127,5,1)="1",트라이포드!$O$11,1)*IF(MID(E127,5,1)="2",트라이포드!$Q$11*트라이포드!$R$11,1)*IF(입력란!$C$9=1,IF(입력란!$C$15=0,1.05,IF(입력란!$C$15=1,1.05*1.05,IF(입력란!$C$15=2,1.05*1.12,IF(입력란!$C$15=3,1.05*1.25)))),1)/IF(MID(E127,3,1)="1",7,4)*IF(입력란!$C$30=1,IF(OR(입력란!$C$9=1,입력란!$C$10=1),1.21,1.07),IF(입력란!$C$30=2,IF(OR(입력란!$C$9=1,입력란!$C$10=1),1.24,1.08),IF(입력란!$C$30=3,IF(OR(입력란!$C$9=1,입력란!$C$10=1),1.26,1.09),1)))</f>
        <v>70979.569061144153</v>
      </c>
      <c r="T127" s="21">
        <f>S127</f>
        <v>70979.569061144153</v>
      </c>
      <c r="U127" s="21">
        <f>T127</f>
        <v>70979.569061144153</v>
      </c>
      <c r="V127" s="21">
        <f>U127</f>
        <v>70979.569061144153</v>
      </c>
      <c r="W127" s="21">
        <f>IF(MID($E127,3,1)="1",$S127,0)</f>
        <v>0</v>
      </c>
      <c r="X127" s="21">
        <f>IF(MID($E127,3,1)="1",$S127,0)</f>
        <v>0</v>
      </c>
      <c r="Y127" s="21">
        <f>IF(MID($E127,3,1)="1",$S127,0)</f>
        <v>0</v>
      </c>
      <c r="Z127" s="20">
        <f>AN127*IF(입력란!$C$12=0,1,IF(입력란!$C$12=1,1.35,IF(입력란!$C$12=2,1.55,IF(입력란!$C$12=3,1.75,1))))*IF(MID(E127,5,1)="1",트라이포드!$P$11*IF(MID(E127,3,1)="1",7,4)*5,0)*IF(입력란!$C$30=1,1.07,IF(입력란!$C$30=2,1.08,IF(입력란!$C$30=3,1.09,1)))</f>
        <v>0</v>
      </c>
      <c r="AA127" s="21">
        <f>SUM(AB127:AI127)</f>
        <v>567836.55248915323</v>
      </c>
      <c r="AB127" s="21">
        <f>S127*2</f>
        <v>141959.13812228831</v>
      </c>
      <c r="AC127" s="21">
        <f>T127*2</f>
        <v>141959.13812228831</v>
      </c>
      <c r="AD127" s="21">
        <f>U127*2</f>
        <v>141959.13812228831</v>
      </c>
      <c r="AE127" s="21">
        <f>V127*2</f>
        <v>141959.13812228831</v>
      </c>
      <c r="AF127" s="21">
        <f>W127*2</f>
        <v>0</v>
      </c>
      <c r="AG127" s="21">
        <f>X127*2</f>
        <v>0</v>
      </c>
      <c r="AH127" s="21">
        <f>Y127*2</f>
        <v>0</v>
      </c>
      <c r="AI127" s="20">
        <f>Z127*2</f>
        <v>0</v>
      </c>
      <c r="AJ127" s="21">
        <f>AQ127*(1-입력란!$P$10/100)</f>
        <v>15.807642750719999</v>
      </c>
      <c r="AK1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7" s="21">
        <f>입력란!$P$24+입력란!$P$16+IF(입력란!$C$18=1,10,IF(입력란!$C$18=2,25,IF(입력란!$C$18=3,50,0)))+IF(입력란!$C$23&lt;&gt;0,-12)</f>
        <v>380.66103559999999</v>
      </c>
      <c r="AM127" s="21">
        <f>SUM(AN127:AP127)</f>
        <v>270398.35832816816</v>
      </c>
      <c r="AN127" s="21">
        <f>(VLOOKUP(C127,$B$4:$AJ$7,9,FALSE)+VLOOKUP(C127,$B$8:$AJ$11,9,FALSE)*입력란!$P$4)*입력란!$P$25/100</f>
        <v>270398.35832816816</v>
      </c>
      <c r="AO127" s="21"/>
      <c r="AP127" s="21"/>
      <c r="AQ127" s="22">
        <v>16</v>
      </c>
    </row>
    <row r="128" spans="2:43" ht="13.5" customHeight="1" x14ac:dyDescent="0.55000000000000004">
      <c r="B128" s="66">
        <v>113</v>
      </c>
      <c r="C128" s="29">
        <v>10</v>
      </c>
      <c r="D128" s="30" t="s">
        <v>142</v>
      </c>
      <c r="E128" s="27" t="s">
        <v>121</v>
      </c>
      <c r="F128" s="29" t="s">
        <v>346</v>
      </c>
      <c r="G128" s="29"/>
      <c r="H128" s="36">
        <f>I128/AJ128</f>
        <v>101046.8542366053</v>
      </c>
      <c r="I128" s="37">
        <f>SUM(J128:Q128)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1597312.5728563343</v>
      </c>
      <c r="J128" s="21">
        <f>S128*(1+IF($AK128+IF(입력란!$C$26=1,10,0)+IF(입력란!$C$9=1,10,0)&gt;100,100,$AK128+IF(입력란!$C$26=1,10,0)+IF(입력란!$C$9=1,10,0))/100*(($AL128+IF(입력란!$C$30=1,IF(OR(입력란!$C$9=1,입력란!$C$10=1),55,17),IF(입력란!$C$30=2,IF(OR(입력란!$C$9=1,입력란!$C$10=1),60,20),IF(입력란!$C$30=3,IF(OR(입력란!$C$9=1,입력란!$C$10=1),65,22),0)))+IF(MID($E128,3,1)="3",80,0))/100-1))</f>
        <v>272794.17040136608</v>
      </c>
      <c r="K128" s="21">
        <f>T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+IF(MID($E128,3,1)="3",80,0))/100-1))</f>
        <v>272794.17040136608</v>
      </c>
      <c r="L128" s="21">
        <f>U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+IF(MID($E128,3,1)="3",80,0))/100-1))</f>
        <v>272794.17040136608</v>
      </c>
      <c r="M128" s="21">
        <f>V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+IF(MID($E128,3,1)="3",80,0))/100-1))</f>
        <v>272794.17040136608</v>
      </c>
      <c r="N128" s="21">
        <f>W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)/100-1))</f>
        <v>0</v>
      </c>
      <c r="O128" s="21">
        <f>X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)/100-1))</f>
        <v>0</v>
      </c>
      <c r="P128" s="21">
        <f>Y128*(1+IF($AK128+IF(입력란!$C$26=1,10,IF(MID($E128,1,1)="2",10,0))+IF(입력란!$C$9=1,10,0)&gt;100,100,$AK128+IF(입력란!$C$26=1,10,IF(MID($E128,1,1)="2",10,0))+IF(입력란!$C$9=1,10,0))/100*(($AL128+IF(입력란!$C$30=1,IF(OR(입력란!$C$9=1,입력란!$C$10=1),55,17),IF(입력란!$C$30=2,IF(OR(입력란!$C$9=1,입력란!$C$10=1),60,20),IF(입력란!$C$30=3,IF(OR(입력란!$C$9=1,입력란!$C$10=1),65,22),0))))/100-1))</f>
        <v>0</v>
      </c>
      <c r="Q128" s="20">
        <f>Z128*(1+IF($AK128+IF(입력란!$C$26=1,10,IF(MID($E128,1,1)="2",10,0))&gt;100,100,$AK128+IF(입력란!$C$26=1,10,IF(MID($E128,1,1)="2",10,0)))/100*(($AL128+IF(입력란!$C$30=1,17,IF(입력란!$C$30=2,20,IF(입력란!$C$30=3,22,0))))/100-1))</f>
        <v>39984.406742623134</v>
      </c>
      <c r="R128" s="19">
        <f>SUM(S128:Z128)</f>
        <v>413709.48824209726</v>
      </c>
      <c r="S128" s="21">
        <f>AN128*IF(입력란!$C$12=0,1,IF(입력란!$C$12=1,1.35,IF(입력란!$C$12=2,1.55,IF(입력란!$C$12=3,1.75,1))))*IF(MID(E128,3,1)="1",트라이포드!$J$11,트라이포드!$I$11)*IF(MID(E128,3,1)="2",트라이포드!$L$11,트라이포드!$K$11)*IF(MID(E128,3,1)="3",트라이포드!$N$11,트라이포드!$M$11)*IF(MID(E128,5,1)="1",트라이포드!$O$11,1)*IF(MID(E128,5,1)="2",트라이포드!$Q$11*트라이포드!$R$11,1)*IF(입력란!$C$9=1,IF(입력란!$C$15=0,1.05,IF(입력란!$C$15=1,1.05*1.05,IF(입력란!$C$15=2,1.05*1.12,IF(입력란!$C$15=3,1.05*1.25)))),1)/IF(MID(E128,3,1)="1",7,4)*IF(입력란!$C$30=1,IF(OR(입력란!$C$9=1,입력란!$C$10=1),1.21,1.07),IF(입력란!$C$30=2,IF(OR(입력란!$C$9=1,입력란!$C$10=1),1.24,1.08),IF(입력란!$C$30=3,IF(OR(입력란!$C$9=1,입력란!$C$10=1),1.26,1.09),1)))</f>
        <v>99371.396685601794</v>
      </c>
      <c r="T128" s="21">
        <f>S128</f>
        <v>99371.396685601794</v>
      </c>
      <c r="U128" s="21">
        <f>T128</f>
        <v>99371.396685601794</v>
      </c>
      <c r="V128" s="21">
        <f>U128</f>
        <v>99371.396685601794</v>
      </c>
      <c r="W128" s="21">
        <f>IF(MID($E128,3,1)="1",$S128,0)</f>
        <v>0</v>
      </c>
      <c r="X128" s="21">
        <f>IF(MID($E128,3,1)="1",$S128,0)</f>
        <v>0</v>
      </c>
      <c r="Y128" s="21">
        <f>IF(MID($E128,3,1)="1",$S128,0)</f>
        <v>0</v>
      </c>
      <c r="Z128" s="20">
        <f>AN128*IF(입력란!$C$12=0,1,IF(입력란!$C$12=1,1.35,IF(입력란!$C$12=2,1.55,IF(입력란!$C$12=3,1.75,1))))*IF(MID(E128,5,1)="1",트라이포드!$P$11*IF(MID(E128,3,1)="1",7,4)*5,0)*IF(입력란!$C$30=1,1.07,IF(입력란!$C$30=2,1.08,IF(입력란!$C$30=3,1.09,1)))</f>
        <v>16223.90149969009</v>
      </c>
      <c r="AA128" s="21">
        <f>SUM(AB128:AI128)</f>
        <v>827418.97648419451</v>
      </c>
      <c r="AB128" s="21">
        <f>S128*2</f>
        <v>198742.79337120359</v>
      </c>
      <c r="AC128" s="21">
        <f>T128*2</f>
        <v>198742.79337120359</v>
      </c>
      <c r="AD128" s="21">
        <f>U128*2</f>
        <v>198742.79337120359</v>
      </c>
      <c r="AE128" s="21">
        <f>V128*2</f>
        <v>198742.79337120359</v>
      </c>
      <c r="AF128" s="21">
        <f>W128*2</f>
        <v>0</v>
      </c>
      <c r="AG128" s="21">
        <f>X128*2</f>
        <v>0</v>
      </c>
      <c r="AH128" s="21">
        <f>Y128*2</f>
        <v>0</v>
      </c>
      <c r="AI128" s="20">
        <f>Z128*2</f>
        <v>32447.802999380179</v>
      </c>
      <c r="AJ128" s="21">
        <f>AQ128*(1-입력란!$P$10/100)</f>
        <v>15.807642750719999</v>
      </c>
      <c r="AK1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8" s="21">
        <f>입력란!$P$24+입력란!$P$16+IF(입력란!$C$18=1,10,IF(입력란!$C$18=2,25,IF(입력란!$C$18=3,50,0)))+IF(입력란!$C$23&lt;&gt;0,-12)</f>
        <v>380.66103559999999</v>
      </c>
      <c r="AM128" s="21">
        <f>SUM(AN128:AP128)</f>
        <v>270398.35832816816</v>
      </c>
      <c r="AN128" s="21">
        <f>(VLOOKUP(C128,$B$4:$AJ$7,9,FALSE)+VLOOKUP(C128,$B$8:$AJ$11,9,FALSE)*입력란!$P$4)*입력란!$P$25/100</f>
        <v>270398.35832816816</v>
      </c>
      <c r="AO128" s="21"/>
      <c r="AP128" s="21"/>
      <c r="AQ128" s="22">
        <v>16</v>
      </c>
    </row>
    <row r="129" spans="2:43" ht="13.5" customHeight="1" x14ac:dyDescent="0.55000000000000004">
      <c r="B129" s="66">
        <v>114</v>
      </c>
      <c r="C129" s="29">
        <v>10</v>
      </c>
      <c r="D129" s="30" t="s">
        <v>142</v>
      </c>
      <c r="E129" s="27" t="s">
        <v>122</v>
      </c>
      <c r="F129" s="29"/>
      <c r="G129" s="29" t="s">
        <v>481</v>
      </c>
      <c r="H129" s="36">
        <f>I129/AJ129</f>
        <v>104089.41654311115</v>
      </c>
      <c r="I129" s="37">
        <f>SUM(J129:Q129)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1645408.3108443853</v>
      </c>
      <c r="J129" s="21">
        <f>S129*(1+IF($AK129+IF(입력란!$C$26=1,10,0)+IF(입력란!$C$9=1,10,0)&gt;100,100,$AK129+IF(입력란!$C$26=1,10,0)+IF(입력란!$C$9=1,10,0))/100*(($AL129+IF(입력란!$C$30=1,IF(OR(입력란!$C$9=1,입력란!$C$10=1),55,17),IF(입력란!$C$30=2,IF(OR(입력란!$C$9=1,입력란!$C$10=1),60,20),IF(입력란!$C$30=3,IF(OR(입력란!$C$9=1,입력란!$C$10=1),65,22),0)))+IF(MID($E129,3,1)="3",80,0))/100-1))</f>
        <v>291305.20339288737</v>
      </c>
      <c r="K129" s="21">
        <f>T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+IF(MID($E129,3,1)="3",80,0))/100-1))</f>
        <v>291305.20339288737</v>
      </c>
      <c r="L129" s="21">
        <f>U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+IF(MID($E129,3,1)="3",80,0))/100-1))</f>
        <v>291305.20339288737</v>
      </c>
      <c r="M129" s="21">
        <f>V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+IF(MID($E129,3,1)="3",80,0))/100-1))</f>
        <v>291305.20339288737</v>
      </c>
      <c r="N129" s="21">
        <f>W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)/100-1))</f>
        <v>0</v>
      </c>
      <c r="O129" s="21">
        <f>X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)/100-1))</f>
        <v>0</v>
      </c>
      <c r="P129" s="21">
        <f>Y129*(1+IF($AK129+IF(입력란!$C$26=1,10,IF(MID($E129,1,1)="2",10,0))+IF(입력란!$C$9=1,10,0)&gt;100,100,$AK129+IF(입력란!$C$26=1,10,IF(MID($E129,1,1)="2",10,0))+IF(입력란!$C$9=1,10,0))/100*(($AL129+IF(입력란!$C$30=1,IF(OR(입력란!$C$9=1,입력란!$C$10=1),55,17),IF(입력란!$C$30=2,IF(OR(입력란!$C$9=1,입력란!$C$10=1),60,20),IF(입력란!$C$30=3,IF(OR(입력란!$C$9=1,입력란!$C$10=1),65,22),0))))/100-1))</f>
        <v>0</v>
      </c>
      <c r="Q129" s="20">
        <f>Z129*(1+IF($AK129+IF(입력란!$C$26=1,10,IF(MID($E129,1,1)="2",10,0))&gt;100,100,$AK129+IF(입력란!$C$26=1,10,IF(MID($E129,1,1)="2",10,0)))/100*(($AL129+IF(입력란!$C$30=1,17,IF(입력란!$C$30=2,20,IF(입력란!$C$30=3,22,0))))/100-1))</f>
        <v>0</v>
      </c>
      <c r="R129" s="19">
        <f>SUM(S129:Z129)</f>
        <v>424457.82298564195</v>
      </c>
      <c r="S129" s="21">
        <f>AN129*IF(입력란!$C$12=0,1,IF(입력란!$C$12=1,1.35,IF(입력란!$C$12=2,1.55,IF(입력란!$C$12=3,1.75,1))))*IF(MID(E129,3,1)="1",트라이포드!$J$11,트라이포드!$I$11)*IF(MID(E129,3,1)="2",트라이포드!$L$11,트라이포드!$K$11)*IF(MID(E129,3,1)="3",트라이포드!$N$11,트라이포드!$M$11)*IF(MID(E129,5,1)="1",트라이포드!$O$11,1)*IF(MID(E129,5,1)="2",트라이포드!$Q$11*트라이포드!$R$11,1)*IF(입력란!$C$9=1,IF(입력란!$C$15=0,1.05,IF(입력란!$C$15=1,1.05*1.05,IF(입력란!$C$15=2,1.05*1.12,IF(입력란!$C$15=3,1.05*1.25)))),1)/IF(MID(E129,3,1)="1",7,4)*IF(입력란!$C$30=1,IF(OR(입력란!$C$9=1,입력란!$C$10=1),1.21,1.07),IF(입력란!$C$30=2,IF(OR(입력란!$C$9=1,입력란!$C$10=1),1.24,1.08),IF(입력란!$C$30=3,IF(OR(입력란!$C$9=1,입력란!$C$10=1),1.26,1.09),1)))</f>
        <v>106114.45574641049</v>
      </c>
      <c r="T129" s="21">
        <f>S129</f>
        <v>106114.45574641049</v>
      </c>
      <c r="U129" s="21">
        <f>T129</f>
        <v>106114.45574641049</v>
      </c>
      <c r="V129" s="21">
        <f>U129</f>
        <v>106114.45574641049</v>
      </c>
      <c r="W129" s="21">
        <f>IF(MID($E129,3,1)="1",$S129,0)</f>
        <v>0</v>
      </c>
      <c r="X129" s="21">
        <f>IF(MID($E129,3,1)="1",$S129,0)</f>
        <v>0</v>
      </c>
      <c r="Y129" s="21">
        <f>IF(MID($E129,3,1)="1",$S129,0)</f>
        <v>0</v>
      </c>
      <c r="Z129" s="20">
        <f>AN129*IF(입력란!$C$12=0,1,IF(입력란!$C$12=1,1.35,IF(입력란!$C$12=2,1.55,IF(입력란!$C$12=3,1.75,1))))*IF(MID(E129,5,1)="1",트라이포드!$P$11*IF(MID(E129,3,1)="1",7,4)*5,0)*IF(입력란!$C$30=1,1.07,IF(입력란!$C$30=2,1.08,IF(입력란!$C$30=3,1.09,1)))</f>
        <v>0</v>
      </c>
      <c r="AA129" s="21">
        <f>SUM(AB129:AI129)</f>
        <v>848915.6459712839</v>
      </c>
      <c r="AB129" s="21">
        <f>S129*2</f>
        <v>212228.91149282097</v>
      </c>
      <c r="AC129" s="21">
        <f>T129*2</f>
        <v>212228.91149282097</v>
      </c>
      <c r="AD129" s="21">
        <f>U129*2</f>
        <v>212228.91149282097</v>
      </c>
      <c r="AE129" s="21">
        <f>V129*2</f>
        <v>212228.91149282097</v>
      </c>
      <c r="AF129" s="21">
        <f>W129*2</f>
        <v>0</v>
      </c>
      <c r="AG129" s="21">
        <f>X129*2</f>
        <v>0</v>
      </c>
      <c r="AH129" s="21">
        <f>Y129*2</f>
        <v>0</v>
      </c>
      <c r="AI129" s="20">
        <f>Z129*2</f>
        <v>0</v>
      </c>
      <c r="AJ129" s="21">
        <f>AQ129*(1-입력란!$P$10/100)</f>
        <v>15.807642750719999</v>
      </c>
      <c r="AK1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29" s="21">
        <f>입력란!$P$24+입력란!$P$16+IF(입력란!$C$18=1,10,IF(입력란!$C$18=2,25,IF(입력란!$C$18=3,50,0)))+IF(입력란!$C$23&lt;&gt;0,-12)</f>
        <v>380.66103559999999</v>
      </c>
      <c r="AM129" s="21">
        <f>SUM(AN129:AP129)</f>
        <v>270398.35832816816</v>
      </c>
      <c r="AN129" s="21">
        <f>(VLOOKUP(C129,$B$4:$AJ$7,9,FALSE)+VLOOKUP(C129,$B$8:$AJ$11,9,FALSE)*입력란!$P$4)*입력란!$P$25/100</f>
        <v>270398.35832816816</v>
      </c>
      <c r="AO129" s="21"/>
      <c r="AP129" s="21"/>
      <c r="AQ129" s="22">
        <v>16</v>
      </c>
    </row>
    <row r="130" spans="2:43" ht="13.5" customHeight="1" x14ac:dyDescent="0.55000000000000004">
      <c r="B130" s="66">
        <v>115</v>
      </c>
      <c r="C130" s="29">
        <v>10</v>
      </c>
      <c r="D130" s="30" t="s">
        <v>142</v>
      </c>
      <c r="E130" s="27" t="s">
        <v>145</v>
      </c>
      <c r="F130" s="29" t="s">
        <v>346</v>
      </c>
      <c r="G130" s="29"/>
      <c r="H130" s="36">
        <f>I130/AJ130</f>
        <v>162210.73907857214</v>
      </c>
      <c r="I130" s="37">
        <f>SUM(J130:Q130)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2564169.4136843244</v>
      </c>
      <c r="J130" s="21">
        <f>S130*(1+IF($AK130+IF(입력란!$C$26=1,10,0)+IF(입력란!$C$9=1,10,0)&gt;100,100,$AK130+IF(입력란!$C$26=1,10,0)+IF(입력란!$C$9=1,10,0))/100*(($AL130+IF(입력란!$C$30=1,IF(OR(입력란!$C$9=1,입력란!$C$10=1),55,17),IF(입력란!$C$30=2,IF(OR(입력란!$C$9=1,입력란!$C$10=1),60,20),IF(입력란!$C$30=3,IF(OR(입력란!$C$9=1,입력란!$C$10=1),65,22),0)))+IF(MID($E130,3,1)="3",80,0))/100-1))</f>
        <v>249411.81293839187</v>
      </c>
      <c r="K130" s="21">
        <f>T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+IF(MID($E130,3,1)="3",80,0))/100-1))</f>
        <v>249411.81293839187</v>
      </c>
      <c r="L130" s="21">
        <f>U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+IF(MID($E130,3,1)="3",80,0))/100-1))</f>
        <v>249411.81293839187</v>
      </c>
      <c r="M130" s="21">
        <f>V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+IF(MID($E130,3,1)="3",80,0))/100-1))</f>
        <v>249411.81293839187</v>
      </c>
      <c r="N130" s="21">
        <f>W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O130" s="21">
        <f>X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P130" s="21">
        <f>Y130*(1+IF($AK130+IF(입력란!$C$26=1,10,IF(MID($E130,1,1)="2",10,0))+IF(입력란!$C$9=1,10,0)&gt;100,100,$AK130+IF(입력란!$C$26=1,10,IF(MID($E130,1,1)="2",10,0))+IF(입력란!$C$9=1,10,0))/100*(($AL130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Q130" s="20">
        <f>Z130*(1+IF($AK130+IF(입력란!$C$26=1,10,IF(MID($E130,1,1)="2",10,0))&gt;100,100,$AK130+IF(입력란!$C$26=1,10,IF(MID($E130,1,1)="2",10,0)))/100*(($AL130+IF(입력란!$C$30=1,17,IF(입력란!$C$30=2,20,IF(입력란!$C$30=3,22,0))))/100-1))</f>
        <v>69972.711799590485</v>
      </c>
      <c r="R130" s="19">
        <f>SUM(S130:Z130)</f>
        <v>664368.76641230914</v>
      </c>
      <c r="S130" s="21">
        <f>AN130*IF(입력란!$C$12=0,1,IF(입력란!$C$12=1,1.35,IF(입력란!$C$12=2,1.55,IF(입력란!$C$12=3,1.75,1))))*IF(MID(E130,3,1)="1",트라이포드!$J$11,트라이포드!$I$11)*IF(MID(E130,3,1)="2",트라이포드!$L$11,트라이포드!$K$11)*IF(MID(E130,3,1)="3",트라이포드!$N$11,트라이포드!$M$11)*IF(MID(E130,5,1)="1",트라이포드!$O$11,1)*IF(MID(E130,5,1)="2",트라이포드!$Q$11*트라이포드!$R$11,1)*IF(입력란!$C$9=1,IF(입력란!$C$15=0,1.05,IF(입력란!$C$15=1,1.05*1.05,IF(입력란!$C$15=2,1.05*1.12,IF(입력란!$C$15=3,1.05*1.25)))),1)/IF(MID(E130,3,1)="1",7,4)*IF(입력란!$C$30=1,IF(OR(입력란!$C$9=1,입력란!$C$10=1),1.21,1.07),IF(입력란!$C$30=2,IF(OR(입력란!$C$9=1,입력란!$C$10=1),1.24,1.08),IF(입력란!$C$30=3,IF(OR(입력란!$C$9=1,입력란!$C$10=1),1.26,1.09),1)))</f>
        <v>90853.848398264498</v>
      </c>
      <c r="T130" s="21">
        <f>S130</f>
        <v>90853.848398264498</v>
      </c>
      <c r="U130" s="21">
        <f>T130</f>
        <v>90853.848398264498</v>
      </c>
      <c r="V130" s="21">
        <f>U130</f>
        <v>90853.848398264498</v>
      </c>
      <c r="W130" s="21">
        <f>IF(MID($E130,3,1)="1",$S130,0)</f>
        <v>90853.848398264498</v>
      </c>
      <c r="X130" s="21">
        <f>IF(MID($E130,3,1)="1",$S130,0)</f>
        <v>90853.848398264498</v>
      </c>
      <c r="Y130" s="21">
        <f>IF(MID($E130,3,1)="1",$S130,0)</f>
        <v>90853.848398264498</v>
      </c>
      <c r="Z130" s="20">
        <f>AN130*IF(입력란!$C$12=0,1,IF(입력란!$C$12=1,1.35,IF(입력란!$C$12=2,1.55,IF(입력란!$C$12=3,1.75,1))))*IF(MID(E130,5,1)="1",트라이포드!$P$11*IF(MID(E130,3,1)="1",7,4)*5,0)*IF(입력란!$C$30=1,1.07,IF(입력란!$C$30=2,1.08,IF(입력란!$C$30=3,1.09,1)))</f>
        <v>28391.827624457659</v>
      </c>
      <c r="AA130" s="21">
        <f>SUM(AB130:AI130)</f>
        <v>1328737.5328246183</v>
      </c>
      <c r="AB130" s="21">
        <f>S130*2</f>
        <v>181707.696796529</v>
      </c>
      <c r="AC130" s="21">
        <f>T130*2</f>
        <v>181707.696796529</v>
      </c>
      <c r="AD130" s="21">
        <f>U130*2</f>
        <v>181707.696796529</v>
      </c>
      <c r="AE130" s="21">
        <f>V130*2</f>
        <v>181707.696796529</v>
      </c>
      <c r="AF130" s="21">
        <f>W130*2</f>
        <v>181707.696796529</v>
      </c>
      <c r="AG130" s="21">
        <f>X130*2</f>
        <v>181707.696796529</v>
      </c>
      <c r="AH130" s="21">
        <f>Y130*2</f>
        <v>181707.696796529</v>
      </c>
      <c r="AI130" s="20">
        <f>Z130*2</f>
        <v>56783.655248915318</v>
      </c>
      <c r="AJ130" s="21">
        <f>AQ130*(1-입력란!$P$10/100)</f>
        <v>15.807642750719999</v>
      </c>
      <c r="AK1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0" s="21">
        <f>입력란!$P$24+입력란!$P$16+IF(입력란!$C$18=1,10,IF(입력란!$C$18=2,25,IF(입력란!$C$18=3,50,0)))+IF(입력란!$C$23&lt;&gt;0,-12)</f>
        <v>380.66103559999999</v>
      </c>
      <c r="AM130" s="21">
        <f>SUM(AN130:AP130)</f>
        <v>270398.35832816816</v>
      </c>
      <c r="AN130" s="21">
        <f>(VLOOKUP(C130,$B$4:$AJ$7,9,FALSE)+VLOOKUP(C130,$B$8:$AJ$11,9,FALSE)*입력란!$P$4)*입력란!$P$25/100</f>
        <v>270398.35832816816</v>
      </c>
      <c r="AO130" s="21"/>
      <c r="AP130" s="21"/>
      <c r="AQ130" s="22">
        <v>16</v>
      </c>
    </row>
    <row r="131" spans="2:43" ht="13.5" customHeight="1" x14ac:dyDescent="0.55000000000000004">
      <c r="B131" s="66">
        <v>116</v>
      </c>
      <c r="C131" s="29">
        <v>10</v>
      </c>
      <c r="D131" s="30" t="s">
        <v>142</v>
      </c>
      <c r="E131" s="27" t="s">
        <v>146</v>
      </c>
      <c r="F131" s="29"/>
      <c r="G131" s="29" t="s">
        <v>481</v>
      </c>
      <c r="H131" s="36">
        <f>I131/AJ131</f>
        <v>166543.06646897781</v>
      </c>
      <c r="I131" s="37">
        <f>SUM(J131:Q131)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2632653.2973510162</v>
      </c>
      <c r="J131" s="21">
        <f>S131*(1+IF($AK131+IF(입력란!$C$26=1,10,0)+IF(입력란!$C$9=1,10,0)&gt;100,100,$AK131+IF(입력란!$C$26=1,10,0)+IF(입력란!$C$9=1,10,0))/100*(($AL131+IF(입력란!$C$30=1,IF(OR(입력란!$C$9=1,입력란!$C$10=1),55,17),IF(입력란!$C$30=2,IF(OR(입력란!$C$9=1,입력란!$C$10=1),60,20),IF(입력란!$C$30=3,IF(OR(입력란!$C$9=1,입력란!$C$10=1),65,22),0)))+IF(MID($E131,3,1)="3",80,0))/100-1))</f>
        <v>266336.18595921132</v>
      </c>
      <c r="K131" s="21">
        <f>T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+IF(MID($E131,3,1)="3",80,0))/100-1))</f>
        <v>266336.18595921132</v>
      </c>
      <c r="L131" s="21">
        <f>U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+IF(MID($E131,3,1)="3",80,0))/100-1))</f>
        <v>266336.18595921132</v>
      </c>
      <c r="M131" s="21">
        <f>V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+IF(MID($E131,3,1)="3",80,0))/100-1))</f>
        <v>266336.18595921132</v>
      </c>
      <c r="N131" s="21">
        <f>W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O131" s="21">
        <f>X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P131" s="21">
        <f>Y131*(1+IF($AK131+IF(입력란!$C$26=1,10,IF(MID($E131,1,1)="2",10,0))+IF(입력란!$C$9=1,10,0)&gt;100,100,$AK131+IF(입력란!$C$26=1,10,IF(MID($E131,1,1)="2",10,0))+IF(입력란!$C$9=1,10,0))/100*(($AL131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Q131" s="20">
        <f>Z131*(1+IF($AK131+IF(입력란!$C$26=1,10,IF(MID($E131,1,1)="2",10,0))&gt;100,100,$AK131+IF(입력란!$C$26=1,10,IF(MID($E131,1,1)="2",10,0)))/100*(($AL131+IF(입력란!$C$30=1,17,IF(입력란!$C$30=2,20,IF(입력란!$C$30=3,22,0))))/100-1))</f>
        <v>0</v>
      </c>
      <c r="R131" s="19">
        <f>SUM(S131:Z131)</f>
        <v>679132.51677702728</v>
      </c>
      <c r="S131" s="21">
        <f>AN131*IF(입력란!$C$12=0,1,IF(입력란!$C$12=1,1.35,IF(입력란!$C$12=2,1.55,IF(입력란!$C$12=3,1.75,1))))*IF(MID(E131,3,1)="1",트라이포드!$J$11,트라이포드!$I$11)*IF(MID(E131,3,1)="2",트라이포드!$L$11,트라이포드!$K$11)*IF(MID(E131,3,1)="3",트라이포드!$N$11,트라이포드!$M$11)*IF(MID(E131,5,1)="1",트라이포드!$O$11,1)*IF(MID(E131,5,1)="2",트라이포드!$Q$11*트라이포드!$R$11,1)*IF(입력란!$C$9=1,IF(입력란!$C$15=0,1.05,IF(입력란!$C$15=1,1.05*1.05,IF(입력란!$C$15=2,1.05*1.12,IF(입력란!$C$15=3,1.05*1.25)))),1)/IF(MID(E131,3,1)="1",7,4)*IF(입력란!$C$30=1,IF(OR(입력란!$C$9=1,입력란!$C$10=1),1.21,1.07),IF(입력란!$C$30=2,IF(OR(입력란!$C$9=1,입력란!$C$10=1),1.24,1.08),IF(입력란!$C$30=3,IF(OR(입력란!$C$9=1,입력란!$C$10=1),1.26,1.09),1)))</f>
        <v>97018.930968146742</v>
      </c>
      <c r="T131" s="21">
        <f>S131</f>
        <v>97018.930968146742</v>
      </c>
      <c r="U131" s="21">
        <f>T131</f>
        <v>97018.930968146742</v>
      </c>
      <c r="V131" s="21">
        <f>U131</f>
        <v>97018.930968146742</v>
      </c>
      <c r="W131" s="21">
        <f>IF(MID($E131,3,1)="1",$S131,0)</f>
        <v>97018.930968146742</v>
      </c>
      <c r="X131" s="21">
        <f>IF(MID($E131,3,1)="1",$S131,0)</f>
        <v>97018.930968146742</v>
      </c>
      <c r="Y131" s="21">
        <f>IF(MID($E131,3,1)="1",$S131,0)</f>
        <v>97018.930968146742</v>
      </c>
      <c r="Z131" s="20">
        <f>AN131*IF(입력란!$C$12=0,1,IF(입력란!$C$12=1,1.35,IF(입력란!$C$12=2,1.55,IF(입력란!$C$12=3,1.75,1))))*IF(MID(E131,5,1)="1",트라이포드!$P$11*IF(MID(E131,3,1)="1",7,4)*5,0)*IF(입력란!$C$30=1,1.07,IF(입력란!$C$30=2,1.08,IF(입력란!$C$30=3,1.09,1)))</f>
        <v>0</v>
      </c>
      <c r="AA131" s="21">
        <f>SUM(AB131:AI131)</f>
        <v>1358265.0335540546</v>
      </c>
      <c r="AB131" s="21">
        <f>S131*2</f>
        <v>194037.86193629348</v>
      </c>
      <c r="AC131" s="21">
        <f>T131*2</f>
        <v>194037.86193629348</v>
      </c>
      <c r="AD131" s="21">
        <f>U131*2</f>
        <v>194037.86193629348</v>
      </c>
      <c r="AE131" s="21">
        <f>V131*2</f>
        <v>194037.86193629348</v>
      </c>
      <c r="AF131" s="21">
        <f>W131*2</f>
        <v>194037.86193629348</v>
      </c>
      <c r="AG131" s="21">
        <f>X131*2</f>
        <v>194037.86193629348</v>
      </c>
      <c r="AH131" s="21">
        <f>Y131*2</f>
        <v>194037.86193629348</v>
      </c>
      <c r="AI131" s="20">
        <f>Z131*2</f>
        <v>0</v>
      </c>
      <c r="AJ131" s="21">
        <f>AQ131*(1-입력란!$P$10/100)</f>
        <v>15.807642750719999</v>
      </c>
      <c r="AK1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1" s="21">
        <f>입력란!$P$24+입력란!$P$16+IF(입력란!$C$18=1,10,IF(입력란!$C$18=2,25,IF(입력란!$C$18=3,50,0)))+IF(입력란!$C$23&lt;&gt;0,-12)</f>
        <v>380.66103559999999</v>
      </c>
      <c r="AM131" s="21">
        <f>SUM(AN131:AP131)</f>
        <v>270398.35832816816</v>
      </c>
      <c r="AN131" s="21">
        <f>(VLOOKUP(C131,$B$4:$AJ$7,9,FALSE)+VLOOKUP(C131,$B$8:$AJ$11,9,FALSE)*입력란!$P$4)*입력란!$P$25/100</f>
        <v>270398.35832816816</v>
      </c>
      <c r="AO131" s="21"/>
      <c r="AP131" s="21"/>
      <c r="AQ131" s="22">
        <v>16</v>
      </c>
    </row>
    <row r="132" spans="2:43" ht="13.5" customHeight="1" x14ac:dyDescent="0.55000000000000004">
      <c r="B132" s="66">
        <v>117</v>
      </c>
      <c r="C132" s="29">
        <v>10</v>
      </c>
      <c r="D132" s="30" t="s">
        <v>142</v>
      </c>
      <c r="E132" s="27" t="s">
        <v>140</v>
      </c>
      <c r="F132" s="29" t="s">
        <v>350</v>
      </c>
      <c r="G132" s="29"/>
      <c r="H132" s="36">
        <f>I132/AJ132</f>
        <v>198521.8931398532</v>
      </c>
      <c r="I132" s="37">
        <f>SUM(J132:Q132)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3138163.1649514106</v>
      </c>
      <c r="J132" s="21">
        <f>S132*(1+IF($AK132+IF(입력란!$C$26=1,10,0)+IF(입력란!$C$9=1,10,0)&gt;100,100,$AK132+IF(입력란!$C$26=1,10,0)+IF(입력란!$C$9=1,10,0))/100*(($AL132+IF(입력란!$C$30=1,IF(OR(입력란!$C$9=1,입력란!$C$10=1),55,17),IF(입력란!$C$30=2,IF(OR(입력란!$C$9=1,입력란!$C$10=1),60,20),IF(입력란!$C$30=3,IF(OR(입력란!$C$9=1,입력란!$C$10=1),65,22),0)))+IF(MID($E132,3,1)="3",80,0))/100-1))</f>
        <v>545588.34080273216</v>
      </c>
      <c r="K132" s="21">
        <f>T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+IF(MID($E132,3,1)="3",80,0))/100-1))</f>
        <v>545588.34080273216</v>
      </c>
      <c r="L132" s="21">
        <f>U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+IF(MID($E132,3,1)="3",80,0))/100-1))</f>
        <v>545588.34080273216</v>
      </c>
      <c r="M132" s="21">
        <f>V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+IF(MID($E132,3,1)="3",80,0))/100-1))</f>
        <v>545588.34080273216</v>
      </c>
      <c r="N132" s="21">
        <f>W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)/100-1))</f>
        <v>0</v>
      </c>
      <c r="O132" s="21">
        <f>X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)/100-1))</f>
        <v>0</v>
      </c>
      <c r="P132" s="21">
        <f>Y132*(1+IF($AK132+IF(입력란!$C$26=1,10,IF(MID($E132,1,1)="2",10,0))+IF(입력란!$C$9=1,10,0)&gt;100,100,$AK132+IF(입력란!$C$26=1,10,IF(MID($E132,1,1)="2",10,0))+IF(입력란!$C$9=1,10,0))/100*(($AL132+IF(입력란!$C$30=1,IF(OR(입력란!$C$9=1,입력란!$C$10=1),55,17),IF(입력란!$C$30=2,IF(OR(입력란!$C$9=1,입력란!$C$10=1),60,20),IF(입력란!$C$30=3,IF(OR(입력란!$C$9=1,입력란!$C$10=1),65,22),0))))/100-1))</f>
        <v>0</v>
      </c>
      <c r="Q132" s="20">
        <f>Z132*(1+IF($AK132+IF(입력란!$C$26=1,10,IF(MID($E132,1,1)="2",10,0))&gt;100,100,$AK132+IF(입력란!$C$26=1,10,IF(MID($E132,1,1)="2",10,0)))/100*(($AL132+IF(입력란!$C$30=1,17,IF(입력란!$C$30=2,20,IF(입력란!$C$30=3,22,0))))/100-1))</f>
        <v>39984.406742623134</v>
      </c>
      <c r="R132" s="19">
        <f>SUM(S132:Z132)</f>
        <v>811195.07498450449</v>
      </c>
      <c r="S132" s="21">
        <f>AN132*IF(입력란!$C$12=0,1,IF(입력란!$C$12=1,1.35,IF(입력란!$C$12=2,1.55,IF(입력란!$C$12=3,1.75,1))))*IF(MID(E132,3,1)="1",트라이포드!$J$11,트라이포드!$I$11)*IF(MID(E132,3,1)="2",트라이포드!$L$11,트라이포드!$K$11)*IF(MID(E132,3,1)="3",트라이포드!$N$11,트라이포드!$M$11)*IF(MID(E132,5,1)="1",트라이포드!$O$11,1)*IF(MID(E132,5,1)="2",트라이포드!$Q$11*트라이포드!$R$11,1)*IF(입력란!$C$9=1,IF(입력란!$C$15=0,1.05,IF(입력란!$C$15=1,1.05*1.05,IF(입력란!$C$15=2,1.05*1.12,IF(입력란!$C$15=3,1.05*1.25)))),1)/IF(MID(E132,3,1)="1",7,4)*IF(입력란!$C$30=1,IF(OR(입력란!$C$9=1,입력란!$C$10=1),1.21,1.07),IF(입력란!$C$30=2,IF(OR(입력란!$C$9=1,입력란!$C$10=1),1.24,1.08),IF(입력란!$C$30=3,IF(OR(입력란!$C$9=1,입력란!$C$10=1),1.26,1.09),1)))</f>
        <v>198742.79337120359</v>
      </c>
      <c r="T132" s="21">
        <f>S132</f>
        <v>198742.79337120359</v>
      </c>
      <c r="U132" s="21">
        <f>T132</f>
        <v>198742.79337120359</v>
      </c>
      <c r="V132" s="21">
        <f>U132</f>
        <v>198742.79337120359</v>
      </c>
      <c r="W132" s="21">
        <f>IF(MID($E132,3,1)="1",$S132,0)</f>
        <v>0</v>
      </c>
      <c r="X132" s="21">
        <f>IF(MID($E132,3,1)="1",$S132,0)</f>
        <v>0</v>
      </c>
      <c r="Y132" s="21">
        <f>IF(MID($E132,3,1)="1",$S132,0)</f>
        <v>0</v>
      </c>
      <c r="Z132" s="20">
        <f>AN132*IF(입력란!$C$12=0,1,IF(입력란!$C$12=1,1.35,IF(입력란!$C$12=2,1.55,IF(입력란!$C$12=3,1.75,1))))*IF(MID(E132,5,1)="1",트라이포드!$P$11*IF(MID(E132,3,1)="1",7,4)*5,0)*IF(입력란!$C$30=1,1.07,IF(입력란!$C$30=2,1.08,IF(입력란!$C$30=3,1.09,1)))</f>
        <v>16223.90149969009</v>
      </c>
      <c r="AA132" s="21">
        <f>SUM(AB132:AI132)</f>
        <v>1622390.149969009</v>
      </c>
      <c r="AB132" s="21">
        <f>S132*2</f>
        <v>397485.58674240718</v>
      </c>
      <c r="AC132" s="21">
        <f>T132*2</f>
        <v>397485.58674240718</v>
      </c>
      <c r="AD132" s="21">
        <f>U132*2</f>
        <v>397485.58674240718</v>
      </c>
      <c r="AE132" s="21">
        <f>V132*2</f>
        <v>397485.58674240718</v>
      </c>
      <c r="AF132" s="21">
        <f>W132*2</f>
        <v>0</v>
      </c>
      <c r="AG132" s="21">
        <f>X132*2</f>
        <v>0</v>
      </c>
      <c r="AH132" s="21">
        <f>Y132*2</f>
        <v>0</v>
      </c>
      <c r="AI132" s="20">
        <f>Z132*2</f>
        <v>32447.802999380179</v>
      </c>
      <c r="AJ132" s="21">
        <f>AQ132*(1-입력란!$P$10/100)</f>
        <v>15.807642750719999</v>
      </c>
      <c r="AK1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2" s="21">
        <f>입력란!$P$24+입력란!$P$16+IF(입력란!$C$18=1,10,IF(입력란!$C$18=2,25,IF(입력란!$C$18=3,50,0)))+IF(입력란!$C$23&lt;&gt;0,-12)</f>
        <v>380.66103559999999</v>
      </c>
      <c r="AM132" s="21">
        <f>SUM(AN132:AP132)</f>
        <v>270398.35832816816</v>
      </c>
      <c r="AN132" s="21">
        <f>(VLOOKUP(C132,$B$4:$AJ$7,9,FALSE)+VLOOKUP(C132,$B$8:$AJ$11,9,FALSE)*입력란!$P$4)*입력란!$P$25/100</f>
        <v>270398.35832816816</v>
      </c>
      <c r="AO132" s="21"/>
      <c r="AP132" s="21"/>
      <c r="AQ132" s="22">
        <v>16</v>
      </c>
    </row>
    <row r="133" spans="2:43" ht="13.5" customHeight="1" x14ac:dyDescent="0.55000000000000004">
      <c r="B133" s="66">
        <v>118</v>
      </c>
      <c r="C133" s="29">
        <v>10</v>
      </c>
      <c r="D133" s="30" t="s">
        <v>142</v>
      </c>
      <c r="E133" s="27" t="s">
        <v>126</v>
      </c>
      <c r="F133" s="29" t="s">
        <v>346</v>
      </c>
      <c r="G133" s="29"/>
      <c r="H133" s="36">
        <f>I133/AJ133</f>
        <v>135980.92744790742</v>
      </c>
      <c r="I133" s="37">
        <f>SUM(J133:Q133)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2149537.9220080958</v>
      </c>
      <c r="J133" s="21">
        <f>S133*(1+IF($AK133+IF(입력란!$C$26=1,10,0)+IF(입력란!$C$9=1,10,0)&gt;100,100,$AK133+IF(입력란!$C$26=1,10,0)+IF(입력란!$C$9=1,10,0))/100*(($AL133+IF(입력란!$C$30=1,IF(OR(입력란!$C$9=1,입력란!$C$10=1),55,17),IF(입력란!$C$30=2,IF(OR(입력란!$C$9=1,입력란!$C$10=1),60,20),IF(입력란!$C$30=3,IF(OR(입력란!$C$9=1,입력란!$C$10=1),65,22),0)))+IF(MID($E133,3,1)="3",80,0))/100-1))</f>
        <v>370560.85639240092</v>
      </c>
      <c r="K133" s="21">
        <f>T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+IF(MID($E133,3,1)="3",80,0))/100-1))</f>
        <v>370560.85639240092</v>
      </c>
      <c r="L133" s="21">
        <f>U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+IF(MID($E133,3,1)="3",80,0))/100-1))</f>
        <v>370560.85639240092</v>
      </c>
      <c r="M133" s="21">
        <f>V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+IF(MID($E133,3,1)="3",80,0))/100-1))</f>
        <v>370560.85639240092</v>
      </c>
      <c r="N133" s="21">
        <f>W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)/100-1))</f>
        <v>0</v>
      </c>
      <c r="O133" s="21">
        <f>X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)/100-1))</f>
        <v>0</v>
      </c>
      <c r="P133" s="21">
        <f>Y133*(1+IF($AK133+IF(입력란!$C$26=1,10,IF(MID($E133,1,1)="2",10,0))+IF(입력란!$C$9=1,10,0)&gt;100,100,$AK133+IF(입력란!$C$26=1,10,IF(MID($E133,1,1)="2",10,0))+IF(입력란!$C$9=1,10,0))/100*(($AL133+IF(입력란!$C$30=1,IF(OR(입력란!$C$9=1,입력란!$C$10=1),55,17),IF(입력란!$C$30=2,IF(OR(입력란!$C$9=1,입력란!$C$10=1),60,20),IF(입력란!$C$30=3,IF(OR(입력란!$C$9=1,입력란!$C$10=1),65,22),0))))/100-1))</f>
        <v>0</v>
      </c>
      <c r="Q133" s="20">
        <f>Z133*(1+IF($AK133+IF(입력란!$C$26=1,10,IF(MID($E133,1,1)="2",10,0))&gt;100,100,$AK133+IF(입력란!$C$26=1,10,IF(MID($E133,1,1)="2",10,0)))/100*(($AL133+IF(입력란!$C$30=1,17,IF(입력란!$C$30=2,20,IF(입력란!$C$30=3,22,0))))/100-1))</f>
        <v>39984.406742623134</v>
      </c>
      <c r="R133" s="19">
        <f>SUM(S133:Z133)</f>
        <v>473332.32625345828</v>
      </c>
      <c r="S133" s="21">
        <f>AN133*IF(입력란!$C$12=0,1,IF(입력란!$C$12=1,1.35,IF(입력란!$C$12=2,1.55,IF(입력란!$C$12=3,1.75,1))))*IF(MID(E133,3,1)="1",트라이포드!$J$11,트라이포드!$I$11)*IF(MID(E133,3,1)="2",트라이포드!$L$11,트라이포드!$K$11)*IF(MID(E133,3,1)="3",트라이포드!$N$11,트라이포드!$M$11)*IF(MID(E133,5,1)="1",트라이포드!$O$11,1)*IF(MID(E133,5,1)="2",트라이포드!$Q$11*트라이포드!$R$11,1)*IF(입력란!$C$9=1,IF(입력란!$C$15=0,1.05,IF(입력란!$C$15=1,1.05*1.05,IF(입력란!$C$15=2,1.05*1.12,IF(입력란!$C$15=3,1.05*1.25)))),1)/IF(MID(E133,3,1)="1",7,4)*IF(입력란!$C$30=1,IF(OR(입력란!$C$9=1,입력란!$C$10=1),1.21,1.07),IF(입력란!$C$30=2,IF(OR(입력란!$C$9=1,입력란!$C$10=1),1.24,1.08),IF(입력란!$C$30=3,IF(OR(입력란!$C$9=1,입력란!$C$10=1),1.26,1.09),1)))</f>
        <v>114277.10618844205</v>
      </c>
      <c r="T133" s="21">
        <f>S133</f>
        <v>114277.10618844205</v>
      </c>
      <c r="U133" s="21">
        <f>T133</f>
        <v>114277.10618844205</v>
      </c>
      <c r="V133" s="21">
        <f>U133</f>
        <v>114277.10618844205</v>
      </c>
      <c r="W133" s="21">
        <f>IF(MID($E133,3,1)="1",$S133,0)</f>
        <v>0</v>
      </c>
      <c r="X133" s="21">
        <f>IF(MID($E133,3,1)="1",$S133,0)</f>
        <v>0</v>
      </c>
      <c r="Y133" s="21">
        <f>IF(MID($E133,3,1)="1",$S133,0)</f>
        <v>0</v>
      </c>
      <c r="Z133" s="20">
        <f>AN133*IF(입력란!$C$12=0,1,IF(입력란!$C$12=1,1.35,IF(입력란!$C$12=2,1.55,IF(입력란!$C$12=3,1.75,1))))*IF(MID(E133,5,1)="1",트라이포드!$P$11*IF(MID(E133,3,1)="1",7,4)*5,0)*IF(입력란!$C$30=1,1.07,IF(입력란!$C$30=2,1.08,IF(입력란!$C$30=3,1.09,1)))</f>
        <v>16223.90149969009</v>
      </c>
      <c r="AA133" s="21">
        <f>SUM(AB133:AI133)</f>
        <v>946664.65250691655</v>
      </c>
      <c r="AB133" s="21">
        <f>S133*2</f>
        <v>228554.2123768841</v>
      </c>
      <c r="AC133" s="21">
        <f>T133*2</f>
        <v>228554.2123768841</v>
      </c>
      <c r="AD133" s="21">
        <f>U133*2</f>
        <v>228554.2123768841</v>
      </c>
      <c r="AE133" s="21">
        <f>V133*2</f>
        <v>228554.2123768841</v>
      </c>
      <c r="AF133" s="21">
        <f>W133*2</f>
        <v>0</v>
      </c>
      <c r="AG133" s="21">
        <f>X133*2</f>
        <v>0</v>
      </c>
      <c r="AH133" s="21">
        <f>Y133*2</f>
        <v>0</v>
      </c>
      <c r="AI133" s="20">
        <f>Z133*2</f>
        <v>32447.802999380179</v>
      </c>
      <c r="AJ133" s="21">
        <f>AQ133*(1-입력란!$P$10/100)</f>
        <v>15.807642750719999</v>
      </c>
      <c r="AK1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3" s="21">
        <f>입력란!$P$24+입력란!$P$16+IF(입력란!$C$18=1,10,IF(입력란!$C$18=2,25,IF(입력란!$C$18=3,50,0)))+IF(입력란!$C$23&lt;&gt;0,-12)</f>
        <v>380.66103559999999</v>
      </c>
      <c r="AM133" s="21">
        <f>SUM(AN133:AP133)</f>
        <v>270398.35832816816</v>
      </c>
      <c r="AN133" s="21">
        <f>(VLOOKUP(C133,$B$4:$AJ$7,9,FALSE)+VLOOKUP(C133,$B$8:$AJ$11,9,FALSE)*입력란!$P$4)*입력란!$P$25/100</f>
        <v>270398.35832816816</v>
      </c>
      <c r="AO133" s="21"/>
      <c r="AP133" s="21"/>
      <c r="AQ133" s="22">
        <v>16</v>
      </c>
    </row>
    <row r="134" spans="2:43" ht="13.5" customHeight="1" x14ac:dyDescent="0.55000000000000004">
      <c r="B134" s="66">
        <v>119</v>
      </c>
      <c r="C134" s="29">
        <v>10</v>
      </c>
      <c r="D134" s="30" t="s">
        <v>142</v>
      </c>
      <c r="E134" s="27" t="s">
        <v>147</v>
      </c>
      <c r="F134" s="29" t="s">
        <v>349</v>
      </c>
      <c r="G134" s="29" t="s">
        <v>481</v>
      </c>
      <c r="H134" s="36">
        <f>I134/AJ134</f>
        <v>208178.83308622229</v>
      </c>
      <c r="I134" s="37">
        <f>SUM(J134:Q134)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3290816.6216887706</v>
      </c>
      <c r="J134" s="21">
        <f>S134*(1+IF($AK134+IF(입력란!$C$26=1,10,0)+IF(입력란!$C$9=1,10,0)&gt;100,100,$AK134+IF(입력란!$C$26=1,10,0)+IF(입력란!$C$9=1,10,0))/100*(($AL134+IF(입력란!$C$30=1,IF(OR(입력란!$C$9=1,입력란!$C$10=1),55,17),IF(입력란!$C$30=2,IF(OR(입력란!$C$9=1,입력란!$C$10=1),60,20),IF(입력란!$C$30=3,IF(OR(입력란!$C$9=1,입력란!$C$10=1),65,22),0)))+IF(MID($E134,3,1)="3",80,0))/100-1))</f>
        <v>582610.40678577474</v>
      </c>
      <c r="K134" s="21">
        <f>T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+IF(MID($E134,3,1)="3",80,0))/100-1))</f>
        <v>582610.40678577474</v>
      </c>
      <c r="L134" s="21">
        <f>U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+IF(MID($E134,3,1)="3",80,0))/100-1))</f>
        <v>582610.40678577474</v>
      </c>
      <c r="M134" s="21">
        <f>V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+IF(MID($E134,3,1)="3",80,0))/100-1))</f>
        <v>582610.40678577474</v>
      </c>
      <c r="N134" s="21">
        <f>W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)/100-1))</f>
        <v>0</v>
      </c>
      <c r="O134" s="21">
        <f>X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)/100-1))</f>
        <v>0</v>
      </c>
      <c r="P134" s="21">
        <f>Y134*(1+IF($AK134+IF(입력란!$C$26=1,10,IF(MID($E134,1,1)="2",10,0))+IF(입력란!$C$9=1,10,0)&gt;100,100,$AK134+IF(입력란!$C$26=1,10,IF(MID($E134,1,1)="2",10,0))+IF(입력란!$C$9=1,10,0))/100*(($AL134+IF(입력란!$C$30=1,IF(OR(입력란!$C$9=1,입력란!$C$10=1),55,17),IF(입력란!$C$30=2,IF(OR(입력란!$C$9=1,입력란!$C$10=1),60,20),IF(입력란!$C$30=3,IF(OR(입력란!$C$9=1,입력란!$C$10=1),65,22),0))))/100-1))</f>
        <v>0</v>
      </c>
      <c r="Q134" s="20">
        <f>Z134*(1+IF($AK134+IF(입력란!$C$26=1,10,IF(MID($E134,1,1)="2",10,0))&gt;100,100,$AK134+IF(입력란!$C$26=1,10,IF(MID($E134,1,1)="2",10,0)))/100*(($AL134+IF(입력란!$C$30=1,17,IF(입력란!$C$30=2,20,IF(입력란!$C$30=3,22,0))))/100-1))</f>
        <v>0</v>
      </c>
      <c r="R134" s="19">
        <f>SUM(S134:Z134)</f>
        <v>848915.6459712839</v>
      </c>
      <c r="S134" s="21">
        <f>AN134*IF(입력란!$C$12=0,1,IF(입력란!$C$12=1,1.35,IF(입력란!$C$12=2,1.55,IF(입력란!$C$12=3,1.75,1))))*IF(MID(E134,3,1)="1",트라이포드!$J$11,트라이포드!$I$11)*IF(MID(E134,3,1)="2",트라이포드!$L$11,트라이포드!$K$11)*IF(MID(E134,3,1)="3",트라이포드!$N$11,트라이포드!$M$11)*IF(MID(E134,5,1)="1",트라이포드!$O$11,1)*IF(MID(E134,5,1)="2",트라이포드!$Q$11*트라이포드!$R$11,1)*IF(입력란!$C$9=1,IF(입력란!$C$15=0,1.05,IF(입력란!$C$15=1,1.05*1.05,IF(입력란!$C$15=2,1.05*1.12,IF(입력란!$C$15=3,1.05*1.25)))),1)/IF(MID(E134,3,1)="1",7,4)*IF(입력란!$C$30=1,IF(OR(입력란!$C$9=1,입력란!$C$10=1),1.21,1.07),IF(입력란!$C$30=2,IF(OR(입력란!$C$9=1,입력란!$C$10=1),1.24,1.08),IF(입력란!$C$30=3,IF(OR(입력란!$C$9=1,입력란!$C$10=1),1.26,1.09),1)))</f>
        <v>212228.91149282097</v>
      </c>
      <c r="T134" s="21">
        <f>S134</f>
        <v>212228.91149282097</v>
      </c>
      <c r="U134" s="21">
        <f>T134</f>
        <v>212228.91149282097</v>
      </c>
      <c r="V134" s="21">
        <f>U134</f>
        <v>212228.91149282097</v>
      </c>
      <c r="W134" s="21">
        <f>IF(MID($E134,3,1)="1",$S134,0)</f>
        <v>0</v>
      </c>
      <c r="X134" s="21">
        <f>IF(MID($E134,3,1)="1",$S134,0)</f>
        <v>0</v>
      </c>
      <c r="Y134" s="21">
        <f>IF(MID($E134,3,1)="1",$S134,0)</f>
        <v>0</v>
      </c>
      <c r="Z134" s="20">
        <f>AN134*IF(입력란!$C$12=0,1,IF(입력란!$C$12=1,1.35,IF(입력란!$C$12=2,1.55,IF(입력란!$C$12=3,1.75,1))))*IF(MID(E134,5,1)="1",트라이포드!$P$11*IF(MID(E134,3,1)="1",7,4)*5,0)*IF(입력란!$C$30=1,1.07,IF(입력란!$C$30=2,1.08,IF(입력란!$C$30=3,1.09,1)))</f>
        <v>0</v>
      </c>
      <c r="AA134" s="21">
        <f>SUM(AB134:AI134)</f>
        <v>1697831.2919425678</v>
      </c>
      <c r="AB134" s="21">
        <f>S134*2</f>
        <v>424457.82298564195</v>
      </c>
      <c r="AC134" s="21">
        <f>T134*2</f>
        <v>424457.82298564195</v>
      </c>
      <c r="AD134" s="21">
        <f>U134*2</f>
        <v>424457.82298564195</v>
      </c>
      <c r="AE134" s="21">
        <f>V134*2</f>
        <v>424457.82298564195</v>
      </c>
      <c r="AF134" s="21">
        <f>W134*2</f>
        <v>0</v>
      </c>
      <c r="AG134" s="21">
        <f>X134*2</f>
        <v>0</v>
      </c>
      <c r="AH134" s="21">
        <f>Y134*2</f>
        <v>0</v>
      </c>
      <c r="AI134" s="20">
        <f>Z134*2</f>
        <v>0</v>
      </c>
      <c r="AJ134" s="21">
        <f>AQ134*(1-입력란!$P$10/100)</f>
        <v>15.807642750719999</v>
      </c>
      <c r="AK1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4" s="21">
        <f>입력란!$P$24+입력란!$P$16+IF(입력란!$C$18=1,10,IF(입력란!$C$18=2,25,IF(입력란!$C$18=3,50,0)))+IF(입력란!$C$23&lt;&gt;0,-12)</f>
        <v>380.66103559999999</v>
      </c>
      <c r="AM134" s="21">
        <f>SUM(AN134:AP134)</f>
        <v>270398.35832816816</v>
      </c>
      <c r="AN134" s="21">
        <f>(VLOOKUP(C134,$B$4:$AJ$7,9,FALSE)+VLOOKUP(C134,$B$8:$AJ$11,9,FALSE)*입력란!$P$4)*입력란!$P$25/100</f>
        <v>270398.35832816816</v>
      </c>
      <c r="AO134" s="21"/>
      <c r="AP134" s="21"/>
      <c r="AQ134" s="22">
        <v>16</v>
      </c>
    </row>
    <row r="135" spans="2:43" ht="13.5" customHeight="1" x14ac:dyDescent="0.55000000000000004">
      <c r="B135" s="66">
        <v>120</v>
      </c>
      <c r="C135" s="29">
        <v>10</v>
      </c>
      <c r="D135" s="30" t="s">
        <v>142</v>
      </c>
      <c r="E135" s="27" t="s">
        <v>127</v>
      </c>
      <c r="F135" s="29"/>
      <c r="G135" s="29" t="s">
        <v>481</v>
      </c>
      <c r="H135" s="36">
        <f>I135/AJ135</f>
        <v>141394.01615089443</v>
      </c>
      <c r="I135" s="37">
        <f>SUM(J135:Q135)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2235106.094402873</v>
      </c>
      <c r="J135" s="21">
        <f>S135*(1+IF($AK135+IF(입력란!$C$26=1,10,0)+IF(입력란!$C$9=1,10,0)&gt;100,100,$AK135+IF(입력란!$C$26=1,10,0)+IF(입력란!$C$9=1,10,0))/100*(($AL135+IF(입력란!$C$30=1,IF(OR(입력란!$C$9=1,입력란!$C$10=1),55,17),IF(입력란!$C$30=2,IF(OR(입력란!$C$9=1,입력란!$C$10=1),60,20),IF(입력란!$C$30=3,IF(OR(입력란!$C$9=1,입력란!$C$10=1),65,22),0)))+IF(MID($E135,3,1)="3",80,0))/100-1))</f>
        <v>395706.05736188526</v>
      </c>
      <c r="K135" s="21">
        <f>T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+IF(MID($E135,3,1)="3",80,0))/100-1))</f>
        <v>395706.05736188526</v>
      </c>
      <c r="L135" s="21">
        <f>U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+IF(MID($E135,3,1)="3",80,0))/100-1))</f>
        <v>395706.05736188526</v>
      </c>
      <c r="M135" s="21">
        <f>V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+IF(MID($E135,3,1)="3",80,0))/100-1))</f>
        <v>395706.05736188526</v>
      </c>
      <c r="N135" s="21">
        <f>W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)/100-1))</f>
        <v>0</v>
      </c>
      <c r="O135" s="21">
        <f>X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)/100-1))</f>
        <v>0</v>
      </c>
      <c r="P135" s="21">
        <f>Y135*(1+IF($AK135+IF(입력란!$C$26=1,10,IF(MID($E135,1,1)="2",10,0))+IF(입력란!$C$9=1,10,0)&gt;100,100,$AK135+IF(입력란!$C$26=1,10,IF(MID($E135,1,1)="2",10,0))+IF(입력란!$C$9=1,10,0))/100*(($AL135+IF(입력란!$C$30=1,IF(OR(입력란!$C$9=1,입력란!$C$10=1),55,17),IF(입력란!$C$30=2,IF(OR(입력란!$C$9=1,입력란!$C$10=1),60,20),IF(입력란!$C$30=3,IF(OR(입력란!$C$9=1,입력란!$C$10=1),65,22),0))))/100-1))</f>
        <v>0</v>
      </c>
      <c r="Q135" s="20">
        <f>Z135*(1+IF($AK135+IF(입력란!$C$26=1,10,IF(MID($E135,1,1)="2",10,0))&gt;100,100,$AK135+IF(입력란!$C$26=1,10,IF(MID($E135,1,1)="2",10,0)))/100*(($AL135+IF(입력란!$C$30=1,17,IF(입력란!$C$30=2,20,IF(입력란!$C$30=3,22,0))))/100-1))</f>
        <v>0</v>
      </c>
      <c r="R135" s="19">
        <f>SUM(S135:Z135)</f>
        <v>488126.49643348815</v>
      </c>
      <c r="S135" s="21">
        <f>AN135*IF(입력란!$C$12=0,1,IF(입력란!$C$12=1,1.35,IF(입력란!$C$12=2,1.55,IF(입력란!$C$12=3,1.75,1))))*IF(MID(E135,3,1)="1",트라이포드!$J$11,트라이포드!$I$11)*IF(MID(E135,3,1)="2",트라이포드!$L$11,트라이포드!$K$11)*IF(MID(E135,3,1)="3",트라이포드!$N$11,트라이포드!$M$11)*IF(MID(E135,5,1)="1",트라이포드!$O$11,1)*IF(MID(E135,5,1)="2",트라이포드!$Q$11*트라이포드!$R$11,1)*IF(입력란!$C$9=1,IF(입력란!$C$15=0,1.05,IF(입력란!$C$15=1,1.05*1.05,IF(입력란!$C$15=2,1.05*1.12,IF(입력란!$C$15=3,1.05*1.25)))),1)/IF(MID(E135,3,1)="1",7,4)*IF(입력란!$C$30=1,IF(OR(입력란!$C$9=1,입력란!$C$10=1),1.21,1.07),IF(입력란!$C$30=2,IF(OR(입력란!$C$9=1,입력란!$C$10=1),1.24,1.08),IF(입력란!$C$30=3,IF(OR(입력란!$C$9=1,입력란!$C$10=1),1.26,1.09),1)))</f>
        <v>122031.62410837204</v>
      </c>
      <c r="T135" s="21">
        <f>S135</f>
        <v>122031.62410837204</v>
      </c>
      <c r="U135" s="21">
        <f>T135</f>
        <v>122031.62410837204</v>
      </c>
      <c r="V135" s="21">
        <f>U135</f>
        <v>122031.62410837204</v>
      </c>
      <c r="W135" s="21">
        <f>IF(MID($E135,3,1)="1",$S135,0)</f>
        <v>0</v>
      </c>
      <c r="X135" s="21">
        <f>IF(MID($E135,3,1)="1",$S135,0)</f>
        <v>0</v>
      </c>
      <c r="Y135" s="21">
        <f>IF(MID($E135,3,1)="1",$S135,0)</f>
        <v>0</v>
      </c>
      <c r="Z135" s="20">
        <f>AN135*IF(입력란!$C$12=0,1,IF(입력란!$C$12=1,1.35,IF(입력란!$C$12=2,1.55,IF(입력란!$C$12=3,1.75,1))))*IF(MID(E135,5,1)="1",트라이포드!$P$11*IF(MID(E135,3,1)="1",7,4)*5,0)*IF(입력란!$C$30=1,1.07,IF(입력란!$C$30=2,1.08,IF(입력란!$C$30=3,1.09,1)))</f>
        <v>0</v>
      </c>
      <c r="AA135" s="21">
        <f>SUM(AB135:AI135)</f>
        <v>976252.9928669763</v>
      </c>
      <c r="AB135" s="21">
        <f>S135*2</f>
        <v>244063.24821674408</v>
      </c>
      <c r="AC135" s="21">
        <f>T135*2</f>
        <v>244063.24821674408</v>
      </c>
      <c r="AD135" s="21">
        <f>U135*2</f>
        <v>244063.24821674408</v>
      </c>
      <c r="AE135" s="21">
        <f>V135*2</f>
        <v>244063.24821674408</v>
      </c>
      <c r="AF135" s="21">
        <f>W135*2</f>
        <v>0</v>
      </c>
      <c r="AG135" s="21">
        <f>X135*2</f>
        <v>0</v>
      </c>
      <c r="AH135" s="21">
        <f>Y135*2</f>
        <v>0</v>
      </c>
      <c r="AI135" s="20">
        <f>Z135*2</f>
        <v>0</v>
      </c>
      <c r="AJ135" s="21">
        <f>AQ135*(1-입력란!$P$10/100)</f>
        <v>15.807642750719999</v>
      </c>
      <c r="AK1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5" s="21">
        <f>입력란!$P$24+입력란!$P$16+IF(입력란!$C$18=1,10,IF(입력란!$C$18=2,25,IF(입력란!$C$18=3,50,0)))+IF(입력란!$C$23&lt;&gt;0,-12)</f>
        <v>380.66103559999999</v>
      </c>
      <c r="AM135" s="21">
        <f>SUM(AN135:AP135)</f>
        <v>270398.35832816816</v>
      </c>
      <c r="AN135" s="21">
        <f>(VLOOKUP(C135,$B$4:$AJ$7,9,FALSE)+VLOOKUP(C135,$B$8:$AJ$11,9,FALSE)*입력란!$P$4)*입력란!$P$25/100</f>
        <v>270398.35832816816</v>
      </c>
      <c r="AO135" s="21"/>
      <c r="AP135" s="21"/>
      <c r="AQ135" s="22">
        <v>16</v>
      </c>
    </row>
    <row r="136" spans="2:43" ht="13.5" customHeight="1" x14ac:dyDescent="0.55000000000000004">
      <c r="B136" s="66">
        <v>121</v>
      </c>
      <c r="C136" s="29">
        <v>10</v>
      </c>
      <c r="D136" s="30" t="s">
        <v>142</v>
      </c>
      <c r="E136" s="27" t="s">
        <v>141</v>
      </c>
      <c r="F136" s="29" t="s">
        <v>346</v>
      </c>
      <c r="G136" s="29"/>
      <c r="H136" s="36">
        <f>I136/AJ136</f>
        <v>101046.8542366053</v>
      </c>
      <c r="I136" s="37">
        <f>SUM(J136:Q136)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1597312.5728563343</v>
      </c>
      <c r="J136" s="21">
        <f>S136*(1+IF($AK136+IF(입력란!$C$26=1,10,0)+IF(입력란!$C$9=1,10,0)&gt;100,100,$AK136+IF(입력란!$C$26=1,10,0)+IF(입력란!$C$9=1,10,0))/100*(($AL136+IF(입력란!$C$30=1,IF(OR(입력란!$C$9=1,입력란!$C$10=1),55,17),IF(입력란!$C$30=2,IF(OR(입력란!$C$9=1,입력란!$C$10=1),60,20),IF(입력란!$C$30=3,IF(OR(입력란!$C$9=1,입력란!$C$10=1),65,22),0)))+IF(MID($E136,3,1)="3",80,0))/100-1))</f>
        <v>272794.17040136608</v>
      </c>
      <c r="K136" s="21">
        <f>T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+IF(MID($E136,3,1)="3",80,0))/100-1))</f>
        <v>272794.17040136608</v>
      </c>
      <c r="L136" s="21">
        <f>U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+IF(MID($E136,3,1)="3",80,0))/100-1))</f>
        <v>272794.17040136608</v>
      </c>
      <c r="M136" s="21">
        <f>V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+IF(MID($E136,3,1)="3",80,0))/100-1))</f>
        <v>272794.17040136608</v>
      </c>
      <c r="N136" s="21">
        <f>W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)/100-1))</f>
        <v>0</v>
      </c>
      <c r="O136" s="21">
        <f>X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)/100-1))</f>
        <v>0</v>
      </c>
      <c r="P136" s="21">
        <f>Y136*(1+IF($AK136+IF(입력란!$C$26=1,10,IF(MID($E136,1,1)="2",10,0))+IF(입력란!$C$9=1,10,0)&gt;100,100,$AK136+IF(입력란!$C$26=1,10,IF(MID($E136,1,1)="2",10,0))+IF(입력란!$C$9=1,10,0))/100*(($AL136+IF(입력란!$C$30=1,IF(OR(입력란!$C$9=1,입력란!$C$10=1),55,17),IF(입력란!$C$30=2,IF(OR(입력란!$C$9=1,입력란!$C$10=1),60,20),IF(입력란!$C$30=3,IF(OR(입력란!$C$9=1,입력란!$C$10=1),65,22),0))))/100-1))</f>
        <v>0</v>
      </c>
      <c r="Q136" s="20">
        <f>Z136*(1+IF($AK136+IF(입력란!$C$26=1,10,IF(MID($E136,1,1)="2",10,0))&gt;100,100,$AK136+IF(입력란!$C$26=1,10,IF(MID($E136,1,1)="2",10,0)))/100*(($AL136+IF(입력란!$C$30=1,17,IF(입력란!$C$30=2,20,IF(입력란!$C$30=3,22,0))))/100-1))</f>
        <v>39984.406742623134</v>
      </c>
      <c r="R136" s="19">
        <f>SUM(S136:Z136)</f>
        <v>413709.48824209726</v>
      </c>
      <c r="S136" s="21">
        <f>AN136*IF(입력란!$C$12=0,1,IF(입력란!$C$12=1,1.35,IF(입력란!$C$12=2,1.55,IF(입력란!$C$12=3,1.75,1))))*IF(MID(E136,3,1)="1",트라이포드!$J$11,트라이포드!$I$11)*IF(MID(E136,3,1)="2",트라이포드!$L$11,트라이포드!$K$11)*IF(MID(E136,3,1)="3",트라이포드!$N$11,트라이포드!$M$11)*IF(MID(E136,5,1)="1",트라이포드!$O$11,1)*IF(MID(E136,5,1)="2",트라이포드!$Q$11*트라이포드!$R$11,1)*IF(입력란!$C$9=1,IF(입력란!$C$15=0,1.05,IF(입력란!$C$15=1,1.05*1.05,IF(입력란!$C$15=2,1.05*1.12,IF(입력란!$C$15=3,1.05*1.25)))),1)/IF(MID(E136,3,1)="1",7,4)*IF(입력란!$C$30=1,IF(OR(입력란!$C$9=1,입력란!$C$10=1),1.21,1.07),IF(입력란!$C$30=2,IF(OR(입력란!$C$9=1,입력란!$C$10=1),1.24,1.08),IF(입력란!$C$30=3,IF(OR(입력란!$C$9=1,입력란!$C$10=1),1.26,1.09),1)))</f>
        <v>99371.396685601794</v>
      </c>
      <c r="T136" s="21">
        <f>S136</f>
        <v>99371.396685601794</v>
      </c>
      <c r="U136" s="21">
        <f>T136</f>
        <v>99371.396685601794</v>
      </c>
      <c r="V136" s="21">
        <f>U136</f>
        <v>99371.396685601794</v>
      </c>
      <c r="W136" s="21">
        <f>IF(MID($E136,3,1)="1",$S136,0)</f>
        <v>0</v>
      </c>
      <c r="X136" s="21">
        <f>IF(MID($E136,3,1)="1",$S136,0)</f>
        <v>0</v>
      </c>
      <c r="Y136" s="21">
        <f>IF(MID($E136,3,1)="1",$S136,0)</f>
        <v>0</v>
      </c>
      <c r="Z136" s="20">
        <f>AN136*IF(입력란!$C$12=0,1,IF(입력란!$C$12=1,1.35,IF(입력란!$C$12=2,1.55,IF(입력란!$C$12=3,1.75,1))))*IF(MID(E136,5,1)="1",트라이포드!$P$11*IF(MID(E136,3,1)="1",7,4)*5,0)*IF(입력란!$C$30=1,1.07,IF(입력란!$C$30=2,1.08,IF(입력란!$C$30=3,1.09,1)))</f>
        <v>16223.90149969009</v>
      </c>
      <c r="AA136" s="21">
        <f>SUM(AB136:AI136)</f>
        <v>827418.97648419451</v>
      </c>
      <c r="AB136" s="21">
        <f>S136*2</f>
        <v>198742.79337120359</v>
      </c>
      <c r="AC136" s="21">
        <f>T136*2</f>
        <v>198742.79337120359</v>
      </c>
      <c r="AD136" s="21">
        <f>U136*2</f>
        <v>198742.79337120359</v>
      </c>
      <c r="AE136" s="21">
        <f>V136*2</f>
        <v>198742.79337120359</v>
      </c>
      <c r="AF136" s="21">
        <f>W136*2</f>
        <v>0</v>
      </c>
      <c r="AG136" s="21">
        <f>X136*2</f>
        <v>0</v>
      </c>
      <c r="AH136" s="21">
        <f>Y136*2</f>
        <v>0</v>
      </c>
      <c r="AI136" s="20">
        <f>Z136*2</f>
        <v>32447.802999380179</v>
      </c>
      <c r="AJ136" s="21">
        <f>AQ136*(1-입력란!$P$10/100)</f>
        <v>15.807642750719999</v>
      </c>
      <c r="AK1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6" s="21">
        <f>입력란!$P$24+입력란!$P$16+IF(입력란!$C$18=1,10,IF(입력란!$C$18=2,25,IF(입력란!$C$18=3,50,0)))+IF(입력란!$C$23&lt;&gt;0,-12)</f>
        <v>380.66103559999999</v>
      </c>
      <c r="AM136" s="21">
        <f>SUM(AN136:AP136)</f>
        <v>270398.35832816816</v>
      </c>
      <c r="AN136" s="21">
        <f>(VLOOKUP(C136,$B$4:$AJ$7,9,FALSE)+VLOOKUP(C136,$B$8:$AJ$11,9,FALSE)*입력란!$P$4)*입력란!$P$25/100</f>
        <v>270398.35832816816</v>
      </c>
      <c r="AO136" s="21"/>
      <c r="AP136" s="21"/>
      <c r="AQ136" s="22">
        <v>16</v>
      </c>
    </row>
    <row r="137" spans="2:43" ht="13.5" customHeight="1" x14ac:dyDescent="0.55000000000000004">
      <c r="B137" s="66">
        <v>122</v>
      </c>
      <c r="C137" s="29">
        <v>10</v>
      </c>
      <c r="D137" s="30" t="s">
        <v>142</v>
      </c>
      <c r="E137" s="27" t="s">
        <v>148</v>
      </c>
      <c r="F137" s="29"/>
      <c r="G137" s="29" t="s">
        <v>481</v>
      </c>
      <c r="H137" s="36">
        <f>I137/AJ137</f>
        <v>104089.41654311115</v>
      </c>
      <c r="I137" s="37">
        <f>SUM(J137:Q137)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1645408.3108443853</v>
      </c>
      <c r="J137" s="21">
        <f>S137*(1+IF($AK137+IF(입력란!$C$26=1,10,0)+IF(입력란!$C$9=1,10,0)&gt;100,100,$AK137+IF(입력란!$C$26=1,10,0)+IF(입력란!$C$9=1,10,0))/100*(($AL137+IF(입력란!$C$30=1,IF(OR(입력란!$C$9=1,입력란!$C$10=1),55,17),IF(입력란!$C$30=2,IF(OR(입력란!$C$9=1,입력란!$C$10=1),60,20),IF(입력란!$C$30=3,IF(OR(입력란!$C$9=1,입력란!$C$10=1),65,22),0)))+IF(MID($E137,3,1)="3",80,0))/100-1))</f>
        <v>291305.20339288737</v>
      </c>
      <c r="K137" s="21">
        <f>T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+IF(MID($E137,3,1)="3",80,0))/100-1))</f>
        <v>291305.20339288737</v>
      </c>
      <c r="L137" s="21">
        <f>U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+IF(MID($E137,3,1)="3",80,0))/100-1))</f>
        <v>291305.20339288737</v>
      </c>
      <c r="M137" s="21">
        <f>V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+IF(MID($E137,3,1)="3",80,0))/100-1))</f>
        <v>291305.20339288737</v>
      </c>
      <c r="N137" s="21">
        <f>W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)/100-1))</f>
        <v>0</v>
      </c>
      <c r="O137" s="21">
        <f>X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)/100-1))</f>
        <v>0</v>
      </c>
      <c r="P137" s="21">
        <f>Y137*(1+IF($AK137+IF(입력란!$C$26=1,10,IF(MID($E137,1,1)="2",10,0))+IF(입력란!$C$9=1,10,0)&gt;100,100,$AK137+IF(입력란!$C$26=1,10,IF(MID($E137,1,1)="2",10,0))+IF(입력란!$C$9=1,10,0))/100*(($AL137+IF(입력란!$C$30=1,IF(OR(입력란!$C$9=1,입력란!$C$10=1),55,17),IF(입력란!$C$30=2,IF(OR(입력란!$C$9=1,입력란!$C$10=1),60,20),IF(입력란!$C$30=3,IF(OR(입력란!$C$9=1,입력란!$C$10=1),65,22),0))))/100-1))</f>
        <v>0</v>
      </c>
      <c r="Q137" s="20">
        <f>Z137*(1+IF($AK137+IF(입력란!$C$26=1,10,IF(MID($E137,1,1)="2",10,0))&gt;100,100,$AK137+IF(입력란!$C$26=1,10,IF(MID($E137,1,1)="2",10,0)))/100*(($AL137+IF(입력란!$C$30=1,17,IF(입력란!$C$30=2,20,IF(입력란!$C$30=3,22,0))))/100-1))</f>
        <v>0</v>
      </c>
      <c r="R137" s="19">
        <f>SUM(S137:Z137)</f>
        <v>424457.82298564195</v>
      </c>
      <c r="S137" s="21">
        <f>AN137*IF(입력란!$C$12=0,1,IF(입력란!$C$12=1,1.35,IF(입력란!$C$12=2,1.55,IF(입력란!$C$12=3,1.75,1))))*IF(MID(E137,3,1)="1",트라이포드!$J$11,트라이포드!$I$11)*IF(MID(E137,3,1)="2",트라이포드!$L$11,트라이포드!$K$11)*IF(MID(E137,3,1)="3",트라이포드!$N$11,트라이포드!$M$11)*IF(MID(E137,5,1)="1",트라이포드!$O$11,1)*IF(MID(E137,5,1)="2",트라이포드!$Q$11*트라이포드!$R$11,1)*IF(입력란!$C$9=1,IF(입력란!$C$15=0,1.05,IF(입력란!$C$15=1,1.05*1.05,IF(입력란!$C$15=2,1.05*1.12,IF(입력란!$C$15=3,1.05*1.25)))),1)/IF(MID(E137,3,1)="1",7,4)*IF(입력란!$C$30=1,IF(OR(입력란!$C$9=1,입력란!$C$10=1),1.21,1.07),IF(입력란!$C$30=2,IF(OR(입력란!$C$9=1,입력란!$C$10=1),1.24,1.08),IF(입력란!$C$30=3,IF(OR(입력란!$C$9=1,입력란!$C$10=1),1.26,1.09),1)))</f>
        <v>106114.45574641049</v>
      </c>
      <c r="T137" s="21">
        <f>S137</f>
        <v>106114.45574641049</v>
      </c>
      <c r="U137" s="21">
        <f>T137</f>
        <v>106114.45574641049</v>
      </c>
      <c r="V137" s="21">
        <f>U137</f>
        <v>106114.45574641049</v>
      </c>
      <c r="W137" s="21">
        <f>IF(MID($E137,3,1)="1",$S137,0)</f>
        <v>0</v>
      </c>
      <c r="X137" s="21">
        <f>IF(MID($E137,3,1)="1",$S137,0)</f>
        <v>0</v>
      </c>
      <c r="Y137" s="21">
        <f>IF(MID($E137,3,1)="1",$S137,0)</f>
        <v>0</v>
      </c>
      <c r="Z137" s="20">
        <f>AN137*IF(입력란!$C$12=0,1,IF(입력란!$C$12=1,1.35,IF(입력란!$C$12=2,1.55,IF(입력란!$C$12=3,1.75,1))))*IF(MID(E137,5,1)="1",트라이포드!$P$11*IF(MID(E137,3,1)="1",7,4)*5,0)*IF(입력란!$C$30=1,1.07,IF(입력란!$C$30=2,1.08,IF(입력란!$C$30=3,1.09,1)))</f>
        <v>0</v>
      </c>
      <c r="AA137" s="21">
        <f>SUM(AB137:AI137)</f>
        <v>848915.6459712839</v>
      </c>
      <c r="AB137" s="21">
        <f>S137*2</f>
        <v>212228.91149282097</v>
      </c>
      <c r="AC137" s="21">
        <f>T137*2</f>
        <v>212228.91149282097</v>
      </c>
      <c r="AD137" s="21">
        <f>U137*2</f>
        <v>212228.91149282097</v>
      </c>
      <c r="AE137" s="21">
        <f>V137*2</f>
        <v>212228.91149282097</v>
      </c>
      <c r="AF137" s="21">
        <f>W137*2</f>
        <v>0</v>
      </c>
      <c r="AG137" s="21">
        <f>X137*2</f>
        <v>0</v>
      </c>
      <c r="AH137" s="21">
        <f>Y137*2</f>
        <v>0</v>
      </c>
      <c r="AI137" s="20">
        <f>Z137*2</f>
        <v>0</v>
      </c>
      <c r="AJ137" s="21">
        <f>AQ137*(1-입력란!$P$10/100)</f>
        <v>15.807642750719999</v>
      </c>
      <c r="AK1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7" s="21">
        <f>입력란!$P$24+입력란!$P$16+IF(입력란!$C$18=1,10,IF(입력란!$C$18=2,25,IF(입력란!$C$18=3,50,0)))+IF(입력란!$C$23&lt;&gt;0,-12)</f>
        <v>380.66103559999999</v>
      </c>
      <c r="AM137" s="21">
        <f>SUM(AN137:AP137)</f>
        <v>270398.35832816816</v>
      </c>
      <c r="AN137" s="21">
        <f>(VLOOKUP(C137,$B$4:$AJ$7,9,FALSE)+VLOOKUP(C137,$B$8:$AJ$11,9,FALSE)*입력란!$P$4)*입력란!$P$25/100</f>
        <v>270398.35832816816</v>
      </c>
      <c r="AO137" s="21"/>
      <c r="AP137" s="21"/>
      <c r="AQ137" s="22">
        <v>16</v>
      </c>
    </row>
    <row r="138" spans="2:43" ht="13.5" customHeight="1" x14ac:dyDescent="0.55000000000000004">
      <c r="B138" s="66">
        <v>123</v>
      </c>
      <c r="C138" s="29">
        <v>10</v>
      </c>
      <c r="D138" s="30" t="s">
        <v>142</v>
      </c>
      <c r="E138" s="27" t="s">
        <v>149</v>
      </c>
      <c r="F138" s="29" t="s">
        <v>346</v>
      </c>
      <c r="G138" s="29"/>
      <c r="H138" s="36">
        <f>I138/AJ138</f>
        <v>162210.73907857214</v>
      </c>
      <c r="I138" s="37">
        <f>SUM(J138:Q138)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2564169.4136843244</v>
      </c>
      <c r="J138" s="21">
        <f>S138*(1+IF($AK138+IF(입력란!$C$26=1,10,0)+IF(입력란!$C$9=1,10,0)&gt;100,100,$AK138+IF(입력란!$C$26=1,10,0)+IF(입력란!$C$9=1,10,0))/100*(($AL138+IF(입력란!$C$30=1,IF(OR(입력란!$C$9=1,입력란!$C$10=1),55,17),IF(입력란!$C$30=2,IF(OR(입력란!$C$9=1,입력란!$C$10=1),60,20),IF(입력란!$C$30=3,IF(OR(입력란!$C$9=1,입력란!$C$10=1),65,22),0)))+IF(MID($E138,3,1)="3",80,0))/100-1))</f>
        <v>249411.81293839187</v>
      </c>
      <c r="K138" s="21">
        <f>T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+IF(MID($E138,3,1)="3",80,0))/100-1))</f>
        <v>249411.81293839187</v>
      </c>
      <c r="L138" s="21">
        <f>U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+IF(MID($E138,3,1)="3",80,0))/100-1))</f>
        <v>249411.81293839187</v>
      </c>
      <c r="M138" s="21">
        <f>V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+IF(MID($E138,3,1)="3",80,0))/100-1))</f>
        <v>249411.81293839187</v>
      </c>
      <c r="N138" s="21">
        <f>W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O138" s="21">
        <f>X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P138" s="21">
        <f>Y138*(1+IF($AK138+IF(입력란!$C$26=1,10,IF(MID($E138,1,1)="2",10,0))+IF(입력란!$C$9=1,10,0)&gt;100,100,$AK138+IF(입력란!$C$26=1,10,IF(MID($E138,1,1)="2",10,0))+IF(입력란!$C$9=1,10,0))/100*(($AL138+IF(입력란!$C$30=1,IF(OR(입력란!$C$9=1,입력란!$C$10=1),55,17),IF(입력란!$C$30=2,IF(OR(입력란!$C$9=1,입력란!$C$10=1),60,20),IF(입력란!$C$30=3,IF(OR(입력란!$C$9=1,입력란!$C$10=1),65,22),0))))/100-1))</f>
        <v>249411.81293839187</v>
      </c>
      <c r="Q138" s="20">
        <f>Z138*(1+IF($AK138+IF(입력란!$C$26=1,10,IF(MID($E138,1,1)="2",10,0))&gt;100,100,$AK138+IF(입력란!$C$26=1,10,IF(MID($E138,1,1)="2",10,0)))/100*(($AL138+IF(입력란!$C$30=1,17,IF(입력란!$C$30=2,20,IF(입력란!$C$30=3,22,0))))/100-1))</f>
        <v>69972.711799590485</v>
      </c>
      <c r="R138" s="19">
        <f>SUM(S138:Z138)</f>
        <v>664368.76641230914</v>
      </c>
      <c r="S138" s="21">
        <f>AN138*IF(입력란!$C$12=0,1,IF(입력란!$C$12=1,1.35,IF(입력란!$C$12=2,1.55,IF(입력란!$C$12=3,1.75,1))))*IF(MID(E138,3,1)="1",트라이포드!$J$11,트라이포드!$I$11)*IF(MID(E138,3,1)="2",트라이포드!$L$11,트라이포드!$K$11)*IF(MID(E138,3,1)="3",트라이포드!$N$11,트라이포드!$M$11)*IF(MID(E138,5,1)="1",트라이포드!$O$11,1)*IF(MID(E138,5,1)="2",트라이포드!$Q$11*트라이포드!$R$11,1)*IF(입력란!$C$9=1,IF(입력란!$C$15=0,1.05,IF(입력란!$C$15=1,1.05*1.05,IF(입력란!$C$15=2,1.05*1.12,IF(입력란!$C$15=3,1.05*1.25)))),1)/IF(MID(E138,3,1)="1",7,4)*IF(입력란!$C$30=1,IF(OR(입력란!$C$9=1,입력란!$C$10=1),1.21,1.07),IF(입력란!$C$30=2,IF(OR(입력란!$C$9=1,입력란!$C$10=1),1.24,1.08),IF(입력란!$C$30=3,IF(OR(입력란!$C$9=1,입력란!$C$10=1),1.26,1.09),1)))</f>
        <v>90853.848398264498</v>
      </c>
      <c r="T138" s="21">
        <f>S138</f>
        <v>90853.848398264498</v>
      </c>
      <c r="U138" s="21">
        <f>T138</f>
        <v>90853.848398264498</v>
      </c>
      <c r="V138" s="21">
        <f>U138</f>
        <v>90853.848398264498</v>
      </c>
      <c r="W138" s="21">
        <f>IF(MID($E138,3,1)="1",$S138,0)</f>
        <v>90853.848398264498</v>
      </c>
      <c r="X138" s="21">
        <f>IF(MID($E138,3,1)="1",$S138,0)</f>
        <v>90853.848398264498</v>
      </c>
      <c r="Y138" s="21">
        <f>IF(MID($E138,3,1)="1",$S138,0)</f>
        <v>90853.848398264498</v>
      </c>
      <c r="Z138" s="20">
        <f>AN138*IF(입력란!$C$12=0,1,IF(입력란!$C$12=1,1.35,IF(입력란!$C$12=2,1.55,IF(입력란!$C$12=3,1.75,1))))*IF(MID(E138,5,1)="1",트라이포드!$P$11*IF(MID(E138,3,1)="1",7,4)*5,0)*IF(입력란!$C$30=1,1.07,IF(입력란!$C$30=2,1.08,IF(입력란!$C$30=3,1.09,1)))</f>
        <v>28391.827624457659</v>
      </c>
      <c r="AA138" s="21">
        <f>SUM(AB138:AI138)</f>
        <v>1328737.5328246183</v>
      </c>
      <c r="AB138" s="21">
        <f>S138*2</f>
        <v>181707.696796529</v>
      </c>
      <c r="AC138" s="21">
        <f>T138*2</f>
        <v>181707.696796529</v>
      </c>
      <c r="AD138" s="21">
        <f>U138*2</f>
        <v>181707.696796529</v>
      </c>
      <c r="AE138" s="21">
        <f>V138*2</f>
        <v>181707.696796529</v>
      </c>
      <c r="AF138" s="21">
        <f>W138*2</f>
        <v>181707.696796529</v>
      </c>
      <c r="AG138" s="21">
        <f>X138*2</f>
        <v>181707.696796529</v>
      </c>
      <c r="AH138" s="21">
        <f>Y138*2</f>
        <v>181707.696796529</v>
      </c>
      <c r="AI138" s="20">
        <f>Z138*2</f>
        <v>56783.655248915318</v>
      </c>
      <c r="AJ138" s="21">
        <f>AQ138*(1-입력란!$P$10/100)</f>
        <v>15.807642750719999</v>
      </c>
      <c r="AK1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8" s="21">
        <f>입력란!$P$24+입력란!$P$16+IF(입력란!$C$18=1,10,IF(입력란!$C$18=2,25,IF(입력란!$C$18=3,50,0)))+IF(입력란!$C$23&lt;&gt;0,-12)</f>
        <v>380.66103559999999</v>
      </c>
      <c r="AM138" s="21">
        <f>SUM(AN138:AP138)</f>
        <v>270398.35832816816</v>
      </c>
      <c r="AN138" s="21">
        <f>(VLOOKUP(C138,$B$4:$AJ$7,9,FALSE)+VLOOKUP(C138,$B$8:$AJ$11,9,FALSE)*입력란!$P$4)*입력란!$P$25/100</f>
        <v>270398.35832816816</v>
      </c>
      <c r="AO138" s="21"/>
      <c r="AP138" s="21"/>
      <c r="AQ138" s="22">
        <v>16</v>
      </c>
    </row>
    <row r="139" spans="2:43" ht="13.5" customHeight="1" x14ac:dyDescent="0.55000000000000004">
      <c r="B139" s="66">
        <v>124</v>
      </c>
      <c r="C139" s="29">
        <v>10</v>
      </c>
      <c r="D139" s="30" t="s">
        <v>142</v>
      </c>
      <c r="E139" s="27" t="s">
        <v>150</v>
      </c>
      <c r="F139" s="29"/>
      <c r="G139" s="29" t="s">
        <v>481</v>
      </c>
      <c r="H139" s="36">
        <f>I139/AJ139</f>
        <v>166543.06646897781</v>
      </c>
      <c r="I139" s="37">
        <f>SUM(J139:Q139)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2632653.2973510162</v>
      </c>
      <c r="J139" s="21">
        <f>S139*(1+IF($AK139+IF(입력란!$C$26=1,10,0)+IF(입력란!$C$9=1,10,0)&gt;100,100,$AK139+IF(입력란!$C$26=1,10,0)+IF(입력란!$C$9=1,10,0))/100*(($AL139+IF(입력란!$C$30=1,IF(OR(입력란!$C$9=1,입력란!$C$10=1),55,17),IF(입력란!$C$30=2,IF(OR(입력란!$C$9=1,입력란!$C$10=1),60,20),IF(입력란!$C$30=3,IF(OR(입력란!$C$9=1,입력란!$C$10=1),65,22),0)))+IF(MID($E139,3,1)="3",80,0))/100-1))</f>
        <v>266336.18595921132</v>
      </c>
      <c r="K139" s="21">
        <f>T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+IF(MID($E139,3,1)="3",80,0))/100-1))</f>
        <v>266336.18595921132</v>
      </c>
      <c r="L139" s="21">
        <f>U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+IF(MID($E139,3,1)="3",80,0))/100-1))</f>
        <v>266336.18595921132</v>
      </c>
      <c r="M139" s="21">
        <f>V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+IF(MID($E139,3,1)="3",80,0))/100-1))</f>
        <v>266336.18595921132</v>
      </c>
      <c r="N139" s="21">
        <f>W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O139" s="21">
        <f>X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P139" s="21">
        <f>Y139*(1+IF($AK139+IF(입력란!$C$26=1,10,IF(MID($E139,1,1)="2",10,0))+IF(입력란!$C$9=1,10,0)&gt;100,100,$AK139+IF(입력란!$C$26=1,10,IF(MID($E139,1,1)="2",10,0))+IF(입력란!$C$9=1,10,0))/100*(($AL139+IF(입력란!$C$30=1,IF(OR(입력란!$C$9=1,입력란!$C$10=1),55,17),IF(입력란!$C$30=2,IF(OR(입력란!$C$9=1,입력란!$C$10=1),60,20),IF(입력란!$C$30=3,IF(OR(입력란!$C$9=1,입력란!$C$10=1),65,22),0))))/100-1))</f>
        <v>266336.18595921132</v>
      </c>
      <c r="Q139" s="20">
        <f>Z139*(1+IF($AK139+IF(입력란!$C$26=1,10,IF(MID($E139,1,1)="2",10,0))&gt;100,100,$AK139+IF(입력란!$C$26=1,10,IF(MID($E139,1,1)="2",10,0)))/100*(($AL139+IF(입력란!$C$30=1,17,IF(입력란!$C$30=2,20,IF(입력란!$C$30=3,22,0))))/100-1))</f>
        <v>0</v>
      </c>
      <c r="R139" s="19">
        <f>SUM(S139:Z139)</f>
        <v>679132.51677702728</v>
      </c>
      <c r="S139" s="21">
        <f>AN139*IF(입력란!$C$12=0,1,IF(입력란!$C$12=1,1.35,IF(입력란!$C$12=2,1.55,IF(입력란!$C$12=3,1.75,1))))*IF(MID(E139,3,1)="1",트라이포드!$J$11,트라이포드!$I$11)*IF(MID(E139,3,1)="2",트라이포드!$L$11,트라이포드!$K$11)*IF(MID(E139,3,1)="3",트라이포드!$N$11,트라이포드!$M$11)*IF(MID(E139,5,1)="1",트라이포드!$O$11,1)*IF(MID(E139,5,1)="2",트라이포드!$Q$11*트라이포드!$R$11,1)*IF(입력란!$C$9=1,IF(입력란!$C$15=0,1.05,IF(입력란!$C$15=1,1.05*1.05,IF(입력란!$C$15=2,1.05*1.12,IF(입력란!$C$15=3,1.05*1.25)))),1)/IF(MID(E139,3,1)="1",7,4)*IF(입력란!$C$30=1,IF(OR(입력란!$C$9=1,입력란!$C$10=1),1.21,1.07),IF(입력란!$C$30=2,IF(OR(입력란!$C$9=1,입력란!$C$10=1),1.24,1.08),IF(입력란!$C$30=3,IF(OR(입력란!$C$9=1,입력란!$C$10=1),1.26,1.09),1)))</f>
        <v>97018.930968146742</v>
      </c>
      <c r="T139" s="21">
        <f>S139</f>
        <v>97018.930968146742</v>
      </c>
      <c r="U139" s="21">
        <f>T139</f>
        <v>97018.930968146742</v>
      </c>
      <c r="V139" s="21">
        <f>U139</f>
        <v>97018.930968146742</v>
      </c>
      <c r="W139" s="21">
        <f>IF(MID($E139,3,1)="1",$S139,0)</f>
        <v>97018.930968146742</v>
      </c>
      <c r="X139" s="21">
        <f>IF(MID($E139,3,1)="1",$S139,0)</f>
        <v>97018.930968146742</v>
      </c>
      <c r="Y139" s="21">
        <f>IF(MID($E139,3,1)="1",$S139,0)</f>
        <v>97018.930968146742</v>
      </c>
      <c r="Z139" s="20">
        <f>AN139*IF(입력란!$C$12=0,1,IF(입력란!$C$12=1,1.35,IF(입력란!$C$12=2,1.55,IF(입력란!$C$12=3,1.75,1))))*IF(MID(E139,5,1)="1",트라이포드!$P$11*IF(MID(E139,3,1)="1",7,4)*5,0)*IF(입력란!$C$30=1,1.07,IF(입력란!$C$30=2,1.08,IF(입력란!$C$30=3,1.09,1)))</f>
        <v>0</v>
      </c>
      <c r="AA139" s="21">
        <f>SUM(AB139:AI139)</f>
        <v>1358265.0335540546</v>
      </c>
      <c r="AB139" s="21">
        <f>S139*2</f>
        <v>194037.86193629348</v>
      </c>
      <c r="AC139" s="21">
        <f>T139*2</f>
        <v>194037.86193629348</v>
      </c>
      <c r="AD139" s="21">
        <f>U139*2</f>
        <v>194037.86193629348</v>
      </c>
      <c r="AE139" s="21">
        <f>V139*2</f>
        <v>194037.86193629348</v>
      </c>
      <c r="AF139" s="21">
        <f>W139*2</f>
        <v>194037.86193629348</v>
      </c>
      <c r="AG139" s="21">
        <f>X139*2</f>
        <v>194037.86193629348</v>
      </c>
      <c r="AH139" s="21">
        <f>Y139*2</f>
        <v>194037.86193629348</v>
      </c>
      <c r="AI139" s="20">
        <f>Z139*2</f>
        <v>0</v>
      </c>
      <c r="AJ139" s="21">
        <f>AQ139*(1-입력란!$P$10/100)</f>
        <v>15.807642750719999</v>
      </c>
      <c r="AK1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39" s="21">
        <f>입력란!$P$24+입력란!$P$16+IF(입력란!$C$18=1,10,IF(입력란!$C$18=2,25,IF(입력란!$C$18=3,50,0)))+IF(입력란!$C$23&lt;&gt;0,-12)</f>
        <v>380.66103559999999</v>
      </c>
      <c r="AM139" s="21">
        <f>SUM(AN139:AP139)</f>
        <v>270398.35832816816</v>
      </c>
      <c r="AN139" s="21">
        <f>(VLOOKUP(C139,$B$4:$AJ$7,9,FALSE)+VLOOKUP(C139,$B$8:$AJ$11,9,FALSE)*입력란!$P$4)*입력란!$P$25/100</f>
        <v>270398.35832816816</v>
      </c>
      <c r="AO139" s="21"/>
      <c r="AP139" s="21"/>
      <c r="AQ139" s="22">
        <v>16</v>
      </c>
    </row>
    <row r="140" spans="2:43" ht="13.5" customHeight="1" x14ac:dyDescent="0.55000000000000004">
      <c r="B140" s="66">
        <v>125</v>
      </c>
      <c r="C140" s="29">
        <v>10</v>
      </c>
      <c r="D140" s="30" t="s">
        <v>142</v>
      </c>
      <c r="E140" s="27" t="s">
        <v>151</v>
      </c>
      <c r="F140" s="29" t="s">
        <v>350</v>
      </c>
      <c r="G140" s="29"/>
      <c r="H140" s="36">
        <f>I140/AJ140</f>
        <v>198521.8931398532</v>
      </c>
      <c r="I140" s="37">
        <f>SUM(J140:Q140)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3138163.1649514106</v>
      </c>
      <c r="J140" s="21">
        <f>S140*(1+IF($AK140+IF(입력란!$C$26=1,10,0)+IF(입력란!$C$9=1,10,0)&gt;100,100,$AK140+IF(입력란!$C$26=1,10,0)+IF(입력란!$C$9=1,10,0))/100*(($AL140+IF(입력란!$C$30=1,IF(OR(입력란!$C$9=1,입력란!$C$10=1),55,17),IF(입력란!$C$30=2,IF(OR(입력란!$C$9=1,입력란!$C$10=1),60,20),IF(입력란!$C$30=3,IF(OR(입력란!$C$9=1,입력란!$C$10=1),65,22),0)))+IF(MID($E140,3,1)="3",80,0))/100-1))</f>
        <v>545588.34080273216</v>
      </c>
      <c r="K140" s="21">
        <f>T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+IF(MID($E140,3,1)="3",80,0))/100-1))</f>
        <v>545588.34080273216</v>
      </c>
      <c r="L140" s="21">
        <f>U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+IF(MID($E140,3,1)="3",80,0))/100-1))</f>
        <v>545588.34080273216</v>
      </c>
      <c r="M140" s="21">
        <f>V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+IF(MID($E140,3,1)="3",80,0))/100-1))</f>
        <v>545588.34080273216</v>
      </c>
      <c r="N140" s="21">
        <f>W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)/100-1))</f>
        <v>0</v>
      </c>
      <c r="O140" s="21">
        <f>X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)/100-1))</f>
        <v>0</v>
      </c>
      <c r="P140" s="21">
        <f>Y140*(1+IF($AK140+IF(입력란!$C$26=1,10,IF(MID($E140,1,1)="2",10,0))+IF(입력란!$C$9=1,10,0)&gt;100,100,$AK140+IF(입력란!$C$26=1,10,IF(MID($E140,1,1)="2",10,0))+IF(입력란!$C$9=1,10,0))/100*(($AL140+IF(입력란!$C$30=1,IF(OR(입력란!$C$9=1,입력란!$C$10=1),55,17),IF(입력란!$C$30=2,IF(OR(입력란!$C$9=1,입력란!$C$10=1),60,20),IF(입력란!$C$30=3,IF(OR(입력란!$C$9=1,입력란!$C$10=1),65,22),0))))/100-1))</f>
        <v>0</v>
      </c>
      <c r="Q140" s="20">
        <f>Z140*(1+IF($AK140+IF(입력란!$C$26=1,10,IF(MID($E140,1,1)="2",10,0))&gt;100,100,$AK140+IF(입력란!$C$26=1,10,IF(MID($E140,1,1)="2",10,0)))/100*(($AL140+IF(입력란!$C$30=1,17,IF(입력란!$C$30=2,20,IF(입력란!$C$30=3,22,0))))/100-1))</f>
        <v>39984.406742623134</v>
      </c>
      <c r="R140" s="19">
        <f>SUM(S140:Z140)</f>
        <v>811195.07498450449</v>
      </c>
      <c r="S140" s="21">
        <f>AN140*IF(입력란!$C$12=0,1,IF(입력란!$C$12=1,1.35,IF(입력란!$C$12=2,1.55,IF(입력란!$C$12=3,1.75,1))))*IF(MID(E140,3,1)="1",트라이포드!$J$11,트라이포드!$I$11)*IF(MID(E140,3,1)="2",트라이포드!$L$11,트라이포드!$K$11)*IF(MID(E140,3,1)="3",트라이포드!$N$11,트라이포드!$M$11)*IF(MID(E140,5,1)="1",트라이포드!$O$11,1)*IF(MID(E140,5,1)="2",트라이포드!$Q$11*트라이포드!$R$11,1)*IF(입력란!$C$9=1,IF(입력란!$C$15=0,1.05,IF(입력란!$C$15=1,1.05*1.05,IF(입력란!$C$15=2,1.05*1.12,IF(입력란!$C$15=3,1.05*1.25)))),1)/IF(MID(E140,3,1)="1",7,4)*IF(입력란!$C$30=1,IF(OR(입력란!$C$9=1,입력란!$C$10=1),1.21,1.07),IF(입력란!$C$30=2,IF(OR(입력란!$C$9=1,입력란!$C$10=1),1.24,1.08),IF(입력란!$C$30=3,IF(OR(입력란!$C$9=1,입력란!$C$10=1),1.26,1.09),1)))</f>
        <v>198742.79337120359</v>
      </c>
      <c r="T140" s="21">
        <f>S140</f>
        <v>198742.79337120359</v>
      </c>
      <c r="U140" s="21">
        <f>T140</f>
        <v>198742.79337120359</v>
      </c>
      <c r="V140" s="21">
        <f>U140</f>
        <v>198742.79337120359</v>
      </c>
      <c r="W140" s="21">
        <f>IF(MID($E140,3,1)="1",$S140,0)</f>
        <v>0</v>
      </c>
      <c r="X140" s="21">
        <f>IF(MID($E140,3,1)="1",$S140,0)</f>
        <v>0</v>
      </c>
      <c r="Y140" s="21">
        <f>IF(MID($E140,3,1)="1",$S140,0)</f>
        <v>0</v>
      </c>
      <c r="Z140" s="20">
        <f>AN140*IF(입력란!$C$12=0,1,IF(입력란!$C$12=1,1.35,IF(입력란!$C$12=2,1.55,IF(입력란!$C$12=3,1.75,1))))*IF(MID(E140,5,1)="1",트라이포드!$P$11*IF(MID(E140,3,1)="1",7,4)*5,0)*IF(입력란!$C$30=1,1.07,IF(입력란!$C$30=2,1.08,IF(입력란!$C$30=3,1.09,1)))</f>
        <v>16223.90149969009</v>
      </c>
      <c r="AA140" s="21">
        <f>SUM(AB140:AI140)</f>
        <v>1622390.149969009</v>
      </c>
      <c r="AB140" s="21">
        <f>S140*2</f>
        <v>397485.58674240718</v>
      </c>
      <c r="AC140" s="21">
        <f>T140*2</f>
        <v>397485.58674240718</v>
      </c>
      <c r="AD140" s="21">
        <f>U140*2</f>
        <v>397485.58674240718</v>
      </c>
      <c r="AE140" s="21">
        <f>V140*2</f>
        <v>397485.58674240718</v>
      </c>
      <c r="AF140" s="21">
        <f>W140*2</f>
        <v>0</v>
      </c>
      <c r="AG140" s="21">
        <f>X140*2</f>
        <v>0</v>
      </c>
      <c r="AH140" s="21">
        <f>Y140*2</f>
        <v>0</v>
      </c>
      <c r="AI140" s="20">
        <f>Z140*2</f>
        <v>32447.802999380179</v>
      </c>
      <c r="AJ140" s="21">
        <f>AQ140*(1-입력란!$P$10/100)</f>
        <v>15.807642750719999</v>
      </c>
      <c r="AK14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0" s="21">
        <f>입력란!$P$24+입력란!$P$16+IF(입력란!$C$18=1,10,IF(입력란!$C$18=2,25,IF(입력란!$C$18=3,50,0)))+IF(입력란!$C$23&lt;&gt;0,-12)</f>
        <v>380.66103559999999</v>
      </c>
      <c r="AM140" s="21">
        <f>SUM(AN140:AP140)</f>
        <v>270398.35832816816</v>
      </c>
      <c r="AN140" s="21">
        <f>(VLOOKUP(C140,$B$4:$AJ$7,9,FALSE)+VLOOKUP(C140,$B$8:$AJ$11,9,FALSE)*입력란!$P$4)*입력란!$P$25/100</f>
        <v>270398.35832816816</v>
      </c>
      <c r="AO140" s="21"/>
      <c r="AP140" s="21"/>
      <c r="AQ140" s="22">
        <v>16</v>
      </c>
    </row>
    <row r="141" spans="2:43" ht="13.5" customHeight="1" x14ac:dyDescent="0.55000000000000004">
      <c r="B141" s="66">
        <v>126</v>
      </c>
      <c r="C141" s="29">
        <v>10</v>
      </c>
      <c r="D141" s="30" t="s">
        <v>142</v>
      </c>
      <c r="E141" s="27" t="s">
        <v>103</v>
      </c>
      <c r="F141" s="29" t="s">
        <v>346</v>
      </c>
      <c r="G141" s="29"/>
      <c r="H141" s="36">
        <f>I141/AJ141</f>
        <v>135980.92744790742</v>
      </c>
      <c r="I141" s="37">
        <f>SUM(J141:Q141)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2149537.9220080958</v>
      </c>
      <c r="J141" s="21">
        <f>S141*(1+IF($AK141+IF(입력란!$C$26=1,10,0)+IF(입력란!$C$9=1,10,0)&gt;100,100,$AK141+IF(입력란!$C$26=1,10,0)+IF(입력란!$C$9=1,10,0))/100*(($AL141+IF(입력란!$C$30=1,IF(OR(입력란!$C$9=1,입력란!$C$10=1),55,17),IF(입력란!$C$30=2,IF(OR(입력란!$C$9=1,입력란!$C$10=1),60,20),IF(입력란!$C$30=3,IF(OR(입력란!$C$9=1,입력란!$C$10=1),65,22),0)))+IF(MID($E141,3,1)="3",80,0))/100-1))</f>
        <v>370560.85639240092</v>
      </c>
      <c r="K141" s="21">
        <f>T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+IF(MID($E141,3,1)="3",80,0))/100-1))</f>
        <v>370560.85639240092</v>
      </c>
      <c r="L141" s="21">
        <f>U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+IF(MID($E141,3,1)="3",80,0))/100-1))</f>
        <v>370560.85639240092</v>
      </c>
      <c r="M141" s="21">
        <f>V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+IF(MID($E141,3,1)="3",80,0))/100-1))</f>
        <v>370560.85639240092</v>
      </c>
      <c r="N141" s="21">
        <f>W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)/100-1))</f>
        <v>0</v>
      </c>
      <c r="O141" s="21">
        <f>X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)/100-1))</f>
        <v>0</v>
      </c>
      <c r="P141" s="21">
        <f>Y141*(1+IF($AK141+IF(입력란!$C$26=1,10,IF(MID($E141,1,1)="2",10,0))+IF(입력란!$C$9=1,10,0)&gt;100,100,$AK141+IF(입력란!$C$26=1,10,IF(MID($E141,1,1)="2",10,0))+IF(입력란!$C$9=1,10,0))/100*(($AL141+IF(입력란!$C$30=1,IF(OR(입력란!$C$9=1,입력란!$C$10=1),55,17),IF(입력란!$C$30=2,IF(OR(입력란!$C$9=1,입력란!$C$10=1),60,20),IF(입력란!$C$30=3,IF(OR(입력란!$C$9=1,입력란!$C$10=1),65,22),0))))/100-1))</f>
        <v>0</v>
      </c>
      <c r="Q141" s="20">
        <f>Z141*(1+IF($AK141+IF(입력란!$C$26=1,10,IF(MID($E141,1,1)="2",10,0))&gt;100,100,$AK141+IF(입력란!$C$26=1,10,IF(MID($E141,1,1)="2",10,0)))/100*(($AL141+IF(입력란!$C$30=1,17,IF(입력란!$C$30=2,20,IF(입력란!$C$30=3,22,0))))/100-1))</f>
        <v>39984.406742623134</v>
      </c>
      <c r="R141" s="19">
        <f>SUM(S141:Z141)</f>
        <v>473332.32625345828</v>
      </c>
      <c r="S141" s="21">
        <f>AN141*IF(입력란!$C$12=0,1,IF(입력란!$C$12=1,1.35,IF(입력란!$C$12=2,1.55,IF(입력란!$C$12=3,1.75,1))))*IF(MID(E141,3,1)="1",트라이포드!$J$11,트라이포드!$I$11)*IF(MID(E141,3,1)="2",트라이포드!$L$11,트라이포드!$K$11)*IF(MID(E141,3,1)="3",트라이포드!$N$11,트라이포드!$M$11)*IF(MID(E141,5,1)="1",트라이포드!$O$11,1)*IF(MID(E141,5,1)="2",트라이포드!$Q$11*트라이포드!$R$11,1)*IF(입력란!$C$9=1,IF(입력란!$C$15=0,1.05,IF(입력란!$C$15=1,1.05*1.05,IF(입력란!$C$15=2,1.05*1.12,IF(입력란!$C$15=3,1.05*1.25)))),1)/IF(MID(E141,3,1)="1",7,4)*IF(입력란!$C$30=1,IF(OR(입력란!$C$9=1,입력란!$C$10=1),1.21,1.07),IF(입력란!$C$30=2,IF(OR(입력란!$C$9=1,입력란!$C$10=1),1.24,1.08),IF(입력란!$C$30=3,IF(OR(입력란!$C$9=1,입력란!$C$10=1),1.26,1.09),1)))</f>
        <v>114277.10618844205</v>
      </c>
      <c r="T141" s="21">
        <f>S141</f>
        <v>114277.10618844205</v>
      </c>
      <c r="U141" s="21">
        <f>T141</f>
        <v>114277.10618844205</v>
      </c>
      <c r="V141" s="21">
        <f>U141</f>
        <v>114277.10618844205</v>
      </c>
      <c r="W141" s="21">
        <f>IF(MID($E141,3,1)="1",$S141,0)</f>
        <v>0</v>
      </c>
      <c r="X141" s="21">
        <f>IF(MID($E141,3,1)="1",$S141,0)</f>
        <v>0</v>
      </c>
      <c r="Y141" s="21">
        <f>IF(MID($E141,3,1)="1",$S141,0)</f>
        <v>0</v>
      </c>
      <c r="Z141" s="20">
        <f>AN141*IF(입력란!$C$12=0,1,IF(입력란!$C$12=1,1.35,IF(입력란!$C$12=2,1.55,IF(입력란!$C$12=3,1.75,1))))*IF(MID(E141,5,1)="1",트라이포드!$P$11*IF(MID(E141,3,1)="1",7,4)*5,0)*IF(입력란!$C$30=1,1.07,IF(입력란!$C$30=2,1.08,IF(입력란!$C$30=3,1.09,1)))</f>
        <v>16223.90149969009</v>
      </c>
      <c r="AA141" s="21">
        <f>SUM(AB141:AI141)</f>
        <v>946664.65250691655</v>
      </c>
      <c r="AB141" s="21">
        <f>S141*2</f>
        <v>228554.2123768841</v>
      </c>
      <c r="AC141" s="21">
        <f>T141*2</f>
        <v>228554.2123768841</v>
      </c>
      <c r="AD141" s="21">
        <f>U141*2</f>
        <v>228554.2123768841</v>
      </c>
      <c r="AE141" s="21">
        <f>V141*2</f>
        <v>228554.2123768841</v>
      </c>
      <c r="AF141" s="21">
        <f>W141*2</f>
        <v>0</v>
      </c>
      <c r="AG141" s="21">
        <f>X141*2</f>
        <v>0</v>
      </c>
      <c r="AH141" s="21">
        <f>Y141*2</f>
        <v>0</v>
      </c>
      <c r="AI141" s="20">
        <f>Z141*2</f>
        <v>32447.802999380179</v>
      </c>
      <c r="AJ141" s="21">
        <f>AQ141*(1-입력란!$P$10/100)</f>
        <v>15.807642750719999</v>
      </c>
      <c r="AK14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1" s="21">
        <f>입력란!$P$24+입력란!$P$16+IF(입력란!$C$18=1,10,IF(입력란!$C$18=2,25,IF(입력란!$C$18=3,50,0)))+IF(입력란!$C$23&lt;&gt;0,-12)</f>
        <v>380.66103559999999</v>
      </c>
      <c r="AM141" s="21">
        <f>SUM(AN141:AP141)</f>
        <v>270398.35832816816</v>
      </c>
      <c r="AN141" s="21">
        <f>(VLOOKUP(C141,$B$4:$AJ$7,9,FALSE)+VLOOKUP(C141,$B$8:$AJ$11,9,FALSE)*입력란!$P$4)*입력란!$P$25/100</f>
        <v>270398.35832816816</v>
      </c>
      <c r="AO141" s="21"/>
      <c r="AP141" s="21"/>
      <c r="AQ141" s="22">
        <v>16</v>
      </c>
    </row>
    <row r="142" spans="2:43" ht="13.5" customHeight="1" x14ac:dyDescent="0.55000000000000004">
      <c r="B142" s="66">
        <v>127</v>
      </c>
      <c r="C142" s="29">
        <v>10</v>
      </c>
      <c r="D142" s="30" t="s">
        <v>142</v>
      </c>
      <c r="E142" s="27" t="s">
        <v>101</v>
      </c>
      <c r="F142" s="29" t="s">
        <v>349</v>
      </c>
      <c r="G142" s="29" t="s">
        <v>481</v>
      </c>
      <c r="H142" s="36">
        <f>I142/AJ142</f>
        <v>208178.83308622229</v>
      </c>
      <c r="I142" s="37">
        <f>SUM(J142:Q142)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3290816.6216887706</v>
      </c>
      <c r="J142" s="21">
        <f>S142*(1+IF($AK142+IF(입력란!$C$26=1,10,0)+IF(입력란!$C$9=1,10,0)&gt;100,100,$AK142+IF(입력란!$C$26=1,10,0)+IF(입력란!$C$9=1,10,0))/100*(($AL142+IF(입력란!$C$30=1,IF(OR(입력란!$C$9=1,입력란!$C$10=1),55,17),IF(입력란!$C$30=2,IF(OR(입력란!$C$9=1,입력란!$C$10=1),60,20),IF(입력란!$C$30=3,IF(OR(입력란!$C$9=1,입력란!$C$10=1),65,22),0)))+IF(MID($E142,3,1)="3",80,0))/100-1))</f>
        <v>582610.40678577474</v>
      </c>
      <c r="K142" s="21">
        <f>T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+IF(MID($E142,3,1)="3",80,0))/100-1))</f>
        <v>582610.40678577474</v>
      </c>
      <c r="L142" s="21">
        <f>U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+IF(MID($E142,3,1)="3",80,0))/100-1))</f>
        <v>582610.40678577474</v>
      </c>
      <c r="M142" s="21">
        <f>V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+IF(MID($E142,3,1)="3",80,0))/100-1))</f>
        <v>582610.40678577474</v>
      </c>
      <c r="N142" s="21">
        <f>W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)/100-1))</f>
        <v>0</v>
      </c>
      <c r="O142" s="21">
        <f>X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)/100-1))</f>
        <v>0</v>
      </c>
      <c r="P142" s="21">
        <f>Y142*(1+IF($AK142+IF(입력란!$C$26=1,10,IF(MID($E142,1,1)="2",10,0))+IF(입력란!$C$9=1,10,0)&gt;100,100,$AK142+IF(입력란!$C$26=1,10,IF(MID($E142,1,1)="2",10,0))+IF(입력란!$C$9=1,10,0))/100*(($AL142+IF(입력란!$C$30=1,IF(OR(입력란!$C$9=1,입력란!$C$10=1),55,17),IF(입력란!$C$30=2,IF(OR(입력란!$C$9=1,입력란!$C$10=1),60,20),IF(입력란!$C$30=3,IF(OR(입력란!$C$9=1,입력란!$C$10=1),65,22),0))))/100-1))</f>
        <v>0</v>
      </c>
      <c r="Q142" s="20">
        <f>Z142*(1+IF($AK142+IF(입력란!$C$26=1,10,IF(MID($E142,1,1)="2",10,0))&gt;100,100,$AK142+IF(입력란!$C$26=1,10,IF(MID($E142,1,1)="2",10,0)))/100*(($AL142+IF(입력란!$C$30=1,17,IF(입력란!$C$30=2,20,IF(입력란!$C$30=3,22,0))))/100-1))</f>
        <v>0</v>
      </c>
      <c r="R142" s="19">
        <f>SUM(S142:Z142)</f>
        <v>848915.6459712839</v>
      </c>
      <c r="S142" s="21">
        <f>AN142*IF(입력란!$C$12=0,1,IF(입력란!$C$12=1,1.35,IF(입력란!$C$12=2,1.55,IF(입력란!$C$12=3,1.75,1))))*IF(MID(E142,3,1)="1",트라이포드!$J$11,트라이포드!$I$11)*IF(MID(E142,3,1)="2",트라이포드!$L$11,트라이포드!$K$11)*IF(MID(E142,3,1)="3",트라이포드!$N$11,트라이포드!$M$11)*IF(MID(E142,5,1)="1",트라이포드!$O$11,1)*IF(MID(E142,5,1)="2",트라이포드!$Q$11*트라이포드!$R$11,1)*IF(입력란!$C$9=1,IF(입력란!$C$15=0,1.05,IF(입력란!$C$15=1,1.05*1.05,IF(입력란!$C$15=2,1.05*1.12,IF(입력란!$C$15=3,1.05*1.25)))),1)/IF(MID(E142,3,1)="1",7,4)*IF(입력란!$C$30=1,IF(OR(입력란!$C$9=1,입력란!$C$10=1),1.21,1.07),IF(입력란!$C$30=2,IF(OR(입력란!$C$9=1,입력란!$C$10=1),1.24,1.08),IF(입력란!$C$30=3,IF(OR(입력란!$C$9=1,입력란!$C$10=1),1.26,1.09),1)))</f>
        <v>212228.91149282097</v>
      </c>
      <c r="T142" s="21">
        <f>S142</f>
        <v>212228.91149282097</v>
      </c>
      <c r="U142" s="21">
        <f>T142</f>
        <v>212228.91149282097</v>
      </c>
      <c r="V142" s="21">
        <f>U142</f>
        <v>212228.91149282097</v>
      </c>
      <c r="W142" s="21">
        <f>IF(MID($E142,3,1)="1",$S142,0)</f>
        <v>0</v>
      </c>
      <c r="X142" s="21">
        <f>IF(MID($E142,3,1)="1",$S142,0)</f>
        <v>0</v>
      </c>
      <c r="Y142" s="21">
        <f>IF(MID($E142,3,1)="1",$S142,0)</f>
        <v>0</v>
      </c>
      <c r="Z142" s="20">
        <f>AN142*IF(입력란!$C$12=0,1,IF(입력란!$C$12=1,1.35,IF(입력란!$C$12=2,1.55,IF(입력란!$C$12=3,1.75,1))))*IF(MID(E142,5,1)="1",트라이포드!$P$11*IF(MID(E142,3,1)="1",7,4)*5,0)*IF(입력란!$C$30=1,1.07,IF(입력란!$C$30=2,1.08,IF(입력란!$C$30=3,1.09,1)))</f>
        <v>0</v>
      </c>
      <c r="AA142" s="21">
        <f>SUM(AB142:AI142)</f>
        <v>1697831.2919425678</v>
      </c>
      <c r="AB142" s="21">
        <f>S142*2</f>
        <v>424457.82298564195</v>
      </c>
      <c r="AC142" s="21">
        <f>T142*2</f>
        <v>424457.82298564195</v>
      </c>
      <c r="AD142" s="21">
        <f>U142*2</f>
        <v>424457.82298564195</v>
      </c>
      <c r="AE142" s="21">
        <f>V142*2</f>
        <v>424457.82298564195</v>
      </c>
      <c r="AF142" s="21">
        <f>W142*2</f>
        <v>0</v>
      </c>
      <c r="AG142" s="21">
        <f>X142*2</f>
        <v>0</v>
      </c>
      <c r="AH142" s="21">
        <f>Y142*2</f>
        <v>0</v>
      </c>
      <c r="AI142" s="20">
        <f>Z142*2</f>
        <v>0</v>
      </c>
      <c r="AJ142" s="21">
        <f>AQ142*(1-입력란!$P$10/100)</f>
        <v>15.807642750719999</v>
      </c>
      <c r="AK14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2" s="21">
        <f>입력란!$P$24+입력란!$P$16+IF(입력란!$C$18=1,10,IF(입력란!$C$18=2,25,IF(입력란!$C$18=3,50,0)))+IF(입력란!$C$23&lt;&gt;0,-12)</f>
        <v>380.66103559999999</v>
      </c>
      <c r="AM142" s="21">
        <f>SUM(AN142:AP142)</f>
        <v>270398.35832816816</v>
      </c>
      <c r="AN142" s="21">
        <f>(VLOOKUP(C142,$B$4:$AJ$7,9,FALSE)+VLOOKUP(C142,$B$8:$AJ$11,9,FALSE)*입력란!$P$4)*입력란!$P$25/100</f>
        <v>270398.35832816816</v>
      </c>
      <c r="AO142" s="21"/>
      <c r="AP142" s="21"/>
      <c r="AQ142" s="22">
        <v>16</v>
      </c>
    </row>
    <row r="143" spans="2:43" ht="13.5" customHeight="1" x14ac:dyDescent="0.55000000000000004">
      <c r="B143" s="66">
        <v>128</v>
      </c>
      <c r="C143" s="29">
        <v>10</v>
      </c>
      <c r="D143" s="30" t="s">
        <v>142</v>
      </c>
      <c r="E143" s="27" t="s">
        <v>104</v>
      </c>
      <c r="F143" s="29"/>
      <c r="G143" s="29" t="s">
        <v>481</v>
      </c>
      <c r="H143" s="36">
        <f>I143/AJ143</f>
        <v>141394.01615089443</v>
      </c>
      <c r="I143" s="37">
        <f>SUM(J143:Q143)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2235106.094402873</v>
      </c>
      <c r="J143" s="21">
        <f>S143*(1+IF($AK143+IF(입력란!$C$26=1,10,0)+IF(입력란!$C$9=1,10,0)&gt;100,100,$AK143+IF(입력란!$C$26=1,10,0)+IF(입력란!$C$9=1,10,0))/100*(($AL143+IF(입력란!$C$30=1,IF(OR(입력란!$C$9=1,입력란!$C$10=1),55,17),IF(입력란!$C$30=2,IF(OR(입력란!$C$9=1,입력란!$C$10=1),60,20),IF(입력란!$C$30=3,IF(OR(입력란!$C$9=1,입력란!$C$10=1),65,22),0)))+IF(MID($E143,3,1)="3",80,0))/100-1))</f>
        <v>395706.05736188526</v>
      </c>
      <c r="K143" s="21">
        <f>T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+IF(MID($E143,3,1)="3",80,0))/100-1))</f>
        <v>395706.05736188526</v>
      </c>
      <c r="L143" s="21">
        <f>U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+IF(MID($E143,3,1)="3",80,0))/100-1))</f>
        <v>395706.05736188526</v>
      </c>
      <c r="M143" s="21">
        <f>V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+IF(MID($E143,3,1)="3",80,0))/100-1))</f>
        <v>395706.05736188526</v>
      </c>
      <c r="N143" s="21">
        <f>W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)/100-1))</f>
        <v>0</v>
      </c>
      <c r="O143" s="21">
        <f>X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)/100-1))</f>
        <v>0</v>
      </c>
      <c r="P143" s="21">
        <f>Y143*(1+IF($AK143+IF(입력란!$C$26=1,10,IF(MID($E143,1,1)="2",10,0))+IF(입력란!$C$9=1,10,0)&gt;100,100,$AK143+IF(입력란!$C$26=1,10,IF(MID($E143,1,1)="2",10,0))+IF(입력란!$C$9=1,10,0))/100*(($AL143+IF(입력란!$C$30=1,IF(OR(입력란!$C$9=1,입력란!$C$10=1),55,17),IF(입력란!$C$30=2,IF(OR(입력란!$C$9=1,입력란!$C$10=1),60,20),IF(입력란!$C$30=3,IF(OR(입력란!$C$9=1,입력란!$C$10=1),65,22),0))))/100-1))</f>
        <v>0</v>
      </c>
      <c r="Q143" s="20">
        <f>Z143*(1+IF($AK143+IF(입력란!$C$26=1,10,IF(MID($E143,1,1)="2",10,0))&gt;100,100,$AK143+IF(입력란!$C$26=1,10,IF(MID($E143,1,1)="2",10,0)))/100*(($AL143+IF(입력란!$C$30=1,17,IF(입력란!$C$30=2,20,IF(입력란!$C$30=3,22,0))))/100-1))</f>
        <v>0</v>
      </c>
      <c r="R143" s="19">
        <f>SUM(S143:Z143)</f>
        <v>488126.49643348815</v>
      </c>
      <c r="S143" s="21">
        <f>AN143*IF(입력란!$C$12=0,1,IF(입력란!$C$12=1,1.35,IF(입력란!$C$12=2,1.55,IF(입력란!$C$12=3,1.75,1))))*IF(MID(E143,3,1)="1",트라이포드!$J$11,트라이포드!$I$11)*IF(MID(E143,3,1)="2",트라이포드!$L$11,트라이포드!$K$11)*IF(MID(E143,3,1)="3",트라이포드!$N$11,트라이포드!$M$11)*IF(MID(E143,5,1)="1",트라이포드!$O$11,1)*IF(MID(E143,5,1)="2",트라이포드!$Q$11*트라이포드!$R$11,1)*IF(입력란!$C$9=1,IF(입력란!$C$15=0,1.05,IF(입력란!$C$15=1,1.05*1.05,IF(입력란!$C$15=2,1.05*1.12,IF(입력란!$C$15=3,1.05*1.25)))),1)/IF(MID(E143,3,1)="1",7,4)*IF(입력란!$C$30=1,IF(OR(입력란!$C$9=1,입력란!$C$10=1),1.21,1.07),IF(입력란!$C$30=2,IF(OR(입력란!$C$9=1,입력란!$C$10=1),1.24,1.08),IF(입력란!$C$30=3,IF(OR(입력란!$C$9=1,입력란!$C$10=1),1.26,1.09),1)))</f>
        <v>122031.62410837204</v>
      </c>
      <c r="T143" s="21">
        <f>S143</f>
        <v>122031.62410837204</v>
      </c>
      <c r="U143" s="21">
        <f>T143</f>
        <v>122031.62410837204</v>
      </c>
      <c r="V143" s="21">
        <f>U143</f>
        <v>122031.62410837204</v>
      </c>
      <c r="W143" s="21">
        <f>IF(MID($E143,3,1)="1",$S143,0)</f>
        <v>0</v>
      </c>
      <c r="X143" s="21">
        <f>IF(MID($E143,3,1)="1",$S143,0)</f>
        <v>0</v>
      </c>
      <c r="Y143" s="21">
        <f>IF(MID($E143,3,1)="1",$S143,0)</f>
        <v>0</v>
      </c>
      <c r="Z143" s="20">
        <f>AN143*IF(입력란!$C$12=0,1,IF(입력란!$C$12=1,1.35,IF(입력란!$C$12=2,1.55,IF(입력란!$C$12=3,1.75,1))))*IF(MID(E143,5,1)="1",트라이포드!$P$11*IF(MID(E143,3,1)="1",7,4)*5,0)*IF(입력란!$C$30=1,1.07,IF(입력란!$C$30=2,1.08,IF(입력란!$C$30=3,1.09,1)))</f>
        <v>0</v>
      </c>
      <c r="AA143" s="21">
        <f>SUM(AB143:AI143)</f>
        <v>976252.9928669763</v>
      </c>
      <c r="AB143" s="21">
        <f>S143*2</f>
        <v>244063.24821674408</v>
      </c>
      <c r="AC143" s="21">
        <f>T143*2</f>
        <v>244063.24821674408</v>
      </c>
      <c r="AD143" s="21">
        <f>U143*2</f>
        <v>244063.24821674408</v>
      </c>
      <c r="AE143" s="21">
        <f>V143*2</f>
        <v>244063.24821674408</v>
      </c>
      <c r="AF143" s="21">
        <f>W143*2</f>
        <v>0</v>
      </c>
      <c r="AG143" s="21">
        <f>X143*2</f>
        <v>0</v>
      </c>
      <c r="AH143" s="21">
        <f>Y143*2</f>
        <v>0</v>
      </c>
      <c r="AI143" s="20">
        <f>Z143*2</f>
        <v>0</v>
      </c>
      <c r="AJ143" s="21">
        <f>AQ143*(1-입력란!$P$10/100)</f>
        <v>15.807642750719999</v>
      </c>
      <c r="AK14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3" s="21">
        <f>입력란!$P$24+입력란!$P$16+IF(입력란!$C$18=1,10,IF(입력란!$C$18=2,25,IF(입력란!$C$18=3,50,0)))+IF(입력란!$C$23&lt;&gt;0,-12)</f>
        <v>380.66103559999999</v>
      </c>
      <c r="AM143" s="21">
        <f>SUM(AN143:AP143)</f>
        <v>270398.35832816816</v>
      </c>
      <c r="AN143" s="21">
        <f>(VLOOKUP(C143,$B$4:$AJ$7,9,FALSE)+VLOOKUP(C143,$B$8:$AJ$11,9,FALSE)*입력란!$P$4)*입력란!$P$25/100</f>
        <v>270398.35832816816</v>
      </c>
      <c r="AO143" s="21"/>
      <c r="AP143" s="21"/>
      <c r="AQ143" s="22">
        <v>16</v>
      </c>
    </row>
    <row r="144" spans="2:43" ht="13.5" customHeight="1" x14ac:dyDescent="0.55000000000000004">
      <c r="B144" s="66">
        <v>129</v>
      </c>
      <c r="C144" s="29">
        <v>1</v>
      </c>
      <c r="D144" s="30" t="s">
        <v>157</v>
      </c>
      <c r="E144" s="27" t="s">
        <v>94</v>
      </c>
      <c r="F144" s="29"/>
      <c r="G144" s="29"/>
      <c r="H144" s="36">
        <f>I144/AJ144</f>
        <v>76988.233153853667</v>
      </c>
      <c r="I144" s="37">
        <f>SUM(J144:Q144)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1825503.7285578842</v>
      </c>
      <c r="J144" s="21">
        <f>S144*(1+IF($AK144+IF(입력란!$C$9=1,10,0)+IF(입력란!$C$26=1,10,0)&gt;100,100,$AK144+IF(입력란!$C$9=1,10,0)+IF(입력란!$C$26=1,10,0))/100*(($AL144+IF(입력란!$C$30=1,IF(OR(입력란!$C$9=1,입력란!$C$10=1),55,17),IF(입력란!$C$30=2,IF(OR(입력란!$C$9=1,입력란!$C$10=1),60,20),IF(입력란!$C$30=3,IF(OR(입력란!$C$9=1,입력란!$C$10=1),65,22),0))))/100-1))</f>
        <v>827349.25637279358</v>
      </c>
      <c r="K144" s="21">
        <f>T144*(1+IF($AK144+IF(입력란!$C$26=1,10,0)+IF(입력란!$C$9=1,10,0)&gt;100,100,$AK144+IF(입력란!$C$26=1,10,0)+IF(입력란!$C$9=1,10,0))/100*(($AL144+IF(입력란!$C$30=1,IF(OR(입력란!$C$9=1,입력란!$C$10=1),55,17),IF(입력란!$C$30=2,IF(OR(입력란!$C$9=1,입력란!$C$10=1),60,20),IF(입력란!$C$30=3,IF(OR(입력란!$C$9=1,입력란!$C$10=1),65,22),0))))/100-1))</f>
        <v>465408.85463767598</v>
      </c>
      <c r="L144" s="21"/>
      <c r="M144" s="21"/>
      <c r="N144" s="21"/>
      <c r="O144" s="21"/>
      <c r="P144" s="21"/>
      <c r="Q144" s="20">
        <f>Z144*(1+IF($AK144+IF(입력란!$C$26=1,10,0)&gt;100,100,$AK144+IF(입력란!$C$26=1,10,0))/100*(($AL144+IF(입력란!$C$30=1,17,IF(입력란!$C$30=2,20,IF(입력란!$C$30=3,22,0))))/100-1))</f>
        <v>0</v>
      </c>
      <c r="R144" s="19">
        <f>SUM(S144:Z144)</f>
        <v>470916.14486754185</v>
      </c>
      <c r="S144" s="21">
        <f>AN144*IF(입력란!$C$12=0,1,IF(입력란!$C$12=1,1.35,IF(입력란!$C$12=2,1.55,IF(입력란!$C$12=3,1.75,1))))*IF(MID(E144,5,1)="1",트라이포드!$P$12,트라이포드!$O$12)*IF(MID(E144,5,1)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301380.52815276297</v>
      </c>
      <c r="T144" s="21">
        <f>AO144*IF(입력란!$C$12=0,1,IF(입력란!$C$12=1,1.35,IF(입력란!$C$12=2,1.55,IF(입력란!$C$12=3,1.75,1))))*IF(MID(E144,3,1)="1",1.3,1)*IF(MID(E144,3,1)="3",트라이포드!$N$12,트라이포드!$M$12)*IF(MID(E144,5,1)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169535.61671477888</v>
      </c>
      <c r="U144" s="21"/>
      <c r="V144" s="21"/>
      <c r="W144" s="21"/>
      <c r="X144" s="21"/>
      <c r="Y144" s="21"/>
      <c r="Z144" s="20">
        <f>AM144*IF(입력란!$C$12=0,1,IF(입력란!$C$12=1,1.35,IF(입력란!$C$12=2,1.55,IF(입력란!$C$12=3,1.75,1))))*IF(MID(E144,3,1)="1",트라이포드!$J$12,트라이포드!$I$12)*IF(입력란!$C$30=1,1.07,IF(입력란!$C$30=2,1.08,IF(입력란!$C$30=3,1.09,1)))</f>
        <v>0</v>
      </c>
      <c r="AA144" s="21">
        <f>SUM(AB144:AI144)</f>
        <v>941832.2897350837</v>
      </c>
      <c r="AB144" s="21">
        <f>S144*2</f>
        <v>602761.05630552594</v>
      </c>
      <c r="AC144" s="21">
        <f>T144*2</f>
        <v>339071.23342955776</v>
      </c>
      <c r="AD144" s="21"/>
      <c r="AE144" s="21"/>
      <c r="AF144" s="21"/>
      <c r="AG144" s="21"/>
      <c r="AH144" s="21"/>
      <c r="AI144" s="20">
        <f>Z144*2</f>
        <v>0</v>
      </c>
      <c r="AJ144" s="21">
        <f>AQ144*(1-입력란!$P$10/100)</f>
        <v>23.711464126079999</v>
      </c>
      <c r="AK14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4" s="21">
        <f>입력란!$P$24+입력란!$P$16+IF(입력란!$C$18=1,10,IF(입력란!$C$18=2,25,IF(입력란!$C$18=3,50,0)))+IF(입력란!$C$23&lt;&gt;0,-12)</f>
        <v>380.66103559999999</v>
      </c>
      <c r="AM144" s="21">
        <f>SUM(AN144:AP144)</f>
        <v>448491.56654051604</v>
      </c>
      <c r="AN144" s="21">
        <f>(VLOOKUP(C144,$B$4:$AJ$7,10,FALSE)+VLOOKUP(C144,$B$8:$AJ$11,10,FALSE)*입력란!$P$4)*입력란!$P$25/100</f>
        <v>287029.07443120284</v>
      </c>
      <c r="AO144" s="21">
        <f>(VLOOKUP(C144,$B$4:$AJ$7,11,FALSE)+VLOOKUP(C144,$B$8:$AJ$11,11,FALSE)*입력란!$P$4)*입력란!$P$25/100</f>
        <v>161462.4921093132</v>
      </c>
      <c r="AP144" s="21"/>
      <c r="AQ144" s="22">
        <v>24</v>
      </c>
    </row>
    <row r="145" spans="2:43" ht="13.5" customHeight="1" x14ac:dyDescent="0.55000000000000004">
      <c r="B145" s="66">
        <v>130</v>
      </c>
      <c r="C145" s="29">
        <v>4</v>
      </c>
      <c r="D145" s="30" t="s">
        <v>158</v>
      </c>
      <c r="E145" s="27" t="s">
        <v>94</v>
      </c>
      <c r="F145" s="29"/>
      <c r="G145" s="29"/>
      <c r="H145" s="36">
        <f>I145/AJ145</f>
        <v>77089.238121989765</v>
      </c>
      <c r="I145" s="37">
        <f>SUM(J145:Q145)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1827898.7042363991</v>
      </c>
      <c r="J145" s="21">
        <f>S145*(1+IF($AK145+IF(입력란!$C$9=1,10,0)+IF(입력란!$C$26=1,10,0)&gt;100,100,$AK145+IF(입력란!$C$9=1,10,0)+IF(입력란!$C$26=1,10,0))/100*(($AL145+IF(입력란!$C$30=1,IF(OR(입력란!$C$9=1,입력란!$C$10=1),55,17),IF(입력란!$C$30=2,IF(OR(입력란!$C$9=1,입력란!$C$10=1),60,20),IF(입력란!$C$30=3,IF(OR(입력란!$C$9=1,입력란!$C$10=1),65,22),0))))/100-1))</f>
        <v>828434.2135699552</v>
      </c>
      <c r="K145" s="21">
        <f>T145*(1+IF($AK145+IF(입력란!$C$26=1,10,0)+IF(입력란!$C$9=1,10,0)&gt;100,100,$AK145+IF(입력란!$C$26=1,10,0)+IF(입력란!$C$9=1,10,0))/100*(($AL145+IF(입력란!$C$30=1,IF(OR(입력란!$C$9=1,입력란!$C$10=1),55,17),IF(입력란!$C$30=2,IF(OR(입력란!$C$9=1,입력란!$C$10=1),60,20),IF(입력란!$C$30=3,IF(OR(입력란!$C$9=1,입력란!$C$10=1),65,22),0))))/100-1))</f>
        <v>466019.93573703355</v>
      </c>
      <c r="L145" s="21"/>
      <c r="M145" s="21"/>
      <c r="N145" s="21"/>
      <c r="O145" s="21"/>
      <c r="P145" s="21"/>
      <c r="Q145" s="20">
        <f>Z145*(1+IF($AK145+IF(입력란!$C$26=1,10,0)&gt;100,100,$AK145+IF(입력란!$C$26=1,10,0))/100*(($AL145+IF(입력란!$C$30=1,17,IF(입력란!$C$30=2,20,IF(입력란!$C$30=3,22,0))))/100-1))</f>
        <v>0</v>
      </c>
      <c r="R145" s="19">
        <f>SUM(S145:Z145)</f>
        <v>471533.96486754186</v>
      </c>
      <c r="S145" s="21">
        <f>AN145*IF(입력란!$C$12=0,1,IF(입력란!$C$12=1,1.35,IF(입력란!$C$12=2,1.55,IF(입력란!$C$12=3,1.75,1))))*IF(MID(E145,5,1)="1",트라이포드!$P$12,트라이포드!$O$12)*IF(MID(E145,5,1)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301775.748152763</v>
      </c>
      <c r="T145" s="21">
        <f>AO145*IF(입력란!$C$12=0,1,IF(입력란!$C$12=1,1.35,IF(입력란!$C$12=2,1.55,IF(입력란!$C$12=3,1.75,1))))*IF(MID(E145,3,1)="1",1.3,1)*IF(MID(E145,3,1)="3",트라이포드!$N$12,트라이포드!$M$12)*IF(MID(E145,5,1)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169758.21671477886</v>
      </c>
      <c r="U145" s="21"/>
      <c r="V145" s="21"/>
      <c r="W145" s="21"/>
      <c r="X145" s="21"/>
      <c r="Y145" s="21"/>
      <c r="Z145" s="20">
        <f>AM145*IF(입력란!$C$12=0,1,IF(입력란!$C$12=1,1.35,IF(입력란!$C$12=2,1.55,IF(입력란!$C$12=3,1.75,1))))*IF(MID(E145,3,1)="1",트라이포드!$J$12,트라이포드!$I$12)*IF(입력란!$C$30=1,1.07,IF(입력란!$C$30=2,1.08,IF(입력란!$C$30=3,1.09,1)))</f>
        <v>0</v>
      </c>
      <c r="AA145" s="21">
        <f>SUM(AB145:AI145)</f>
        <v>943067.92973508372</v>
      </c>
      <c r="AB145" s="21">
        <f>S145*2</f>
        <v>603551.496305526</v>
      </c>
      <c r="AC145" s="21">
        <f>T145*2</f>
        <v>339516.43342955771</v>
      </c>
      <c r="AD145" s="21"/>
      <c r="AE145" s="21"/>
      <c r="AF145" s="21"/>
      <c r="AG145" s="21"/>
      <c r="AH145" s="21"/>
      <c r="AI145" s="20">
        <f>Z145*2</f>
        <v>0</v>
      </c>
      <c r="AJ145" s="21">
        <f>AQ145*(1-입력란!$P$10/100)</f>
        <v>23.711464126079999</v>
      </c>
      <c r="AK1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5" s="21">
        <f>입력란!$P$24+입력란!$P$16+IF(입력란!$C$18=1,10,IF(입력란!$C$18=2,25,IF(입력란!$C$18=3,50,0)))+IF(입력란!$C$23&lt;&gt;0,-12)</f>
        <v>380.66103559999999</v>
      </c>
      <c r="AM145" s="21">
        <f>SUM(AN145:AP145)</f>
        <v>449079.96654051606</v>
      </c>
      <c r="AN145" s="21">
        <f>(VLOOKUP(C145,$B$4:$AJ$7,10,FALSE)+VLOOKUP(C145,$B$8:$AJ$11,10,FALSE)*입력란!$P$4)*입력란!$P$25/100</f>
        <v>287405.47443120286</v>
      </c>
      <c r="AO145" s="21">
        <f>(VLOOKUP(C145,$B$4:$AJ$7,11,FALSE)+VLOOKUP(C145,$B$8:$AJ$11,11,FALSE)*입력란!$P$4)*입력란!$P$25/100</f>
        <v>161674.4921093132</v>
      </c>
      <c r="AP145" s="21"/>
      <c r="AQ145" s="22">
        <v>24</v>
      </c>
    </row>
    <row r="146" spans="2:43" ht="13.5" customHeight="1" x14ac:dyDescent="0.55000000000000004">
      <c r="B146" s="66">
        <v>131</v>
      </c>
      <c r="C146" s="29">
        <v>4</v>
      </c>
      <c r="D146" s="30" t="s">
        <v>158</v>
      </c>
      <c r="E146" s="27" t="s">
        <v>95</v>
      </c>
      <c r="F146" s="29"/>
      <c r="G146" s="29"/>
      <c r="H146" s="36">
        <f>I146/AJ146</f>
        <v>77089.238121989765</v>
      </c>
      <c r="I146" s="37">
        <f>SUM(J146:Q146)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1827898.7042363991</v>
      </c>
      <c r="J146" s="21">
        <f>S146*(1+IF($AK146+IF(입력란!$C$9=1,10,0)+IF(입력란!$C$26=1,10,0)&gt;100,100,$AK146+IF(입력란!$C$9=1,10,0)+IF(입력란!$C$26=1,10,0))/100*(($AL146+IF(입력란!$C$30=1,IF(OR(입력란!$C$9=1,입력란!$C$10=1),55,17),IF(입력란!$C$30=2,IF(OR(입력란!$C$9=1,입력란!$C$10=1),60,20),IF(입력란!$C$30=3,IF(OR(입력란!$C$9=1,입력란!$C$10=1),65,22),0))))/100-1))</f>
        <v>828434.2135699552</v>
      </c>
      <c r="K146" s="21">
        <f>T146*(1+IF($AK146+IF(입력란!$C$26=1,10,0)+IF(입력란!$C$9=1,10,0)&gt;100,100,$AK146+IF(입력란!$C$26=1,10,0)+IF(입력란!$C$9=1,10,0))/100*(($AL146+IF(입력란!$C$30=1,IF(OR(입력란!$C$9=1,입력란!$C$10=1),55,17),IF(입력란!$C$30=2,IF(OR(입력란!$C$9=1,입력란!$C$10=1),60,20),IF(입력란!$C$30=3,IF(OR(입력란!$C$9=1,입력란!$C$10=1),65,22),0))))/100-1))</f>
        <v>466019.93573703355</v>
      </c>
      <c r="L146" s="21"/>
      <c r="M146" s="21"/>
      <c r="N146" s="21"/>
      <c r="O146" s="21"/>
      <c r="P146" s="21"/>
      <c r="Q146" s="20">
        <f>Z146*(1+IF($AK146+IF(입력란!$C$26=1,10,0)&gt;100,100,$AK146+IF(입력란!$C$26=1,10,0))/100*(($AL146+IF(입력란!$C$30=1,17,IF(입력란!$C$30=2,20,IF(입력란!$C$30=3,22,0))))/100-1))</f>
        <v>0</v>
      </c>
      <c r="R146" s="19">
        <f>SUM(S146:Z146)</f>
        <v>471533.96486754186</v>
      </c>
      <c r="S146" s="21">
        <f>AN146*IF(입력란!$C$12=0,1,IF(입력란!$C$12=1,1.35,IF(입력란!$C$12=2,1.55,IF(입력란!$C$12=3,1.75,1))))*IF(MID(E146,5,1)="1",트라이포드!$P$12,트라이포드!$O$12)*IF(MID(E146,5,1)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301775.748152763</v>
      </c>
      <c r="T146" s="21">
        <f>AO146*IF(입력란!$C$12=0,1,IF(입력란!$C$12=1,1.35,IF(입력란!$C$12=2,1.55,IF(입력란!$C$12=3,1.75,1))))*IF(MID(E146,3,1)="1",1.3,1)*IF(MID(E146,3,1)="3",트라이포드!$N$12,트라이포드!$M$12)*IF(MID(E146,5,1)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169758.21671477886</v>
      </c>
      <c r="U146" s="21"/>
      <c r="V146" s="21"/>
      <c r="W146" s="21"/>
      <c r="X146" s="21"/>
      <c r="Y146" s="21"/>
      <c r="Z146" s="20">
        <f>AM146*IF(입력란!$C$12=0,1,IF(입력란!$C$12=1,1.35,IF(입력란!$C$12=2,1.55,IF(입력란!$C$12=3,1.75,1))))*IF(MID(E146,3,1)="1",트라이포드!$J$12,트라이포드!$I$12)*IF(입력란!$C$30=1,1.07,IF(입력란!$C$30=2,1.08,IF(입력란!$C$30=3,1.09,1)))</f>
        <v>0</v>
      </c>
      <c r="AA146" s="21">
        <f>SUM(AB146:AI146)</f>
        <v>943067.92973508372</v>
      </c>
      <c r="AB146" s="21">
        <f>S146*2</f>
        <v>603551.496305526</v>
      </c>
      <c r="AC146" s="21">
        <f>T146*2</f>
        <v>339516.43342955771</v>
      </c>
      <c r="AD146" s="21"/>
      <c r="AE146" s="21"/>
      <c r="AF146" s="21"/>
      <c r="AG146" s="21"/>
      <c r="AH146" s="21"/>
      <c r="AI146" s="20">
        <f>Z146*2</f>
        <v>0</v>
      </c>
      <c r="AJ146" s="21">
        <f>AQ146*(1-입력란!$P$10/100)</f>
        <v>23.711464126079999</v>
      </c>
      <c r="AK1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6" s="21">
        <f>입력란!$P$24+입력란!$P$16+IF(입력란!$C$18=1,10,IF(입력란!$C$18=2,25,IF(입력란!$C$18=3,50,0)))+IF(입력란!$C$23&lt;&gt;0,-12)</f>
        <v>380.66103559999999</v>
      </c>
      <c r="AM146" s="21">
        <f>SUM(AN146:AP146)</f>
        <v>449079.96654051606</v>
      </c>
      <c r="AN146" s="21">
        <f>(VLOOKUP(C146,$B$4:$AJ$7,10,FALSE)+VLOOKUP(C146,$B$8:$AJ$11,10,FALSE)*입력란!$P$4)*입력란!$P$25/100</f>
        <v>287405.47443120286</v>
      </c>
      <c r="AO146" s="21">
        <f>(VLOOKUP(C146,$B$4:$AJ$7,11,FALSE)+VLOOKUP(C146,$B$8:$AJ$11,11,FALSE)*입력란!$P$4)*입력란!$P$25/100</f>
        <v>161674.4921093132</v>
      </c>
      <c r="AP146" s="21"/>
      <c r="AQ146" s="22">
        <v>24</v>
      </c>
    </row>
    <row r="147" spans="2:43" ht="13.5" customHeight="1" x14ac:dyDescent="0.55000000000000004">
      <c r="B147" s="66">
        <v>132</v>
      </c>
      <c r="C147" s="29">
        <v>7</v>
      </c>
      <c r="D147" s="30" t="s">
        <v>158</v>
      </c>
      <c r="E147" s="27" t="s">
        <v>94</v>
      </c>
      <c r="F147" s="29"/>
      <c r="G147" s="29"/>
      <c r="H147" s="36">
        <f>I147/AJ147</f>
        <v>77137.256005581847</v>
      </c>
      <c r="I147" s="37">
        <f>SUM(J147:Q147)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1829037.278560603</v>
      </c>
      <c r="J147" s="21">
        <f>S147*(1+IF($AK147+IF(입력란!$C$9=1,10,0)+IF(입력란!$C$26=1,10,0)&gt;100,100,$AK147+IF(입력란!$C$9=1,10,0)+IF(입력란!$C$26=1,10,0))/100*(($AL147+IF(입력란!$C$30=1,IF(OR(입력란!$C$9=1,입력란!$C$10=1),55,17),IF(입력란!$C$30=2,IF(OR(입력란!$C$9=1,입력란!$C$10=1),60,20),IF(입력란!$C$30=3,IF(OR(입력란!$C$9=1,입력란!$C$10=1),65,22),0))))/100-1))</f>
        <v>828942.6791639491</v>
      </c>
      <c r="K147" s="21">
        <f>T147*(1+IF($AK147+IF(입력란!$C$26=1,10,0)+IF(입력란!$C$9=1,10,0)&gt;100,100,$AK147+IF(입력란!$C$26=1,10,0)+IF(입력란!$C$9=1,10,0))/100*(($AL147+IF(입력란!$C$30=1,IF(OR(입력란!$C$9=1,입력란!$C$10=1),55,17),IF(입력란!$C$30=2,IF(OR(입력란!$C$9=1,입력란!$C$10=1),60,20),IF(입력란!$C$30=3,IF(OR(입력란!$C$9=1,입력란!$C$10=1),65,22),0))))/100-1))</f>
        <v>466317.76879342127</v>
      </c>
      <c r="L147" s="21"/>
      <c r="M147" s="21"/>
      <c r="N147" s="21"/>
      <c r="O147" s="21"/>
      <c r="P147" s="21"/>
      <c r="Q147" s="20">
        <f>Z147*(1+IF($AK147+IF(입력란!$C$26=1,10,0)&gt;100,100,$AK147+IF(입력란!$C$26=1,10,0))/100*(($AL147+IF(입력란!$C$30=1,17,IF(입력란!$C$30=2,20,IF(입력란!$C$30=3,22,0))))/100-1))</f>
        <v>0</v>
      </c>
      <c r="R147" s="19">
        <f>SUM(S147:Z147)</f>
        <v>471827.67724019359</v>
      </c>
      <c r="S147" s="21">
        <f>AN147*IF(입력란!$C$12=0,1,IF(입력란!$C$12=1,1.35,IF(입력란!$C$12=2,1.55,IF(입력란!$C$12=3,1.75,1))))*IF(MID(E147,5,1)="1",트라이포드!$P$12,트라이포드!$O$12)*IF(MID(E147,5,1)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301960.96815276303</v>
      </c>
      <c r="T147" s="21">
        <f>AO147*IF(입력란!$C$12=0,1,IF(입력란!$C$12=1,1.35,IF(입력란!$C$12=2,1.55,IF(입력란!$C$12=3,1.75,1))))*IF(MID(E147,3,1)="1",1.3,1)*IF(MID(E147,3,1)="3",트라이포드!$N$12,트라이포드!$M$12)*IF(MID(E147,5,1)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169866.70908743053</v>
      </c>
      <c r="U147" s="21"/>
      <c r="V147" s="21"/>
      <c r="W147" s="21"/>
      <c r="X147" s="21"/>
      <c r="Y147" s="21"/>
      <c r="Z147" s="20">
        <f>AM147*IF(입력란!$C$12=0,1,IF(입력란!$C$12=1,1.35,IF(입력란!$C$12=2,1.55,IF(입력란!$C$12=3,1.75,1))))*IF(MID(E147,3,1)="1",트라이포드!$J$12,트라이포드!$I$12)*IF(입력란!$C$30=1,1.07,IF(입력란!$C$30=2,1.08,IF(입력란!$C$30=3,1.09,1)))</f>
        <v>0</v>
      </c>
      <c r="AA147" s="21">
        <f>SUM(AB147:AI147)</f>
        <v>943655.35448038718</v>
      </c>
      <c r="AB147" s="21">
        <f>S147*2</f>
        <v>603921.93630552606</v>
      </c>
      <c r="AC147" s="21">
        <f>T147*2</f>
        <v>339733.41817486106</v>
      </c>
      <c r="AD147" s="21"/>
      <c r="AE147" s="21"/>
      <c r="AF147" s="21"/>
      <c r="AG147" s="21"/>
      <c r="AH147" s="21"/>
      <c r="AI147" s="20">
        <f>Z147*2</f>
        <v>0</v>
      </c>
      <c r="AJ147" s="21">
        <f>AQ147*(1-입력란!$P$10/100)</f>
        <v>23.711464126079999</v>
      </c>
      <c r="AK1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7" s="21">
        <f>입력란!$P$24+입력란!$P$16+IF(입력란!$C$18=1,10,IF(입력란!$C$18=2,25,IF(입력란!$C$18=3,50,0)))+IF(입력란!$C$23&lt;&gt;0,-12)</f>
        <v>380.66103559999999</v>
      </c>
      <c r="AM147" s="21">
        <f>SUM(AN147:AP147)</f>
        <v>449359.69260970817</v>
      </c>
      <c r="AN147" s="21">
        <f>(VLOOKUP(C147,$B$4:$AJ$7,10,FALSE)+VLOOKUP(C147,$B$8:$AJ$11,10,FALSE)*입력란!$P$4)*입력란!$P$25/100</f>
        <v>287581.87443120289</v>
      </c>
      <c r="AO147" s="21">
        <f>(VLOOKUP(C147,$B$4:$AJ$7,11,FALSE)+VLOOKUP(C147,$B$8:$AJ$11,11,FALSE)*입력란!$P$4)*입력란!$P$25/100</f>
        <v>161777.81817850526</v>
      </c>
      <c r="AP147" s="21"/>
      <c r="AQ147" s="22">
        <v>24</v>
      </c>
    </row>
    <row r="148" spans="2:43" ht="13.5" customHeight="1" x14ac:dyDescent="0.55000000000000004">
      <c r="B148" s="66">
        <v>133</v>
      </c>
      <c r="C148" s="29">
        <v>7</v>
      </c>
      <c r="D148" s="30" t="s">
        <v>158</v>
      </c>
      <c r="E148" s="27" t="s">
        <v>159</v>
      </c>
      <c r="F148" s="29" t="s">
        <v>214</v>
      </c>
      <c r="G148" s="29"/>
      <c r="H148" s="36">
        <f>I148/AJ148</f>
        <v>105254.49951164809</v>
      </c>
      <c r="I148" s="37">
        <f>SUM(J148:Q148)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2495738.2892789482</v>
      </c>
      <c r="J148" s="21">
        <f>S148*(1+IF($AK148+IF(입력란!$C$9=1,10,0)+IF(입력란!$C$26=1,10,0)&gt;100,100,$AK148+IF(입력란!$C$9=1,10,0)+IF(입력란!$C$26=1,10,0))/100*(($AL148+IF(입력란!$C$30=1,IF(OR(입력란!$C$9=1,입력란!$C$10=1),55,17),IF(입력란!$C$30=2,IF(OR(입력란!$C$9=1,입력란!$C$10=1),60,20),IF(입력란!$C$30=3,IF(OR(입력란!$C$9=1,입력란!$C$10=1),65,22),0))))/100-1))</f>
        <v>828942.6791639491</v>
      </c>
      <c r="K148" s="21">
        <f>T148*(1+IF($AK148+IF(입력란!$C$26=1,10,0)+IF(입력란!$C$9=1,10,0)&gt;100,100,$AK148+IF(입력란!$C$26=1,10,0)+IF(입력란!$C$9=1,10,0))/100*(($AL148+IF(입력란!$C$30=1,IF(OR(입력란!$C$9=1,입력란!$C$10=1),55,17),IF(입력란!$C$30=2,IF(OR(입력란!$C$9=1,입력란!$C$10=1),60,20),IF(입력란!$C$30=3,IF(OR(입력란!$C$9=1,입력란!$C$10=1),65,22),0))))/100-1))</f>
        <v>606213.09943144768</v>
      </c>
      <c r="L148" s="21"/>
      <c r="M148" s="21"/>
      <c r="N148" s="21"/>
      <c r="O148" s="21"/>
      <c r="P148" s="21"/>
      <c r="Q148" s="20">
        <f>Z148*(1+IF($AK148+IF(입력란!$C$26=1,10,0)&gt;100,100,$AK148+IF(입력란!$C$26=1,10,0))/100*(($AL148+IF(입력란!$C$30=1,17,IF(입력란!$C$30=2,20,IF(입력란!$C$30=3,22,0))))/100-1))</f>
        <v>332239.0866966843</v>
      </c>
      <c r="R148" s="19">
        <f>SUM(S148:Z148)</f>
        <v>657595.59774933523</v>
      </c>
      <c r="S148" s="21">
        <f>AN148*IF(입력란!$C$12=0,1,IF(입력란!$C$12=1,1.35,IF(입력란!$C$12=2,1.55,IF(입력란!$C$12=3,1.75,1))))*IF(MID(E148,5,1)="1",트라이포드!$P$12,트라이포드!$O$12)*IF(MID(E148,5,1)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301960.96815276303</v>
      </c>
      <c r="T148" s="21">
        <f>AO148*IF(입력란!$C$12=0,1,IF(입력란!$C$12=1,1.35,IF(입력란!$C$12=2,1.55,IF(입력란!$C$12=3,1.75,1))))*IF(MID(E148,3,1)="1",1.3,1)*IF(MID(E148,3,1)="3",트라이포드!$N$12,트라이포드!$M$12)*IF(MID(E148,5,1)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220826.72181365971</v>
      </c>
      <c r="U148" s="21"/>
      <c r="V148" s="21"/>
      <c r="W148" s="21"/>
      <c r="X148" s="21"/>
      <c r="Y148" s="21"/>
      <c r="Z148" s="20">
        <f>AM148*IF(입력란!$C$12=0,1,IF(입력란!$C$12=1,1.35,IF(입력란!$C$12=2,1.55,IF(입력란!$C$12=3,1.75,1))))*IF(MID(E148,3,1)="1",트라이포드!$J$12,트라이포드!$I$12)*IF(입력란!$C$30=1,1.07,IF(입력란!$C$30=2,1.08,IF(입력란!$C$30=3,1.09,1)))</f>
        <v>134807.90778291246</v>
      </c>
      <c r="AA148" s="21">
        <f>SUM(AB148:AI148)</f>
        <v>1315191.1954986705</v>
      </c>
      <c r="AB148" s="21">
        <f>S148*2</f>
        <v>603921.93630552606</v>
      </c>
      <c r="AC148" s="21">
        <f>T148*2</f>
        <v>441653.44362731942</v>
      </c>
      <c r="AD148" s="21"/>
      <c r="AE148" s="21"/>
      <c r="AF148" s="21"/>
      <c r="AG148" s="21"/>
      <c r="AH148" s="21"/>
      <c r="AI148" s="20">
        <f>Z148*2</f>
        <v>269615.81556582492</v>
      </c>
      <c r="AJ148" s="21">
        <f>AQ148*(1-입력란!$P$10/100)</f>
        <v>23.711464126079999</v>
      </c>
      <c r="AK1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8" s="21">
        <f>입력란!$P$24+입력란!$P$16+IF(입력란!$C$18=1,10,IF(입력란!$C$18=2,25,IF(입력란!$C$18=3,50,0)))+IF(입력란!$C$23&lt;&gt;0,-12)</f>
        <v>380.66103559999999</v>
      </c>
      <c r="AM148" s="21">
        <f>SUM(AN148:AP148)</f>
        <v>449359.69260970817</v>
      </c>
      <c r="AN148" s="21">
        <f>(VLOOKUP(C148,$B$4:$AJ$7,10,FALSE)+VLOOKUP(C148,$B$8:$AJ$11,10,FALSE)*입력란!$P$4)*입력란!$P$25/100</f>
        <v>287581.87443120289</v>
      </c>
      <c r="AO148" s="21">
        <f>(VLOOKUP(C148,$B$4:$AJ$7,11,FALSE)+VLOOKUP(C148,$B$8:$AJ$11,11,FALSE)*입력란!$P$4)*입력란!$P$25/100</f>
        <v>161777.81817850526</v>
      </c>
      <c r="AP148" s="21"/>
      <c r="AQ148" s="22">
        <v>24</v>
      </c>
    </row>
    <row r="149" spans="2:43" ht="13.5" customHeight="1" x14ac:dyDescent="0.55000000000000004">
      <c r="B149" s="66">
        <v>134</v>
      </c>
      <c r="C149" s="29">
        <v>7</v>
      </c>
      <c r="D149" s="30" t="s">
        <v>158</v>
      </c>
      <c r="E149" s="27" t="s">
        <v>98</v>
      </c>
      <c r="F149" s="29"/>
      <c r="G149" s="29"/>
      <c r="H149" s="36">
        <f>I149/AJ149</f>
        <v>104908.09789926848</v>
      </c>
      <c r="I149" s="37">
        <f>SUM(J149:Q149)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2487524.5998737933</v>
      </c>
      <c r="J149" s="21">
        <f>S149*(1+IF($AK149+IF(입력란!$C$9=1,10,0)+IF(입력란!$C$26=1,10,0)&gt;100,100,$AK149+IF(입력란!$C$9=1,10,0)+IF(입력란!$C$26=1,10,0))/100*(($AL149+IF(입력란!$C$30=1,IF(OR(입력란!$C$9=1,입력란!$C$10=1),55,17),IF(입력란!$C$30=2,IF(OR(입력란!$C$9=1,입력란!$C$10=1),60,20),IF(입력란!$C$30=3,IF(OR(입력란!$C$9=1,입력란!$C$10=1),65,22),0))))/100-1))</f>
        <v>828942.6791639491</v>
      </c>
      <c r="K149" s="21">
        <f>T149*(1+IF($AK149+IF(입력란!$C$26=1,10,0)+IF(입력란!$C$9=1,10,0)&gt;100,100,$AK149+IF(입력란!$C$26=1,10,0)+IF(입력란!$C$9=1,10,0))/100*(($AL149+IF(입력란!$C$30=1,IF(OR(입력란!$C$9=1,입력란!$C$10=1),55,17),IF(입력란!$C$30=2,IF(OR(입력란!$C$9=1,입력란!$C$10=1),60,20),IF(입력란!$C$30=3,IF(OR(입력란!$C$9=1,입력란!$C$10=1),65,22),0))))/100-1))</f>
        <v>932635.53758684255</v>
      </c>
      <c r="L149" s="21"/>
      <c r="M149" s="21"/>
      <c r="N149" s="21"/>
      <c r="O149" s="21"/>
      <c r="P149" s="21"/>
      <c r="Q149" s="20">
        <f>Z149*(1+IF($AK149+IF(입력란!$C$26=1,10,0)&gt;100,100,$AK149+IF(입력란!$C$26=1,10,0))/100*(($AL149+IF(입력란!$C$30=1,17,IF(입력란!$C$30=2,20,IF(입력란!$C$30=3,22,0))))/100-1))</f>
        <v>0</v>
      </c>
      <c r="R149" s="19">
        <f>SUM(S149:Z149)</f>
        <v>641694.38632762409</v>
      </c>
      <c r="S149" s="21">
        <f>AN149*IF(입력란!$C$12=0,1,IF(입력란!$C$12=1,1.35,IF(입력란!$C$12=2,1.55,IF(입력란!$C$12=3,1.75,1))))*IF(MID(E149,5,1)="1",트라이포드!$P$12,트라이포드!$O$12)*IF(MID(E149,5,1)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301960.96815276303</v>
      </c>
      <c r="T149" s="21">
        <f>AO149*IF(입력란!$C$12=0,1,IF(입력란!$C$12=1,1.35,IF(입력란!$C$12=2,1.55,IF(입력란!$C$12=3,1.75,1))))*IF(MID(E149,3,1)="1",1.3,1)*IF(MID(E149,3,1)="3",트라이포드!$N$12,트라이포드!$M$12)*IF(MID(E149,5,1)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339733.41817486106</v>
      </c>
      <c r="U149" s="21"/>
      <c r="V149" s="21"/>
      <c r="W149" s="21"/>
      <c r="X149" s="21"/>
      <c r="Y149" s="21"/>
      <c r="Z149" s="20">
        <f>AM149*IF(입력란!$C$12=0,1,IF(입력란!$C$12=1,1.35,IF(입력란!$C$12=2,1.55,IF(입력란!$C$12=3,1.75,1))))*IF(MID(E149,3,1)="1",트라이포드!$J$12,트라이포드!$I$12)*IF(입력란!$C$30=1,1.07,IF(입력란!$C$30=2,1.08,IF(입력란!$C$30=3,1.09,1)))</f>
        <v>0</v>
      </c>
      <c r="AA149" s="21">
        <f>SUM(AB149:AI149)</f>
        <v>1283388.7726552482</v>
      </c>
      <c r="AB149" s="21">
        <f>S149*2</f>
        <v>603921.93630552606</v>
      </c>
      <c r="AC149" s="21">
        <f>T149*2</f>
        <v>679466.83634972211</v>
      </c>
      <c r="AD149" s="21"/>
      <c r="AE149" s="21"/>
      <c r="AF149" s="21"/>
      <c r="AG149" s="21"/>
      <c r="AH149" s="21"/>
      <c r="AI149" s="20">
        <f>Z149*2</f>
        <v>0</v>
      </c>
      <c r="AJ149" s="21">
        <f>AQ149*(1-입력란!$P$10/100)</f>
        <v>23.711464126079999</v>
      </c>
      <c r="AK1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49" s="21">
        <f>입력란!$P$24+입력란!$P$16+IF(입력란!$C$18=1,10,IF(입력란!$C$18=2,25,IF(입력란!$C$18=3,50,0)))+IF(입력란!$C$23&lt;&gt;0,-12)</f>
        <v>380.66103559999999</v>
      </c>
      <c r="AM149" s="21">
        <f>SUM(AN149:AP149)</f>
        <v>449359.69260970817</v>
      </c>
      <c r="AN149" s="21">
        <f>(VLOOKUP(C149,$B$4:$AJ$7,10,FALSE)+VLOOKUP(C149,$B$8:$AJ$11,10,FALSE)*입력란!$P$4)*입력란!$P$25/100</f>
        <v>287581.87443120289</v>
      </c>
      <c r="AO149" s="21">
        <f>(VLOOKUP(C149,$B$4:$AJ$7,11,FALSE)+VLOOKUP(C149,$B$8:$AJ$11,11,FALSE)*입력란!$P$4)*입력란!$P$25/100</f>
        <v>161777.81817850526</v>
      </c>
      <c r="AP149" s="21"/>
      <c r="AQ149" s="22">
        <v>24</v>
      </c>
    </row>
    <row r="150" spans="2:43" ht="13.5" customHeight="1" x14ac:dyDescent="0.55000000000000004">
      <c r="B150" s="66">
        <v>135</v>
      </c>
      <c r="C150" s="29">
        <v>7</v>
      </c>
      <c r="D150" s="30" t="s">
        <v>158</v>
      </c>
      <c r="E150" s="27" t="s">
        <v>99</v>
      </c>
      <c r="F150" s="29" t="s">
        <v>214</v>
      </c>
      <c r="G150" s="29"/>
      <c r="H150" s="36">
        <f>I150/AJ150</f>
        <v>105254.49951164809</v>
      </c>
      <c r="I150" s="37">
        <f>SUM(J150:Q150)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2495738.2892789482</v>
      </c>
      <c r="J150" s="21">
        <f>S150*(1+IF($AK150+IF(입력란!$C$9=1,10,0)+IF(입력란!$C$26=1,10,0)&gt;100,100,$AK150+IF(입력란!$C$9=1,10,0)+IF(입력란!$C$26=1,10,0))/100*(($AL150+IF(입력란!$C$30=1,IF(OR(입력란!$C$9=1,입력란!$C$10=1),55,17),IF(입력란!$C$30=2,IF(OR(입력란!$C$9=1,입력란!$C$10=1),60,20),IF(입력란!$C$30=3,IF(OR(입력란!$C$9=1,입력란!$C$10=1),65,22),0))))/100-1))</f>
        <v>828942.6791639491</v>
      </c>
      <c r="K150" s="21">
        <f>T150*(1+IF($AK150+IF(입력란!$C$26=1,10,0)+IF(입력란!$C$9=1,10,0)&gt;100,100,$AK150+IF(입력란!$C$26=1,10,0)+IF(입력란!$C$9=1,10,0))/100*(($AL150+IF(입력란!$C$30=1,IF(OR(입력란!$C$9=1,입력란!$C$10=1),55,17),IF(입력란!$C$30=2,IF(OR(입력란!$C$9=1,입력란!$C$10=1),60,20),IF(입력란!$C$30=3,IF(OR(입력란!$C$9=1,입력란!$C$10=1),65,22),0))))/100-1))</f>
        <v>606213.09943144768</v>
      </c>
      <c r="L150" s="21"/>
      <c r="M150" s="21"/>
      <c r="N150" s="21"/>
      <c r="O150" s="21"/>
      <c r="P150" s="21"/>
      <c r="Q150" s="20">
        <f>Z150*(1+IF($AK150+IF(입력란!$C$26=1,10,0)&gt;100,100,$AK150+IF(입력란!$C$26=1,10,0))/100*(($AL150+IF(입력란!$C$30=1,17,IF(입력란!$C$30=2,20,IF(입력란!$C$30=3,22,0))))/100-1))</f>
        <v>332239.0866966843</v>
      </c>
      <c r="R150" s="19">
        <f>SUM(S150:Z150)</f>
        <v>657595.59774933523</v>
      </c>
      <c r="S150" s="21">
        <f>AN150*IF(입력란!$C$12=0,1,IF(입력란!$C$12=1,1.35,IF(입력란!$C$12=2,1.55,IF(입력란!$C$12=3,1.75,1))))*IF(MID(E150,5,1)="1",트라이포드!$P$12,트라이포드!$O$12)*IF(MID(E150,5,1)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301960.96815276303</v>
      </c>
      <c r="T150" s="21">
        <f>AO150*IF(입력란!$C$12=0,1,IF(입력란!$C$12=1,1.35,IF(입력란!$C$12=2,1.55,IF(입력란!$C$12=3,1.75,1))))*IF(MID(E150,3,1)="1",1.3,1)*IF(MID(E150,3,1)="3",트라이포드!$N$12,트라이포드!$M$12)*IF(MID(E150,5,1)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220826.72181365971</v>
      </c>
      <c r="U150" s="21"/>
      <c r="V150" s="21"/>
      <c r="W150" s="21"/>
      <c r="X150" s="21"/>
      <c r="Y150" s="21"/>
      <c r="Z150" s="20">
        <f>AM150*IF(입력란!$C$12=0,1,IF(입력란!$C$12=1,1.35,IF(입력란!$C$12=2,1.55,IF(입력란!$C$12=3,1.75,1))))*IF(MID(E150,3,1)="1",트라이포드!$J$12,트라이포드!$I$12)*IF(입력란!$C$30=1,1.07,IF(입력란!$C$30=2,1.08,IF(입력란!$C$30=3,1.09,1)))</f>
        <v>134807.90778291246</v>
      </c>
      <c r="AA150" s="21">
        <f>SUM(AB150:AI150)</f>
        <v>1315191.1954986705</v>
      </c>
      <c r="AB150" s="21">
        <f>S150*2</f>
        <v>603921.93630552606</v>
      </c>
      <c r="AC150" s="21">
        <f>T150*2</f>
        <v>441653.44362731942</v>
      </c>
      <c r="AD150" s="21"/>
      <c r="AE150" s="21"/>
      <c r="AF150" s="21"/>
      <c r="AG150" s="21"/>
      <c r="AH150" s="21"/>
      <c r="AI150" s="20">
        <f>Z150*2</f>
        <v>269615.81556582492</v>
      </c>
      <c r="AJ150" s="21">
        <f>AQ150*(1-입력란!$P$10/100)</f>
        <v>23.711464126079999</v>
      </c>
      <c r="AK1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0" s="21">
        <f>입력란!$P$24+입력란!$P$16+IF(입력란!$C$18=1,10,IF(입력란!$C$18=2,25,IF(입력란!$C$18=3,50,0)))+IF(입력란!$C$23&lt;&gt;0,-12)</f>
        <v>380.66103559999999</v>
      </c>
      <c r="AM150" s="21">
        <f>SUM(AN150:AP150)</f>
        <v>449359.69260970817</v>
      </c>
      <c r="AN150" s="21">
        <f>(VLOOKUP(C150,$B$4:$AJ$7,10,FALSE)+VLOOKUP(C150,$B$8:$AJ$11,10,FALSE)*입력란!$P$4)*입력란!$P$25/100</f>
        <v>287581.87443120289</v>
      </c>
      <c r="AO150" s="21">
        <f>(VLOOKUP(C150,$B$4:$AJ$7,11,FALSE)+VLOOKUP(C150,$B$8:$AJ$11,11,FALSE)*입력란!$P$4)*입력란!$P$25/100</f>
        <v>161777.81817850526</v>
      </c>
      <c r="AP150" s="21"/>
      <c r="AQ150" s="22">
        <v>24</v>
      </c>
    </row>
    <row r="151" spans="2:43" ht="13.5" customHeight="1" x14ac:dyDescent="0.55000000000000004">
      <c r="B151" s="66">
        <v>136</v>
      </c>
      <c r="C151" s="29">
        <v>7</v>
      </c>
      <c r="D151" s="30" t="s">
        <v>158</v>
      </c>
      <c r="E151" s="27" t="s">
        <v>109</v>
      </c>
      <c r="F151" s="29"/>
      <c r="G151" s="29"/>
      <c r="H151" s="36">
        <f>I151/AJ151</f>
        <v>104908.09789926848</v>
      </c>
      <c r="I151" s="37">
        <f>SUM(J151:Q151)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2487524.5998737933</v>
      </c>
      <c r="J151" s="21">
        <f>S151*(1+IF($AK151+IF(입력란!$C$9=1,10,0)+IF(입력란!$C$26=1,10,0)&gt;100,100,$AK151+IF(입력란!$C$9=1,10,0)+IF(입력란!$C$26=1,10,0))/100*(($AL151+IF(입력란!$C$30=1,IF(OR(입력란!$C$9=1,입력란!$C$10=1),55,17),IF(입력란!$C$30=2,IF(OR(입력란!$C$9=1,입력란!$C$10=1),60,20),IF(입력란!$C$30=3,IF(OR(입력란!$C$9=1,입력란!$C$10=1),65,22),0))))/100-1))</f>
        <v>828942.6791639491</v>
      </c>
      <c r="K151" s="21">
        <f>T151*(1+IF($AK151+IF(입력란!$C$26=1,10,0)+IF(입력란!$C$9=1,10,0)&gt;100,100,$AK151+IF(입력란!$C$26=1,10,0)+IF(입력란!$C$9=1,10,0))/100*(($AL151+IF(입력란!$C$30=1,IF(OR(입력란!$C$9=1,입력란!$C$10=1),55,17),IF(입력란!$C$30=2,IF(OR(입력란!$C$9=1,입력란!$C$10=1),60,20),IF(입력란!$C$30=3,IF(OR(입력란!$C$9=1,입력란!$C$10=1),65,22),0))))/100-1))</f>
        <v>932635.53758684255</v>
      </c>
      <c r="L151" s="21"/>
      <c r="M151" s="21"/>
      <c r="N151" s="21"/>
      <c r="O151" s="21"/>
      <c r="P151" s="21"/>
      <c r="Q151" s="20">
        <f>Z151*(1+IF($AK151+IF(입력란!$C$26=1,10,0)&gt;100,100,$AK151+IF(입력란!$C$26=1,10,0))/100*(($AL151+IF(입력란!$C$30=1,17,IF(입력란!$C$30=2,20,IF(입력란!$C$30=3,22,0))))/100-1))</f>
        <v>0</v>
      </c>
      <c r="R151" s="19">
        <f>SUM(S151:Z151)</f>
        <v>641694.38632762409</v>
      </c>
      <c r="S151" s="21">
        <f>AN151*IF(입력란!$C$12=0,1,IF(입력란!$C$12=1,1.35,IF(입력란!$C$12=2,1.55,IF(입력란!$C$12=3,1.75,1))))*IF(MID(E151,5,1)="1",트라이포드!$P$12,트라이포드!$O$12)*IF(MID(E151,5,1)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301960.96815276303</v>
      </c>
      <c r="T151" s="21">
        <f>AO151*IF(입력란!$C$12=0,1,IF(입력란!$C$12=1,1.35,IF(입력란!$C$12=2,1.55,IF(입력란!$C$12=3,1.75,1))))*IF(MID(E151,3,1)="1",1.3,1)*IF(MID(E151,3,1)="3",트라이포드!$N$12,트라이포드!$M$12)*IF(MID(E151,5,1)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339733.41817486106</v>
      </c>
      <c r="U151" s="21"/>
      <c r="V151" s="21"/>
      <c r="W151" s="21"/>
      <c r="X151" s="21"/>
      <c r="Y151" s="21"/>
      <c r="Z151" s="20">
        <f>AM151*IF(입력란!$C$12=0,1,IF(입력란!$C$12=1,1.35,IF(입력란!$C$12=2,1.55,IF(입력란!$C$12=3,1.75,1))))*IF(MID(E151,3,1)="1",트라이포드!$J$12,트라이포드!$I$12)*IF(입력란!$C$30=1,1.07,IF(입력란!$C$30=2,1.08,IF(입력란!$C$30=3,1.09,1)))</f>
        <v>0</v>
      </c>
      <c r="AA151" s="21">
        <f>SUM(AB151:AI151)</f>
        <v>1283388.7726552482</v>
      </c>
      <c r="AB151" s="21">
        <f>S151*2</f>
        <v>603921.93630552606</v>
      </c>
      <c r="AC151" s="21">
        <f>T151*2</f>
        <v>679466.83634972211</v>
      </c>
      <c r="AD151" s="21"/>
      <c r="AE151" s="21"/>
      <c r="AF151" s="21"/>
      <c r="AG151" s="21"/>
      <c r="AH151" s="21"/>
      <c r="AI151" s="20">
        <f>Z151*2</f>
        <v>0</v>
      </c>
      <c r="AJ151" s="21">
        <f>AQ151*(1-입력란!$P$10/100)</f>
        <v>23.711464126079999</v>
      </c>
      <c r="AK1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1" s="21">
        <f>입력란!$P$24+입력란!$P$16+IF(입력란!$C$18=1,10,IF(입력란!$C$18=2,25,IF(입력란!$C$18=3,50,0)))+IF(입력란!$C$23&lt;&gt;0,-12)</f>
        <v>380.66103559999999</v>
      </c>
      <c r="AM151" s="21">
        <f>SUM(AN151:AP151)</f>
        <v>449359.69260970817</v>
      </c>
      <c r="AN151" s="21">
        <f>(VLOOKUP(C151,$B$4:$AJ$7,10,FALSE)+VLOOKUP(C151,$B$8:$AJ$11,10,FALSE)*입력란!$P$4)*입력란!$P$25/100</f>
        <v>287581.87443120289</v>
      </c>
      <c r="AO151" s="21">
        <f>(VLOOKUP(C151,$B$4:$AJ$7,11,FALSE)+VLOOKUP(C151,$B$8:$AJ$11,11,FALSE)*입력란!$P$4)*입력란!$P$25/100</f>
        <v>161777.81817850526</v>
      </c>
      <c r="AP151" s="21"/>
      <c r="AQ151" s="22">
        <v>24</v>
      </c>
    </row>
    <row r="152" spans="2:43" ht="13.5" customHeight="1" x14ac:dyDescent="0.55000000000000004">
      <c r="B152" s="66">
        <v>137</v>
      </c>
      <c r="C152" s="29">
        <v>10</v>
      </c>
      <c r="D152" s="30" t="s">
        <v>158</v>
      </c>
      <c r="E152" s="27" t="s">
        <v>160</v>
      </c>
      <c r="F152" s="29"/>
      <c r="G152" s="29"/>
      <c r="H152" s="36">
        <f>I152/AJ152</f>
        <v>77166.712926948516</v>
      </c>
      <c r="I152" s="37">
        <f>SUM(J152:Q152)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1829735.7452948536</v>
      </c>
      <c r="J152" s="21">
        <f>S152*(1+IF($AK152+IF(입력란!$C$9=1,10,0)+IF(입력란!$C$26=1,10,0)&gt;100,100,$AK152+IF(입력란!$C$9=1,10,0)+IF(입력란!$C$26=1,10,0))/100*(($AL152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52" s="21">
        <f>T152*(1+IF($AK152+IF(입력란!$C$26=1,10,0)+IF(입력란!$C$9=1,10,0)&gt;100,100,$AK152+IF(입력란!$C$26=1,10,0)+IF(입력란!$C$9=1,10,0))/100*(($AL152+IF(입력란!$C$30=1,IF(OR(입력란!$C$9=1,입력란!$C$10=1),55,17),IF(입력란!$C$30=2,IF(OR(입력란!$C$9=1,입력란!$C$10=1),60,20),IF(입력란!$C$30=3,IF(OR(입력란!$C$9=1,입력란!$C$10=1),65,22),0))))/100-1))</f>
        <v>466501.09312322858</v>
      </c>
      <c r="L152" s="21"/>
      <c r="M152" s="21"/>
      <c r="N152" s="21"/>
      <c r="O152" s="21"/>
      <c r="P152" s="21"/>
      <c r="Q152" s="20">
        <f>Z152*(1+IF($AK152+IF(입력란!$C$26=1,10,0)&gt;100,100,$AK152+IF(입력란!$C$26=1,10,0))/100*(($AL152+IF(입력란!$C$30=1,17,IF(입력란!$C$30=2,20,IF(입력란!$C$30=3,22,0))))/100-1))</f>
        <v>0</v>
      </c>
      <c r="R152" s="19">
        <f>SUM(S152:Z152)</f>
        <v>472007.85724019358</v>
      </c>
      <c r="S152" s="21">
        <f>AN152*IF(입력란!$C$12=0,1,IF(입력란!$C$12=1,1.35,IF(입력란!$C$12=2,1.55,IF(입력란!$C$12=3,1.75,1))))*IF(MID(E152,5,1)="1",트라이포드!$P$12,트라이포드!$O$12)*IF(MID(E152,5,1)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52" s="21">
        <f>AO152*IF(입력란!$C$12=0,1,IF(입력란!$C$12=1,1.35,IF(입력란!$C$12=2,1.55,IF(입력란!$C$12=3,1.75,1))))*IF(MID(E152,3,1)="1",1.3,1)*IF(MID(E152,3,1)="3",트라이포드!$N$12,트라이포드!$M$12)*IF(MID(E152,5,1)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169933.48908743053</v>
      </c>
      <c r="U152" s="21"/>
      <c r="V152" s="21"/>
      <c r="W152" s="21"/>
      <c r="X152" s="21"/>
      <c r="Y152" s="21"/>
      <c r="Z152" s="20">
        <f>AM152*IF(입력란!$C$12=0,1,IF(입력란!$C$12=1,1.35,IF(입력란!$C$12=2,1.55,IF(입력란!$C$12=3,1.75,1))))*IF(MID(E152,3,1)="1",트라이포드!$J$12,트라이포드!$I$12)*IF(입력란!$C$30=1,1.07,IF(입력란!$C$30=2,1.08,IF(입력란!$C$30=3,1.09,1)))</f>
        <v>0</v>
      </c>
      <c r="AA152" s="21">
        <f>SUM(AB152:AI152)</f>
        <v>944015.71448038716</v>
      </c>
      <c r="AB152" s="21">
        <f>S152*2</f>
        <v>604148.73630552611</v>
      </c>
      <c r="AC152" s="21">
        <f>T152*2</f>
        <v>339866.97817486105</v>
      </c>
      <c r="AD152" s="21"/>
      <c r="AE152" s="21"/>
      <c r="AF152" s="21"/>
      <c r="AG152" s="21"/>
      <c r="AH152" s="21"/>
      <c r="AI152" s="20">
        <f>Z152*2</f>
        <v>0</v>
      </c>
      <c r="AJ152" s="21">
        <f>AQ152*(1-입력란!$P$10/100)</f>
        <v>23.711464126079999</v>
      </c>
      <c r="AK1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2" s="21">
        <f>입력란!$P$24+입력란!$P$16+IF(입력란!$C$18=1,10,IF(입력란!$C$18=2,25,IF(입력란!$C$18=3,50,0)))+IF(입력란!$C$23&lt;&gt;0,-12)</f>
        <v>380.66103559999999</v>
      </c>
      <c r="AM152" s="21">
        <f>SUM(AN152:AP152)</f>
        <v>449531.29260970815</v>
      </c>
      <c r="AN152" s="21">
        <f>(VLOOKUP(C152,$B$4:$AJ$7,10,FALSE)+VLOOKUP(C152,$B$8:$AJ$11,10,FALSE)*입력란!$P$4)*입력란!$P$25/100</f>
        <v>287689.87443120289</v>
      </c>
      <c r="AO152" s="21">
        <f>(VLOOKUP(C152,$B$4:$AJ$7,11,FALSE)+VLOOKUP(C152,$B$8:$AJ$11,11,FALSE)*입력란!$P$4)*입력란!$P$25/100</f>
        <v>161841.41817850526</v>
      </c>
      <c r="AP152" s="21"/>
      <c r="AQ152" s="22">
        <v>24</v>
      </c>
    </row>
    <row r="153" spans="2:43" ht="13.5" customHeight="1" x14ac:dyDescent="0.55000000000000004">
      <c r="B153" s="66">
        <v>138</v>
      </c>
      <c r="C153" s="29">
        <v>10</v>
      </c>
      <c r="D153" s="30" t="s">
        <v>42</v>
      </c>
      <c r="E153" s="27" t="s">
        <v>121</v>
      </c>
      <c r="F153" s="29" t="s">
        <v>409</v>
      </c>
      <c r="G153" s="29"/>
      <c r="H153" s="36">
        <f>I153/AJ153</f>
        <v>166059.62910641165</v>
      </c>
      <c r="I153" s="37">
        <f>SUM(J153:Q153)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3937516.9383468297</v>
      </c>
      <c r="J153" s="21">
        <f>S153*(1+IF($AK153+IF(입력란!$C$9=1,10,0)+IF(입력란!$C$26=1,10,0)&gt;100,100,$AK153+IF(입력란!$C$9=1,10,0)+IF(입력란!$C$26=1,10,0))/100*(($AL153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53" s="21">
        <f>T153*(1+IF($AK153+IF(입력란!$C$26=1,10,0)+IF(입력란!$C$9=1,10,0)&gt;100,100,$AK153+IF(입력란!$C$26=1,10,0)+IF(입력란!$C$9=1,10,0))/100*(($AL153+IF(입력란!$C$30=1,IF(OR(입력란!$C$9=1,입력란!$C$10=1),55,17),IF(입력란!$C$30=2,IF(OR(입력란!$C$9=1,입력란!$C$10=1),60,20),IF(입력란!$C$30=3,IF(OR(입력란!$C$9=1,입력란!$C$10=1),65,22),0))))/100-1))</f>
        <v>466501.09312322858</v>
      </c>
      <c r="L153" s="21"/>
      <c r="M153" s="21"/>
      <c r="N153" s="21"/>
      <c r="O153" s="21"/>
      <c r="P153" s="21"/>
      <c r="Q153" s="20">
        <f>Z153*(1+IF($AK153+IF(입력란!$C$26=1,10,0)&gt;100,100,$AK153+IF(입력란!$C$26=1,10,0))/100*(($AL153+IF(입력란!$C$30=1,17,IF(입력란!$C$30=2,20,IF(입력란!$C$30=3,22,0))))/100-1))</f>
        <v>0</v>
      </c>
      <c r="R153" s="19">
        <f>SUM(S153:Z153)</f>
        <v>1015741.719915167</v>
      </c>
      <c r="S153" s="21">
        <f>AN153*IF(입력란!$C$12=0,1,IF(입력란!$C$12=1,1.35,IF(입력란!$C$12=2,1.55,IF(입력란!$C$12=3,1.75,1))))*IF(MID(E153,5,1)="1",트라이포드!$P$12,트라이포드!$O$12)*IF(MID(E153,5,1)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53" s="21">
        <f>AO153*IF(입력란!$C$12=0,1,IF(입력란!$C$12=1,1.35,IF(입력란!$C$12=2,1.55,IF(입력란!$C$12=3,1.75,1))))*IF(MID(E153,3,1)="1",1.3,1)*IF(MID(E153,3,1)="3",트라이포드!$N$12,트라이포드!$M$12)*IF(MID(E153,5,1)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169933.48908743053</v>
      </c>
      <c r="U153" s="21"/>
      <c r="V153" s="21"/>
      <c r="W153" s="21"/>
      <c r="X153" s="21"/>
      <c r="Y153" s="21"/>
      <c r="Z153" s="20">
        <f>AM153*IF(입력란!$C$12=0,1,IF(입력란!$C$12=1,1.35,IF(입력란!$C$12=2,1.55,IF(입력란!$C$12=3,1.75,1))))*IF(MID(E153,3,1)="1",트라이포드!$J$12,트라이포드!$I$12)*IF(입력란!$C$30=1,1.07,IF(입력란!$C$30=2,1.08,IF(입력란!$C$30=3,1.09,1)))</f>
        <v>0</v>
      </c>
      <c r="AA153" s="21">
        <f>SUM(AB153:AI153)</f>
        <v>2031483.4398303339</v>
      </c>
      <c r="AB153" s="21">
        <f>S153*2</f>
        <v>1691616.4616554729</v>
      </c>
      <c r="AC153" s="21">
        <f>T153*2</f>
        <v>339866.97817486105</v>
      </c>
      <c r="AD153" s="21"/>
      <c r="AE153" s="21"/>
      <c r="AF153" s="21"/>
      <c r="AG153" s="21"/>
      <c r="AH153" s="21"/>
      <c r="AI153" s="20">
        <f>Z153*2</f>
        <v>0</v>
      </c>
      <c r="AJ153" s="21">
        <f>AQ153*(1-입력란!$P$10/100)</f>
        <v>23.711464126079999</v>
      </c>
      <c r="AK1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3" s="21">
        <f>입력란!$P$24+입력란!$P$16+IF(입력란!$C$18=1,10,IF(입력란!$C$18=2,25,IF(입력란!$C$18=3,50,0)))+IF(입력란!$C$23&lt;&gt;0,-12)</f>
        <v>380.66103559999999</v>
      </c>
      <c r="AM153" s="21">
        <f>SUM(AN153:AP153)</f>
        <v>449531.29260970815</v>
      </c>
      <c r="AN153" s="21">
        <f>(VLOOKUP(C153,$B$4:$AJ$7,10,FALSE)+VLOOKUP(C153,$B$8:$AJ$11,10,FALSE)*입력란!$P$4)*입력란!$P$25/100</f>
        <v>287689.87443120289</v>
      </c>
      <c r="AO153" s="21">
        <f>(VLOOKUP(C153,$B$4:$AJ$7,11,FALSE)+VLOOKUP(C153,$B$8:$AJ$11,11,FALSE)*입력란!$P$4)*입력란!$P$25/100</f>
        <v>161841.41817850526</v>
      </c>
      <c r="AP153" s="21"/>
      <c r="AQ153" s="22">
        <v>24</v>
      </c>
    </row>
    <row r="154" spans="2:43" ht="13.5" customHeight="1" x14ac:dyDescent="0.55000000000000004">
      <c r="B154" s="66">
        <v>139</v>
      </c>
      <c r="C154" s="29">
        <v>10</v>
      </c>
      <c r="D154" s="30" t="s">
        <v>158</v>
      </c>
      <c r="E154" s="27" t="s">
        <v>161</v>
      </c>
      <c r="F154" s="29"/>
      <c r="G154" s="29"/>
      <c r="H154" s="36">
        <f>I154/AJ154</f>
        <v>140061.1743117499</v>
      </c>
      <c r="I154" s="37">
        <f>SUM(J154:Q154)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3321055.5101496954</v>
      </c>
      <c r="J154" s="21">
        <f>S154*(1+IF($AK154+IF(입력란!$C$9=1,10,0)+IF(입력란!$C$26=1,10,0)&gt;100,100,$AK154+IF(입력란!$C$9=1,10,0)+IF(입력란!$C$26=1,10,0))/100*(($AL154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54" s="21">
        <f>T154*(1+IF($AK154+IF(입력란!$C$26=1,10,0)+IF(입력란!$C$9=1,10,0)&gt;100,100,$AK154+IF(입력란!$C$26=1,10,0)+IF(입력란!$C$9=1,10,0))/100*(($AL154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54" s="21"/>
      <c r="M154" s="21"/>
      <c r="N154" s="21"/>
      <c r="O154" s="21"/>
      <c r="P154" s="21"/>
      <c r="Q154" s="20">
        <f>Z154*(1+IF($AK154+IF(입력란!$C$26=1,10,0)&gt;100,100,$AK154+IF(입력란!$C$26=1,10,0))/100*(($AL154+IF(입력란!$C$30=1,17,IF(입력란!$C$30=2,20,IF(입력란!$C$30=3,22,0))))/100-1))</f>
        <v>0</v>
      </c>
      <c r="R154" s="19">
        <f>SUM(S154:Z154)</f>
        <v>856716.22208423866</v>
      </c>
      <c r="S154" s="21">
        <f>AN154*IF(입력란!$C$12=0,1,IF(입력란!$C$12=1,1.35,IF(입력란!$C$12=2,1.55,IF(입력란!$C$12=3,1.75,1))))*IF(MID(E154,5,1)="1",트라이포드!$P$12,트라이포드!$O$12)*IF(MID(E154,5,1)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54" s="21">
        <f>AO154*IF(입력란!$C$12=0,1,IF(입력란!$C$12=1,1.35,IF(입력란!$C$12=2,1.55,IF(입력란!$C$12=3,1.75,1))))*IF(MID(E154,3,1)="1",1.3,1)*IF(MID(E154,3,1)="3",트라이포드!$N$12,트라이포드!$M$12)*IF(MID(E154,5,1)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54" s="21"/>
      <c r="V154" s="21"/>
      <c r="W154" s="21"/>
      <c r="X154" s="21"/>
      <c r="Y154" s="21"/>
      <c r="Z154" s="20">
        <f>AM154*IF(입력란!$C$12=0,1,IF(입력란!$C$12=1,1.35,IF(입력란!$C$12=2,1.55,IF(입력란!$C$12=3,1.75,1))))*IF(MID(E154,3,1)="1",트라이포드!$J$12,트라이포드!$I$12)*IF(입력란!$C$30=1,1.07,IF(입력란!$C$30=2,1.08,IF(입력란!$C$30=3,1.09,1)))</f>
        <v>0</v>
      </c>
      <c r="AA154" s="21">
        <f>SUM(AB154:AI154)</f>
        <v>1713432.4441684773</v>
      </c>
      <c r="AB154" s="21">
        <f>S154*2</f>
        <v>1033698.4878187551</v>
      </c>
      <c r="AC154" s="21">
        <f>T154*2</f>
        <v>679733.95634972211</v>
      </c>
      <c r="AD154" s="21"/>
      <c r="AE154" s="21"/>
      <c r="AF154" s="21"/>
      <c r="AG154" s="21"/>
      <c r="AH154" s="21"/>
      <c r="AI154" s="20">
        <f>Z154*2</f>
        <v>0</v>
      </c>
      <c r="AJ154" s="21">
        <f>AQ154*(1-입력란!$P$10/100)</f>
        <v>23.711464126079999</v>
      </c>
      <c r="AK1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4" s="21">
        <f>입력란!$P$24+입력란!$P$16+IF(입력란!$C$18=1,10,IF(입력란!$C$18=2,25,IF(입력란!$C$18=3,50,0)))+IF(입력란!$C$23&lt;&gt;0,-12)</f>
        <v>380.66103559999999</v>
      </c>
      <c r="AM154" s="21">
        <f>SUM(AN154:AP154)</f>
        <v>449531.29260970815</v>
      </c>
      <c r="AN154" s="21">
        <f>(VLOOKUP(C154,$B$4:$AJ$7,10,FALSE)+VLOOKUP(C154,$B$8:$AJ$11,10,FALSE)*입력란!$P$4)*입력란!$P$25/100</f>
        <v>287689.87443120289</v>
      </c>
      <c r="AO154" s="21">
        <f>(VLOOKUP(C154,$B$4:$AJ$7,11,FALSE)+VLOOKUP(C154,$B$8:$AJ$11,11,FALSE)*입력란!$P$4)*입력란!$P$25/100</f>
        <v>161841.41817850526</v>
      </c>
      <c r="AP154" s="21"/>
      <c r="AQ154" s="22">
        <v>24</v>
      </c>
    </row>
    <row r="155" spans="2:43" ht="13.5" customHeight="1" x14ac:dyDescent="0.55000000000000004">
      <c r="B155" s="66">
        <v>140</v>
      </c>
      <c r="C155" s="29">
        <v>10</v>
      </c>
      <c r="D155" s="30" t="s">
        <v>158</v>
      </c>
      <c r="E155" s="27" t="s">
        <v>162</v>
      </c>
      <c r="F155" s="29" t="s">
        <v>214</v>
      </c>
      <c r="G155" s="29"/>
      <c r="H155" s="36">
        <f>I155/AJ155</f>
        <v>105294.78752216135</v>
      </c>
      <c r="I155" s="37">
        <f>SUM(J155:Q155)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2496693.5769949448</v>
      </c>
      <c r="J155" s="21">
        <f>S155*(1+IF($AK155+IF(입력란!$C$9=1,10,0)+IF(입력란!$C$26=1,10,0)&gt;100,100,$AK155+IF(입력란!$C$9=1,10,0)+IF(입력란!$C$26=1,10,0))/100*(($AL155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55" s="21">
        <f>T155*(1+IF($AK155+IF(입력란!$C$26=1,10,0)+IF(입력란!$C$9=1,10,0)&gt;100,100,$AK155+IF(입력란!$C$26=1,10,0)+IF(입력란!$C$9=1,10,0))/100*(($AL155+IF(입력란!$C$30=1,IF(OR(입력란!$C$9=1,입력란!$C$10=1),55,17),IF(입력란!$C$30=2,IF(OR(입력란!$C$9=1,입력란!$C$10=1),60,20),IF(입력란!$C$30=3,IF(OR(입력란!$C$9=1,입력란!$C$10=1),65,22),0))))/100-1))</f>
        <v>606451.42106019717</v>
      </c>
      <c r="L155" s="21"/>
      <c r="M155" s="21"/>
      <c r="N155" s="21"/>
      <c r="O155" s="21"/>
      <c r="P155" s="21"/>
      <c r="Q155" s="20">
        <f>Z155*(1+IF($AK155+IF(입력란!$C$26=1,10,0)&gt;100,100,$AK155+IF(입력란!$C$26=1,10,0))/100*(($AL155+IF(입력란!$C$30=1,17,IF(입력란!$C$30=2,20,IF(입력란!$C$30=3,22,0))))/100-1))</f>
        <v>332365.96106529096</v>
      </c>
      <c r="R155" s="19">
        <f>SUM(S155:Z155)</f>
        <v>657847.29174933524</v>
      </c>
      <c r="S155" s="21">
        <f>AN155*IF(입력란!$C$12=0,1,IF(입력란!$C$12=1,1.35,IF(입력란!$C$12=2,1.55,IF(입력란!$C$12=3,1.75,1))))*IF(MID(E155,5,1)="1",트라이포드!$P$12,트라이포드!$O$12)*IF(MID(E155,5,1)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55" s="21">
        <f>AO155*IF(입력란!$C$12=0,1,IF(입력란!$C$12=1,1.35,IF(입력란!$C$12=2,1.55,IF(입력란!$C$12=3,1.75,1))))*IF(MID(E155,3,1)="1",1.3,1)*IF(MID(E155,3,1)="3",트라이포드!$N$12,트라이포드!$M$12)*IF(MID(E155,5,1)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220913.53581365969</v>
      </c>
      <c r="U155" s="21"/>
      <c r="V155" s="21"/>
      <c r="W155" s="21"/>
      <c r="X155" s="21"/>
      <c r="Y155" s="21"/>
      <c r="Z155" s="20">
        <f>AM155*IF(입력란!$C$12=0,1,IF(입력란!$C$12=1,1.35,IF(입력란!$C$12=2,1.55,IF(입력란!$C$12=3,1.75,1))))*IF(MID(E155,3,1)="1",트라이포드!$J$12,트라이포드!$I$12)*IF(입력란!$C$30=1,1.07,IF(입력란!$C$30=2,1.08,IF(입력란!$C$30=3,1.09,1)))</f>
        <v>134859.38778291244</v>
      </c>
      <c r="AA155" s="21">
        <f>SUM(AB155:AI155)</f>
        <v>1315694.5834986705</v>
      </c>
      <c r="AB155" s="21">
        <f>S155*2</f>
        <v>604148.73630552611</v>
      </c>
      <c r="AC155" s="21">
        <f>T155*2</f>
        <v>441827.07162731938</v>
      </c>
      <c r="AD155" s="21"/>
      <c r="AE155" s="21"/>
      <c r="AF155" s="21"/>
      <c r="AG155" s="21"/>
      <c r="AH155" s="21"/>
      <c r="AI155" s="20">
        <f>Z155*2</f>
        <v>269718.77556582488</v>
      </c>
      <c r="AJ155" s="21">
        <f>AQ155*(1-입력란!$P$10/100)</f>
        <v>23.711464126079999</v>
      </c>
      <c r="AK1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5" s="21">
        <f>입력란!$P$24+입력란!$P$16+IF(입력란!$C$18=1,10,IF(입력란!$C$18=2,25,IF(입력란!$C$18=3,50,0)))+IF(입력란!$C$23&lt;&gt;0,-12)</f>
        <v>380.66103559999999</v>
      </c>
      <c r="AM155" s="21">
        <f>SUM(AN155:AP155)</f>
        <v>449531.29260970815</v>
      </c>
      <c r="AN155" s="21">
        <f>(VLOOKUP(C155,$B$4:$AJ$7,10,FALSE)+VLOOKUP(C155,$B$8:$AJ$11,10,FALSE)*입력란!$P$4)*입력란!$P$25/100</f>
        <v>287689.87443120289</v>
      </c>
      <c r="AO155" s="21">
        <f>(VLOOKUP(C155,$B$4:$AJ$7,11,FALSE)+VLOOKUP(C155,$B$8:$AJ$11,11,FALSE)*입력란!$P$4)*입력란!$P$25/100</f>
        <v>161841.41817850526</v>
      </c>
      <c r="AP155" s="21"/>
      <c r="AQ155" s="22">
        <v>24</v>
      </c>
    </row>
    <row r="156" spans="2:43" ht="13.5" customHeight="1" x14ac:dyDescent="0.55000000000000004">
      <c r="B156" s="66">
        <v>141</v>
      </c>
      <c r="C156" s="29">
        <v>10</v>
      </c>
      <c r="D156" s="30" t="s">
        <v>42</v>
      </c>
      <c r="E156" s="27" t="s">
        <v>145</v>
      </c>
      <c r="F156" s="29" t="s">
        <v>410</v>
      </c>
      <c r="G156" s="29"/>
      <c r="H156" s="36">
        <f>I156/AJ156</f>
        <v>194187.70370162444</v>
      </c>
      <c r="I156" s="37">
        <f>SUM(J156:Q156)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4604474.7700469205</v>
      </c>
      <c r="J156" s="21">
        <f>S156*(1+IF($AK156+IF(입력란!$C$9=1,10,0)+IF(입력란!$C$26=1,10,0)&gt;100,100,$AK156+IF(입력란!$C$9=1,10,0)+IF(입력란!$C$26=1,10,0))/100*(($AL156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56" s="21">
        <f>T156*(1+IF($AK156+IF(입력란!$C$26=1,10,0)+IF(입력란!$C$9=1,10,0)&gt;100,100,$AK156+IF(입력란!$C$26=1,10,0)+IF(입력란!$C$9=1,10,0))/100*(($AL156+IF(입력란!$C$30=1,IF(OR(입력란!$C$9=1,입력란!$C$10=1),55,17),IF(입력란!$C$30=2,IF(OR(입력란!$C$9=1,입력란!$C$10=1),60,20),IF(입력란!$C$30=3,IF(OR(입력란!$C$9=1,입력란!$C$10=1),65,22),0))))/100-1))</f>
        <v>606451.42106019717</v>
      </c>
      <c r="L156" s="21"/>
      <c r="M156" s="21"/>
      <c r="N156" s="21"/>
      <c r="O156" s="21"/>
      <c r="P156" s="21"/>
      <c r="Q156" s="20">
        <f>Z156*(1+IF($AK156+IF(입력란!$C$26=1,10,0)&gt;100,100,$AK156+IF(입력란!$C$26=1,10,0))/100*(($AL156+IF(입력란!$C$30=1,17,IF(입력란!$C$30=2,20,IF(입력란!$C$30=3,22,0))))/100-1))</f>
        <v>332365.96106529096</v>
      </c>
      <c r="R156" s="19">
        <f>SUM(S156:Z156)</f>
        <v>1201581.1544243086</v>
      </c>
      <c r="S156" s="21">
        <f>AN156*IF(입력란!$C$12=0,1,IF(입력란!$C$12=1,1.35,IF(입력란!$C$12=2,1.55,IF(입력란!$C$12=3,1.75,1))))*IF(MID(E156,5,1)="1",트라이포드!$P$12,트라이포드!$O$12)*IF(MID(E156,5,1)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56" s="21">
        <f>AO156*IF(입력란!$C$12=0,1,IF(입력란!$C$12=1,1.35,IF(입력란!$C$12=2,1.55,IF(입력란!$C$12=3,1.75,1))))*IF(MID(E156,3,1)="1",1.3,1)*IF(MID(E156,3,1)="3",트라이포드!$N$12,트라이포드!$M$12)*IF(MID(E156,5,1)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220913.53581365969</v>
      </c>
      <c r="U156" s="21"/>
      <c r="V156" s="21"/>
      <c r="W156" s="21"/>
      <c r="X156" s="21"/>
      <c r="Y156" s="21"/>
      <c r="Z156" s="20">
        <f>AM156*IF(입력란!$C$12=0,1,IF(입력란!$C$12=1,1.35,IF(입력란!$C$12=2,1.55,IF(입력란!$C$12=3,1.75,1))))*IF(MID(E156,3,1)="1",트라이포드!$J$12,트라이포드!$I$12)*IF(입력란!$C$30=1,1.07,IF(입력란!$C$30=2,1.08,IF(입력란!$C$30=3,1.09,1)))</f>
        <v>134859.38778291244</v>
      </c>
      <c r="AA156" s="21">
        <f>SUM(AB156:AI156)</f>
        <v>2403162.3088486171</v>
      </c>
      <c r="AB156" s="21">
        <f>S156*2</f>
        <v>1691616.4616554729</v>
      </c>
      <c r="AC156" s="21">
        <f>T156*2</f>
        <v>441827.07162731938</v>
      </c>
      <c r="AD156" s="21"/>
      <c r="AE156" s="21"/>
      <c r="AF156" s="21"/>
      <c r="AG156" s="21"/>
      <c r="AH156" s="21"/>
      <c r="AI156" s="20">
        <f>Z156*2</f>
        <v>269718.77556582488</v>
      </c>
      <c r="AJ156" s="21">
        <f>AQ156*(1-입력란!$P$10/100)</f>
        <v>23.711464126079999</v>
      </c>
      <c r="AK1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6" s="21">
        <f>입력란!$P$24+입력란!$P$16+IF(입력란!$C$18=1,10,IF(입력란!$C$18=2,25,IF(입력란!$C$18=3,50,0)))+IF(입력란!$C$23&lt;&gt;0,-12)</f>
        <v>380.66103559999999</v>
      </c>
      <c r="AM156" s="21">
        <f>SUM(AN156:AP156)</f>
        <v>449531.29260970815</v>
      </c>
      <c r="AN156" s="21">
        <f>(VLOOKUP(C156,$B$4:$AJ$7,10,FALSE)+VLOOKUP(C156,$B$8:$AJ$11,10,FALSE)*입력란!$P$4)*입력란!$P$25/100</f>
        <v>287689.87443120289</v>
      </c>
      <c r="AO156" s="21">
        <f>(VLOOKUP(C156,$B$4:$AJ$7,11,FALSE)+VLOOKUP(C156,$B$8:$AJ$11,11,FALSE)*입력란!$P$4)*입력란!$P$25/100</f>
        <v>161841.41817850526</v>
      </c>
      <c r="AP156" s="21"/>
      <c r="AQ156" s="22">
        <v>24</v>
      </c>
    </row>
    <row r="157" spans="2:43" ht="13.5" customHeight="1" x14ac:dyDescent="0.55000000000000004">
      <c r="B157" s="66">
        <v>142</v>
      </c>
      <c r="C157" s="29">
        <v>10</v>
      </c>
      <c r="D157" s="30" t="s">
        <v>158</v>
      </c>
      <c r="E157" s="27" t="s">
        <v>163</v>
      </c>
      <c r="F157" s="29" t="s">
        <v>214</v>
      </c>
      <c r="G157" s="29"/>
      <c r="H157" s="36">
        <f>I157/AJ157</f>
        <v>176523.77675513679</v>
      </c>
      <c r="I157" s="37">
        <f>SUM(J157:Q157)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4185637.1999295801</v>
      </c>
      <c r="J157" s="21">
        <f>S157*(1+IF($AK157+IF(입력란!$C$9=1,10,0)+IF(입력란!$C$26=1,10,0)&gt;100,100,$AK157+IF(입력란!$C$9=1,10,0)+IF(입력란!$C$26=1,10,0))/100*(($AL157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57" s="21">
        <f>T157*(1+IF($AK157+IF(입력란!$C$26=1,10,0)+IF(입력란!$C$9=1,10,0)&gt;100,100,$AK157+IF(입력란!$C$26=1,10,0)+IF(입력란!$C$9=1,10,0))/100*(($AL157+IF(입력란!$C$30=1,IF(OR(입력란!$C$9=1,입력란!$C$10=1),55,17),IF(입력란!$C$30=2,IF(OR(입력란!$C$9=1,입력란!$C$10=1),60,20),IF(입력란!$C$30=3,IF(OR(입력란!$C$9=1,입력란!$C$10=1),65,22),0))))/100-1))</f>
        <v>1212902.8421203943</v>
      </c>
      <c r="L157" s="21"/>
      <c r="M157" s="21"/>
      <c r="N157" s="21"/>
      <c r="O157" s="21"/>
      <c r="P157" s="21"/>
      <c r="Q157" s="20">
        <f>Z157*(1+IF($AK157+IF(입력란!$C$26=1,10,0)&gt;100,100,$AK157+IF(입력란!$C$26=1,10,0))/100*(($AL157+IF(입력란!$C$30=1,17,IF(입력란!$C$30=2,20,IF(입력란!$C$30=3,22,0))))/100-1))</f>
        <v>332365.96106529096</v>
      </c>
      <c r="R157" s="19">
        <f>SUM(S157:Z157)</f>
        <v>1093535.7033196094</v>
      </c>
      <c r="S157" s="21">
        <f>AN157*IF(입력란!$C$12=0,1,IF(입력란!$C$12=1,1.35,IF(입력란!$C$12=2,1.55,IF(입력란!$C$12=3,1.75,1))))*IF(MID(E157,5,1)="1",트라이포드!$P$12,트라이포드!$O$12)*IF(MID(E157,5,1)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57" s="21">
        <f>AO157*IF(입력란!$C$12=0,1,IF(입력란!$C$12=1,1.35,IF(입력란!$C$12=2,1.55,IF(입력란!$C$12=3,1.75,1))))*IF(MID(E157,3,1)="1",1.3,1)*IF(MID(E157,3,1)="3",트라이포드!$N$12,트라이포드!$M$12)*IF(MID(E157,5,1)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441827.07162731938</v>
      </c>
      <c r="U157" s="21"/>
      <c r="V157" s="21"/>
      <c r="W157" s="21"/>
      <c r="X157" s="21"/>
      <c r="Y157" s="21"/>
      <c r="Z157" s="20">
        <f>AM157*IF(입력란!$C$12=0,1,IF(입력란!$C$12=1,1.35,IF(입력란!$C$12=2,1.55,IF(입력란!$C$12=3,1.75,1))))*IF(MID(E157,3,1)="1",트라이포드!$J$12,트라이포드!$I$12)*IF(입력란!$C$30=1,1.07,IF(입력란!$C$30=2,1.08,IF(입력란!$C$30=3,1.09,1)))</f>
        <v>134859.38778291244</v>
      </c>
      <c r="AA157" s="21">
        <f>SUM(AB157:AI157)</f>
        <v>2187071.4066392188</v>
      </c>
      <c r="AB157" s="21">
        <f>S157*2</f>
        <v>1033698.4878187551</v>
      </c>
      <c r="AC157" s="21">
        <f>T157*2</f>
        <v>883654.14325463877</v>
      </c>
      <c r="AD157" s="21"/>
      <c r="AE157" s="21"/>
      <c r="AF157" s="21"/>
      <c r="AG157" s="21"/>
      <c r="AH157" s="21"/>
      <c r="AI157" s="20">
        <f>Z157*2</f>
        <v>269718.77556582488</v>
      </c>
      <c r="AJ157" s="21">
        <f>AQ157*(1-입력란!$P$10/100)</f>
        <v>23.711464126079999</v>
      </c>
      <c r="AK1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7" s="21">
        <f>입력란!$P$24+입력란!$P$16+IF(입력란!$C$18=1,10,IF(입력란!$C$18=2,25,IF(입력란!$C$18=3,50,0)))+IF(입력란!$C$23&lt;&gt;0,-12)</f>
        <v>380.66103559999999</v>
      </c>
      <c r="AM157" s="21">
        <f>SUM(AN157:AP157)</f>
        <v>449531.29260970815</v>
      </c>
      <c r="AN157" s="21">
        <f>(VLOOKUP(C157,$B$4:$AJ$7,10,FALSE)+VLOOKUP(C157,$B$8:$AJ$11,10,FALSE)*입력란!$P$4)*입력란!$P$25/100</f>
        <v>287689.87443120289</v>
      </c>
      <c r="AO157" s="21">
        <f>(VLOOKUP(C157,$B$4:$AJ$7,11,FALSE)+VLOOKUP(C157,$B$8:$AJ$11,11,FALSE)*입력란!$P$4)*입력란!$P$25/100</f>
        <v>161841.41817850526</v>
      </c>
      <c r="AP157" s="21"/>
      <c r="AQ157" s="22">
        <v>24</v>
      </c>
    </row>
    <row r="158" spans="2:43" ht="13.5" customHeight="1" x14ac:dyDescent="0.55000000000000004">
      <c r="B158" s="66">
        <v>143</v>
      </c>
      <c r="C158" s="29">
        <v>10</v>
      </c>
      <c r="D158" s="30" t="s">
        <v>158</v>
      </c>
      <c r="E158" s="27" t="s">
        <v>98</v>
      </c>
      <c r="F158" s="29"/>
      <c r="G158" s="29"/>
      <c r="H158" s="36">
        <f>I158/AJ158</f>
        <v>104948.47242086199</v>
      </c>
      <c r="I158" s="37">
        <f>SUM(J158:Q158)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2488481.9388941652</v>
      </c>
      <c r="J158" s="21">
        <f>S158*(1+IF($AK158+IF(입력란!$C$9=1,10,0)+IF(입력란!$C$26=1,10,0)&gt;100,100,$AK158+IF(입력란!$C$9=1,10,0)+IF(입력란!$C$26=1,10,0))/100*(($AL158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58" s="21">
        <f>T158*(1+IF($AK158+IF(입력란!$C$26=1,10,0)+IF(입력란!$C$9=1,10,0)&gt;100,100,$AK158+IF(입력란!$C$26=1,10,0)+IF(입력란!$C$9=1,10,0))/100*(($AL158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58" s="21"/>
      <c r="M158" s="21"/>
      <c r="N158" s="21"/>
      <c r="O158" s="21"/>
      <c r="P158" s="21"/>
      <c r="Q158" s="20">
        <f>Z158*(1+IF($AK158+IF(입력란!$C$26=1,10,0)&gt;100,100,$AK158+IF(입력란!$C$26=1,10,0))/100*(($AL158+IF(입력란!$C$30=1,17,IF(입력란!$C$30=2,20,IF(입력란!$C$30=3,22,0))))/100-1))</f>
        <v>0</v>
      </c>
      <c r="R158" s="19">
        <f>SUM(S158:Z158)</f>
        <v>641941.34632762405</v>
      </c>
      <c r="S158" s="21">
        <f>AN158*IF(입력란!$C$12=0,1,IF(입력란!$C$12=1,1.35,IF(입력란!$C$12=2,1.55,IF(입력란!$C$12=3,1.75,1))))*IF(MID(E158,5,1)="1",트라이포드!$P$12,트라이포드!$O$12)*IF(MID(E158,5,1)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58" s="21">
        <f>AO158*IF(입력란!$C$12=0,1,IF(입력란!$C$12=1,1.35,IF(입력란!$C$12=2,1.55,IF(입력란!$C$12=3,1.75,1))))*IF(MID(E158,3,1)="1",1.3,1)*IF(MID(E158,3,1)="3",트라이포드!$N$12,트라이포드!$M$12)*IF(MID(E158,5,1)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58" s="21"/>
      <c r="V158" s="21"/>
      <c r="W158" s="21"/>
      <c r="X158" s="21"/>
      <c r="Y158" s="21"/>
      <c r="Z158" s="20">
        <f>AM158*IF(입력란!$C$12=0,1,IF(입력란!$C$12=1,1.35,IF(입력란!$C$12=2,1.55,IF(입력란!$C$12=3,1.75,1))))*IF(MID(E158,3,1)="1",트라이포드!$J$12,트라이포드!$I$12)*IF(입력란!$C$30=1,1.07,IF(입력란!$C$30=2,1.08,IF(입력란!$C$30=3,1.09,1)))</f>
        <v>0</v>
      </c>
      <c r="AA158" s="21">
        <f>SUM(AB158:AI158)</f>
        <v>1283882.6926552481</v>
      </c>
      <c r="AB158" s="21">
        <f>S158*2</f>
        <v>604148.73630552611</v>
      </c>
      <c r="AC158" s="21">
        <f>T158*2</f>
        <v>679733.95634972211</v>
      </c>
      <c r="AD158" s="21"/>
      <c r="AE158" s="21"/>
      <c r="AF158" s="21"/>
      <c r="AG158" s="21"/>
      <c r="AH158" s="21"/>
      <c r="AI158" s="20">
        <f>Z158*2</f>
        <v>0</v>
      </c>
      <c r="AJ158" s="21">
        <f>AQ158*(1-입력란!$P$10/100)</f>
        <v>23.711464126079999</v>
      </c>
      <c r="AK1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8" s="21">
        <f>입력란!$P$24+입력란!$P$16+IF(입력란!$C$18=1,10,IF(입력란!$C$18=2,25,IF(입력란!$C$18=3,50,0)))+IF(입력란!$C$23&lt;&gt;0,-12)</f>
        <v>380.66103559999999</v>
      </c>
      <c r="AM158" s="21">
        <f>SUM(AN158:AP158)</f>
        <v>449531.29260970815</v>
      </c>
      <c r="AN158" s="21">
        <f>(VLOOKUP(C158,$B$4:$AJ$7,10,FALSE)+VLOOKUP(C158,$B$8:$AJ$11,10,FALSE)*입력란!$P$4)*입력란!$P$25/100</f>
        <v>287689.87443120289</v>
      </c>
      <c r="AO158" s="21">
        <f>(VLOOKUP(C158,$B$4:$AJ$7,11,FALSE)+VLOOKUP(C158,$B$8:$AJ$11,11,FALSE)*입력란!$P$4)*입력란!$P$25/100</f>
        <v>161841.41817850526</v>
      </c>
      <c r="AP158" s="21"/>
      <c r="AQ158" s="22">
        <v>24</v>
      </c>
    </row>
    <row r="159" spans="2:43" ht="13.5" customHeight="1" x14ac:dyDescent="0.55000000000000004">
      <c r="B159" s="66">
        <v>144</v>
      </c>
      <c r="C159" s="29">
        <v>10</v>
      </c>
      <c r="D159" s="30" t="s">
        <v>42</v>
      </c>
      <c r="E159" s="27" t="s">
        <v>126</v>
      </c>
      <c r="F159" s="29" t="s">
        <v>409</v>
      </c>
      <c r="G159" s="29"/>
      <c r="H159" s="36">
        <f>I159/AJ159</f>
        <v>193841.3886003251</v>
      </c>
      <c r="I159" s="37">
        <f>SUM(J159:Q159)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4596263.1319461409</v>
      </c>
      <c r="J159" s="21">
        <f>S159*(1+IF($AK159+IF(입력란!$C$9=1,10,0)+IF(입력란!$C$26=1,10,0)&gt;100,100,$AK159+IF(입력란!$C$9=1,10,0)+IF(입력란!$C$26=1,10,0))/100*(($AL159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59" s="21">
        <f>T159*(1+IF($AK159+IF(입력란!$C$26=1,10,0)+IF(입력란!$C$9=1,10,0)&gt;100,100,$AK159+IF(입력란!$C$26=1,10,0)+IF(입력란!$C$9=1,10,0))/100*(($AL159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59" s="21"/>
      <c r="M159" s="21"/>
      <c r="N159" s="21"/>
      <c r="O159" s="21"/>
      <c r="P159" s="21"/>
      <c r="Q159" s="20">
        <f>Z159*(1+IF($AK159+IF(입력란!$C$26=1,10,0)&gt;100,100,$AK159+IF(입력란!$C$26=1,10,0))/100*(($AL159+IF(입력란!$C$30=1,17,IF(입력란!$C$30=2,20,IF(입력란!$C$30=3,22,0))))/100-1))</f>
        <v>0</v>
      </c>
      <c r="R159" s="19">
        <f>SUM(S159:Z159)</f>
        <v>1185675.2090025975</v>
      </c>
      <c r="S159" s="21">
        <f>AN159*IF(입력란!$C$12=0,1,IF(입력란!$C$12=1,1.35,IF(입력란!$C$12=2,1.55,IF(입력란!$C$12=3,1.75,1))))*IF(MID(E159,5,1)="1",트라이포드!$P$12,트라이포드!$O$12)*IF(MID(E159,5,1)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59" s="21">
        <f>AO159*IF(입력란!$C$12=0,1,IF(입력란!$C$12=1,1.35,IF(입력란!$C$12=2,1.55,IF(입력란!$C$12=3,1.75,1))))*IF(MID(E159,3,1)="1",1.3,1)*IF(MID(E159,3,1)="3",트라이포드!$N$12,트라이포드!$M$12)*IF(MID(E159,5,1)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59" s="21"/>
      <c r="V159" s="21"/>
      <c r="W159" s="21"/>
      <c r="X159" s="21"/>
      <c r="Y159" s="21"/>
      <c r="Z159" s="20">
        <f>AM159*IF(입력란!$C$12=0,1,IF(입력란!$C$12=1,1.35,IF(입력란!$C$12=2,1.55,IF(입력란!$C$12=3,1.75,1))))*IF(MID(E159,3,1)="1",트라이포드!$J$12,트라이포드!$I$12)*IF(입력란!$C$30=1,1.07,IF(입력란!$C$30=2,1.08,IF(입력란!$C$30=3,1.09,1)))</f>
        <v>0</v>
      </c>
      <c r="AA159" s="21">
        <f>SUM(AB159:AI159)</f>
        <v>2371350.418005195</v>
      </c>
      <c r="AB159" s="21">
        <f>S159*2</f>
        <v>1691616.4616554729</v>
      </c>
      <c r="AC159" s="21">
        <f>T159*2</f>
        <v>679733.95634972211</v>
      </c>
      <c r="AD159" s="21"/>
      <c r="AE159" s="21"/>
      <c r="AF159" s="21"/>
      <c r="AG159" s="21"/>
      <c r="AH159" s="21"/>
      <c r="AI159" s="20">
        <f>Z159*2</f>
        <v>0</v>
      </c>
      <c r="AJ159" s="21">
        <f>AQ159*(1-입력란!$P$10/100)</f>
        <v>23.711464126079999</v>
      </c>
      <c r="AK1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59" s="21">
        <f>입력란!$P$24+입력란!$P$16+IF(입력란!$C$18=1,10,IF(입력란!$C$18=2,25,IF(입력란!$C$18=3,50,0)))+IF(입력란!$C$23&lt;&gt;0,-12)</f>
        <v>380.66103559999999</v>
      </c>
      <c r="AM159" s="21">
        <f>SUM(AN159:AP159)</f>
        <v>449531.29260970815</v>
      </c>
      <c r="AN159" s="21">
        <f>(VLOOKUP(C159,$B$4:$AJ$7,10,FALSE)+VLOOKUP(C159,$B$8:$AJ$11,10,FALSE)*입력란!$P$4)*입력란!$P$25/100</f>
        <v>287689.87443120289</v>
      </c>
      <c r="AO159" s="21">
        <f>(VLOOKUP(C159,$B$4:$AJ$7,11,FALSE)+VLOOKUP(C159,$B$8:$AJ$11,11,FALSE)*입력란!$P$4)*입력란!$P$25/100</f>
        <v>161841.41817850526</v>
      </c>
      <c r="AP159" s="21"/>
      <c r="AQ159" s="22">
        <v>24</v>
      </c>
    </row>
    <row r="160" spans="2:43" ht="13.5" customHeight="1" x14ac:dyDescent="0.55000000000000004">
      <c r="B160" s="66">
        <v>145</v>
      </c>
      <c r="C160" s="29">
        <v>10</v>
      </c>
      <c r="D160" s="30" t="s">
        <v>158</v>
      </c>
      <c r="E160" s="27" t="s">
        <v>127</v>
      </c>
      <c r="F160" s="29"/>
      <c r="G160" s="29"/>
      <c r="H160" s="36">
        <f>I160/AJ160</f>
        <v>195624.69329957681</v>
      </c>
      <c r="I160" s="37">
        <f>SUM(J160:Q160)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4638547.8973483182</v>
      </c>
      <c r="J160" s="21">
        <f>S160*(1+IF($AK160+IF(입력란!$C$9=1,10,0)+IF(입력란!$C$26=1,10,0)&gt;100,100,$AK160+IF(입력란!$C$9=1,10,0)+IF(입력란!$C$26=1,10,0))/100*(($AL160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60" s="21">
        <f>T160*(1+IF($AK160+IF(입력란!$C$26=1,10,0)+IF(입력란!$C$9=1,10,0)&gt;100,100,$AK160+IF(입력란!$C$26=1,10,0)+IF(입력란!$C$9=1,10,0))/100*(($AL160+IF(입력란!$C$30=1,IF(OR(입력란!$C$9=1,입력란!$C$10=1),55,17),IF(입력란!$C$30=2,IF(OR(입력란!$C$9=1,입력란!$C$10=1),60,20),IF(입력란!$C$30=3,IF(OR(입력란!$C$9=1,입력란!$C$10=1),65,22),0))))/100-1))</f>
        <v>1866004.3724929143</v>
      </c>
      <c r="L160" s="21"/>
      <c r="M160" s="21"/>
      <c r="N160" s="21"/>
      <c r="O160" s="21"/>
      <c r="P160" s="21"/>
      <c r="Q160" s="20">
        <f>Z160*(1+IF($AK160+IF(입력란!$C$26=1,10,0)&gt;100,100,$AK160+IF(입력란!$C$26=1,10,0))/100*(($AL160+IF(입력란!$C$30=1,17,IF(입력란!$C$30=2,20,IF(입력란!$C$30=3,22,0))))/100-1))</f>
        <v>0</v>
      </c>
      <c r="R160" s="19">
        <f>SUM(S160:Z160)</f>
        <v>1196583.2002590997</v>
      </c>
      <c r="S160" s="21">
        <f>AN160*IF(입력란!$C$12=0,1,IF(입력란!$C$12=1,1.35,IF(입력란!$C$12=2,1.55,IF(입력란!$C$12=3,1.75,1))))*IF(MID(E160,5,1)="1",트라이포드!$P$12,트라이포드!$O$12)*IF(MID(E160,5,1)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60" s="21">
        <f>AO160*IF(입력란!$C$12=0,1,IF(입력란!$C$12=1,1.35,IF(입력란!$C$12=2,1.55,IF(입력란!$C$12=3,1.75,1))))*IF(MID(E160,3,1)="1",1.3,1)*IF(MID(E160,3,1)="3",트라이포드!$N$12,트라이포드!$M$12)*IF(MID(E160,5,1)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679733.95634972211</v>
      </c>
      <c r="U160" s="21"/>
      <c r="V160" s="21"/>
      <c r="W160" s="21"/>
      <c r="X160" s="21"/>
      <c r="Y160" s="21"/>
      <c r="Z160" s="20">
        <f>AM160*IF(입력란!$C$12=0,1,IF(입력란!$C$12=1,1.35,IF(입력란!$C$12=2,1.55,IF(입력란!$C$12=3,1.75,1))))*IF(MID(E160,3,1)="1",트라이포드!$J$12,트라이포드!$I$12)*IF(입력란!$C$30=1,1.07,IF(입력란!$C$30=2,1.08,IF(입력란!$C$30=3,1.09,1)))</f>
        <v>0</v>
      </c>
      <c r="AA160" s="21">
        <f>SUM(AB160:AI160)</f>
        <v>2393166.4005181994</v>
      </c>
      <c r="AB160" s="21">
        <f>S160*2</f>
        <v>1033698.4878187551</v>
      </c>
      <c r="AC160" s="21">
        <f>T160*2</f>
        <v>1359467.9126994442</v>
      </c>
      <c r="AD160" s="21"/>
      <c r="AE160" s="21"/>
      <c r="AF160" s="21"/>
      <c r="AG160" s="21"/>
      <c r="AH160" s="21"/>
      <c r="AI160" s="20">
        <f>Z160*2</f>
        <v>0</v>
      </c>
      <c r="AJ160" s="21">
        <f>AQ160*(1-입력란!$P$10/100)</f>
        <v>23.711464126079999</v>
      </c>
      <c r="AK1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0" s="21">
        <f>입력란!$P$24+입력란!$P$16+IF(입력란!$C$18=1,10,IF(입력란!$C$18=2,25,IF(입력란!$C$18=3,50,0)))+IF(입력란!$C$23&lt;&gt;0,-12)</f>
        <v>380.66103559999999</v>
      </c>
      <c r="AM160" s="21">
        <f>SUM(AN160:AP160)</f>
        <v>449531.29260970815</v>
      </c>
      <c r="AN160" s="21">
        <f>(VLOOKUP(C160,$B$4:$AJ$7,10,FALSE)+VLOOKUP(C160,$B$8:$AJ$11,10,FALSE)*입력란!$P$4)*입력란!$P$25/100</f>
        <v>287689.87443120289</v>
      </c>
      <c r="AO160" s="21">
        <f>(VLOOKUP(C160,$B$4:$AJ$7,11,FALSE)+VLOOKUP(C160,$B$8:$AJ$11,11,FALSE)*입력란!$P$4)*입력란!$P$25/100</f>
        <v>161841.41817850526</v>
      </c>
      <c r="AP160" s="21"/>
      <c r="AQ160" s="22">
        <v>24</v>
      </c>
    </row>
    <row r="161" spans="2:43" ht="13.5" customHeight="1" x14ac:dyDescent="0.55000000000000004">
      <c r="B161" s="66">
        <v>146</v>
      </c>
      <c r="C161" s="29">
        <v>10</v>
      </c>
      <c r="D161" s="30" t="s">
        <v>158</v>
      </c>
      <c r="E161" s="27" t="s">
        <v>164</v>
      </c>
      <c r="F161" s="29"/>
      <c r="G161" s="29"/>
      <c r="H161" s="36">
        <f>I161/AJ161</f>
        <v>77166.712926948516</v>
      </c>
      <c r="I161" s="37">
        <f>SUM(J161:Q161)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1829735.7452948536</v>
      </c>
      <c r="J161" s="21">
        <f>S161*(1+IF($AK161+IF(입력란!$C$9=1,10,0)+IF(입력란!$C$26=1,10,0)&gt;100,100,$AK161+IF(입력란!$C$9=1,10,0)+IF(입력란!$C$26=1,10,0))/100*(($AL161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61" s="21">
        <f>T161*(1+IF($AK161+IF(입력란!$C$26=1,10,0)+IF(입력란!$C$9=1,10,0)&gt;100,100,$AK161+IF(입력란!$C$26=1,10,0)+IF(입력란!$C$9=1,10,0))/100*(($AL161+IF(입력란!$C$30=1,IF(OR(입력란!$C$9=1,입력란!$C$10=1),55,17),IF(입력란!$C$30=2,IF(OR(입력란!$C$9=1,입력란!$C$10=1),60,20),IF(입력란!$C$30=3,IF(OR(입력란!$C$9=1,입력란!$C$10=1),65,22),0))))/100-1))</f>
        <v>466501.09312322858</v>
      </c>
      <c r="L161" s="21"/>
      <c r="M161" s="21"/>
      <c r="N161" s="21"/>
      <c r="O161" s="21"/>
      <c r="P161" s="21"/>
      <c r="Q161" s="20">
        <f>Z161*(1+IF($AK161+IF(입력란!$C$26=1,10,0)&gt;100,100,$AK161+IF(입력란!$C$26=1,10,0))/100*(($AL161+IF(입력란!$C$30=1,17,IF(입력란!$C$30=2,20,IF(입력란!$C$30=3,22,0))))/100-1))</f>
        <v>0</v>
      </c>
      <c r="R161" s="19">
        <f>SUM(S161:Z161)</f>
        <v>472007.85724019358</v>
      </c>
      <c r="S161" s="21">
        <f>AN161*IF(입력란!$C$12=0,1,IF(입력란!$C$12=1,1.35,IF(입력란!$C$12=2,1.55,IF(입력란!$C$12=3,1.75,1))))*IF(MID(E161,5,1)="1",트라이포드!$P$12,트라이포드!$O$12)*IF(MID(E161,5,1)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61" s="21">
        <f>AO161*IF(입력란!$C$12=0,1,IF(입력란!$C$12=1,1.35,IF(입력란!$C$12=2,1.55,IF(입력란!$C$12=3,1.75,1))))*IF(MID(E161,3,1)="1",1.3,1)*IF(MID(E161,3,1)="3",트라이포드!$N$12,트라이포드!$M$12)*IF(MID(E161,5,1)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169933.48908743053</v>
      </c>
      <c r="U161" s="21"/>
      <c r="V161" s="21"/>
      <c r="W161" s="21"/>
      <c r="X161" s="21"/>
      <c r="Y161" s="21"/>
      <c r="Z161" s="20">
        <f>AM161*IF(입력란!$C$12=0,1,IF(입력란!$C$12=1,1.35,IF(입력란!$C$12=2,1.55,IF(입력란!$C$12=3,1.75,1))))*IF(MID(E161,3,1)="1",트라이포드!$J$12,트라이포드!$I$12)*IF(입력란!$C$30=1,1.07,IF(입력란!$C$30=2,1.08,IF(입력란!$C$30=3,1.09,1)))</f>
        <v>0</v>
      </c>
      <c r="AA161" s="21">
        <f>SUM(AB161:AI161)</f>
        <v>944015.71448038716</v>
      </c>
      <c r="AB161" s="21">
        <f>S161*2</f>
        <v>604148.73630552611</v>
      </c>
      <c r="AC161" s="21">
        <f>T161*2</f>
        <v>339866.97817486105</v>
      </c>
      <c r="AD161" s="21"/>
      <c r="AE161" s="21"/>
      <c r="AF161" s="21"/>
      <c r="AG161" s="21"/>
      <c r="AH161" s="21"/>
      <c r="AI161" s="20">
        <f>Z161*2</f>
        <v>0</v>
      </c>
      <c r="AJ161" s="21">
        <f>AQ161*(1-입력란!$P$10/100)</f>
        <v>23.711464126079999</v>
      </c>
      <c r="AK1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1" s="21">
        <f>입력란!$P$24+입력란!$P$16+IF(입력란!$C$18=1,10,IF(입력란!$C$18=2,25,IF(입력란!$C$18=3,50,0)))+IF(입력란!$C$23&lt;&gt;0,-12)</f>
        <v>380.66103559999999</v>
      </c>
      <c r="AM161" s="21">
        <f>SUM(AN161:AP161)</f>
        <v>449531.29260970815</v>
      </c>
      <c r="AN161" s="21">
        <f>(VLOOKUP(C161,$B$4:$AJ$7,10,FALSE)+VLOOKUP(C161,$B$8:$AJ$11,10,FALSE)*입력란!$P$4)*입력란!$P$25/100</f>
        <v>287689.87443120289</v>
      </c>
      <c r="AO161" s="21">
        <f>(VLOOKUP(C161,$B$4:$AJ$7,11,FALSE)+VLOOKUP(C161,$B$8:$AJ$11,11,FALSE)*입력란!$P$4)*입력란!$P$25/100</f>
        <v>161841.41817850526</v>
      </c>
      <c r="AP161" s="21"/>
      <c r="AQ161" s="22">
        <v>24</v>
      </c>
    </row>
    <row r="162" spans="2:43" ht="13.5" customHeight="1" x14ac:dyDescent="0.55000000000000004">
      <c r="B162" s="66">
        <v>147</v>
      </c>
      <c r="C162" s="29">
        <v>10</v>
      </c>
      <c r="D162" s="30" t="s">
        <v>42</v>
      </c>
      <c r="E162" s="27" t="s">
        <v>110</v>
      </c>
      <c r="F162" s="29" t="s">
        <v>409</v>
      </c>
      <c r="G162" s="29"/>
      <c r="H162" s="36">
        <f>I162/AJ162</f>
        <v>166059.62910641165</v>
      </c>
      <c r="I162" s="37">
        <f>SUM(J162:Q162)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3937516.9383468297</v>
      </c>
      <c r="J162" s="21">
        <f>S162*(1+IF($AK162+IF(입력란!$C$9=1,10,0)+IF(입력란!$C$26=1,10,0)&gt;100,100,$AK162+IF(입력란!$C$9=1,10,0)+IF(입력란!$C$26=1,10,0))/100*(($AL162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62" s="21">
        <f>T162*(1+IF($AK162+IF(입력란!$C$26=1,10,0)+IF(입력란!$C$9=1,10,0)&gt;100,100,$AK162+IF(입력란!$C$26=1,10,0)+IF(입력란!$C$9=1,10,0))/100*(($AL162+IF(입력란!$C$30=1,IF(OR(입력란!$C$9=1,입력란!$C$10=1),55,17),IF(입력란!$C$30=2,IF(OR(입력란!$C$9=1,입력란!$C$10=1),60,20),IF(입력란!$C$30=3,IF(OR(입력란!$C$9=1,입력란!$C$10=1),65,22),0))))/100-1))</f>
        <v>466501.09312322858</v>
      </c>
      <c r="L162" s="21"/>
      <c r="M162" s="21"/>
      <c r="N162" s="21"/>
      <c r="O162" s="21"/>
      <c r="P162" s="21"/>
      <c r="Q162" s="20">
        <f>Z162*(1+IF($AK162+IF(입력란!$C$26=1,10,0)&gt;100,100,$AK162+IF(입력란!$C$26=1,10,0))/100*(($AL162+IF(입력란!$C$30=1,17,IF(입력란!$C$30=2,20,IF(입력란!$C$30=3,22,0))))/100-1))</f>
        <v>0</v>
      </c>
      <c r="R162" s="19">
        <f>SUM(S162:Z162)</f>
        <v>1015741.719915167</v>
      </c>
      <c r="S162" s="21">
        <f>AN162*IF(입력란!$C$12=0,1,IF(입력란!$C$12=1,1.35,IF(입력란!$C$12=2,1.55,IF(입력란!$C$12=3,1.75,1))))*IF(MID(E162,5,1)="1",트라이포드!$P$12,트라이포드!$O$12)*IF(MID(E162,5,1)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62" s="21">
        <f>AO162*IF(입력란!$C$12=0,1,IF(입력란!$C$12=1,1.35,IF(입력란!$C$12=2,1.55,IF(입력란!$C$12=3,1.75,1))))*IF(MID(E162,3,1)="1",1.3,1)*IF(MID(E162,3,1)="3",트라이포드!$N$12,트라이포드!$M$12)*IF(MID(E162,5,1)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169933.48908743053</v>
      </c>
      <c r="U162" s="21"/>
      <c r="V162" s="21"/>
      <c r="W162" s="21"/>
      <c r="X162" s="21"/>
      <c r="Y162" s="21"/>
      <c r="Z162" s="20">
        <f>AM162*IF(입력란!$C$12=0,1,IF(입력란!$C$12=1,1.35,IF(입력란!$C$12=2,1.55,IF(입력란!$C$12=3,1.75,1))))*IF(MID(E162,3,1)="1",트라이포드!$J$12,트라이포드!$I$12)*IF(입력란!$C$30=1,1.07,IF(입력란!$C$30=2,1.08,IF(입력란!$C$30=3,1.09,1)))</f>
        <v>0</v>
      </c>
      <c r="AA162" s="21">
        <f>SUM(AB162:AI162)</f>
        <v>2031483.4398303339</v>
      </c>
      <c r="AB162" s="21">
        <f>S162*2</f>
        <v>1691616.4616554729</v>
      </c>
      <c r="AC162" s="21">
        <f>T162*2</f>
        <v>339866.97817486105</v>
      </c>
      <c r="AD162" s="21"/>
      <c r="AE162" s="21"/>
      <c r="AF162" s="21"/>
      <c r="AG162" s="21"/>
      <c r="AH162" s="21"/>
      <c r="AI162" s="20">
        <f>Z162*2</f>
        <v>0</v>
      </c>
      <c r="AJ162" s="21">
        <f>AQ162*(1-입력란!$P$10/100)</f>
        <v>23.711464126079999</v>
      </c>
      <c r="AK1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2" s="21">
        <f>입력란!$P$24+입력란!$P$16+IF(입력란!$C$18=1,10,IF(입력란!$C$18=2,25,IF(입력란!$C$18=3,50,0)))+IF(입력란!$C$23&lt;&gt;0,-12)</f>
        <v>380.66103559999999</v>
      </c>
      <c r="AM162" s="21">
        <f>SUM(AN162:AP162)</f>
        <v>449531.29260970815</v>
      </c>
      <c r="AN162" s="21">
        <f>(VLOOKUP(C162,$B$4:$AJ$7,10,FALSE)+VLOOKUP(C162,$B$8:$AJ$11,10,FALSE)*입력란!$P$4)*입력란!$P$25/100</f>
        <v>287689.87443120289</v>
      </c>
      <c r="AO162" s="21">
        <f>(VLOOKUP(C162,$B$4:$AJ$7,11,FALSE)+VLOOKUP(C162,$B$8:$AJ$11,11,FALSE)*입력란!$P$4)*입력란!$P$25/100</f>
        <v>161841.41817850526</v>
      </c>
      <c r="AP162" s="21"/>
      <c r="AQ162" s="22">
        <v>24</v>
      </c>
    </row>
    <row r="163" spans="2:43" ht="13.5" customHeight="1" x14ac:dyDescent="0.55000000000000004">
      <c r="B163" s="66">
        <v>148</v>
      </c>
      <c r="C163" s="29">
        <v>10</v>
      </c>
      <c r="D163" s="30" t="s">
        <v>42</v>
      </c>
      <c r="E163" s="27" t="s">
        <v>111</v>
      </c>
      <c r="F163" s="29"/>
      <c r="G163" s="29"/>
      <c r="H163" s="36">
        <f>I163/AJ163</f>
        <v>140061.1743117499</v>
      </c>
      <c r="I163" s="37">
        <f>SUM(J163:Q163)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3321055.5101496954</v>
      </c>
      <c r="J163" s="21">
        <f>S163*(1+IF($AK163+IF(입력란!$C$9=1,10,0)+IF(입력란!$C$26=1,10,0)&gt;100,100,$AK163+IF(입력란!$C$9=1,10,0)+IF(입력란!$C$26=1,10,0))/100*(($AL163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63" s="21">
        <f>T163*(1+IF($AK163+IF(입력란!$C$26=1,10,0)+IF(입력란!$C$9=1,10,0)&gt;100,100,$AK163+IF(입력란!$C$26=1,10,0)+IF(입력란!$C$9=1,10,0))/100*(($AL163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63" s="21"/>
      <c r="M163" s="21"/>
      <c r="N163" s="21"/>
      <c r="O163" s="21"/>
      <c r="P163" s="21"/>
      <c r="Q163" s="20">
        <f>Z163*(1+IF($AK163+IF(입력란!$C$26=1,10,0)&gt;100,100,$AK163+IF(입력란!$C$26=1,10,0))/100*(($AL163+IF(입력란!$C$30=1,17,IF(입력란!$C$30=2,20,IF(입력란!$C$30=3,22,0))))/100-1))</f>
        <v>0</v>
      </c>
      <c r="R163" s="19">
        <f>SUM(S163:Z163)</f>
        <v>856716.22208423866</v>
      </c>
      <c r="S163" s="21">
        <f>AN163*IF(입력란!$C$12=0,1,IF(입력란!$C$12=1,1.35,IF(입력란!$C$12=2,1.55,IF(입력란!$C$12=3,1.75,1))))*IF(MID(E163,5,1)="1",트라이포드!$P$12,트라이포드!$O$12)*IF(MID(E163,5,1)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63" s="21">
        <f>AO163*IF(입력란!$C$12=0,1,IF(입력란!$C$12=1,1.35,IF(입력란!$C$12=2,1.55,IF(입력란!$C$12=3,1.75,1))))*IF(MID(E163,3,1)="1",1.3,1)*IF(MID(E163,3,1)="3",트라이포드!$N$12,트라이포드!$M$12)*IF(MID(E163,5,1)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63" s="21"/>
      <c r="V163" s="21"/>
      <c r="W163" s="21"/>
      <c r="X163" s="21"/>
      <c r="Y163" s="21"/>
      <c r="Z163" s="20">
        <f>AM163*IF(입력란!$C$12=0,1,IF(입력란!$C$12=1,1.35,IF(입력란!$C$12=2,1.55,IF(입력란!$C$12=3,1.75,1))))*IF(MID(E163,3,1)="1",트라이포드!$J$12,트라이포드!$I$12)*IF(입력란!$C$30=1,1.07,IF(입력란!$C$30=2,1.08,IF(입력란!$C$30=3,1.09,1)))</f>
        <v>0</v>
      </c>
      <c r="AA163" s="21">
        <f>SUM(AB163:AI163)</f>
        <v>1713432.4441684773</v>
      </c>
      <c r="AB163" s="21">
        <f>S163*2</f>
        <v>1033698.4878187551</v>
      </c>
      <c r="AC163" s="21">
        <f>T163*2</f>
        <v>679733.95634972211</v>
      </c>
      <c r="AD163" s="21"/>
      <c r="AE163" s="21"/>
      <c r="AF163" s="21"/>
      <c r="AG163" s="21"/>
      <c r="AH163" s="21"/>
      <c r="AI163" s="20">
        <f>Z163*2</f>
        <v>0</v>
      </c>
      <c r="AJ163" s="21">
        <f>AQ163*(1-입력란!$P$10/100)</f>
        <v>23.711464126079999</v>
      </c>
      <c r="AK1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3" s="21">
        <f>입력란!$P$24+입력란!$P$16+IF(입력란!$C$18=1,10,IF(입력란!$C$18=2,25,IF(입력란!$C$18=3,50,0)))+IF(입력란!$C$23&lt;&gt;0,-12)</f>
        <v>380.66103559999999</v>
      </c>
      <c r="AM163" s="21">
        <f>SUM(AN163:AP163)</f>
        <v>449531.29260970815</v>
      </c>
      <c r="AN163" s="21">
        <f>(VLOOKUP(C163,$B$4:$AJ$7,10,FALSE)+VLOOKUP(C163,$B$8:$AJ$11,10,FALSE)*입력란!$P$4)*입력란!$P$25/100</f>
        <v>287689.87443120289</v>
      </c>
      <c r="AO163" s="21">
        <f>(VLOOKUP(C163,$B$4:$AJ$7,11,FALSE)+VLOOKUP(C163,$B$8:$AJ$11,11,FALSE)*입력란!$P$4)*입력란!$P$25/100</f>
        <v>161841.41817850526</v>
      </c>
      <c r="AP163" s="21"/>
      <c r="AQ163" s="22">
        <v>24</v>
      </c>
    </row>
    <row r="164" spans="2:43" ht="13.5" customHeight="1" x14ac:dyDescent="0.55000000000000004">
      <c r="B164" s="66">
        <v>149</v>
      </c>
      <c r="C164" s="29">
        <v>10</v>
      </c>
      <c r="D164" s="30" t="s">
        <v>158</v>
      </c>
      <c r="E164" s="27" t="s">
        <v>165</v>
      </c>
      <c r="F164" s="29" t="s">
        <v>214</v>
      </c>
      <c r="G164" s="29"/>
      <c r="H164" s="36">
        <f>I164/AJ164</f>
        <v>105294.78752216135</v>
      </c>
      <c r="I164" s="37">
        <f>SUM(J164:Q164)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2496693.5769949448</v>
      </c>
      <c r="J164" s="21">
        <f>S164*(1+IF($AK164+IF(입력란!$C$9=1,10,0)+IF(입력란!$C$26=1,10,0)&gt;100,100,$AK164+IF(입력란!$C$9=1,10,0)+IF(입력란!$C$26=1,10,0))/100*(($AL164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64" s="21">
        <f>T164*(1+IF($AK164+IF(입력란!$C$26=1,10,0)+IF(입력란!$C$9=1,10,0)&gt;100,100,$AK164+IF(입력란!$C$26=1,10,0)+IF(입력란!$C$9=1,10,0))/100*(($AL164+IF(입력란!$C$30=1,IF(OR(입력란!$C$9=1,입력란!$C$10=1),55,17),IF(입력란!$C$30=2,IF(OR(입력란!$C$9=1,입력란!$C$10=1),60,20),IF(입력란!$C$30=3,IF(OR(입력란!$C$9=1,입력란!$C$10=1),65,22),0))))/100-1))</f>
        <v>606451.42106019717</v>
      </c>
      <c r="L164" s="21"/>
      <c r="M164" s="21"/>
      <c r="N164" s="21"/>
      <c r="O164" s="21"/>
      <c r="P164" s="21"/>
      <c r="Q164" s="20">
        <f>Z164*(1+IF($AK164+IF(입력란!$C$26=1,10,0)&gt;100,100,$AK164+IF(입력란!$C$26=1,10,0))/100*(($AL164+IF(입력란!$C$30=1,17,IF(입력란!$C$30=2,20,IF(입력란!$C$30=3,22,0))))/100-1))</f>
        <v>332365.96106529096</v>
      </c>
      <c r="R164" s="19">
        <f>SUM(S164:Z164)</f>
        <v>657847.29174933524</v>
      </c>
      <c r="S164" s="21">
        <f>AN164*IF(입력란!$C$12=0,1,IF(입력란!$C$12=1,1.35,IF(입력란!$C$12=2,1.55,IF(입력란!$C$12=3,1.75,1))))*IF(MID(E164,5,1)="1",트라이포드!$P$12,트라이포드!$O$12)*IF(MID(E164,5,1)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64" s="21">
        <f>AO164*IF(입력란!$C$12=0,1,IF(입력란!$C$12=1,1.35,IF(입력란!$C$12=2,1.55,IF(입력란!$C$12=3,1.75,1))))*IF(MID(E164,3,1)="1",1.3,1)*IF(MID(E164,3,1)="3",트라이포드!$N$12,트라이포드!$M$12)*IF(MID(E164,5,1)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220913.53581365969</v>
      </c>
      <c r="U164" s="21"/>
      <c r="V164" s="21"/>
      <c r="W164" s="21"/>
      <c r="X164" s="21"/>
      <c r="Y164" s="21"/>
      <c r="Z164" s="20">
        <f>AM164*IF(입력란!$C$12=0,1,IF(입력란!$C$12=1,1.35,IF(입력란!$C$12=2,1.55,IF(입력란!$C$12=3,1.75,1))))*IF(MID(E164,3,1)="1",트라이포드!$J$12,트라이포드!$I$12)*IF(입력란!$C$30=1,1.07,IF(입력란!$C$30=2,1.08,IF(입력란!$C$30=3,1.09,1)))</f>
        <v>134859.38778291244</v>
      </c>
      <c r="AA164" s="21">
        <f>SUM(AB164:AI164)</f>
        <v>1315694.5834986705</v>
      </c>
      <c r="AB164" s="21">
        <f>S164*2</f>
        <v>604148.73630552611</v>
      </c>
      <c r="AC164" s="21">
        <f>T164*2</f>
        <v>441827.07162731938</v>
      </c>
      <c r="AD164" s="21"/>
      <c r="AE164" s="21"/>
      <c r="AF164" s="21"/>
      <c r="AG164" s="21"/>
      <c r="AH164" s="21"/>
      <c r="AI164" s="20">
        <f>Z164*2</f>
        <v>269718.77556582488</v>
      </c>
      <c r="AJ164" s="21">
        <f>AQ164*(1-입력란!$P$10/100)</f>
        <v>23.711464126079999</v>
      </c>
      <c r="AK1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4" s="21">
        <f>입력란!$P$24+입력란!$P$16+IF(입력란!$C$18=1,10,IF(입력란!$C$18=2,25,IF(입력란!$C$18=3,50,0)))+IF(입력란!$C$23&lt;&gt;0,-12)</f>
        <v>380.66103559999999</v>
      </c>
      <c r="AM164" s="21">
        <f>SUM(AN164:AP164)</f>
        <v>449531.29260970815</v>
      </c>
      <c r="AN164" s="21">
        <f>(VLOOKUP(C164,$B$4:$AJ$7,10,FALSE)+VLOOKUP(C164,$B$8:$AJ$11,10,FALSE)*입력란!$P$4)*입력란!$P$25/100</f>
        <v>287689.87443120289</v>
      </c>
      <c r="AO164" s="21">
        <f>(VLOOKUP(C164,$B$4:$AJ$7,11,FALSE)+VLOOKUP(C164,$B$8:$AJ$11,11,FALSE)*입력란!$P$4)*입력란!$P$25/100</f>
        <v>161841.41817850526</v>
      </c>
      <c r="AP164" s="21"/>
      <c r="AQ164" s="22">
        <v>24</v>
      </c>
    </row>
    <row r="165" spans="2:43" ht="13.5" customHeight="1" x14ac:dyDescent="0.55000000000000004">
      <c r="B165" s="66">
        <v>150</v>
      </c>
      <c r="C165" s="29">
        <v>10</v>
      </c>
      <c r="D165" s="30" t="s">
        <v>42</v>
      </c>
      <c r="E165" s="27" t="s">
        <v>112</v>
      </c>
      <c r="F165" s="29" t="s">
        <v>350</v>
      </c>
      <c r="G165" s="29"/>
      <c r="H165" s="36">
        <f>I165/AJ165</f>
        <v>194187.70370162444</v>
      </c>
      <c r="I165" s="37">
        <f>SUM(J165:Q165)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4604474.7700469205</v>
      </c>
      <c r="J165" s="21">
        <f>S165*(1+IF($AK165+IF(입력란!$C$9=1,10,0)+IF(입력란!$C$26=1,10,0)&gt;100,100,$AK165+IF(입력란!$C$9=1,10,0)+IF(입력란!$C$26=1,10,0))/100*(($AL165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65" s="21">
        <f>T165*(1+IF($AK165+IF(입력란!$C$26=1,10,0)+IF(입력란!$C$9=1,10,0)&gt;100,100,$AK165+IF(입력란!$C$26=1,10,0)+IF(입력란!$C$9=1,10,0))/100*(($AL165+IF(입력란!$C$30=1,IF(OR(입력란!$C$9=1,입력란!$C$10=1),55,17),IF(입력란!$C$30=2,IF(OR(입력란!$C$9=1,입력란!$C$10=1),60,20),IF(입력란!$C$30=3,IF(OR(입력란!$C$9=1,입력란!$C$10=1),65,22),0))))/100-1))</f>
        <v>606451.42106019717</v>
      </c>
      <c r="L165" s="21"/>
      <c r="M165" s="21"/>
      <c r="N165" s="21"/>
      <c r="O165" s="21"/>
      <c r="P165" s="21"/>
      <c r="Q165" s="20">
        <f>Z165*(1+IF($AK165+IF(입력란!$C$26=1,10,0)&gt;100,100,$AK165+IF(입력란!$C$26=1,10,0))/100*(($AL165+IF(입력란!$C$30=1,17,IF(입력란!$C$30=2,20,IF(입력란!$C$30=3,22,0))))/100-1))</f>
        <v>332365.96106529096</v>
      </c>
      <c r="R165" s="19">
        <f>SUM(S165:Z165)</f>
        <v>1201581.1544243086</v>
      </c>
      <c r="S165" s="21">
        <f>AN165*IF(입력란!$C$12=0,1,IF(입력란!$C$12=1,1.35,IF(입력란!$C$12=2,1.55,IF(입력란!$C$12=3,1.75,1))))*IF(MID(E165,5,1)="1",트라이포드!$P$12,트라이포드!$O$12)*IF(MID(E165,5,1)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65" s="21">
        <f>AO165*IF(입력란!$C$12=0,1,IF(입력란!$C$12=1,1.35,IF(입력란!$C$12=2,1.55,IF(입력란!$C$12=3,1.75,1))))*IF(MID(E165,3,1)="1",1.3,1)*IF(MID(E165,3,1)="3",트라이포드!$N$12,트라이포드!$M$12)*IF(MID(E165,5,1)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220913.53581365969</v>
      </c>
      <c r="U165" s="21"/>
      <c r="V165" s="21"/>
      <c r="W165" s="21"/>
      <c r="X165" s="21"/>
      <c r="Y165" s="21"/>
      <c r="Z165" s="20">
        <f>AM165*IF(입력란!$C$12=0,1,IF(입력란!$C$12=1,1.35,IF(입력란!$C$12=2,1.55,IF(입력란!$C$12=3,1.75,1))))*IF(MID(E165,3,1)="1",트라이포드!$J$12,트라이포드!$I$12)*IF(입력란!$C$30=1,1.07,IF(입력란!$C$30=2,1.08,IF(입력란!$C$30=3,1.09,1)))</f>
        <v>134859.38778291244</v>
      </c>
      <c r="AA165" s="21">
        <f>SUM(AB165:AI165)</f>
        <v>2403162.3088486171</v>
      </c>
      <c r="AB165" s="21">
        <f>S165*2</f>
        <v>1691616.4616554729</v>
      </c>
      <c r="AC165" s="21">
        <f>T165*2</f>
        <v>441827.07162731938</v>
      </c>
      <c r="AD165" s="21"/>
      <c r="AE165" s="21"/>
      <c r="AF165" s="21"/>
      <c r="AG165" s="21"/>
      <c r="AH165" s="21"/>
      <c r="AI165" s="20">
        <f>Z165*2</f>
        <v>269718.77556582488</v>
      </c>
      <c r="AJ165" s="21">
        <f>AQ165*(1-입력란!$P$10/100)</f>
        <v>23.711464126079999</v>
      </c>
      <c r="AK1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5" s="21">
        <f>입력란!$P$24+입력란!$P$16+IF(입력란!$C$18=1,10,IF(입력란!$C$18=2,25,IF(입력란!$C$18=3,50,0)))+IF(입력란!$C$23&lt;&gt;0,-12)</f>
        <v>380.66103559999999</v>
      </c>
      <c r="AM165" s="21">
        <f>SUM(AN165:AP165)</f>
        <v>449531.29260970815</v>
      </c>
      <c r="AN165" s="21">
        <f>(VLOOKUP(C165,$B$4:$AJ$7,10,FALSE)+VLOOKUP(C165,$B$8:$AJ$11,10,FALSE)*입력란!$P$4)*입력란!$P$25/100</f>
        <v>287689.87443120289</v>
      </c>
      <c r="AO165" s="21">
        <f>(VLOOKUP(C165,$B$4:$AJ$7,11,FALSE)+VLOOKUP(C165,$B$8:$AJ$11,11,FALSE)*입력란!$P$4)*입력란!$P$25/100</f>
        <v>161841.41817850526</v>
      </c>
      <c r="AP165" s="21"/>
      <c r="AQ165" s="22">
        <v>24</v>
      </c>
    </row>
    <row r="166" spans="2:43" ht="13.5" customHeight="1" x14ac:dyDescent="0.55000000000000004">
      <c r="B166" s="66">
        <v>151</v>
      </c>
      <c r="C166" s="29">
        <v>10</v>
      </c>
      <c r="D166" s="30" t="s">
        <v>158</v>
      </c>
      <c r="E166" s="27" t="s">
        <v>166</v>
      </c>
      <c r="F166" s="29" t="s">
        <v>214</v>
      </c>
      <c r="G166" s="29"/>
      <c r="H166" s="36">
        <f>I166/AJ166</f>
        <v>176523.77675513679</v>
      </c>
      <c r="I166" s="37">
        <f>SUM(J166:Q166)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4185637.1999295801</v>
      </c>
      <c r="J166" s="21">
        <f>S166*(1+IF($AK166+IF(입력란!$C$9=1,10,0)+IF(입력란!$C$26=1,10,0)&gt;100,100,$AK166+IF(입력란!$C$9=1,10,0)+IF(입력란!$C$26=1,10,0))/100*(($AL166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66" s="21">
        <f>T166*(1+IF($AK166+IF(입력란!$C$26=1,10,0)+IF(입력란!$C$9=1,10,0)&gt;100,100,$AK166+IF(입력란!$C$26=1,10,0)+IF(입력란!$C$9=1,10,0))/100*(($AL166+IF(입력란!$C$30=1,IF(OR(입력란!$C$9=1,입력란!$C$10=1),55,17),IF(입력란!$C$30=2,IF(OR(입력란!$C$9=1,입력란!$C$10=1),60,20),IF(입력란!$C$30=3,IF(OR(입력란!$C$9=1,입력란!$C$10=1),65,22),0))))/100-1))</f>
        <v>1212902.8421203943</v>
      </c>
      <c r="L166" s="21"/>
      <c r="M166" s="21"/>
      <c r="N166" s="21"/>
      <c r="O166" s="21"/>
      <c r="P166" s="21"/>
      <c r="Q166" s="20">
        <f>Z166*(1+IF($AK166+IF(입력란!$C$26=1,10,0)&gt;100,100,$AK166+IF(입력란!$C$26=1,10,0))/100*(($AL166+IF(입력란!$C$30=1,17,IF(입력란!$C$30=2,20,IF(입력란!$C$30=3,22,0))))/100-1))</f>
        <v>332365.96106529096</v>
      </c>
      <c r="R166" s="19">
        <f>SUM(S166:Z166)</f>
        <v>1093535.7033196094</v>
      </c>
      <c r="S166" s="21">
        <f>AN166*IF(입력란!$C$12=0,1,IF(입력란!$C$12=1,1.35,IF(입력란!$C$12=2,1.55,IF(입력란!$C$12=3,1.75,1))))*IF(MID(E166,5,1)="1",트라이포드!$P$12,트라이포드!$O$12)*IF(MID(E166,5,1)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66" s="21">
        <f>AO166*IF(입력란!$C$12=0,1,IF(입력란!$C$12=1,1.35,IF(입력란!$C$12=2,1.55,IF(입력란!$C$12=3,1.75,1))))*IF(MID(E166,3,1)="1",1.3,1)*IF(MID(E166,3,1)="3",트라이포드!$N$12,트라이포드!$M$12)*IF(MID(E166,5,1)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441827.07162731938</v>
      </c>
      <c r="U166" s="21"/>
      <c r="V166" s="21"/>
      <c r="W166" s="21"/>
      <c r="X166" s="21"/>
      <c r="Y166" s="21"/>
      <c r="Z166" s="20">
        <f>AM166*IF(입력란!$C$12=0,1,IF(입력란!$C$12=1,1.35,IF(입력란!$C$12=2,1.55,IF(입력란!$C$12=3,1.75,1))))*IF(MID(E166,3,1)="1",트라이포드!$J$12,트라이포드!$I$12)*IF(입력란!$C$30=1,1.07,IF(입력란!$C$30=2,1.08,IF(입력란!$C$30=3,1.09,1)))</f>
        <v>134859.38778291244</v>
      </c>
      <c r="AA166" s="21">
        <f>SUM(AB166:AI166)</f>
        <v>2187071.4066392188</v>
      </c>
      <c r="AB166" s="21">
        <f>S166*2</f>
        <v>1033698.4878187551</v>
      </c>
      <c r="AC166" s="21">
        <f>T166*2</f>
        <v>883654.14325463877</v>
      </c>
      <c r="AD166" s="21"/>
      <c r="AE166" s="21"/>
      <c r="AF166" s="21"/>
      <c r="AG166" s="21"/>
      <c r="AH166" s="21"/>
      <c r="AI166" s="20">
        <f>Z166*2</f>
        <v>269718.77556582488</v>
      </c>
      <c r="AJ166" s="21">
        <f>AQ166*(1-입력란!$P$10/100)</f>
        <v>23.711464126079999</v>
      </c>
      <c r="AK1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6" s="21">
        <f>입력란!$P$24+입력란!$P$16+IF(입력란!$C$18=1,10,IF(입력란!$C$18=2,25,IF(입력란!$C$18=3,50,0)))+IF(입력란!$C$23&lt;&gt;0,-12)</f>
        <v>380.66103559999999</v>
      </c>
      <c r="AM166" s="21">
        <f>SUM(AN166:AP166)</f>
        <v>449531.29260970815</v>
      </c>
      <c r="AN166" s="21">
        <f>(VLOOKUP(C166,$B$4:$AJ$7,10,FALSE)+VLOOKUP(C166,$B$8:$AJ$11,10,FALSE)*입력란!$P$4)*입력란!$P$25/100</f>
        <v>287689.87443120289</v>
      </c>
      <c r="AO166" s="21">
        <f>(VLOOKUP(C166,$B$4:$AJ$7,11,FALSE)+VLOOKUP(C166,$B$8:$AJ$11,11,FALSE)*입력란!$P$4)*입력란!$P$25/100</f>
        <v>161841.41817850526</v>
      </c>
      <c r="AP166" s="21"/>
      <c r="AQ166" s="22">
        <v>24</v>
      </c>
    </row>
    <row r="167" spans="2:43" ht="13.5" customHeight="1" x14ac:dyDescent="0.55000000000000004">
      <c r="B167" s="66">
        <v>152</v>
      </c>
      <c r="C167" s="29">
        <v>10</v>
      </c>
      <c r="D167" s="30" t="s">
        <v>158</v>
      </c>
      <c r="E167" s="27" t="s">
        <v>109</v>
      </c>
      <c r="F167" s="29"/>
      <c r="G167" s="29"/>
      <c r="H167" s="36">
        <f>I167/AJ167</f>
        <v>104948.47242086199</v>
      </c>
      <c r="I167" s="37">
        <f>SUM(J167:Q167)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2488481.9388941652</v>
      </c>
      <c r="J167" s="21">
        <f>S167*(1+IF($AK167+IF(입력란!$C$9=1,10,0)+IF(입력란!$C$26=1,10,0)&gt;100,100,$AK167+IF(입력란!$C$9=1,10,0)+IF(입력란!$C$26=1,10,0))/100*(($AL167+IF(입력란!$C$30=1,IF(OR(입력란!$C$9=1,입력란!$C$10=1),55,17),IF(입력란!$C$30=2,IF(OR(입력란!$C$9=1,입력란!$C$10=1),60,20),IF(입력란!$C$30=3,IF(OR(입력란!$C$9=1,입력란!$C$10=1),65,22),0))))/100-1))</f>
        <v>829253.98462965968</v>
      </c>
      <c r="K167" s="21">
        <f>T167*(1+IF($AK167+IF(입력란!$C$26=1,10,0)+IF(입력란!$C$9=1,10,0)&gt;100,100,$AK167+IF(입력란!$C$26=1,10,0)+IF(입력란!$C$9=1,10,0))/100*(($AL167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67" s="21"/>
      <c r="M167" s="21"/>
      <c r="N167" s="21"/>
      <c r="O167" s="21"/>
      <c r="P167" s="21"/>
      <c r="Q167" s="20">
        <f>Z167*(1+IF($AK167+IF(입력란!$C$26=1,10,0)&gt;100,100,$AK167+IF(입력란!$C$26=1,10,0))/100*(($AL167+IF(입력란!$C$30=1,17,IF(입력란!$C$30=2,20,IF(입력란!$C$30=3,22,0))))/100-1))</f>
        <v>0</v>
      </c>
      <c r="R167" s="19">
        <f>SUM(S167:Z167)</f>
        <v>641941.34632762405</v>
      </c>
      <c r="S167" s="21">
        <f>AN167*IF(입력란!$C$12=0,1,IF(입력란!$C$12=1,1.35,IF(입력란!$C$12=2,1.55,IF(입력란!$C$12=3,1.75,1))))*IF(MID(E167,5,1)="1",트라이포드!$P$12,트라이포드!$O$12)*IF(MID(E167,5,1)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302074.36815276305</v>
      </c>
      <c r="T167" s="21">
        <f>AO167*IF(입력란!$C$12=0,1,IF(입력란!$C$12=1,1.35,IF(입력란!$C$12=2,1.55,IF(입력란!$C$12=3,1.75,1))))*IF(MID(E167,3,1)="1",1.3,1)*IF(MID(E167,3,1)="3",트라이포드!$N$12,트라이포드!$M$12)*IF(MID(E167,5,1)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67" s="21"/>
      <c r="V167" s="21"/>
      <c r="W167" s="21"/>
      <c r="X167" s="21"/>
      <c r="Y167" s="21"/>
      <c r="Z167" s="20">
        <f>AM167*IF(입력란!$C$12=0,1,IF(입력란!$C$12=1,1.35,IF(입력란!$C$12=2,1.55,IF(입력란!$C$12=3,1.75,1))))*IF(MID(E167,3,1)="1",트라이포드!$J$12,트라이포드!$I$12)*IF(입력란!$C$30=1,1.07,IF(입력란!$C$30=2,1.08,IF(입력란!$C$30=3,1.09,1)))</f>
        <v>0</v>
      </c>
      <c r="AA167" s="21">
        <f>SUM(AB167:AI167)</f>
        <v>1283882.6926552481</v>
      </c>
      <c r="AB167" s="21">
        <f>S167*2</f>
        <v>604148.73630552611</v>
      </c>
      <c r="AC167" s="21">
        <f>T167*2</f>
        <v>679733.95634972211</v>
      </c>
      <c r="AD167" s="21"/>
      <c r="AE167" s="21"/>
      <c r="AF167" s="21"/>
      <c r="AG167" s="21"/>
      <c r="AH167" s="21"/>
      <c r="AI167" s="20">
        <f>Z167*2</f>
        <v>0</v>
      </c>
      <c r="AJ167" s="21">
        <f>AQ167*(1-입력란!$P$10/100)</f>
        <v>23.711464126079999</v>
      </c>
      <c r="AK1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7" s="21">
        <f>입력란!$P$24+입력란!$P$16+IF(입력란!$C$18=1,10,IF(입력란!$C$18=2,25,IF(입력란!$C$18=3,50,0)))+IF(입력란!$C$23&lt;&gt;0,-12)</f>
        <v>380.66103559999999</v>
      </c>
      <c r="AM167" s="21">
        <f>SUM(AN167:AP167)</f>
        <v>449531.29260970815</v>
      </c>
      <c r="AN167" s="21">
        <f>(VLOOKUP(C167,$B$4:$AJ$7,10,FALSE)+VLOOKUP(C167,$B$8:$AJ$11,10,FALSE)*입력란!$P$4)*입력란!$P$25/100</f>
        <v>287689.87443120289</v>
      </c>
      <c r="AO167" s="21">
        <f>(VLOOKUP(C167,$B$4:$AJ$7,11,FALSE)+VLOOKUP(C167,$B$8:$AJ$11,11,FALSE)*입력란!$P$4)*입력란!$P$25/100</f>
        <v>161841.41817850526</v>
      </c>
      <c r="AP167" s="21"/>
      <c r="AQ167" s="22">
        <v>24</v>
      </c>
    </row>
    <row r="168" spans="2:43" ht="13.5" customHeight="1" x14ac:dyDescent="0.55000000000000004">
      <c r="B168" s="66">
        <v>153</v>
      </c>
      <c r="C168" s="29">
        <v>10</v>
      </c>
      <c r="D168" s="30" t="s">
        <v>42</v>
      </c>
      <c r="E168" s="27" t="s">
        <v>116</v>
      </c>
      <c r="F168" s="29" t="s">
        <v>409</v>
      </c>
      <c r="G168" s="29"/>
      <c r="H168" s="36">
        <f>I168/AJ168</f>
        <v>193841.3886003251</v>
      </c>
      <c r="I168" s="37">
        <f>SUM(J168:Q168)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4596263.1319461409</v>
      </c>
      <c r="J168" s="21">
        <f>S168*(1+IF($AK168+IF(입력란!$C$9=1,10,0)+IF(입력란!$C$26=1,10,0)&gt;100,100,$AK168+IF(입력란!$C$9=1,10,0)+IF(입력란!$C$26=1,10,0))/100*(($AL168+IF(입력란!$C$30=1,IF(OR(입력란!$C$9=1,입력란!$C$10=1),55,17),IF(입력란!$C$30=2,IF(OR(입력란!$C$9=1,입력란!$C$10=1),60,20),IF(입력란!$C$30=3,IF(OR(입력란!$C$9=1,입력란!$C$10=1),65,22),0))))/100-1))</f>
        <v>2321911.1569630466</v>
      </c>
      <c r="K168" s="21">
        <f>T168*(1+IF($AK168+IF(입력란!$C$26=1,10,0)+IF(입력란!$C$9=1,10,0)&gt;100,100,$AK168+IF(입력란!$C$26=1,10,0)+IF(입력란!$C$9=1,10,0))/100*(($AL168+IF(입력란!$C$30=1,IF(OR(입력란!$C$9=1,입력란!$C$10=1),55,17),IF(입력란!$C$30=2,IF(OR(입력란!$C$9=1,입력란!$C$10=1),60,20),IF(입력란!$C$30=3,IF(OR(입력란!$C$9=1,입력란!$C$10=1),65,22),0))))/100-1))</f>
        <v>933002.18624645716</v>
      </c>
      <c r="L168" s="21"/>
      <c r="M168" s="21"/>
      <c r="N168" s="21"/>
      <c r="O168" s="21"/>
      <c r="P168" s="21"/>
      <c r="Q168" s="20">
        <f>Z168*(1+IF($AK168+IF(입력란!$C$26=1,10,0)&gt;100,100,$AK168+IF(입력란!$C$26=1,10,0))/100*(($AL168+IF(입력란!$C$30=1,17,IF(입력란!$C$30=2,20,IF(입력란!$C$30=3,22,0))))/100-1))</f>
        <v>0</v>
      </c>
      <c r="R168" s="19">
        <f>SUM(S168:Z168)</f>
        <v>1185675.2090025975</v>
      </c>
      <c r="S168" s="21">
        <f>AN168*IF(입력란!$C$12=0,1,IF(입력란!$C$12=1,1.35,IF(입력란!$C$12=2,1.55,IF(입력란!$C$12=3,1.75,1))))*IF(MID(E168,5,1)="1",트라이포드!$P$12,트라이포드!$O$12)*IF(MID(E168,5,1)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845808.23082773644</v>
      </c>
      <c r="T168" s="21">
        <f>AO168*IF(입력란!$C$12=0,1,IF(입력란!$C$12=1,1.35,IF(입력란!$C$12=2,1.55,IF(입력란!$C$12=3,1.75,1))))*IF(MID(E168,3,1)="1",1.3,1)*IF(MID(E168,3,1)="3",트라이포드!$N$12,트라이포드!$M$12)*IF(MID(E168,5,1)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339866.97817486105</v>
      </c>
      <c r="U168" s="21"/>
      <c r="V168" s="21"/>
      <c r="W168" s="21"/>
      <c r="X168" s="21"/>
      <c r="Y168" s="21"/>
      <c r="Z168" s="20">
        <f>AM168*IF(입력란!$C$12=0,1,IF(입력란!$C$12=1,1.35,IF(입력란!$C$12=2,1.55,IF(입력란!$C$12=3,1.75,1))))*IF(MID(E168,3,1)="1",트라이포드!$J$12,트라이포드!$I$12)*IF(입력란!$C$30=1,1.07,IF(입력란!$C$30=2,1.08,IF(입력란!$C$30=3,1.09,1)))</f>
        <v>0</v>
      </c>
      <c r="AA168" s="21">
        <f>SUM(AB168:AI168)</f>
        <v>2371350.418005195</v>
      </c>
      <c r="AB168" s="21">
        <f>S168*2</f>
        <v>1691616.4616554729</v>
      </c>
      <c r="AC168" s="21">
        <f>T168*2</f>
        <v>679733.95634972211</v>
      </c>
      <c r="AD168" s="21"/>
      <c r="AE168" s="21"/>
      <c r="AF168" s="21"/>
      <c r="AG168" s="21"/>
      <c r="AH168" s="21"/>
      <c r="AI168" s="20">
        <f>Z168*2</f>
        <v>0</v>
      </c>
      <c r="AJ168" s="21">
        <f>AQ168*(1-입력란!$P$10/100)</f>
        <v>23.711464126079999</v>
      </c>
      <c r="AK1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8" s="21">
        <f>입력란!$P$24+입력란!$P$16+IF(입력란!$C$18=1,10,IF(입력란!$C$18=2,25,IF(입력란!$C$18=3,50,0)))+IF(입력란!$C$23&lt;&gt;0,-12)</f>
        <v>380.66103559999999</v>
      </c>
      <c r="AM168" s="21">
        <f>SUM(AN168:AP168)</f>
        <v>449531.29260970815</v>
      </c>
      <c r="AN168" s="21">
        <f>(VLOOKUP(C168,$B$4:$AJ$7,10,FALSE)+VLOOKUP(C168,$B$8:$AJ$11,10,FALSE)*입력란!$P$4)*입력란!$P$25/100</f>
        <v>287689.87443120289</v>
      </c>
      <c r="AO168" s="21">
        <f>(VLOOKUP(C168,$B$4:$AJ$7,11,FALSE)+VLOOKUP(C168,$B$8:$AJ$11,11,FALSE)*입력란!$P$4)*입력란!$P$25/100</f>
        <v>161841.41817850526</v>
      </c>
      <c r="AP168" s="21"/>
      <c r="AQ168" s="22">
        <v>24</v>
      </c>
    </row>
    <row r="169" spans="2:43" ht="13.5" customHeight="1" x14ac:dyDescent="0.55000000000000004">
      <c r="B169" s="66">
        <v>154</v>
      </c>
      <c r="C169" s="29">
        <v>10</v>
      </c>
      <c r="D169" s="30" t="s">
        <v>158</v>
      </c>
      <c r="E169" s="27" t="s">
        <v>117</v>
      </c>
      <c r="F169" s="29"/>
      <c r="G169" s="29"/>
      <c r="H169" s="36">
        <f>I169/AJ169</f>
        <v>195624.69329957681</v>
      </c>
      <c r="I169" s="37">
        <f>SUM(J169:Q169)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4638547.8973483182</v>
      </c>
      <c r="J169" s="21">
        <f>S169*(1+IF($AK169+IF(입력란!$C$9=1,10,0)+IF(입력란!$C$26=1,10,0)&gt;100,100,$AK169+IF(입력란!$C$9=1,10,0)+IF(입력란!$C$26=1,10,0))/100*(($AL169+IF(입력란!$C$30=1,IF(OR(입력란!$C$9=1,입력란!$C$10=1),55,17),IF(입력란!$C$30=2,IF(OR(입력란!$C$9=1,입력란!$C$10=1),60,20),IF(입력란!$C$30=3,IF(OR(입력란!$C$9=1,입력란!$C$10=1),65,22),0))))/100-1))</f>
        <v>1418853.5677013476</v>
      </c>
      <c r="K169" s="21">
        <f>T169*(1+IF($AK169+IF(입력란!$C$26=1,10,0)+IF(입력란!$C$9=1,10,0)&gt;100,100,$AK169+IF(입력란!$C$26=1,10,0)+IF(입력란!$C$9=1,10,0))/100*(($AL169+IF(입력란!$C$30=1,IF(OR(입력란!$C$9=1,입력란!$C$10=1),55,17),IF(입력란!$C$30=2,IF(OR(입력란!$C$9=1,입력란!$C$10=1),60,20),IF(입력란!$C$30=3,IF(OR(입력란!$C$9=1,입력란!$C$10=1),65,22),0))))/100-1))</f>
        <v>1866004.3724929143</v>
      </c>
      <c r="L169" s="21"/>
      <c r="M169" s="21"/>
      <c r="N169" s="21"/>
      <c r="O169" s="21"/>
      <c r="P169" s="21"/>
      <c r="Q169" s="20">
        <f>Z169*(1+IF($AK169+IF(입력란!$C$26=1,10,0)&gt;100,100,$AK169+IF(입력란!$C$26=1,10,0))/100*(($AL169+IF(입력란!$C$30=1,17,IF(입력란!$C$30=2,20,IF(입력란!$C$30=3,22,0))))/100-1))</f>
        <v>0</v>
      </c>
      <c r="R169" s="19">
        <f>SUM(S169:Z169)</f>
        <v>1196583.2002590997</v>
      </c>
      <c r="S169" s="21">
        <f>AN169*IF(입력란!$C$12=0,1,IF(입력란!$C$12=1,1.35,IF(입력란!$C$12=2,1.55,IF(입력란!$C$12=3,1.75,1))))*IF(MID(E169,5,1)="1",트라이포드!$P$12,트라이포드!$O$12)*IF(MID(E169,5,1)="2",트라이포드!$Q$12*트라이포드!$R$12,1)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516849.24390937755</v>
      </c>
      <c r="T169" s="21">
        <f>AO169*IF(입력란!$C$12=0,1,IF(입력란!$C$12=1,1.35,IF(입력란!$C$12=2,1.55,IF(입력란!$C$12=3,1.75,1))))*IF(MID(E169,3,1)="1",1.3,1)*IF(MID(E169,3,1)="3",트라이포드!$N$12,트라이포드!$M$12)*IF(MID(E169,5,1)="2",2,1)*IF(입력란!$C$9=1,IF(입력란!$C$15=0,1.05,IF(입력란!$C$15=1,1.05*1.05,IF(입력란!$C$15=2,1.05*1.12,IF(입력란!$C$15=3,1.05*1.25)))),1)*IF(입력란!$C$30=1,IF(OR(입력란!$C$9=1,입력란!$C$10=1),1.21,1.07),IF(입력란!$C$30=2,IF(OR(입력란!$C$9=1,입력란!$C$10=1),1.24,1.08),IF(입력란!$C$30=3,IF(OR(입력란!$C$9=1,입력란!$C$10=1),1.26,1.09),1)))</f>
        <v>679733.95634972211</v>
      </c>
      <c r="U169" s="21"/>
      <c r="V169" s="21"/>
      <c r="W169" s="21"/>
      <c r="X169" s="21"/>
      <c r="Y169" s="21"/>
      <c r="Z169" s="20">
        <f>AM169*IF(입력란!$C$12=0,1,IF(입력란!$C$12=1,1.35,IF(입력란!$C$12=2,1.55,IF(입력란!$C$12=3,1.75,1))))*IF(MID(E169,3,1)="1",트라이포드!$J$12,트라이포드!$I$12)*IF(입력란!$C$30=1,1.07,IF(입력란!$C$30=2,1.08,IF(입력란!$C$30=3,1.09,1)))</f>
        <v>0</v>
      </c>
      <c r="AA169" s="21">
        <f>SUM(AB169:AI169)</f>
        <v>2393166.4005181994</v>
      </c>
      <c r="AB169" s="21">
        <f>S169*2</f>
        <v>1033698.4878187551</v>
      </c>
      <c r="AC169" s="21">
        <f>T169*2</f>
        <v>1359467.9126994442</v>
      </c>
      <c r="AD169" s="21"/>
      <c r="AE169" s="21"/>
      <c r="AF169" s="21"/>
      <c r="AG169" s="21"/>
      <c r="AH169" s="21"/>
      <c r="AI169" s="20">
        <f>Z169*2</f>
        <v>0</v>
      </c>
      <c r="AJ169" s="21">
        <f>AQ169*(1-입력란!$P$10/100)</f>
        <v>23.711464126079999</v>
      </c>
      <c r="AK1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69" s="21">
        <f>입력란!$P$24+입력란!$P$16+IF(입력란!$C$18=1,10,IF(입력란!$C$18=2,25,IF(입력란!$C$18=3,50,0)))+IF(입력란!$C$23&lt;&gt;0,-12)</f>
        <v>380.66103559999999</v>
      </c>
      <c r="AM169" s="21">
        <f>SUM(AN169:AP169)</f>
        <v>449531.29260970815</v>
      </c>
      <c r="AN169" s="21">
        <f>(VLOOKUP(C169,$B$4:$AJ$7,10,FALSE)+VLOOKUP(C169,$B$8:$AJ$11,10,FALSE)*입력란!$P$4)*입력란!$P$25/100</f>
        <v>287689.87443120289</v>
      </c>
      <c r="AO169" s="21">
        <f>(VLOOKUP(C169,$B$4:$AJ$7,11,FALSE)+VLOOKUP(C169,$B$8:$AJ$11,11,FALSE)*입력란!$P$4)*입력란!$P$25/100</f>
        <v>161841.41817850526</v>
      </c>
      <c r="AP169" s="21"/>
      <c r="AQ169" s="22">
        <v>24</v>
      </c>
    </row>
    <row r="170" spans="2:43" ht="13.5" customHeight="1" x14ac:dyDescent="0.55000000000000004">
      <c r="B170" s="66">
        <v>155</v>
      </c>
      <c r="C170" s="29">
        <v>1</v>
      </c>
      <c r="D170" s="30" t="s">
        <v>167</v>
      </c>
      <c r="E170" s="27" t="s">
        <v>94</v>
      </c>
      <c r="F170" s="29"/>
      <c r="G170" s="29"/>
      <c r="H170" s="36">
        <f>I170/AJ170</f>
        <v>61862.018015014386</v>
      </c>
      <c r="I170" s="37">
        <f>SUM(J170:Q170)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366709.75523248204</v>
      </c>
      <c r="J170" s="21">
        <f>S170*(1+IF($AK170+IF(입력란!$C$9=1,10,0)+IF(입력란!$C$26=1,10,0)+IF(MID(E170,1,1)="3",트라이포드!$H$13,0)&gt;100,100,$AK170+IF(입력란!$C$9=1,10,0)+IF(입력란!$C$26=1,10,0)+IF(MID(E170,1,1)="3",트라이포드!$H$13,0))/100*(($AL170+IF(입력란!$C$30=1,IF(OR(입력란!$C$9=1,입력란!$C$10=1),55,17),IF(입력란!$C$30=2,IF(OR(입력란!$C$9=1,입력란!$C$10=1),60,20),IF(입력란!$C$30=3,IF(OR(입력란!$C$9=1,입력란!$C$10=1),65,22),0))))/100-1))</f>
        <v>129845.53333067134</v>
      </c>
      <c r="K170" s="21">
        <f>T170*(1+IF($AK170+IF(입력란!$C$9=1,10,0)+IF(입력란!$C$26=1,10,0)+IF(MID(E170,1,1)="3",트라이포드!H$13,0)&gt;100,100,$AK170+IF(입력란!$C$9=1,10,0)+IF(입력란!$C$26=1,10,0)+IF(MID(E170,1,1)="3",트라이포드!H$13,0))/100*(($AL170+IF(입력란!$C$30=1,IF(OR(입력란!$C$9=1,입력란!$C$10=1),55,17),IF(입력란!$C$30=2,IF(OR(입력란!$C$9=1,입력란!$C$10=1),60,20),IF(입력란!$C$30=3,IF(OR(입력란!$C$9=1,입력란!$C$10=1),65,22),0))))/100-1))</f>
        <v>129845.53333067134</v>
      </c>
      <c r="L170" s="21">
        <f>U170*(1+IF($AK170+IF(입력란!$C$9=1,10,0)+IF(입력란!$C$26=1,10,0)+IF(MID(E170,1,1)="3",트라이포드!H$13,0)&gt;100,100,$AK170+IF(입력란!$C$9=1,10,0)+IF(입력란!$C$26=1,10,0)+IF(MID(E170,1,1)="3",트라이포드!H$13,0))/100*(($AL170+IF(입력란!$C$30=1,IF(OR(입력란!$C$9=1,입력란!$C$10=1),55,17),IF(입력란!$C$30=2,IF(OR(입력란!$C$9=1,입력란!$C$10=1),60,20),IF(입력란!$C$30=3,IF(OR(입력란!$C$9=1,입력란!$C$10=1),65,22),0))))/100-1))</f>
        <v>0</v>
      </c>
      <c r="M170" s="21"/>
      <c r="N170" s="21"/>
      <c r="O170" s="21"/>
      <c r="P170" s="21"/>
      <c r="Q170" s="20"/>
      <c r="R170" s="19">
        <f>SUM(S170:Z170)</f>
        <v>94598.297181141344</v>
      </c>
      <c r="S170" s="21">
        <f>AN170*IF(입력란!$C$12=0,1,IF(입력란!$C$12=1,1.35,IF(입력란!$C$12=2,1.55,IF(입력란!$C$12=3,1.75,1))))*IF(MID(E170,3,1)="1",트라이포드!$J$13,트라이포드!$I$13)*IF(MID(E170,5,1)="2",트라이포드!$R$13,트라이포드!$Q$13)*IF(입력란!$C$9=1,IF(입력란!$C$15=0,1.05,IF(입력란!$C$15=1,1.05*1.05,IF(입력란!$C$15=2,1.05*1.12,IF(입력란!$C$15=3,1.05*1.25)))),1)</f>
        <v>47299.148590570672</v>
      </c>
      <c r="T170" s="21">
        <f>AN170*IF(입력란!$C$12=0,1,IF(입력란!$C$12=1,1.35,IF(입력란!$C$12=2,1.55,IF(입력란!$C$12=3,1.75,1))))*IF(MID(E170,3,1)="1",트라이포드!$J$13,트라이포드!$I$13)*IF(MID(E170,5,1)="2",트라이포드!$R$13,트라이포드!$Q$13)*IF(입력란!$C$9=1,IF(입력란!$C$15=0,1.05,IF(입력란!$C$15=1,1.05*1.05,IF(입력란!$C$15=2,1.05*1.12,IF(입력란!$C$15=3,1.05*1.25)))),1)</f>
        <v>47299.148590570672</v>
      </c>
      <c r="U170" s="21">
        <f>AN170*IF(입력란!$C$12=0,1,IF(입력란!$C$12=1,1.35,IF(입력란!$C$12=2,1.55,IF(입력란!$C$12=3,1.75,1))))*IF(MID(E170,3,1)="1",트라이포드!$J$13,트라이포드!$I$13)*IF(MID(E170,5,1)="1",1,0)*IF(입력란!$C$9=1,IF(입력란!$C$15=0,1.05,IF(입력란!$C$15=1,1.05*1.05,IF(입력란!$C$15=2,1.05*1.12,IF(입력란!$C$15=3,1.05*1.25)))),1)</f>
        <v>0</v>
      </c>
      <c r="V170" s="21"/>
      <c r="W170" s="21"/>
      <c r="X170" s="21"/>
      <c r="Y170" s="21"/>
      <c r="Z170" s="20"/>
      <c r="AA170" s="21">
        <f>SUM(AB170:AI170)</f>
        <v>189196.59436228269</v>
      </c>
      <c r="AB170" s="21">
        <f>S170*2</f>
        <v>94598.297181141344</v>
      </c>
      <c r="AC170" s="21">
        <f>T170*2</f>
        <v>94598.297181141344</v>
      </c>
      <c r="AD170" s="21">
        <f>U170*2</f>
        <v>0</v>
      </c>
      <c r="AE170" s="21"/>
      <c r="AF170" s="21"/>
      <c r="AG170" s="21"/>
      <c r="AH170" s="21"/>
      <c r="AI170" s="20"/>
      <c r="AJ170" s="21">
        <f>AQ170*(1-입력란!$P$10/100)</f>
        <v>5.9278660315199998</v>
      </c>
      <c r="AK1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0" s="21">
        <f>입력란!$P$24+입력란!$P$16+IF(입력란!$C$18=1,10,IF(입력란!$C$18=2,25,IF(입력란!$C$18=3,50,0)))+IF(입력란!$C$23&lt;&gt;0,-12)</f>
        <v>380.66103559999999</v>
      </c>
      <c r="AM170" s="21">
        <f>SUM(AN170:AP170)</f>
        <v>45046.808181495879</v>
      </c>
      <c r="AN170" s="21">
        <f>(VLOOKUP(C170,$B$4:$AJ$7,12,FALSE)+VLOOKUP(C170,$B$8:$AJ$11,12,FALSE)*입력란!$P$4)*입력란!$P$25/100</f>
        <v>45046.808181495879</v>
      </c>
      <c r="AO170" s="21"/>
      <c r="AP170" s="21"/>
      <c r="AQ170" s="22">
        <v>6</v>
      </c>
    </row>
    <row r="171" spans="2:43" ht="13.5" customHeight="1" x14ac:dyDescent="0.55000000000000004">
      <c r="B171" s="66">
        <v>156</v>
      </c>
      <c r="C171" s="29">
        <v>4</v>
      </c>
      <c r="D171" s="30" t="s">
        <v>167</v>
      </c>
      <c r="E171" s="27" t="s">
        <v>94</v>
      </c>
      <c r="F171" s="29"/>
      <c r="G171" s="29"/>
      <c r="H171" s="36">
        <f>I171/AJ171</f>
        <v>61943.865684639277</v>
      </c>
      <c r="I171" s="37">
        <f>SUM(J171:Q171)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367194.93725301052</v>
      </c>
      <c r="J171" s="21">
        <f>S171*(1+IF($AK171+IF(입력란!$C$9=1,10,0)+IF(입력란!$C$26=1,10,0)+IF(MID(E171,1,1)="3",트라이포드!$H$13,0)&gt;100,100,$AK171+IF(입력란!$C$9=1,10,0)+IF(입력란!$C$26=1,10,0)+IF(MID(E171,1,1)="3",트라이포드!$H$13,0))/100*(($AL171+IF(입력란!$C$30=1,IF(OR(입력란!$C$9=1,입력란!$C$10=1),55,17),IF(입력란!$C$30=2,IF(OR(입력란!$C$9=1,입력란!$C$10=1),60,20),IF(입력란!$C$30=3,IF(OR(입력란!$C$9=1,입력란!$C$10=1),65,22),0))))/100-1))</f>
        <v>130017.32782841529</v>
      </c>
      <c r="K171" s="21">
        <f>T171*(1+IF($AK171+IF(입력란!$C$9=1,10,0)+IF(입력란!$C$26=1,10,0)+IF(MID(E171,1,1)="3",트라이포드!H$13,0)&gt;100,100,$AK171+IF(입력란!$C$9=1,10,0)+IF(입력란!$C$26=1,10,0)+IF(MID(E171,1,1)="3",트라이포드!H$13,0))/100*(($AL171+IF(입력란!$C$30=1,IF(OR(입력란!$C$9=1,입력란!$C$10=1),55,17),IF(입력란!$C$30=2,IF(OR(입력란!$C$9=1,입력란!$C$10=1),60,20),IF(입력란!$C$30=3,IF(OR(입력란!$C$9=1,입력란!$C$10=1),65,22),0))))/100-1))</f>
        <v>130017.32782841529</v>
      </c>
      <c r="L171" s="21">
        <f>U171*(1+IF($AK171+IF(입력란!$C$9=1,10,0)+IF(입력란!$C$26=1,10,0)+IF(MID(E171,1,1)="3",트라이포드!H$13,0)&gt;100,100,$AK171+IF(입력란!$C$9=1,10,0)+IF(입력란!$C$26=1,10,0)+IF(MID(E171,1,1)="3",트라이포드!H$13,0))/100*(($AL171+IF(입력란!$C$30=1,IF(OR(입력란!$C$9=1,입력란!$C$10=1),55,17),IF(입력란!$C$30=2,IF(OR(입력란!$C$9=1,입력란!$C$10=1),60,20),IF(입력란!$C$30=3,IF(OR(입력란!$C$9=1,입력란!$C$10=1),65,22),0))))/100-1))</f>
        <v>0</v>
      </c>
      <c r="M171" s="21"/>
      <c r="N171" s="21"/>
      <c r="O171" s="21"/>
      <c r="P171" s="21"/>
      <c r="Q171" s="20"/>
      <c r="R171" s="19">
        <f>SUM(S171:Z171)</f>
        <v>94723.457181141348</v>
      </c>
      <c r="S171" s="21">
        <f>AN171*IF(입력란!$C$12=0,1,IF(입력란!$C$12=1,1.35,IF(입력란!$C$12=2,1.55,IF(입력란!$C$12=3,1.75,1))))*IF(MID(E171,3,1)="1",트라이포드!$J$13,트라이포드!$I$13)*IF(MID(E171,5,1)="2",트라이포드!$R$13,트라이포드!$Q$13)*IF(입력란!$C$9=1,IF(입력란!$C$15=0,1.05,IF(입력란!$C$15=1,1.05*1.05,IF(입력란!$C$15=2,1.05*1.12,IF(입력란!$C$15=3,1.05*1.25)))),1)</f>
        <v>47361.728590570674</v>
      </c>
      <c r="T171" s="21">
        <f>AN171*IF(입력란!$C$12=0,1,IF(입력란!$C$12=1,1.35,IF(입력란!$C$12=2,1.55,IF(입력란!$C$12=3,1.75,1))))*IF(MID(E171,3,1)="1",트라이포드!$J$13,트라이포드!$I$13)*IF(MID(E171,5,1)="2",트라이포드!$R$13,트라이포드!$Q$13)*IF(입력란!$C$9=1,IF(입력란!$C$15=0,1.05,IF(입력란!$C$15=1,1.05*1.05,IF(입력란!$C$15=2,1.05*1.12,IF(입력란!$C$15=3,1.05*1.25)))),1)</f>
        <v>47361.728590570674</v>
      </c>
      <c r="U171" s="21">
        <f>AN171*IF(입력란!$C$12=0,1,IF(입력란!$C$12=1,1.35,IF(입력란!$C$12=2,1.55,IF(입력란!$C$12=3,1.75,1))))*IF(MID(E171,3,1)="1",트라이포드!$J$13,트라이포드!$I$13)*IF(MID(E171,5,1)="1",1,0)*IF(입력란!$C$9=1,IF(입력란!$C$15=0,1.05,IF(입력란!$C$15=1,1.05*1.05,IF(입력란!$C$15=2,1.05*1.12,IF(입력란!$C$15=3,1.05*1.25)))),1)</f>
        <v>0</v>
      </c>
      <c r="V171" s="21"/>
      <c r="W171" s="21"/>
      <c r="X171" s="21"/>
      <c r="Y171" s="21"/>
      <c r="Z171" s="20"/>
      <c r="AA171" s="21">
        <f>SUM(AB171:AI171)</f>
        <v>189446.9143622827</v>
      </c>
      <c r="AB171" s="21">
        <f>S171*2</f>
        <v>94723.457181141348</v>
      </c>
      <c r="AC171" s="21">
        <f>T171*2</f>
        <v>94723.457181141348</v>
      </c>
      <c r="AD171" s="21">
        <f>U171*2</f>
        <v>0</v>
      </c>
      <c r="AE171" s="21"/>
      <c r="AF171" s="21"/>
      <c r="AG171" s="21"/>
      <c r="AH171" s="21"/>
      <c r="AI171" s="20"/>
      <c r="AJ171" s="21">
        <f>AQ171*(1-입력란!$P$10/100)</f>
        <v>5.9278660315199998</v>
      </c>
      <c r="AK1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1" s="21">
        <f>입력란!$P$24+입력란!$P$16+IF(입력란!$C$18=1,10,IF(입력란!$C$18=2,25,IF(입력란!$C$18=3,50,0)))+IF(입력란!$C$23&lt;&gt;0,-12)</f>
        <v>380.66103559999999</v>
      </c>
      <c r="AM171" s="21">
        <f>SUM(AN171:AP171)</f>
        <v>45106.408181495877</v>
      </c>
      <c r="AN171" s="21">
        <f>(VLOOKUP(C171,$B$4:$AJ$7,12,FALSE)+VLOOKUP(C171,$B$8:$AJ$11,12,FALSE)*입력란!$P$4)*입력란!$P$25/100</f>
        <v>45106.408181495877</v>
      </c>
      <c r="AO171" s="21"/>
      <c r="AP171" s="21"/>
      <c r="AQ171" s="22">
        <v>6</v>
      </c>
    </row>
    <row r="172" spans="2:43" ht="13.5" customHeight="1" x14ac:dyDescent="0.55000000000000004">
      <c r="B172" s="66">
        <v>157</v>
      </c>
      <c r="C172" s="29">
        <v>4</v>
      </c>
      <c r="D172" s="30" t="s">
        <v>167</v>
      </c>
      <c r="E172" s="27" t="s">
        <v>95</v>
      </c>
      <c r="F172" s="29"/>
      <c r="G172" s="29"/>
      <c r="H172" s="36">
        <f>I172/AJ172</f>
        <v>71443.305502889401</v>
      </c>
      <c r="I172" s="37">
        <f>SUM(J172:Q172)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423506.34387008392</v>
      </c>
      <c r="J172" s="21">
        <f>S172*(1+IF($AK172+IF(입력란!$C$9=1,10,0)+IF(입력란!$C$26=1,10,0)+IF(MID(E172,1,1)="3",트라이포드!$H$13,0)&gt;100,100,$AK172+IF(입력란!$C$9=1,10,0)+IF(입력란!$C$26=1,10,0)+IF(MID(E172,1,1)="3",트라이포드!$H$13,0))/100*(($AL172+IF(입력란!$C$30=1,IF(OR(입력란!$C$9=1,입력란!$C$10=1),55,17),IF(입력란!$C$30=2,IF(OR(입력란!$C$9=1,입력란!$C$10=1),60,20),IF(입력란!$C$30=3,IF(OR(입력란!$C$9=1,입력란!$C$10=1),65,22),0))))/100-1))</f>
        <v>149956.21551946882</v>
      </c>
      <c r="K172" s="21">
        <f>T172*(1+IF($AK172+IF(입력란!$C$9=1,10,0)+IF(입력란!$C$26=1,10,0)+IF(MID(E172,1,1)="3",트라이포드!H$13,0)&gt;100,100,$AK172+IF(입력란!$C$9=1,10,0)+IF(입력란!$C$26=1,10,0)+IF(MID(E172,1,1)="3",트라이포드!H$13,0))/100*(($AL172+IF(입력란!$C$30=1,IF(OR(입력란!$C$9=1,입력란!$C$10=1),55,17),IF(입력란!$C$30=2,IF(OR(입력란!$C$9=1,입력란!$C$10=1),60,20),IF(입력란!$C$30=3,IF(OR(입력란!$C$9=1,입력란!$C$10=1),65,22),0))))/100-1))</f>
        <v>149956.21551946882</v>
      </c>
      <c r="L172" s="21">
        <f>U172*(1+IF($AK172+IF(입력란!$C$9=1,10,0)+IF(입력란!$C$26=1,10,0)+IF(MID(E172,1,1)="3",트라이포드!H$13,0)&gt;100,100,$AK172+IF(입력란!$C$9=1,10,0)+IF(입력란!$C$26=1,10,0)+IF(MID(E172,1,1)="3",트라이포드!H$13,0))/100*(($AL172+IF(입력란!$C$30=1,IF(OR(입력란!$C$9=1,입력란!$C$10=1),55,17),IF(입력란!$C$30=2,IF(OR(입력란!$C$9=1,입력란!$C$10=1),60,20),IF(입력란!$C$30=3,IF(OR(입력란!$C$9=1,입력란!$C$10=1),65,22),0))))/100-1))</f>
        <v>0</v>
      </c>
      <c r="M172" s="21"/>
      <c r="N172" s="21"/>
      <c r="O172" s="21"/>
      <c r="P172" s="21"/>
      <c r="Q172" s="20"/>
      <c r="R172" s="19">
        <f>SUM(S172:Z172)</f>
        <v>94723.457181141348</v>
      </c>
      <c r="S172" s="21">
        <f>AN172*IF(입력란!$C$12=0,1,IF(입력란!$C$12=1,1.35,IF(입력란!$C$12=2,1.55,IF(입력란!$C$12=3,1.75,1))))*IF(MID(E172,3,1)="1",트라이포드!$J$13,트라이포드!$I$13)*IF(MID(E172,5,1)="2",트라이포드!$R$13,트라이포드!$Q$13)*IF(입력란!$C$9=1,IF(입력란!$C$15=0,1.05,IF(입력란!$C$15=1,1.05*1.05,IF(입력란!$C$15=2,1.05*1.12,IF(입력란!$C$15=3,1.05*1.25)))),1)</f>
        <v>47361.728590570674</v>
      </c>
      <c r="T172" s="21">
        <f>AN172*IF(입력란!$C$12=0,1,IF(입력란!$C$12=1,1.35,IF(입력란!$C$12=2,1.55,IF(입력란!$C$12=3,1.75,1))))*IF(MID(E172,3,1)="1",트라이포드!$J$13,트라이포드!$I$13)*IF(MID(E172,5,1)="2",트라이포드!$R$13,트라이포드!$Q$13)*IF(입력란!$C$9=1,IF(입력란!$C$15=0,1.05,IF(입력란!$C$15=1,1.05*1.05,IF(입력란!$C$15=2,1.05*1.12,IF(입력란!$C$15=3,1.05*1.25)))),1)</f>
        <v>47361.728590570674</v>
      </c>
      <c r="U172" s="21">
        <f>AN172*IF(입력란!$C$12=0,1,IF(입력란!$C$12=1,1.35,IF(입력란!$C$12=2,1.55,IF(입력란!$C$12=3,1.75,1))))*IF(MID(E172,3,1)="1",트라이포드!$J$13,트라이포드!$I$13)*IF(MID(E172,5,1)="1",1,0)*IF(입력란!$C$9=1,IF(입력란!$C$15=0,1.05,IF(입력란!$C$15=1,1.05*1.05,IF(입력란!$C$15=2,1.05*1.12,IF(입력란!$C$15=3,1.05*1.25)))),1)</f>
        <v>0</v>
      </c>
      <c r="V172" s="21"/>
      <c r="W172" s="21"/>
      <c r="X172" s="21"/>
      <c r="Y172" s="21"/>
      <c r="Z172" s="20"/>
      <c r="AA172" s="21">
        <f>SUM(AB172:AI172)</f>
        <v>189446.9143622827</v>
      </c>
      <c r="AB172" s="21">
        <f>S172*2</f>
        <v>94723.457181141348</v>
      </c>
      <c r="AC172" s="21">
        <f>T172*2</f>
        <v>94723.457181141348</v>
      </c>
      <c r="AD172" s="21">
        <f>U172*2</f>
        <v>0</v>
      </c>
      <c r="AE172" s="21"/>
      <c r="AF172" s="21"/>
      <c r="AG172" s="21"/>
      <c r="AH172" s="21"/>
      <c r="AI172" s="20"/>
      <c r="AJ172" s="21">
        <f>AQ172*(1-입력란!$P$10/100)</f>
        <v>5.9278660315199998</v>
      </c>
      <c r="AK1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2" s="21">
        <f>입력란!$P$24+입력란!$P$16+IF(입력란!$C$18=1,10,IF(입력란!$C$18=2,25,IF(입력란!$C$18=3,50,0)))+IF(입력란!$C$23&lt;&gt;0,-12)</f>
        <v>380.66103559999999</v>
      </c>
      <c r="AM172" s="21">
        <f>SUM(AN172:AP172)</f>
        <v>45106.408181495877</v>
      </c>
      <c r="AN172" s="21">
        <f>(VLOOKUP(C172,$B$4:$AJ$7,12,FALSE)+VLOOKUP(C172,$B$8:$AJ$11,12,FALSE)*입력란!$P$4)*입력란!$P$25/100</f>
        <v>45106.408181495877</v>
      </c>
      <c r="AO172" s="21"/>
      <c r="AP172" s="21"/>
      <c r="AQ172" s="22">
        <v>6</v>
      </c>
    </row>
    <row r="173" spans="2:43" ht="13.5" customHeight="1" x14ac:dyDescent="0.55000000000000004">
      <c r="B173" s="66">
        <v>158</v>
      </c>
      <c r="C173" s="29">
        <v>7</v>
      </c>
      <c r="D173" s="30" t="s">
        <v>167</v>
      </c>
      <c r="E173" s="27" t="s">
        <v>94</v>
      </c>
      <c r="F173" s="29"/>
      <c r="G173" s="29"/>
      <c r="H173" s="36">
        <f>I173/AJ173</f>
        <v>61982.866923185356</v>
      </c>
      <c r="I173" s="37">
        <f>SUM(J173:Q173)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367426.13137017505</v>
      </c>
      <c r="J173" s="21">
        <f>S173*(1+IF($AK173+IF(입력란!$C$9=1,10,0)+IF(입력란!$C$26=1,10,0)+IF(MID(E173,1,1)="3",트라이포드!$H$13,0)&gt;100,100,$AK173+IF(입력란!$C$9=1,10,0)+IF(입력란!$C$26=1,10,0)+IF(MID(E173,1,1)="3",트라이포드!$H$13,0))/100*(($AL173+IF(입력란!$C$30=1,IF(OR(입력란!$C$9=1,입력란!$C$10=1),55,17),IF(입력란!$C$30=2,IF(OR(입력란!$C$9=1,입력란!$C$10=1),60,20),IF(입력란!$C$30=3,IF(OR(입력란!$C$9=1,입력란!$C$10=1),65,22),0))))/100-1))</f>
        <v>130099.18963606509</v>
      </c>
      <c r="K173" s="21">
        <f>T173*(1+IF($AK173+IF(입력란!$C$9=1,10,0)+IF(입력란!$C$26=1,10,0)+IF(MID(E173,1,1)="3",트라이포드!H$13,0)&gt;100,100,$AK173+IF(입력란!$C$9=1,10,0)+IF(입력란!$C$26=1,10,0)+IF(MID(E173,1,1)="3",트라이포드!H$13,0))/100*(($AL173+IF(입력란!$C$30=1,IF(OR(입력란!$C$9=1,입력란!$C$10=1),55,17),IF(입력란!$C$30=2,IF(OR(입력란!$C$9=1,입력란!$C$10=1),60,20),IF(입력란!$C$30=3,IF(OR(입력란!$C$9=1,입력란!$C$10=1),65,22),0))))/100-1))</f>
        <v>130099.18963606509</v>
      </c>
      <c r="L173" s="21">
        <f>U173*(1+IF($AK173+IF(입력란!$C$9=1,10,0)+IF(입력란!$C$26=1,10,0)+IF(MID(E173,1,1)="3",트라이포드!H$13,0)&gt;100,100,$AK173+IF(입력란!$C$9=1,10,0)+IF(입력란!$C$26=1,10,0)+IF(MID(E173,1,1)="3",트라이포드!H$13,0))/100*(($AL173+IF(입력란!$C$30=1,IF(OR(입력란!$C$9=1,입력란!$C$10=1),55,17),IF(입력란!$C$30=2,IF(OR(입력란!$C$9=1,입력란!$C$10=1),60,20),IF(입력란!$C$30=3,IF(OR(입력란!$C$9=1,입력란!$C$10=1),65,22),0))))/100-1))</f>
        <v>0</v>
      </c>
      <c r="M173" s="21"/>
      <c r="N173" s="21"/>
      <c r="O173" s="21"/>
      <c r="P173" s="21"/>
      <c r="Q173" s="20"/>
      <c r="R173" s="19">
        <f>SUM(S173:Z173)</f>
        <v>94783.097181141347</v>
      </c>
      <c r="S173" s="21">
        <f>AN173*IF(입력란!$C$12=0,1,IF(입력란!$C$12=1,1.35,IF(입력란!$C$12=2,1.55,IF(입력란!$C$12=3,1.75,1))))*IF(MID(E173,3,1)="1",트라이포드!$J$13,트라이포드!$I$13)*IF(MID(E173,5,1)="2",트라이포드!$R$13,트라이포드!$Q$13)*IF(입력란!$C$9=1,IF(입력란!$C$15=0,1.05,IF(입력란!$C$15=1,1.05*1.05,IF(입력란!$C$15=2,1.05*1.12,IF(입력란!$C$15=3,1.05*1.25)))),1)</f>
        <v>47391.548590570674</v>
      </c>
      <c r="T173" s="21">
        <f>AN173*IF(입력란!$C$12=0,1,IF(입력란!$C$12=1,1.35,IF(입력란!$C$12=2,1.55,IF(입력란!$C$12=3,1.75,1))))*IF(MID(E173,3,1)="1",트라이포드!$J$13,트라이포드!$I$13)*IF(MID(E173,5,1)="2",트라이포드!$R$13,트라이포드!$Q$13)*IF(입력란!$C$9=1,IF(입력란!$C$15=0,1.05,IF(입력란!$C$15=1,1.05*1.05,IF(입력란!$C$15=2,1.05*1.12,IF(입력란!$C$15=3,1.05*1.25)))),1)</f>
        <v>47391.548590570674</v>
      </c>
      <c r="U173" s="21">
        <f>AN173*IF(입력란!$C$12=0,1,IF(입력란!$C$12=1,1.35,IF(입력란!$C$12=2,1.55,IF(입력란!$C$12=3,1.75,1))))*IF(MID(E173,3,1)="1",트라이포드!$J$13,트라이포드!$I$13)*IF(MID(E173,5,1)="1",1,0)*IF(입력란!$C$9=1,IF(입력란!$C$15=0,1.05,IF(입력란!$C$15=1,1.05*1.05,IF(입력란!$C$15=2,1.05*1.12,IF(입력란!$C$15=3,1.05*1.25)))),1)</f>
        <v>0</v>
      </c>
      <c r="V173" s="21"/>
      <c r="W173" s="21"/>
      <c r="X173" s="21"/>
      <c r="Y173" s="21"/>
      <c r="Z173" s="20"/>
      <c r="AA173" s="21">
        <f>SUM(AB173:AI173)</f>
        <v>189566.19436228269</v>
      </c>
      <c r="AB173" s="21">
        <f>S173*2</f>
        <v>94783.097181141347</v>
      </c>
      <c r="AC173" s="21">
        <f>T173*2</f>
        <v>94783.097181141347</v>
      </c>
      <c r="AD173" s="21">
        <f>U173*2</f>
        <v>0</v>
      </c>
      <c r="AE173" s="21"/>
      <c r="AF173" s="21"/>
      <c r="AG173" s="21"/>
      <c r="AH173" s="21"/>
      <c r="AI173" s="20"/>
      <c r="AJ173" s="21">
        <f>AQ173*(1-입력란!$P$10/100)</f>
        <v>5.9278660315199998</v>
      </c>
      <c r="AK1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3" s="21">
        <f>입력란!$P$24+입력란!$P$16+IF(입력란!$C$18=1,10,IF(입력란!$C$18=2,25,IF(입력란!$C$18=3,50,0)))+IF(입력란!$C$23&lt;&gt;0,-12)</f>
        <v>380.66103559999999</v>
      </c>
      <c r="AM173" s="21">
        <f>SUM(AN173:AP173)</f>
        <v>45134.808181495879</v>
      </c>
      <c r="AN173" s="21">
        <f>(VLOOKUP(C173,$B$4:$AJ$7,12,FALSE)+VLOOKUP(C173,$B$8:$AJ$11,12,FALSE)*입력란!$P$4)*입력란!$P$25/100</f>
        <v>45134.808181495879</v>
      </c>
      <c r="AO173" s="21"/>
      <c r="AP173" s="21"/>
      <c r="AQ173" s="22">
        <v>6</v>
      </c>
    </row>
    <row r="174" spans="2:43" ht="13.5" customHeight="1" x14ac:dyDescent="0.55000000000000004">
      <c r="B174" s="66">
        <v>159</v>
      </c>
      <c r="C174" s="29">
        <v>7</v>
      </c>
      <c r="D174" s="30" t="s">
        <v>167</v>
      </c>
      <c r="E174" s="27" t="s">
        <v>96</v>
      </c>
      <c r="F174" s="29"/>
      <c r="G174" s="29"/>
      <c r="H174" s="36">
        <f>I174/AJ174</f>
        <v>86776.013692459514</v>
      </c>
      <c r="I174" s="37">
        <f>SUM(J174:Q174)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514396.5839182451</v>
      </c>
      <c r="J174" s="21">
        <f>S174*(1+IF($AK174+IF(입력란!$C$9=1,10,0)+IF(입력란!$C$26=1,10,0)+IF(MID(E174,1,1)="3",트라이포드!$H$13,0)&gt;100,100,$AK174+IF(입력란!$C$9=1,10,0)+IF(입력란!$C$26=1,10,0)+IF(MID(E174,1,1)="3",트라이포드!$H$13,0))/100*(($AL174+IF(입력란!$C$30=1,IF(OR(입력란!$C$9=1,입력란!$C$10=1),55,17),IF(입력란!$C$30=2,IF(OR(입력란!$C$9=1,입력란!$C$10=1),60,20),IF(입력란!$C$30=3,IF(OR(입력란!$C$9=1,입력란!$C$10=1),65,22),0))))/100-1))</f>
        <v>182138.86549049112</v>
      </c>
      <c r="K174" s="21">
        <f>T174*(1+IF($AK174+IF(입력란!$C$9=1,10,0)+IF(입력란!$C$26=1,10,0)+IF(MID(E174,1,1)="3",트라이포드!H$13,0)&gt;100,100,$AK174+IF(입력란!$C$9=1,10,0)+IF(입력란!$C$26=1,10,0)+IF(MID(E174,1,1)="3",트라이포드!H$13,0))/100*(($AL174+IF(입력란!$C$30=1,IF(OR(입력란!$C$9=1,입력란!$C$10=1),55,17),IF(입력란!$C$30=2,IF(OR(입력란!$C$9=1,입력란!$C$10=1),60,20),IF(입력란!$C$30=3,IF(OR(입력란!$C$9=1,입력란!$C$10=1),65,22),0))))/100-1))</f>
        <v>182138.86549049112</v>
      </c>
      <c r="L174" s="21">
        <f>U174*(1+IF($AK174+IF(입력란!$C$9=1,10,0)+IF(입력란!$C$26=1,10,0)+IF(MID(E174,1,1)="3",트라이포드!H$13,0)&gt;100,100,$AK174+IF(입력란!$C$9=1,10,0)+IF(입력란!$C$26=1,10,0)+IF(MID(E174,1,1)="3",트라이포드!H$13,0))/100*(($AL174+IF(입력란!$C$30=1,IF(OR(입력란!$C$9=1,입력란!$C$10=1),55,17),IF(입력란!$C$30=2,IF(OR(입력란!$C$9=1,입력란!$C$10=1),60,20),IF(입력란!$C$30=3,IF(OR(입력란!$C$9=1,입력란!$C$10=1),65,22),0))))/100-1))</f>
        <v>0</v>
      </c>
      <c r="M174" s="21"/>
      <c r="N174" s="21"/>
      <c r="O174" s="21"/>
      <c r="P174" s="21"/>
      <c r="Q174" s="20"/>
      <c r="R174" s="19">
        <f>SUM(S174:Z174)</f>
        <v>132696.33605359789</v>
      </c>
      <c r="S174" s="21">
        <f>AN174*IF(입력란!$C$12=0,1,IF(입력란!$C$12=1,1.35,IF(입력란!$C$12=2,1.55,IF(입력란!$C$12=3,1.75,1))))*IF(MID(E174,3,1)="1",트라이포드!$J$13,트라이포드!$I$13)*IF(MID(E174,5,1)="2",트라이포드!$R$13,트라이포드!$Q$13)*IF(입력란!$C$9=1,IF(입력란!$C$15=0,1.05,IF(입력란!$C$15=1,1.05*1.05,IF(입력란!$C$15=2,1.05*1.12,IF(입력란!$C$15=3,1.05*1.25)))),1)</f>
        <v>66348.168026798943</v>
      </c>
      <c r="T174" s="21">
        <f>AN174*IF(입력란!$C$12=0,1,IF(입력란!$C$12=1,1.35,IF(입력란!$C$12=2,1.55,IF(입력란!$C$12=3,1.75,1))))*IF(MID(E174,3,1)="1",트라이포드!$J$13,트라이포드!$I$13)*IF(MID(E174,5,1)="2",트라이포드!$R$13,트라이포드!$Q$13)*IF(입력란!$C$9=1,IF(입력란!$C$15=0,1.05,IF(입력란!$C$15=1,1.05*1.05,IF(입력란!$C$15=2,1.05*1.12,IF(입력란!$C$15=3,1.05*1.25)))),1)</f>
        <v>66348.168026798943</v>
      </c>
      <c r="U174" s="21">
        <f>AN174*IF(입력란!$C$12=0,1,IF(입력란!$C$12=1,1.35,IF(입력란!$C$12=2,1.55,IF(입력란!$C$12=3,1.75,1))))*IF(MID(E174,3,1)="1",트라이포드!$J$13,트라이포드!$I$13)*IF(MID(E174,5,1)="1",1,0)*IF(입력란!$C$9=1,IF(입력란!$C$15=0,1.05,IF(입력란!$C$15=1,1.05*1.05,IF(입력란!$C$15=2,1.05*1.12,IF(입력란!$C$15=3,1.05*1.25)))),1)</f>
        <v>0</v>
      </c>
      <c r="V174" s="21"/>
      <c r="W174" s="21"/>
      <c r="X174" s="21"/>
      <c r="Y174" s="21"/>
      <c r="Z174" s="20"/>
      <c r="AA174" s="21">
        <f>SUM(AB174:AI174)</f>
        <v>265392.67210719577</v>
      </c>
      <c r="AB174" s="21">
        <f>S174*2</f>
        <v>132696.33605359789</v>
      </c>
      <c r="AC174" s="21">
        <f>T174*2</f>
        <v>132696.33605359789</v>
      </c>
      <c r="AD174" s="21">
        <f>U174*2</f>
        <v>0</v>
      </c>
      <c r="AE174" s="21"/>
      <c r="AF174" s="21"/>
      <c r="AG174" s="21"/>
      <c r="AH174" s="21"/>
      <c r="AI174" s="20"/>
      <c r="AJ174" s="21">
        <f>AQ174*(1-입력란!$P$10/100)</f>
        <v>5.9278660315199998</v>
      </c>
      <c r="AK1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4" s="21">
        <f>입력란!$P$24+입력란!$P$16+IF(입력란!$C$18=1,10,IF(입력란!$C$18=2,25,IF(입력란!$C$18=3,50,0)))+IF(입력란!$C$23&lt;&gt;0,-12)</f>
        <v>380.66103559999999</v>
      </c>
      <c r="AM174" s="21">
        <f>SUM(AN174:AP174)</f>
        <v>45134.808181495879</v>
      </c>
      <c r="AN174" s="21">
        <f>(VLOOKUP(C174,$B$4:$AJ$7,12,FALSE)+VLOOKUP(C174,$B$8:$AJ$11,12,FALSE)*입력란!$P$4)*입력란!$P$25/100</f>
        <v>45134.808181495879</v>
      </c>
      <c r="AO174" s="21"/>
      <c r="AP174" s="21"/>
      <c r="AQ174" s="22">
        <v>6</v>
      </c>
    </row>
    <row r="175" spans="2:43" ht="13.5" customHeight="1" x14ac:dyDescent="0.55000000000000004">
      <c r="B175" s="66">
        <v>160</v>
      </c>
      <c r="C175" s="29">
        <v>7</v>
      </c>
      <c r="D175" s="30" t="s">
        <v>167</v>
      </c>
      <c r="E175" s="27" t="s">
        <v>95</v>
      </c>
      <c r="F175" s="29"/>
      <c r="G175" s="29"/>
      <c r="H175" s="36">
        <f>I175/AJ175</f>
        <v>71488.287800484846</v>
      </c>
      <c r="I175" s="37">
        <f>SUM(J175:Q175)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423772.99290401972</v>
      </c>
      <c r="J175" s="21">
        <f>S175*(1+IF($AK175+IF(입력란!$C$9=1,10,0)+IF(입력란!$C$26=1,10,0)+IF(MID(E175,1,1)="3",트라이포드!$H$13,0)&gt;100,100,$AK175+IF(입력란!$C$9=1,10,0)+IF(입력란!$C$26=1,10,0)+IF(MID(E175,1,1)="3",트라이포드!$H$13,0))/100*(($AL175+IF(입력란!$C$30=1,IF(OR(입력란!$C$9=1,입력란!$C$10=1),55,17),IF(입력란!$C$30=2,IF(OR(입력란!$C$9=1,입력란!$C$10=1),60,20),IF(입력란!$C$30=3,IF(OR(입력란!$C$9=1,입력란!$C$10=1),65,22),0))))/100-1))</f>
        <v>150050.63129524101</v>
      </c>
      <c r="K175" s="21">
        <f>T175*(1+IF($AK175+IF(입력란!$C$9=1,10,0)+IF(입력란!$C$26=1,10,0)+IF(MID(E175,1,1)="3",트라이포드!H$13,0)&gt;100,100,$AK175+IF(입력란!$C$9=1,10,0)+IF(입력란!$C$26=1,10,0)+IF(MID(E175,1,1)="3",트라이포드!H$13,0))/100*(($AL175+IF(입력란!$C$30=1,IF(OR(입력란!$C$9=1,입력란!$C$10=1),55,17),IF(입력란!$C$30=2,IF(OR(입력란!$C$9=1,입력란!$C$10=1),60,20),IF(입력란!$C$30=3,IF(OR(입력란!$C$9=1,입력란!$C$10=1),65,22),0))))/100-1))</f>
        <v>150050.63129524101</v>
      </c>
      <c r="L175" s="21">
        <f>U175*(1+IF($AK175+IF(입력란!$C$9=1,10,0)+IF(입력란!$C$26=1,10,0)+IF(MID(E175,1,1)="3",트라이포드!H$13,0)&gt;100,100,$AK175+IF(입력란!$C$9=1,10,0)+IF(입력란!$C$26=1,10,0)+IF(MID(E175,1,1)="3",트라이포드!H$13,0))/100*(($AL175+IF(입력란!$C$30=1,IF(OR(입력란!$C$9=1,입력란!$C$10=1),55,17),IF(입력란!$C$30=2,IF(OR(입력란!$C$9=1,입력란!$C$10=1),60,20),IF(입력란!$C$30=3,IF(OR(입력란!$C$9=1,입력란!$C$10=1),65,22),0))))/100-1))</f>
        <v>0</v>
      </c>
      <c r="M175" s="21"/>
      <c r="N175" s="21"/>
      <c r="O175" s="21"/>
      <c r="P175" s="21"/>
      <c r="Q175" s="20"/>
      <c r="R175" s="19">
        <f>SUM(S175:Z175)</f>
        <v>94783.097181141347</v>
      </c>
      <c r="S175" s="21">
        <f>AN175*IF(입력란!$C$12=0,1,IF(입력란!$C$12=1,1.35,IF(입력란!$C$12=2,1.55,IF(입력란!$C$12=3,1.75,1))))*IF(MID(E175,3,1)="1",트라이포드!$J$13,트라이포드!$I$13)*IF(MID(E175,5,1)="2",트라이포드!$R$13,트라이포드!$Q$13)*IF(입력란!$C$9=1,IF(입력란!$C$15=0,1.05,IF(입력란!$C$15=1,1.05*1.05,IF(입력란!$C$15=2,1.05*1.12,IF(입력란!$C$15=3,1.05*1.25)))),1)</f>
        <v>47391.548590570674</v>
      </c>
      <c r="T175" s="21">
        <f>AN175*IF(입력란!$C$12=0,1,IF(입력란!$C$12=1,1.35,IF(입력란!$C$12=2,1.55,IF(입력란!$C$12=3,1.75,1))))*IF(MID(E175,3,1)="1",트라이포드!$J$13,트라이포드!$I$13)*IF(MID(E175,5,1)="2",트라이포드!$R$13,트라이포드!$Q$13)*IF(입력란!$C$9=1,IF(입력란!$C$15=0,1.05,IF(입력란!$C$15=1,1.05*1.05,IF(입력란!$C$15=2,1.05*1.12,IF(입력란!$C$15=3,1.05*1.25)))),1)</f>
        <v>47391.548590570674</v>
      </c>
      <c r="U175" s="21">
        <f>AN175*IF(입력란!$C$12=0,1,IF(입력란!$C$12=1,1.35,IF(입력란!$C$12=2,1.55,IF(입력란!$C$12=3,1.75,1))))*IF(MID(E175,3,1)="1",트라이포드!$J$13,트라이포드!$I$13)*IF(MID(E175,5,1)="1",1,0)*IF(입력란!$C$9=1,IF(입력란!$C$15=0,1.05,IF(입력란!$C$15=1,1.05*1.05,IF(입력란!$C$15=2,1.05*1.12,IF(입력란!$C$15=3,1.05*1.25)))),1)</f>
        <v>0</v>
      </c>
      <c r="V175" s="21"/>
      <c r="W175" s="21"/>
      <c r="X175" s="21"/>
      <c r="Y175" s="21"/>
      <c r="Z175" s="20"/>
      <c r="AA175" s="21">
        <f>SUM(AB175:AI175)</f>
        <v>189566.19436228269</v>
      </c>
      <c r="AB175" s="21">
        <f>S175*2</f>
        <v>94783.097181141347</v>
      </c>
      <c r="AC175" s="21">
        <f>T175*2</f>
        <v>94783.097181141347</v>
      </c>
      <c r="AD175" s="21">
        <f>U175*2</f>
        <v>0</v>
      </c>
      <c r="AE175" s="21"/>
      <c r="AF175" s="21"/>
      <c r="AG175" s="21"/>
      <c r="AH175" s="21"/>
      <c r="AI175" s="20"/>
      <c r="AJ175" s="21">
        <f>AQ175*(1-입력란!$P$10/100)</f>
        <v>5.9278660315199998</v>
      </c>
      <c r="AK1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5" s="21">
        <f>입력란!$P$24+입력란!$P$16+IF(입력란!$C$18=1,10,IF(입력란!$C$18=2,25,IF(입력란!$C$18=3,50,0)))+IF(입력란!$C$23&lt;&gt;0,-12)</f>
        <v>380.66103559999999</v>
      </c>
      <c r="AM175" s="21">
        <f>SUM(AN175:AP175)</f>
        <v>45134.808181495879</v>
      </c>
      <c r="AN175" s="21">
        <f>(VLOOKUP(C175,$B$4:$AJ$7,12,FALSE)+VLOOKUP(C175,$B$8:$AJ$11,12,FALSE)*입력란!$P$4)*입력란!$P$25/100</f>
        <v>45134.808181495879</v>
      </c>
      <c r="AO175" s="21"/>
      <c r="AP175" s="21"/>
      <c r="AQ175" s="22">
        <v>6</v>
      </c>
    </row>
    <row r="176" spans="2:43" ht="13.5" customHeight="1" x14ac:dyDescent="0.55000000000000004">
      <c r="B176" s="66">
        <v>161</v>
      </c>
      <c r="C176" s="29">
        <v>7</v>
      </c>
      <c r="D176" s="30" t="s">
        <v>167</v>
      </c>
      <c r="E176" s="27" t="s">
        <v>99</v>
      </c>
      <c r="F176" s="29"/>
      <c r="G176" s="29"/>
      <c r="H176" s="36">
        <f>I176/AJ176</f>
        <v>100083.60292067878</v>
      </c>
      <c r="I176" s="37">
        <f>SUM(J176:Q176)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593282.19006562757</v>
      </c>
      <c r="J176" s="21">
        <f>S176*(1+IF($AK176+IF(입력란!$C$9=1,10,0)+IF(입력란!$C$26=1,10,0)+IF(MID(E176,1,1)="3",트라이포드!$H$13,0)&gt;100,100,$AK176+IF(입력란!$C$9=1,10,0)+IF(입력란!$C$26=1,10,0)+IF(MID(E176,1,1)="3",트라이포드!$H$13,0))/100*(($AL176+IF(입력란!$C$30=1,IF(OR(입력란!$C$9=1,입력란!$C$10=1),55,17),IF(입력란!$C$30=2,IF(OR(입력란!$C$9=1,입력란!$C$10=1),60,20),IF(입력란!$C$30=3,IF(OR(입력란!$C$9=1,입력란!$C$10=1),65,22),0))))/100-1))</f>
        <v>210070.88381333742</v>
      </c>
      <c r="K176" s="21">
        <f>T176*(1+IF($AK176+IF(입력란!$C$9=1,10,0)+IF(입력란!$C$26=1,10,0)+IF(MID(E176,1,1)="3",트라이포드!H$13,0)&gt;100,100,$AK176+IF(입력란!$C$9=1,10,0)+IF(입력란!$C$26=1,10,0)+IF(MID(E176,1,1)="3",트라이포드!H$13,0))/100*(($AL176+IF(입력란!$C$30=1,IF(OR(입력란!$C$9=1,입력란!$C$10=1),55,17),IF(입력란!$C$30=2,IF(OR(입력란!$C$9=1,입력란!$C$10=1),60,20),IF(입력란!$C$30=3,IF(OR(입력란!$C$9=1,입력란!$C$10=1),65,22),0))))/100-1))</f>
        <v>210070.88381333742</v>
      </c>
      <c r="L176" s="21">
        <f>U176*(1+IF($AK176+IF(입력란!$C$9=1,10,0)+IF(입력란!$C$26=1,10,0)+IF(MID(E176,1,1)="3",트라이포드!H$13,0)&gt;100,100,$AK176+IF(입력란!$C$9=1,10,0)+IF(입력란!$C$26=1,10,0)+IF(MID(E176,1,1)="3",트라이포드!H$13,0))/100*(($AL176+IF(입력란!$C$30=1,IF(OR(입력란!$C$9=1,입력란!$C$10=1),55,17),IF(입력란!$C$30=2,IF(OR(입력란!$C$9=1,입력란!$C$10=1),60,20),IF(입력란!$C$30=3,IF(OR(입력란!$C$9=1,입력란!$C$10=1),65,22),0))))/100-1))</f>
        <v>0</v>
      </c>
      <c r="M176" s="21"/>
      <c r="N176" s="21"/>
      <c r="O176" s="21"/>
      <c r="P176" s="21"/>
      <c r="Q176" s="20"/>
      <c r="R176" s="19">
        <f>SUM(S176:Z176)</f>
        <v>132696.33605359789</v>
      </c>
      <c r="S176" s="21">
        <f>AN176*IF(입력란!$C$12=0,1,IF(입력란!$C$12=1,1.35,IF(입력란!$C$12=2,1.55,IF(입력란!$C$12=3,1.75,1))))*IF(MID(E176,3,1)="1",트라이포드!$J$13,트라이포드!$I$13)*IF(MID(E176,5,1)="2",트라이포드!$R$13,트라이포드!$Q$13)*IF(입력란!$C$9=1,IF(입력란!$C$15=0,1.05,IF(입력란!$C$15=1,1.05*1.05,IF(입력란!$C$15=2,1.05*1.12,IF(입력란!$C$15=3,1.05*1.25)))),1)</f>
        <v>66348.168026798943</v>
      </c>
      <c r="T176" s="21">
        <f>AN176*IF(입력란!$C$12=0,1,IF(입력란!$C$12=1,1.35,IF(입력란!$C$12=2,1.55,IF(입력란!$C$12=3,1.75,1))))*IF(MID(E176,3,1)="1",트라이포드!$J$13,트라이포드!$I$13)*IF(MID(E176,5,1)="2",트라이포드!$R$13,트라이포드!$Q$13)*IF(입력란!$C$9=1,IF(입력란!$C$15=0,1.05,IF(입력란!$C$15=1,1.05*1.05,IF(입력란!$C$15=2,1.05*1.12,IF(입력란!$C$15=3,1.05*1.25)))),1)</f>
        <v>66348.168026798943</v>
      </c>
      <c r="U176" s="21">
        <f>AN176*IF(입력란!$C$12=0,1,IF(입력란!$C$12=1,1.35,IF(입력란!$C$12=2,1.55,IF(입력란!$C$12=3,1.75,1))))*IF(MID(E176,3,1)="1",트라이포드!$J$13,트라이포드!$I$13)*IF(MID(E176,5,1)="1",1,0)*IF(입력란!$C$9=1,IF(입력란!$C$15=0,1.05,IF(입력란!$C$15=1,1.05*1.05,IF(입력란!$C$15=2,1.05*1.12,IF(입력란!$C$15=3,1.05*1.25)))),1)</f>
        <v>0</v>
      </c>
      <c r="V176" s="21"/>
      <c r="W176" s="21"/>
      <c r="X176" s="21"/>
      <c r="Y176" s="21"/>
      <c r="Z176" s="20"/>
      <c r="AA176" s="21">
        <f>SUM(AB176:AI176)</f>
        <v>265392.67210719577</v>
      </c>
      <c r="AB176" s="21">
        <f>S176*2</f>
        <v>132696.33605359789</v>
      </c>
      <c r="AC176" s="21">
        <f>T176*2</f>
        <v>132696.33605359789</v>
      </c>
      <c r="AD176" s="21">
        <f>U176*2</f>
        <v>0</v>
      </c>
      <c r="AE176" s="21"/>
      <c r="AF176" s="21"/>
      <c r="AG176" s="21"/>
      <c r="AH176" s="21"/>
      <c r="AI176" s="20"/>
      <c r="AJ176" s="21">
        <f>AQ176*(1-입력란!$P$10/100)</f>
        <v>5.9278660315199998</v>
      </c>
      <c r="AK1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6" s="21">
        <f>입력란!$P$24+입력란!$P$16+IF(입력란!$C$18=1,10,IF(입력란!$C$18=2,25,IF(입력란!$C$18=3,50,0)))+IF(입력란!$C$23&lt;&gt;0,-12)</f>
        <v>380.66103559999999</v>
      </c>
      <c r="AM176" s="21">
        <f>SUM(AN176:AP176)</f>
        <v>45134.808181495879</v>
      </c>
      <c r="AN176" s="21">
        <f>(VLOOKUP(C176,$B$4:$AJ$7,12,FALSE)+VLOOKUP(C176,$B$8:$AJ$11,12,FALSE)*입력란!$P$4)*입력란!$P$25/100</f>
        <v>45134.808181495879</v>
      </c>
      <c r="AO176" s="21"/>
      <c r="AP176" s="21"/>
      <c r="AQ176" s="22">
        <v>6</v>
      </c>
    </row>
    <row r="177" spans="2:43" ht="13.5" customHeight="1" x14ac:dyDescent="0.55000000000000004">
      <c r="B177" s="66">
        <v>162</v>
      </c>
      <c r="C177" s="29">
        <v>10</v>
      </c>
      <c r="D177" s="30" t="s">
        <v>167</v>
      </c>
      <c r="E177" s="27" t="s">
        <v>94</v>
      </c>
      <c r="F177" s="29"/>
      <c r="G177" s="29"/>
      <c r="H177" s="36">
        <f>I177/AJ177</f>
        <v>62007.03670481954</v>
      </c>
      <c r="I177" s="37">
        <f>SUM(J177:Q177)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367569.40659771359</v>
      </c>
      <c r="J177" s="21">
        <f>S177*(1+IF($AK177+IF(입력란!$C$9=1,10,0)+IF(입력란!$C$26=1,10,0)+IF(MID(E177,1,1)="3",트라이포드!$H$13,0)&gt;100,100,$AK177+IF(입력란!$C$9=1,10,0)+IF(입력란!$C$26=1,10,0)+IF(MID(E177,1,1)="3",트라이포드!$H$13,0))/100*(($AL177+IF(입력란!$C$30=1,IF(OR(입력란!$C$9=1,입력란!$C$10=1),55,17),IF(입력란!$C$30=2,IF(OR(입력란!$C$9=1,입력란!$C$10=1),60,20),IF(입력란!$C$30=3,IF(OR(입력란!$C$9=1,입력란!$C$10=1),65,22),0))))/100-1))</f>
        <v>130149.92089714382</v>
      </c>
      <c r="K177" s="21">
        <f>T177*(1+IF($AK177+IF(입력란!$C$9=1,10,0)+IF(입력란!$C$26=1,10,0)+IF(MID(E177,1,1)="3",트라이포드!H$13,0)&gt;100,100,$AK177+IF(입력란!$C$9=1,10,0)+IF(입력란!$C$26=1,10,0)+IF(MID(E177,1,1)="3",트라이포드!H$13,0))/100*(($AL177+IF(입력란!$C$30=1,IF(OR(입력란!$C$9=1,입력란!$C$10=1),55,17),IF(입력란!$C$30=2,IF(OR(입력란!$C$9=1,입력란!$C$10=1),60,20),IF(입력란!$C$30=3,IF(OR(입력란!$C$9=1,입력란!$C$10=1),65,22),0))))/100-1))</f>
        <v>130149.92089714382</v>
      </c>
      <c r="L177" s="21">
        <f>U177*(1+IF($AK177+IF(입력란!$C$9=1,10,0)+IF(입력란!$C$26=1,10,0)+IF(MID(E177,1,1)="3",트라이포드!H$13,0)&gt;100,100,$AK177+IF(입력란!$C$9=1,10,0)+IF(입력란!$C$26=1,10,0)+IF(MID(E177,1,1)="3",트라이포드!H$13,0))/100*(($AL177+IF(입력란!$C$30=1,IF(OR(입력란!$C$9=1,입력란!$C$10=1),55,17),IF(입력란!$C$30=2,IF(OR(입력란!$C$9=1,입력란!$C$10=1),60,20),IF(입력란!$C$30=3,IF(OR(입력란!$C$9=1,입력란!$C$10=1),65,22),0))))/100-1))</f>
        <v>0</v>
      </c>
      <c r="M177" s="21"/>
      <c r="N177" s="21"/>
      <c r="O177" s="21"/>
      <c r="P177" s="21"/>
      <c r="Q177" s="20"/>
      <c r="R177" s="19">
        <f>SUM(S177:Z177)</f>
        <v>94820.057181141339</v>
      </c>
      <c r="S177" s="21">
        <f>AN177*IF(입력란!$C$12=0,1,IF(입력란!$C$12=1,1.35,IF(입력란!$C$12=2,1.55,IF(입력란!$C$12=3,1.75,1))))*IF(MID(E177,3,1)="1",트라이포드!$J$13,트라이포드!$I$13)*IF(MID(E177,5,1)="2",트라이포드!$R$13,트라이포드!$Q$13)*IF(입력란!$C$9=1,IF(입력란!$C$15=0,1.05,IF(입력란!$C$15=1,1.05*1.05,IF(입력란!$C$15=2,1.05*1.12,IF(입력란!$C$15=3,1.05*1.25)))),1)</f>
        <v>47410.02859057067</v>
      </c>
      <c r="T177" s="21">
        <f>AN177*IF(입력란!$C$12=0,1,IF(입력란!$C$12=1,1.35,IF(입력란!$C$12=2,1.55,IF(입력란!$C$12=3,1.75,1))))*IF(MID(E177,3,1)="1",트라이포드!$J$13,트라이포드!$I$13)*IF(MID(E177,5,1)="2",트라이포드!$R$13,트라이포드!$Q$13)*IF(입력란!$C$9=1,IF(입력란!$C$15=0,1.05,IF(입력란!$C$15=1,1.05*1.05,IF(입력란!$C$15=2,1.05*1.12,IF(입력란!$C$15=3,1.05*1.25)))),1)</f>
        <v>47410.02859057067</v>
      </c>
      <c r="U177" s="21">
        <f>AN177*IF(입력란!$C$12=0,1,IF(입력란!$C$12=1,1.35,IF(입력란!$C$12=2,1.55,IF(입력란!$C$12=3,1.75,1))))*IF(MID(E177,3,1)="1",트라이포드!$J$13,트라이포드!$I$13)*IF(MID(E177,5,1)="1",1,0)*IF(입력란!$C$9=1,IF(입력란!$C$15=0,1.05,IF(입력란!$C$15=1,1.05*1.05,IF(입력란!$C$15=2,1.05*1.12,IF(입력란!$C$15=3,1.05*1.25)))),1)</f>
        <v>0</v>
      </c>
      <c r="V177" s="21"/>
      <c r="W177" s="21"/>
      <c r="X177" s="21"/>
      <c r="Y177" s="21"/>
      <c r="Z177" s="20"/>
      <c r="AA177" s="21">
        <f>SUM(AB177:AI177)</f>
        <v>189640.11436228268</v>
      </c>
      <c r="AB177" s="21">
        <f>S177*2</f>
        <v>94820.057181141339</v>
      </c>
      <c r="AC177" s="21">
        <f>T177*2</f>
        <v>94820.057181141339</v>
      </c>
      <c r="AD177" s="21">
        <f>U177*2</f>
        <v>0</v>
      </c>
      <c r="AE177" s="21"/>
      <c r="AF177" s="21"/>
      <c r="AG177" s="21"/>
      <c r="AH177" s="21"/>
      <c r="AI177" s="20"/>
      <c r="AJ177" s="21">
        <f>AQ177*(1-입력란!$P$10/100)</f>
        <v>5.9278660315199998</v>
      </c>
      <c r="AK1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7" s="21">
        <f>입력란!$P$24+입력란!$P$16+IF(입력란!$C$18=1,10,IF(입력란!$C$18=2,25,IF(입력란!$C$18=3,50,0)))+IF(입력란!$C$23&lt;&gt;0,-12)</f>
        <v>380.66103559999999</v>
      </c>
      <c r="AM177" s="21">
        <f>SUM(AN177:AP177)</f>
        <v>45152.408181495877</v>
      </c>
      <c r="AN177" s="21">
        <f>(VLOOKUP(C177,$B$4:$AJ$7,12,FALSE)+VLOOKUP(C177,$B$8:$AJ$11,12,FALSE)*입력란!$P$4)*입력란!$P$25/100</f>
        <v>45152.408181495877</v>
      </c>
      <c r="AO177" s="21"/>
      <c r="AP177" s="21"/>
      <c r="AQ177" s="22">
        <v>6</v>
      </c>
    </row>
    <row r="178" spans="2:43" ht="13.5" customHeight="1" x14ac:dyDescent="0.55000000000000004">
      <c r="B178" s="66">
        <v>163</v>
      </c>
      <c r="C178" s="29">
        <v>10</v>
      </c>
      <c r="D178" s="30" t="s">
        <v>167</v>
      </c>
      <c r="E178" s="27" t="s">
        <v>121</v>
      </c>
      <c r="F178" s="29"/>
      <c r="G178" s="29"/>
      <c r="H178" s="36">
        <f>I178/AJ178</f>
        <v>93010.555057229329</v>
      </c>
      <c r="I178" s="37">
        <f>SUM(J178:Q178)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551354.10989657044</v>
      </c>
      <c r="J178" s="21">
        <f>S178*(1+IF($AK178+IF(입력란!$C$9=1,10,0)+IF(입력란!$C$26=1,10,0)+IF(MID(E178,1,1)="3",트라이포드!$H$13,0)&gt;100,100,$AK178+IF(입력란!$C$9=1,10,0)+IF(입력란!$C$26=1,10,0)+IF(MID(E178,1,1)="3",트라이포드!$H$13,0))/100*(($AL178+IF(입력란!$C$30=1,IF(OR(입력란!$C$9=1,입력란!$C$10=1),55,17),IF(입력란!$C$30=2,IF(OR(입력란!$C$9=1,입력란!$C$10=1),60,20),IF(입력란!$C$30=3,IF(OR(입력란!$C$9=1,입력란!$C$10=1),65,22),0))))/100-1))</f>
        <v>130149.92089714382</v>
      </c>
      <c r="K178" s="21">
        <f>T178*(1+IF($AK178+IF(입력란!$C$9=1,10,0)+IF(입력란!$C$26=1,10,0)+IF(MID(E178,1,1)="3",트라이포드!H$13,0)&gt;100,100,$AK178+IF(입력란!$C$9=1,10,0)+IF(입력란!$C$26=1,10,0)+IF(MID(E178,1,1)="3",트라이포드!H$13,0))/100*(($AL178+IF(입력란!$C$30=1,IF(OR(입력란!$C$9=1,입력란!$C$10=1),55,17),IF(입력란!$C$30=2,IF(OR(입력란!$C$9=1,입력란!$C$10=1),60,20),IF(입력란!$C$30=3,IF(OR(입력란!$C$9=1,입력란!$C$10=1),65,22),0))))/100-1))</f>
        <v>130149.92089714382</v>
      </c>
      <c r="L178" s="21">
        <f>U178*(1+IF($AK178+IF(입력란!$C$9=1,10,0)+IF(입력란!$C$26=1,10,0)+IF(MID(E178,1,1)="3",트라이포드!H$13,0)&gt;100,100,$AK178+IF(입력란!$C$9=1,10,0)+IF(입력란!$C$26=1,10,0)+IF(MID(E178,1,1)="3",트라이포드!H$13,0))/100*(($AL178+IF(입력란!$C$30=1,IF(OR(입력란!$C$9=1,입력란!$C$10=1),55,17),IF(입력란!$C$30=2,IF(OR(입력란!$C$9=1,입력란!$C$10=1),60,20),IF(입력란!$C$30=3,IF(OR(입력란!$C$9=1,입력란!$C$10=1),65,22),0))))/100-1))</f>
        <v>130149.92089714382</v>
      </c>
      <c r="M178" s="21"/>
      <c r="N178" s="21"/>
      <c r="O178" s="21"/>
      <c r="P178" s="21"/>
      <c r="Q178" s="20"/>
      <c r="R178" s="19">
        <f>SUM(S178:Z178)</f>
        <v>142230.08577171201</v>
      </c>
      <c r="S178" s="21">
        <f>AN178*IF(입력란!$C$12=0,1,IF(입력란!$C$12=1,1.35,IF(입력란!$C$12=2,1.55,IF(입력란!$C$12=3,1.75,1))))*IF(MID(E178,3,1)="1",트라이포드!$J$13,트라이포드!$I$13)*IF(MID(E178,5,1)="2",트라이포드!$R$13,트라이포드!$Q$13)*IF(입력란!$C$9=1,IF(입력란!$C$15=0,1.05,IF(입력란!$C$15=1,1.05*1.05,IF(입력란!$C$15=2,1.05*1.12,IF(입력란!$C$15=3,1.05*1.25)))),1)</f>
        <v>47410.02859057067</v>
      </c>
      <c r="T178" s="21">
        <f>AN178*IF(입력란!$C$12=0,1,IF(입력란!$C$12=1,1.35,IF(입력란!$C$12=2,1.55,IF(입력란!$C$12=3,1.75,1))))*IF(MID(E178,3,1)="1",트라이포드!$J$13,트라이포드!$I$13)*IF(MID(E178,5,1)="2",트라이포드!$R$13,트라이포드!$Q$13)*IF(입력란!$C$9=1,IF(입력란!$C$15=0,1.05,IF(입력란!$C$15=1,1.05*1.05,IF(입력란!$C$15=2,1.05*1.12,IF(입력란!$C$15=3,1.05*1.25)))),1)</f>
        <v>47410.02859057067</v>
      </c>
      <c r="U178" s="21">
        <f>AN178*IF(입력란!$C$12=0,1,IF(입력란!$C$12=1,1.35,IF(입력란!$C$12=2,1.55,IF(입력란!$C$12=3,1.75,1))))*IF(MID(E178,3,1)="1",트라이포드!$J$13,트라이포드!$I$13)*IF(MID(E178,5,1)="1",1,0)*IF(입력란!$C$9=1,IF(입력란!$C$15=0,1.05,IF(입력란!$C$15=1,1.05*1.05,IF(입력란!$C$15=2,1.05*1.12,IF(입력란!$C$15=3,1.05*1.25)))),1)</f>
        <v>47410.02859057067</v>
      </c>
      <c r="V178" s="21"/>
      <c r="W178" s="21"/>
      <c r="X178" s="21"/>
      <c r="Y178" s="21"/>
      <c r="Z178" s="20"/>
      <c r="AA178" s="21">
        <f>SUM(AB178:AI178)</f>
        <v>284460.17154342402</v>
      </c>
      <c r="AB178" s="21">
        <f>S178*2</f>
        <v>94820.057181141339</v>
      </c>
      <c r="AC178" s="21">
        <f>T178*2</f>
        <v>94820.057181141339</v>
      </c>
      <c r="AD178" s="21">
        <f>U178*2</f>
        <v>94820.057181141339</v>
      </c>
      <c r="AE178" s="21"/>
      <c r="AF178" s="21"/>
      <c r="AG178" s="21"/>
      <c r="AH178" s="21"/>
      <c r="AI178" s="20"/>
      <c r="AJ178" s="21">
        <f>AQ178*(1-입력란!$P$10/100)</f>
        <v>5.9278660315199998</v>
      </c>
      <c r="AK1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8" s="21">
        <f>입력란!$P$24+입력란!$P$16+IF(입력란!$C$18=1,10,IF(입력란!$C$18=2,25,IF(입력란!$C$18=3,50,0)))+IF(입력란!$C$23&lt;&gt;0,-12)</f>
        <v>380.66103559999999</v>
      </c>
      <c r="AM178" s="21">
        <f>SUM(AN178:AP178)</f>
        <v>45152.408181495877</v>
      </c>
      <c r="AN178" s="21">
        <f>(VLOOKUP(C178,$B$4:$AJ$7,12,FALSE)+VLOOKUP(C178,$B$8:$AJ$11,12,FALSE)*입력란!$P$4)*입력란!$P$25/100</f>
        <v>45152.408181495877</v>
      </c>
      <c r="AO178" s="21"/>
      <c r="AP178" s="21"/>
      <c r="AQ178" s="22">
        <v>6</v>
      </c>
    </row>
    <row r="179" spans="2:43" ht="13.5" customHeight="1" x14ac:dyDescent="0.55000000000000004">
      <c r="B179" s="66">
        <v>164</v>
      </c>
      <c r="C179" s="29">
        <v>10</v>
      </c>
      <c r="D179" s="30" t="s">
        <v>167</v>
      </c>
      <c r="E179" s="27" t="s">
        <v>122</v>
      </c>
      <c r="F179" s="29"/>
      <c r="G179" s="29"/>
      <c r="H179" s="36">
        <f>I179/AJ179</f>
        <v>93010.555057229329</v>
      </c>
      <c r="I179" s="37">
        <f>SUM(J179:Q179)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551354.10989657044</v>
      </c>
      <c r="J179" s="21">
        <f>S179*(1+IF($AK179+IF(입력란!$C$9=1,10,0)+IF(입력란!$C$26=1,10,0)+IF(MID(E179,1,1)="3",트라이포드!$H$13,0)&gt;100,100,$AK179+IF(입력란!$C$9=1,10,0)+IF(입력란!$C$26=1,10,0)+IF(MID(E179,1,1)="3",트라이포드!$H$13,0))/100*(($AL179+IF(입력란!$C$30=1,IF(OR(입력란!$C$9=1,입력란!$C$10=1),55,17),IF(입력란!$C$30=2,IF(OR(입력란!$C$9=1,입력란!$C$10=1),60,20),IF(입력란!$C$30=3,IF(OR(입력란!$C$9=1,입력란!$C$10=1),65,22),0))))/100-1))</f>
        <v>195224.88134571575</v>
      </c>
      <c r="K179" s="21">
        <f>T179*(1+IF($AK179+IF(입력란!$C$9=1,10,0)+IF(입력란!$C$26=1,10,0)+IF(MID(E179,1,1)="3",트라이포드!H$13,0)&gt;100,100,$AK179+IF(입력란!$C$9=1,10,0)+IF(입력란!$C$26=1,10,0)+IF(MID(E179,1,1)="3",트라이포드!H$13,0))/100*(($AL179+IF(입력란!$C$30=1,IF(OR(입력란!$C$9=1,입력란!$C$10=1),55,17),IF(입력란!$C$30=2,IF(OR(입력란!$C$9=1,입력란!$C$10=1),60,20),IF(입력란!$C$30=3,IF(OR(입력란!$C$9=1,입력란!$C$10=1),65,22),0))))/100-1))</f>
        <v>195224.88134571575</v>
      </c>
      <c r="L179" s="21">
        <f>U179*(1+IF($AK179+IF(입력란!$C$9=1,10,0)+IF(입력란!$C$26=1,10,0)+IF(MID(E179,1,1)="3",트라이포드!H$13,0)&gt;100,100,$AK179+IF(입력란!$C$9=1,10,0)+IF(입력란!$C$26=1,10,0)+IF(MID(E179,1,1)="3",트라이포드!H$13,0))/100*(($AL179+IF(입력란!$C$30=1,IF(OR(입력란!$C$9=1,입력란!$C$10=1),55,17),IF(입력란!$C$30=2,IF(OR(입력란!$C$9=1,입력란!$C$10=1),60,20),IF(입력란!$C$30=3,IF(OR(입력란!$C$9=1,입력란!$C$10=1),65,22),0))))/100-1))</f>
        <v>0</v>
      </c>
      <c r="M179" s="21"/>
      <c r="N179" s="21"/>
      <c r="O179" s="21"/>
      <c r="P179" s="21"/>
      <c r="Q179" s="20"/>
      <c r="R179" s="19">
        <f>SUM(S179:Z179)</f>
        <v>142230.08577171201</v>
      </c>
      <c r="S179" s="21">
        <f>AN179*IF(입력란!$C$12=0,1,IF(입력란!$C$12=1,1.35,IF(입력란!$C$12=2,1.55,IF(입력란!$C$12=3,1.75,1))))*IF(MID(E179,3,1)="1",트라이포드!$J$13,트라이포드!$I$13)*IF(MID(E179,5,1)="2",트라이포드!$R$13,트라이포드!$Q$13)*IF(입력란!$C$9=1,IF(입력란!$C$15=0,1.05,IF(입력란!$C$15=1,1.05*1.05,IF(입력란!$C$15=2,1.05*1.12,IF(입력란!$C$15=3,1.05*1.25)))),1)</f>
        <v>71115.042885856004</v>
      </c>
      <c r="T179" s="21">
        <f>AN179*IF(입력란!$C$12=0,1,IF(입력란!$C$12=1,1.35,IF(입력란!$C$12=2,1.55,IF(입력란!$C$12=3,1.75,1))))*IF(MID(E179,3,1)="1",트라이포드!$J$13,트라이포드!$I$13)*IF(MID(E179,5,1)="2",트라이포드!$R$13,트라이포드!$Q$13)*IF(입력란!$C$9=1,IF(입력란!$C$15=0,1.05,IF(입력란!$C$15=1,1.05*1.05,IF(입력란!$C$15=2,1.05*1.12,IF(입력란!$C$15=3,1.05*1.25)))),1)</f>
        <v>71115.042885856004</v>
      </c>
      <c r="U179" s="21">
        <f>AN179*IF(입력란!$C$12=0,1,IF(입력란!$C$12=1,1.35,IF(입력란!$C$12=2,1.55,IF(입력란!$C$12=3,1.75,1))))*IF(MID(E179,3,1)="1",트라이포드!$J$13,트라이포드!$I$13)*IF(MID(E179,5,1)="1",1,0)*IF(입력란!$C$9=1,IF(입력란!$C$15=0,1.05,IF(입력란!$C$15=1,1.05*1.05,IF(입력란!$C$15=2,1.05*1.12,IF(입력란!$C$15=3,1.05*1.25)))),1)</f>
        <v>0</v>
      </c>
      <c r="V179" s="21"/>
      <c r="W179" s="21"/>
      <c r="X179" s="21"/>
      <c r="Y179" s="21"/>
      <c r="Z179" s="20"/>
      <c r="AA179" s="21">
        <f>SUM(AB179:AI179)</f>
        <v>284460.17154342402</v>
      </c>
      <c r="AB179" s="21">
        <f>S179*2</f>
        <v>142230.08577171201</v>
      </c>
      <c r="AC179" s="21">
        <f>T179*2</f>
        <v>142230.08577171201</v>
      </c>
      <c r="AD179" s="21">
        <f>U179*2</f>
        <v>0</v>
      </c>
      <c r="AE179" s="21"/>
      <c r="AF179" s="21"/>
      <c r="AG179" s="21"/>
      <c r="AH179" s="21"/>
      <c r="AI179" s="20"/>
      <c r="AJ179" s="21">
        <f>AQ179*(1-입력란!$P$10/100)</f>
        <v>5.9278660315199998</v>
      </c>
      <c r="AK1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79" s="21">
        <f>입력란!$P$24+입력란!$P$16+IF(입력란!$C$18=1,10,IF(입력란!$C$18=2,25,IF(입력란!$C$18=3,50,0)))+IF(입력란!$C$23&lt;&gt;0,-12)</f>
        <v>380.66103559999999</v>
      </c>
      <c r="AM179" s="21">
        <f>SUM(AN179:AP179)</f>
        <v>45152.408181495877</v>
      </c>
      <c r="AN179" s="21">
        <f>(VLOOKUP(C179,$B$4:$AJ$7,12,FALSE)+VLOOKUP(C179,$B$8:$AJ$11,12,FALSE)*입력란!$P$4)*입력란!$P$25/100</f>
        <v>45152.408181495877</v>
      </c>
      <c r="AO179" s="21"/>
      <c r="AP179" s="21"/>
      <c r="AQ179" s="22">
        <v>6</v>
      </c>
    </row>
    <row r="180" spans="2:43" ht="13.5" customHeight="1" x14ac:dyDescent="0.55000000000000004">
      <c r="B180" s="66">
        <v>165</v>
      </c>
      <c r="C180" s="29">
        <v>10</v>
      </c>
      <c r="D180" s="30" t="s">
        <v>167</v>
      </c>
      <c r="E180" s="27" t="s">
        <v>96</v>
      </c>
      <c r="F180" s="29"/>
      <c r="G180" s="29"/>
      <c r="H180" s="36">
        <f>I180/AJ180</f>
        <v>86809.851386747352</v>
      </c>
      <c r="I180" s="37">
        <f>SUM(J180:Q180)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514597.169236799</v>
      </c>
      <c r="J180" s="21">
        <f>S180*(1+IF($AK180+IF(입력란!$C$9=1,10,0)+IF(입력란!$C$26=1,10,0)+IF(MID(E180,1,1)="3",트라이포드!$H$13,0)&gt;100,100,$AK180+IF(입력란!$C$9=1,10,0)+IF(입력란!$C$26=1,10,0)+IF(MID(E180,1,1)="3",트라이포드!$H$13,0))/100*(($AL180+IF(입력란!$C$30=1,IF(OR(입력란!$C$9=1,입력란!$C$10=1),55,17),IF(입력란!$C$30=2,IF(OR(입력란!$C$9=1,입력란!$C$10=1),60,20),IF(입력란!$C$30=3,IF(OR(입력란!$C$9=1,입력란!$C$10=1),65,22),0))))/100-1))</f>
        <v>182209.88925600133</v>
      </c>
      <c r="K180" s="21">
        <f>T180*(1+IF($AK180+IF(입력란!$C$9=1,10,0)+IF(입력란!$C$26=1,10,0)+IF(MID(E180,1,1)="3",트라이포드!H$13,0)&gt;100,100,$AK180+IF(입력란!$C$9=1,10,0)+IF(입력란!$C$26=1,10,0)+IF(MID(E180,1,1)="3",트라이포드!H$13,0))/100*(($AL180+IF(입력란!$C$30=1,IF(OR(입력란!$C$9=1,입력란!$C$10=1),55,17),IF(입력란!$C$30=2,IF(OR(입력란!$C$9=1,입력란!$C$10=1),60,20),IF(입력란!$C$30=3,IF(OR(입력란!$C$9=1,입력란!$C$10=1),65,22),0))))/100-1))</f>
        <v>182209.88925600133</v>
      </c>
      <c r="L180" s="21">
        <f>U180*(1+IF($AK180+IF(입력란!$C$9=1,10,0)+IF(입력란!$C$26=1,10,0)+IF(MID(E180,1,1)="3",트라이포드!H$13,0)&gt;100,100,$AK180+IF(입력란!$C$9=1,10,0)+IF(입력란!$C$26=1,10,0)+IF(MID(E180,1,1)="3",트라이포드!H$13,0))/100*(($AL180+IF(입력란!$C$30=1,IF(OR(입력란!$C$9=1,입력란!$C$10=1),55,17),IF(입력란!$C$30=2,IF(OR(입력란!$C$9=1,입력란!$C$10=1),60,20),IF(입력란!$C$30=3,IF(OR(입력란!$C$9=1,입력란!$C$10=1),65,22),0))))/100-1))</f>
        <v>0</v>
      </c>
      <c r="M180" s="21"/>
      <c r="N180" s="21"/>
      <c r="O180" s="21"/>
      <c r="P180" s="21"/>
      <c r="Q180" s="20"/>
      <c r="R180" s="19">
        <f>SUM(S180:Z180)</f>
        <v>132748.08005359786</v>
      </c>
      <c r="S180" s="21">
        <f>AN180*IF(입력란!$C$12=0,1,IF(입력란!$C$12=1,1.35,IF(입력란!$C$12=2,1.55,IF(입력란!$C$12=3,1.75,1))))*IF(MID(E180,3,1)="1",트라이포드!$J$13,트라이포드!$I$13)*IF(MID(E180,5,1)="2",트라이포드!$R$13,트라이포드!$Q$13)*IF(입력란!$C$9=1,IF(입력란!$C$15=0,1.05,IF(입력란!$C$15=1,1.05*1.05,IF(입력란!$C$15=2,1.05*1.12,IF(입력란!$C$15=3,1.05*1.25)))),1)</f>
        <v>66374.040026798932</v>
      </c>
      <c r="T180" s="21">
        <f>AN180*IF(입력란!$C$12=0,1,IF(입력란!$C$12=1,1.35,IF(입력란!$C$12=2,1.55,IF(입력란!$C$12=3,1.75,1))))*IF(MID(E180,3,1)="1",트라이포드!$J$13,트라이포드!$I$13)*IF(MID(E180,5,1)="2",트라이포드!$R$13,트라이포드!$Q$13)*IF(입력란!$C$9=1,IF(입력란!$C$15=0,1.05,IF(입력란!$C$15=1,1.05*1.05,IF(입력란!$C$15=2,1.05*1.12,IF(입력란!$C$15=3,1.05*1.25)))),1)</f>
        <v>66374.040026798932</v>
      </c>
      <c r="U180" s="21">
        <f>AN180*IF(입력란!$C$12=0,1,IF(입력란!$C$12=1,1.35,IF(입력란!$C$12=2,1.55,IF(입력란!$C$12=3,1.75,1))))*IF(MID(E180,3,1)="1",트라이포드!$J$13,트라이포드!$I$13)*IF(MID(E180,5,1)="1",1,0)*IF(입력란!$C$9=1,IF(입력란!$C$15=0,1.05,IF(입력란!$C$15=1,1.05*1.05,IF(입력란!$C$15=2,1.05*1.12,IF(입력란!$C$15=3,1.05*1.25)))),1)</f>
        <v>0</v>
      </c>
      <c r="V180" s="21"/>
      <c r="W180" s="21"/>
      <c r="X180" s="21"/>
      <c r="Y180" s="21"/>
      <c r="Z180" s="20"/>
      <c r="AA180" s="21">
        <f>SUM(AB180:AI180)</f>
        <v>265496.16010719573</v>
      </c>
      <c r="AB180" s="21">
        <f>S180*2</f>
        <v>132748.08005359786</v>
      </c>
      <c r="AC180" s="21">
        <f>T180*2</f>
        <v>132748.08005359786</v>
      </c>
      <c r="AD180" s="21">
        <f>U180*2</f>
        <v>0</v>
      </c>
      <c r="AE180" s="21"/>
      <c r="AF180" s="21"/>
      <c r="AG180" s="21"/>
      <c r="AH180" s="21"/>
      <c r="AI180" s="20"/>
      <c r="AJ180" s="21">
        <f>AQ180*(1-입력란!$P$10/100)</f>
        <v>5.9278660315199998</v>
      </c>
      <c r="AK1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0" s="21">
        <f>입력란!$P$24+입력란!$P$16+IF(입력란!$C$18=1,10,IF(입력란!$C$18=2,25,IF(입력란!$C$18=3,50,0)))+IF(입력란!$C$23&lt;&gt;0,-12)</f>
        <v>380.66103559999999</v>
      </c>
      <c r="AM180" s="21">
        <f>SUM(AN180:AP180)</f>
        <v>45152.408181495877</v>
      </c>
      <c r="AN180" s="21">
        <f>(VLOOKUP(C180,$B$4:$AJ$7,12,FALSE)+VLOOKUP(C180,$B$8:$AJ$11,12,FALSE)*입력란!$P$4)*입력란!$P$25/100</f>
        <v>45152.408181495877</v>
      </c>
      <c r="AO180" s="21"/>
      <c r="AP180" s="21"/>
      <c r="AQ180" s="22">
        <v>6</v>
      </c>
    </row>
    <row r="181" spans="2:43" ht="13.5" customHeight="1" x14ac:dyDescent="0.55000000000000004">
      <c r="B181" s="66">
        <v>166</v>
      </c>
      <c r="C181" s="29">
        <v>10</v>
      </c>
      <c r="D181" s="30" t="s">
        <v>167</v>
      </c>
      <c r="E181" s="27" t="s">
        <v>145</v>
      </c>
      <c r="F181" s="29"/>
      <c r="G181" s="29"/>
      <c r="H181" s="36">
        <f>I181/AJ181</f>
        <v>130214.77708012103</v>
      </c>
      <c r="I181" s="37">
        <f>SUM(J181:Q181)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771895.75385519851</v>
      </c>
      <c r="J181" s="21">
        <f>S181*(1+IF($AK181+IF(입력란!$C$9=1,10,0)+IF(입력란!$C$26=1,10,0)+IF(MID(E181,1,1)="3",트라이포드!$H$13,0)&gt;100,100,$AK181+IF(입력란!$C$9=1,10,0)+IF(입력란!$C$26=1,10,0)+IF(MID(E181,1,1)="3",트라이포드!$H$13,0))/100*(($AL181+IF(입력란!$C$30=1,IF(OR(입력란!$C$9=1,입력란!$C$10=1),55,17),IF(입력란!$C$30=2,IF(OR(입력란!$C$9=1,입력란!$C$10=1),60,20),IF(입력란!$C$30=3,IF(OR(입력란!$C$9=1,입력란!$C$10=1),65,22),0))))/100-1))</f>
        <v>182209.88925600133</v>
      </c>
      <c r="K181" s="21">
        <f>T181*(1+IF($AK181+IF(입력란!$C$9=1,10,0)+IF(입력란!$C$26=1,10,0)+IF(MID(E181,1,1)="3",트라이포드!H$13,0)&gt;100,100,$AK181+IF(입력란!$C$9=1,10,0)+IF(입력란!$C$26=1,10,0)+IF(MID(E181,1,1)="3",트라이포드!H$13,0))/100*(($AL181+IF(입력란!$C$30=1,IF(OR(입력란!$C$9=1,입력란!$C$10=1),55,17),IF(입력란!$C$30=2,IF(OR(입력란!$C$9=1,입력란!$C$10=1),60,20),IF(입력란!$C$30=3,IF(OR(입력란!$C$9=1,입력란!$C$10=1),65,22),0))))/100-1))</f>
        <v>182209.88925600133</v>
      </c>
      <c r="L181" s="21">
        <f>U181*(1+IF($AK181+IF(입력란!$C$9=1,10,0)+IF(입력란!$C$26=1,10,0)+IF(MID(E181,1,1)="3",트라이포드!H$13,0)&gt;100,100,$AK181+IF(입력란!$C$9=1,10,0)+IF(입력란!$C$26=1,10,0)+IF(MID(E181,1,1)="3",트라이포드!H$13,0))/100*(($AL181+IF(입력란!$C$30=1,IF(OR(입력란!$C$9=1,입력란!$C$10=1),55,17),IF(입력란!$C$30=2,IF(OR(입력란!$C$9=1,입력란!$C$10=1),60,20),IF(입력란!$C$30=3,IF(OR(입력란!$C$9=1,입력란!$C$10=1),65,22),0))))/100-1))</f>
        <v>182209.88925600133</v>
      </c>
      <c r="M181" s="21"/>
      <c r="N181" s="21"/>
      <c r="O181" s="21"/>
      <c r="P181" s="21"/>
      <c r="Q181" s="20"/>
      <c r="R181" s="19">
        <f>SUM(S181:Z181)</f>
        <v>199122.12008039679</v>
      </c>
      <c r="S181" s="21">
        <f>AN181*IF(입력란!$C$12=0,1,IF(입력란!$C$12=1,1.35,IF(입력란!$C$12=2,1.55,IF(입력란!$C$12=3,1.75,1))))*IF(MID(E181,3,1)="1",트라이포드!$J$13,트라이포드!$I$13)*IF(MID(E181,5,1)="2",트라이포드!$R$13,트라이포드!$Q$13)*IF(입력란!$C$9=1,IF(입력란!$C$15=0,1.05,IF(입력란!$C$15=1,1.05*1.05,IF(입력란!$C$15=2,1.05*1.12,IF(입력란!$C$15=3,1.05*1.25)))),1)</f>
        <v>66374.040026798932</v>
      </c>
      <c r="T181" s="21">
        <f>AN181*IF(입력란!$C$12=0,1,IF(입력란!$C$12=1,1.35,IF(입력란!$C$12=2,1.55,IF(입력란!$C$12=3,1.75,1))))*IF(MID(E181,3,1)="1",트라이포드!$J$13,트라이포드!$I$13)*IF(MID(E181,5,1)="2",트라이포드!$R$13,트라이포드!$Q$13)*IF(입력란!$C$9=1,IF(입력란!$C$15=0,1.05,IF(입력란!$C$15=1,1.05*1.05,IF(입력란!$C$15=2,1.05*1.12,IF(입력란!$C$15=3,1.05*1.25)))),1)</f>
        <v>66374.040026798932</v>
      </c>
      <c r="U181" s="21">
        <f>AN181*IF(입력란!$C$12=0,1,IF(입력란!$C$12=1,1.35,IF(입력란!$C$12=2,1.55,IF(입력란!$C$12=3,1.75,1))))*IF(MID(E181,3,1)="1",트라이포드!$J$13,트라이포드!$I$13)*IF(MID(E181,5,1)="1",1,0)*IF(입력란!$C$9=1,IF(입력란!$C$15=0,1.05,IF(입력란!$C$15=1,1.05*1.05,IF(입력란!$C$15=2,1.05*1.12,IF(입력란!$C$15=3,1.05*1.25)))),1)</f>
        <v>66374.040026798932</v>
      </c>
      <c r="V181" s="21"/>
      <c r="W181" s="21"/>
      <c r="X181" s="21"/>
      <c r="Y181" s="21"/>
      <c r="Z181" s="20"/>
      <c r="AA181" s="21">
        <f>SUM(AB181:AI181)</f>
        <v>398244.24016079359</v>
      </c>
      <c r="AB181" s="21">
        <f>S181*2</f>
        <v>132748.08005359786</v>
      </c>
      <c r="AC181" s="21">
        <f>T181*2</f>
        <v>132748.08005359786</v>
      </c>
      <c r="AD181" s="21">
        <f>U181*2</f>
        <v>132748.08005359786</v>
      </c>
      <c r="AE181" s="21"/>
      <c r="AF181" s="21"/>
      <c r="AG181" s="21"/>
      <c r="AH181" s="21"/>
      <c r="AI181" s="20"/>
      <c r="AJ181" s="21">
        <f>AQ181*(1-입력란!$P$10/100)</f>
        <v>5.9278660315199998</v>
      </c>
      <c r="AK1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1" s="21">
        <f>입력란!$P$24+입력란!$P$16+IF(입력란!$C$18=1,10,IF(입력란!$C$18=2,25,IF(입력란!$C$18=3,50,0)))+IF(입력란!$C$23&lt;&gt;0,-12)</f>
        <v>380.66103559999999</v>
      </c>
      <c r="AM181" s="21">
        <f>SUM(AN181:AP181)</f>
        <v>45152.408181495877</v>
      </c>
      <c r="AN181" s="21">
        <f>(VLOOKUP(C181,$B$4:$AJ$7,12,FALSE)+VLOOKUP(C181,$B$8:$AJ$11,12,FALSE)*입력란!$P$4)*입력란!$P$25/100</f>
        <v>45152.408181495877</v>
      </c>
      <c r="AO181" s="21"/>
      <c r="AP181" s="21"/>
      <c r="AQ181" s="22">
        <v>6</v>
      </c>
    </row>
    <row r="182" spans="2:43" ht="13.5" customHeight="1" x14ac:dyDescent="0.55000000000000004">
      <c r="B182" s="66">
        <v>167</v>
      </c>
      <c r="C182" s="29">
        <v>10</v>
      </c>
      <c r="D182" s="30" t="s">
        <v>167</v>
      </c>
      <c r="E182" s="27" t="s">
        <v>146</v>
      </c>
      <c r="F182" s="29"/>
      <c r="G182" s="29"/>
      <c r="H182" s="36">
        <f>I182/AJ182</f>
        <v>130214.77708012107</v>
      </c>
      <c r="I182" s="37">
        <f>SUM(J182:Q182)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771895.75385519874</v>
      </c>
      <c r="J182" s="21">
        <f>S182*(1+IF($AK182+IF(입력란!$C$9=1,10,0)+IF(입력란!$C$26=1,10,0)+IF(MID(E182,1,1)="3",트라이포드!$H$13,0)&gt;100,100,$AK182+IF(입력란!$C$9=1,10,0)+IF(입력란!$C$26=1,10,0)+IF(MID(E182,1,1)="3",트라이포드!$H$13,0))/100*(($AL182+IF(입력란!$C$30=1,IF(OR(입력란!$C$9=1,입력란!$C$10=1),55,17),IF(입력란!$C$30=2,IF(OR(입력란!$C$9=1,입력란!$C$10=1),60,20),IF(입력란!$C$30=3,IF(OR(입력란!$C$9=1,입력란!$C$10=1),65,22),0))))/100-1))</f>
        <v>273314.83388400206</v>
      </c>
      <c r="K182" s="21">
        <f>T182*(1+IF($AK182+IF(입력란!$C$9=1,10,0)+IF(입력란!$C$26=1,10,0)+IF(MID(E182,1,1)="3",트라이포드!H$13,0)&gt;100,100,$AK182+IF(입력란!$C$9=1,10,0)+IF(입력란!$C$26=1,10,0)+IF(MID(E182,1,1)="3",트라이포드!H$13,0))/100*(($AL182+IF(입력란!$C$30=1,IF(OR(입력란!$C$9=1,입력란!$C$10=1),55,17),IF(입력란!$C$30=2,IF(OR(입력란!$C$9=1,입력란!$C$10=1),60,20),IF(입력란!$C$30=3,IF(OR(입력란!$C$9=1,입력란!$C$10=1),65,22),0))))/100-1))</f>
        <v>273314.83388400206</v>
      </c>
      <c r="L182" s="21">
        <f>U182*(1+IF($AK182+IF(입력란!$C$9=1,10,0)+IF(입력란!$C$26=1,10,0)+IF(MID(E182,1,1)="3",트라이포드!H$13,0)&gt;100,100,$AK182+IF(입력란!$C$9=1,10,0)+IF(입력란!$C$26=1,10,0)+IF(MID(E182,1,1)="3",트라이포드!H$13,0))/100*(($AL182+IF(입력란!$C$30=1,IF(OR(입력란!$C$9=1,입력란!$C$10=1),55,17),IF(입력란!$C$30=2,IF(OR(입력란!$C$9=1,입력란!$C$10=1),60,20),IF(입력란!$C$30=3,IF(OR(입력란!$C$9=1,입력란!$C$10=1),65,22),0))))/100-1))</f>
        <v>0</v>
      </c>
      <c r="M182" s="21"/>
      <c r="N182" s="21"/>
      <c r="O182" s="21"/>
      <c r="P182" s="21"/>
      <c r="Q182" s="20"/>
      <c r="R182" s="19">
        <f>SUM(S182:Z182)</f>
        <v>199122.12008039682</v>
      </c>
      <c r="S182" s="21">
        <f>AN182*IF(입력란!$C$12=0,1,IF(입력란!$C$12=1,1.35,IF(입력란!$C$12=2,1.55,IF(입력란!$C$12=3,1.75,1))))*IF(MID(E182,3,1)="1",트라이포드!$J$13,트라이포드!$I$13)*IF(MID(E182,5,1)="2",트라이포드!$R$13,트라이포드!$Q$13)*IF(입력란!$C$9=1,IF(입력란!$C$15=0,1.05,IF(입력란!$C$15=1,1.05*1.05,IF(입력란!$C$15=2,1.05*1.12,IF(입력란!$C$15=3,1.05*1.25)))),1)</f>
        <v>99561.060040198412</v>
      </c>
      <c r="T182" s="21">
        <f>AN182*IF(입력란!$C$12=0,1,IF(입력란!$C$12=1,1.35,IF(입력란!$C$12=2,1.55,IF(입력란!$C$12=3,1.75,1))))*IF(MID(E182,3,1)="1",트라이포드!$J$13,트라이포드!$I$13)*IF(MID(E182,5,1)="2",트라이포드!$R$13,트라이포드!$Q$13)*IF(입력란!$C$9=1,IF(입력란!$C$15=0,1.05,IF(입력란!$C$15=1,1.05*1.05,IF(입력란!$C$15=2,1.05*1.12,IF(입력란!$C$15=3,1.05*1.25)))),1)</f>
        <v>99561.060040198412</v>
      </c>
      <c r="U182" s="21">
        <f>AN182*IF(입력란!$C$12=0,1,IF(입력란!$C$12=1,1.35,IF(입력란!$C$12=2,1.55,IF(입력란!$C$12=3,1.75,1))))*IF(MID(E182,3,1)="1",트라이포드!$J$13,트라이포드!$I$13)*IF(MID(E182,5,1)="1",1,0)*IF(입력란!$C$9=1,IF(입력란!$C$15=0,1.05,IF(입력란!$C$15=1,1.05*1.05,IF(입력란!$C$15=2,1.05*1.12,IF(입력란!$C$15=3,1.05*1.25)))),1)</f>
        <v>0</v>
      </c>
      <c r="V182" s="21"/>
      <c r="W182" s="21"/>
      <c r="X182" s="21"/>
      <c r="Y182" s="21"/>
      <c r="Z182" s="20"/>
      <c r="AA182" s="21">
        <f>SUM(AB182:AI182)</f>
        <v>398244.24016079365</v>
      </c>
      <c r="AB182" s="21">
        <f>S182*2</f>
        <v>199122.12008039682</v>
      </c>
      <c r="AC182" s="21">
        <f>T182*2</f>
        <v>199122.12008039682</v>
      </c>
      <c r="AD182" s="21">
        <f>U182*2</f>
        <v>0</v>
      </c>
      <c r="AE182" s="21"/>
      <c r="AF182" s="21"/>
      <c r="AG182" s="21"/>
      <c r="AH182" s="21"/>
      <c r="AI182" s="20"/>
      <c r="AJ182" s="21">
        <f>AQ182*(1-입력란!$P$10/100)</f>
        <v>5.9278660315199998</v>
      </c>
      <c r="AK1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2" s="21">
        <f>입력란!$P$24+입력란!$P$16+IF(입력란!$C$18=1,10,IF(입력란!$C$18=2,25,IF(입력란!$C$18=3,50,0)))+IF(입력란!$C$23&lt;&gt;0,-12)</f>
        <v>380.66103559999999</v>
      </c>
      <c r="AM182" s="21">
        <f>SUM(AN182:AP182)</f>
        <v>45152.408181495877</v>
      </c>
      <c r="AN182" s="21">
        <f>(VLOOKUP(C182,$B$4:$AJ$7,12,FALSE)+VLOOKUP(C182,$B$8:$AJ$11,12,FALSE)*입력란!$P$4)*입력란!$P$25/100</f>
        <v>45152.408181495877</v>
      </c>
      <c r="AO182" s="21"/>
      <c r="AP182" s="21"/>
      <c r="AQ182" s="22">
        <v>6</v>
      </c>
    </row>
    <row r="183" spans="2:43" ht="13.5" customHeight="1" x14ac:dyDescent="0.55000000000000004">
      <c r="B183" s="66">
        <v>168</v>
      </c>
      <c r="C183" s="29">
        <v>10</v>
      </c>
      <c r="D183" s="30" t="s">
        <v>167</v>
      </c>
      <c r="E183" s="27" t="s">
        <v>95</v>
      </c>
      <c r="F183" s="29"/>
      <c r="G183" s="29"/>
      <c r="H183" s="36">
        <f>I183/AJ183</f>
        <v>71516.16415392427</v>
      </c>
      <c r="I183" s="37">
        <f>SUM(J183:Q183)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423938.24019265594</v>
      </c>
      <c r="J183" s="21">
        <f>S183*(1+IF($AK183+IF(입력란!$C$9=1,10,0)+IF(입력란!$C$26=1,10,0)+IF(MID(E183,1,1)="3",트라이포드!$H$13,0)&gt;100,100,$AK183+IF(입력란!$C$9=1,10,0)+IF(입력란!$C$26=1,10,0)+IF(MID(E183,1,1)="3",트라이포드!$H$13,0))/100*(($AL183+IF(입력란!$C$30=1,IF(OR(입력란!$C$9=1,입력란!$C$10=1),55,17),IF(입력란!$C$30=2,IF(OR(입력란!$C$9=1,입력란!$C$10=1),60,20),IF(입력란!$C$30=3,IF(OR(입력란!$C$9=1,입력란!$C$10=1),65,22),0))))/100-1))</f>
        <v>150109.14248022658</v>
      </c>
      <c r="K183" s="21">
        <f>T183*(1+IF($AK183+IF(입력란!$C$9=1,10,0)+IF(입력란!$C$26=1,10,0)+IF(MID(E183,1,1)="3",트라이포드!H$13,0)&gt;100,100,$AK183+IF(입력란!$C$9=1,10,0)+IF(입력란!$C$26=1,10,0)+IF(MID(E183,1,1)="3",트라이포드!H$13,0))/100*(($AL183+IF(입력란!$C$30=1,IF(OR(입력란!$C$9=1,입력란!$C$10=1),55,17),IF(입력란!$C$30=2,IF(OR(입력란!$C$9=1,입력란!$C$10=1),60,20),IF(입력란!$C$30=3,IF(OR(입력란!$C$9=1,입력란!$C$10=1),65,22),0))))/100-1))</f>
        <v>150109.14248022658</v>
      </c>
      <c r="L183" s="21">
        <f>U183*(1+IF($AK183+IF(입력란!$C$9=1,10,0)+IF(입력란!$C$26=1,10,0)+IF(MID(E183,1,1)="3",트라이포드!H$13,0)&gt;100,100,$AK183+IF(입력란!$C$9=1,10,0)+IF(입력란!$C$26=1,10,0)+IF(MID(E183,1,1)="3",트라이포드!H$13,0))/100*(($AL183+IF(입력란!$C$30=1,IF(OR(입력란!$C$9=1,입력란!$C$10=1),55,17),IF(입력란!$C$30=2,IF(OR(입력란!$C$9=1,입력란!$C$10=1),60,20),IF(입력란!$C$30=3,IF(OR(입력란!$C$9=1,입력란!$C$10=1),65,22),0))))/100-1))</f>
        <v>0</v>
      </c>
      <c r="M183" s="21"/>
      <c r="N183" s="21"/>
      <c r="O183" s="21"/>
      <c r="P183" s="21"/>
      <c r="Q183" s="20"/>
      <c r="R183" s="19">
        <f>SUM(S183:Z183)</f>
        <v>94820.057181141339</v>
      </c>
      <c r="S183" s="21">
        <f>AN183*IF(입력란!$C$12=0,1,IF(입력란!$C$12=1,1.35,IF(입력란!$C$12=2,1.55,IF(입력란!$C$12=3,1.75,1))))*IF(MID(E183,3,1)="1",트라이포드!$J$13,트라이포드!$I$13)*IF(MID(E183,5,1)="2",트라이포드!$R$13,트라이포드!$Q$13)*IF(입력란!$C$9=1,IF(입력란!$C$15=0,1.05,IF(입력란!$C$15=1,1.05*1.05,IF(입력란!$C$15=2,1.05*1.12,IF(입력란!$C$15=3,1.05*1.25)))),1)</f>
        <v>47410.02859057067</v>
      </c>
      <c r="T183" s="21">
        <f>AN183*IF(입력란!$C$12=0,1,IF(입력란!$C$12=1,1.35,IF(입력란!$C$12=2,1.55,IF(입력란!$C$12=3,1.75,1))))*IF(MID(E183,3,1)="1",트라이포드!$J$13,트라이포드!$I$13)*IF(MID(E183,5,1)="2",트라이포드!$R$13,트라이포드!$Q$13)*IF(입력란!$C$9=1,IF(입력란!$C$15=0,1.05,IF(입력란!$C$15=1,1.05*1.05,IF(입력란!$C$15=2,1.05*1.12,IF(입력란!$C$15=3,1.05*1.25)))),1)</f>
        <v>47410.02859057067</v>
      </c>
      <c r="U183" s="21">
        <f>AN183*IF(입력란!$C$12=0,1,IF(입력란!$C$12=1,1.35,IF(입력란!$C$12=2,1.55,IF(입력란!$C$12=3,1.75,1))))*IF(MID(E183,3,1)="1",트라이포드!$J$13,트라이포드!$I$13)*IF(MID(E183,5,1)="1",1,0)*IF(입력란!$C$9=1,IF(입력란!$C$15=0,1.05,IF(입력란!$C$15=1,1.05*1.05,IF(입력란!$C$15=2,1.05*1.12,IF(입력란!$C$15=3,1.05*1.25)))),1)</f>
        <v>0</v>
      </c>
      <c r="V183" s="21"/>
      <c r="W183" s="21"/>
      <c r="X183" s="21"/>
      <c r="Y183" s="21"/>
      <c r="Z183" s="20"/>
      <c r="AA183" s="21">
        <f>SUM(AB183:AI183)</f>
        <v>189640.11436228268</v>
      </c>
      <c r="AB183" s="21">
        <f>S183*2</f>
        <v>94820.057181141339</v>
      </c>
      <c r="AC183" s="21">
        <f>T183*2</f>
        <v>94820.057181141339</v>
      </c>
      <c r="AD183" s="21">
        <f>U183*2</f>
        <v>0</v>
      </c>
      <c r="AE183" s="21"/>
      <c r="AF183" s="21"/>
      <c r="AG183" s="21"/>
      <c r="AH183" s="21"/>
      <c r="AI183" s="20"/>
      <c r="AJ183" s="21">
        <f>AQ183*(1-입력란!$P$10/100)</f>
        <v>5.9278660315199998</v>
      </c>
      <c r="AK1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3" s="21">
        <f>입력란!$P$24+입력란!$P$16+IF(입력란!$C$18=1,10,IF(입력란!$C$18=2,25,IF(입력란!$C$18=3,50,0)))+IF(입력란!$C$23&lt;&gt;0,-12)</f>
        <v>380.66103559999999</v>
      </c>
      <c r="AM183" s="21">
        <f>SUM(AN183:AP183)</f>
        <v>45152.408181495877</v>
      </c>
      <c r="AN183" s="21">
        <f>(VLOOKUP(C183,$B$4:$AJ$7,12,FALSE)+VLOOKUP(C183,$B$8:$AJ$11,12,FALSE)*입력란!$P$4)*입력란!$P$25/100</f>
        <v>45152.408181495877</v>
      </c>
      <c r="AO183" s="21"/>
      <c r="AP183" s="21"/>
      <c r="AQ183" s="22">
        <v>6</v>
      </c>
    </row>
    <row r="184" spans="2:43" ht="13.5" customHeight="1" x14ac:dyDescent="0.55000000000000004">
      <c r="B184" s="66">
        <v>169</v>
      </c>
      <c r="C184" s="29">
        <v>10</v>
      </c>
      <c r="D184" s="30" t="s">
        <v>167</v>
      </c>
      <c r="E184" s="27" t="s">
        <v>110</v>
      </c>
      <c r="F184" s="29"/>
      <c r="G184" s="29"/>
      <c r="H184" s="36">
        <f>I184/AJ184</f>
        <v>107274.24623088641</v>
      </c>
      <c r="I184" s="37">
        <f>SUM(J184:Q184)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635907.36028898391</v>
      </c>
      <c r="J184" s="21">
        <f>S184*(1+IF($AK184+IF(입력란!$C$9=1,10,0)+IF(입력란!$C$26=1,10,0)+IF(MID(E184,1,1)="3",트라이포드!$H$13,0)&gt;100,100,$AK184+IF(입력란!$C$9=1,10,0)+IF(입력란!$C$26=1,10,0)+IF(MID(E184,1,1)="3",트라이포드!$H$13,0))/100*(($AL184+IF(입력란!$C$30=1,IF(OR(입력란!$C$9=1,입력란!$C$10=1),55,17),IF(입력란!$C$30=2,IF(OR(입력란!$C$9=1,입력란!$C$10=1),60,20),IF(입력란!$C$30=3,IF(OR(입력란!$C$9=1,입력란!$C$10=1),65,22),0))))/100-1))</f>
        <v>150109.14248022658</v>
      </c>
      <c r="K184" s="21">
        <f>T184*(1+IF($AK184+IF(입력란!$C$9=1,10,0)+IF(입력란!$C$26=1,10,0)+IF(MID(E184,1,1)="3",트라이포드!H$13,0)&gt;100,100,$AK184+IF(입력란!$C$9=1,10,0)+IF(입력란!$C$26=1,10,0)+IF(MID(E184,1,1)="3",트라이포드!H$13,0))/100*(($AL184+IF(입력란!$C$30=1,IF(OR(입력란!$C$9=1,입력란!$C$10=1),55,17),IF(입력란!$C$30=2,IF(OR(입력란!$C$9=1,입력란!$C$10=1),60,20),IF(입력란!$C$30=3,IF(OR(입력란!$C$9=1,입력란!$C$10=1),65,22),0))))/100-1))</f>
        <v>150109.14248022658</v>
      </c>
      <c r="L184" s="21">
        <f>U184*(1+IF($AK184+IF(입력란!$C$9=1,10,0)+IF(입력란!$C$26=1,10,0)+IF(MID(E184,1,1)="3",트라이포드!H$13,0)&gt;100,100,$AK184+IF(입력란!$C$9=1,10,0)+IF(입력란!$C$26=1,10,0)+IF(MID(E184,1,1)="3",트라이포드!H$13,0))/100*(($AL184+IF(입력란!$C$30=1,IF(OR(입력란!$C$9=1,입력란!$C$10=1),55,17),IF(입력란!$C$30=2,IF(OR(입력란!$C$9=1,입력란!$C$10=1),60,20),IF(입력란!$C$30=3,IF(OR(입력란!$C$9=1,입력란!$C$10=1),65,22),0))))/100-1))</f>
        <v>150109.14248022658</v>
      </c>
      <c r="M184" s="21"/>
      <c r="N184" s="21"/>
      <c r="O184" s="21"/>
      <c r="P184" s="21"/>
      <c r="Q184" s="20"/>
      <c r="R184" s="19">
        <f>SUM(S184:Z184)</f>
        <v>142230.08577171201</v>
      </c>
      <c r="S184" s="21">
        <f>AN184*IF(입력란!$C$12=0,1,IF(입력란!$C$12=1,1.35,IF(입력란!$C$12=2,1.55,IF(입력란!$C$12=3,1.75,1))))*IF(MID(E184,3,1)="1",트라이포드!$J$13,트라이포드!$I$13)*IF(MID(E184,5,1)="2",트라이포드!$R$13,트라이포드!$Q$13)*IF(입력란!$C$9=1,IF(입력란!$C$15=0,1.05,IF(입력란!$C$15=1,1.05*1.05,IF(입력란!$C$15=2,1.05*1.12,IF(입력란!$C$15=3,1.05*1.25)))),1)</f>
        <v>47410.02859057067</v>
      </c>
      <c r="T184" s="21">
        <f>AN184*IF(입력란!$C$12=0,1,IF(입력란!$C$12=1,1.35,IF(입력란!$C$12=2,1.55,IF(입력란!$C$12=3,1.75,1))))*IF(MID(E184,3,1)="1",트라이포드!$J$13,트라이포드!$I$13)*IF(MID(E184,5,1)="2",트라이포드!$R$13,트라이포드!$Q$13)*IF(입력란!$C$9=1,IF(입력란!$C$15=0,1.05,IF(입력란!$C$15=1,1.05*1.05,IF(입력란!$C$15=2,1.05*1.12,IF(입력란!$C$15=3,1.05*1.25)))),1)</f>
        <v>47410.02859057067</v>
      </c>
      <c r="U184" s="21">
        <f>AN184*IF(입력란!$C$12=0,1,IF(입력란!$C$12=1,1.35,IF(입력란!$C$12=2,1.55,IF(입력란!$C$12=3,1.75,1))))*IF(MID(E184,3,1)="1",트라이포드!$J$13,트라이포드!$I$13)*IF(MID(E184,5,1)="1",1,0)*IF(입력란!$C$9=1,IF(입력란!$C$15=0,1.05,IF(입력란!$C$15=1,1.05*1.05,IF(입력란!$C$15=2,1.05*1.12,IF(입력란!$C$15=3,1.05*1.25)))),1)</f>
        <v>47410.02859057067</v>
      </c>
      <c r="V184" s="21"/>
      <c r="W184" s="21"/>
      <c r="X184" s="21"/>
      <c r="Y184" s="21"/>
      <c r="Z184" s="20"/>
      <c r="AA184" s="21">
        <f>SUM(AB184:AI184)</f>
        <v>284460.17154342402</v>
      </c>
      <c r="AB184" s="21">
        <f>S184*2</f>
        <v>94820.057181141339</v>
      </c>
      <c r="AC184" s="21">
        <f>T184*2</f>
        <v>94820.057181141339</v>
      </c>
      <c r="AD184" s="21">
        <f>U184*2</f>
        <v>94820.057181141339</v>
      </c>
      <c r="AE184" s="21"/>
      <c r="AF184" s="21"/>
      <c r="AG184" s="21"/>
      <c r="AH184" s="21"/>
      <c r="AI184" s="20"/>
      <c r="AJ184" s="21">
        <f>AQ184*(1-입력란!$P$10/100)</f>
        <v>5.9278660315199998</v>
      </c>
      <c r="AK1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4" s="21">
        <f>입력란!$P$24+입력란!$P$16+IF(입력란!$C$18=1,10,IF(입력란!$C$18=2,25,IF(입력란!$C$18=3,50,0)))+IF(입력란!$C$23&lt;&gt;0,-12)</f>
        <v>380.66103559999999</v>
      </c>
      <c r="AM184" s="21">
        <f>SUM(AN184:AP184)</f>
        <v>45152.408181495877</v>
      </c>
      <c r="AN184" s="21">
        <f>(VLOOKUP(C184,$B$4:$AJ$7,12,FALSE)+VLOOKUP(C184,$B$8:$AJ$11,12,FALSE)*입력란!$P$4)*입력란!$P$25/100</f>
        <v>45152.408181495877</v>
      </c>
      <c r="AO184" s="21"/>
      <c r="AP184" s="21"/>
      <c r="AQ184" s="22">
        <v>6</v>
      </c>
    </row>
    <row r="185" spans="2:43" ht="13.5" customHeight="1" x14ac:dyDescent="0.55000000000000004">
      <c r="B185" s="66">
        <v>170</v>
      </c>
      <c r="C185" s="29">
        <v>10</v>
      </c>
      <c r="D185" s="30" t="s">
        <v>167</v>
      </c>
      <c r="E185" s="27" t="s">
        <v>111</v>
      </c>
      <c r="F185" s="29"/>
      <c r="G185" s="29"/>
      <c r="H185" s="36">
        <f>I185/AJ185</f>
        <v>107274.24623088641</v>
      </c>
      <c r="I185" s="37">
        <f>SUM(J185:Q185)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635907.36028898391</v>
      </c>
      <c r="J185" s="21">
        <f>S185*(1+IF($AK185+IF(입력란!$C$9=1,10,0)+IF(입력란!$C$26=1,10,0)+IF(MID(E185,1,1)="3",트라이포드!$H$13,0)&gt;100,100,$AK185+IF(입력란!$C$9=1,10,0)+IF(입력란!$C$26=1,10,0)+IF(MID(E185,1,1)="3",트라이포드!$H$13,0))/100*(($AL185+IF(입력란!$C$30=1,IF(OR(입력란!$C$9=1,입력란!$C$10=1),55,17),IF(입력란!$C$30=2,IF(OR(입력란!$C$9=1,입력란!$C$10=1),60,20),IF(입력란!$C$30=3,IF(OR(입력란!$C$9=1,입력란!$C$10=1),65,22),0))))/100-1))</f>
        <v>225163.71372033987</v>
      </c>
      <c r="K185" s="21">
        <f>T185*(1+IF($AK185+IF(입력란!$C$9=1,10,0)+IF(입력란!$C$26=1,10,0)+IF(MID(E185,1,1)="3",트라이포드!H$13,0)&gt;100,100,$AK185+IF(입력란!$C$9=1,10,0)+IF(입력란!$C$26=1,10,0)+IF(MID(E185,1,1)="3",트라이포드!H$13,0))/100*(($AL185+IF(입력란!$C$30=1,IF(OR(입력란!$C$9=1,입력란!$C$10=1),55,17),IF(입력란!$C$30=2,IF(OR(입력란!$C$9=1,입력란!$C$10=1),60,20),IF(입력란!$C$30=3,IF(OR(입력란!$C$9=1,입력란!$C$10=1),65,22),0))))/100-1))</f>
        <v>225163.71372033987</v>
      </c>
      <c r="L185" s="21">
        <f>U185*(1+IF($AK185+IF(입력란!$C$9=1,10,0)+IF(입력란!$C$26=1,10,0)+IF(MID(E185,1,1)="3",트라이포드!H$13,0)&gt;100,100,$AK185+IF(입력란!$C$9=1,10,0)+IF(입력란!$C$26=1,10,0)+IF(MID(E185,1,1)="3",트라이포드!H$13,0))/100*(($AL185+IF(입력란!$C$30=1,IF(OR(입력란!$C$9=1,입력란!$C$10=1),55,17),IF(입력란!$C$30=2,IF(OR(입력란!$C$9=1,입력란!$C$10=1),60,20),IF(입력란!$C$30=3,IF(OR(입력란!$C$9=1,입력란!$C$10=1),65,22),0))))/100-1))</f>
        <v>0</v>
      </c>
      <c r="M185" s="21"/>
      <c r="N185" s="21"/>
      <c r="O185" s="21"/>
      <c r="P185" s="21"/>
      <c r="Q185" s="20"/>
      <c r="R185" s="19">
        <f>SUM(S185:Z185)</f>
        <v>142230.08577171201</v>
      </c>
      <c r="S185" s="21">
        <f>AN185*IF(입력란!$C$12=0,1,IF(입력란!$C$12=1,1.35,IF(입력란!$C$12=2,1.55,IF(입력란!$C$12=3,1.75,1))))*IF(MID(E185,3,1)="1",트라이포드!$J$13,트라이포드!$I$13)*IF(MID(E185,5,1)="2",트라이포드!$R$13,트라이포드!$Q$13)*IF(입력란!$C$9=1,IF(입력란!$C$15=0,1.05,IF(입력란!$C$15=1,1.05*1.05,IF(입력란!$C$15=2,1.05*1.12,IF(입력란!$C$15=3,1.05*1.25)))),1)</f>
        <v>71115.042885856004</v>
      </c>
      <c r="T185" s="21">
        <f>AN185*IF(입력란!$C$12=0,1,IF(입력란!$C$12=1,1.35,IF(입력란!$C$12=2,1.55,IF(입력란!$C$12=3,1.75,1))))*IF(MID(E185,3,1)="1",트라이포드!$J$13,트라이포드!$I$13)*IF(MID(E185,5,1)="2",트라이포드!$R$13,트라이포드!$Q$13)*IF(입력란!$C$9=1,IF(입력란!$C$15=0,1.05,IF(입력란!$C$15=1,1.05*1.05,IF(입력란!$C$15=2,1.05*1.12,IF(입력란!$C$15=3,1.05*1.25)))),1)</f>
        <v>71115.042885856004</v>
      </c>
      <c r="U185" s="21">
        <f>AN185*IF(입력란!$C$12=0,1,IF(입력란!$C$12=1,1.35,IF(입력란!$C$12=2,1.55,IF(입력란!$C$12=3,1.75,1))))*IF(MID(E185,3,1)="1",트라이포드!$J$13,트라이포드!$I$13)*IF(MID(E185,5,1)="1",1,0)*IF(입력란!$C$9=1,IF(입력란!$C$15=0,1.05,IF(입력란!$C$15=1,1.05*1.05,IF(입력란!$C$15=2,1.05*1.12,IF(입력란!$C$15=3,1.05*1.25)))),1)</f>
        <v>0</v>
      </c>
      <c r="V185" s="21"/>
      <c r="W185" s="21"/>
      <c r="X185" s="21"/>
      <c r="Y185" s="21"/>
      <c r="Z185" s="20"/>
      <c r="AA185" s="21">
        <f>SUM(AB185:AI185)</f>
        <v>284460.17154342402</v>
      </c>
      <c r="AB185" s="21">
        <f>S185*2</f>
        <v>142230.08577171201</v>
      </c>
      <c r="AC185" s="21">
        <f>T185*2</f>
        <v>142230.08577171201</v>
      </c>
      <c r="AD185" s="21">
        <f>U185*2</f>
        <v>0</v>
      </c>
      <c r="AE185" s="21"/>
      <c r="AF185" s="21"/>
      <c r="AG185" s="21"/>
      <c r="AH185" s="21"/>
      <c r="AI185" s="20"/>
      <c r="AJ185" s="21">
        <f>AQ185*(1-입력란!$P$10/100)</f>
        <v>5.9278660315199998</v>
      </c>
      <c r="AK1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5" s="21">
        <f>입력란!$P$24+입력란!$P$16+IF(입력란!$C$18=1,10,IF(입력란!$C$18=2,25,IF(입력란!$C$18=3,50,0)))+IF(입력란!$C$23&lt;&gt;0,-12)</f>
        <v>380.66103559999999</v>
      </c>
      <c r="AM185" s="21">
        <f>SUM(AN185:AP185)</f>
        <v>45152.408181495877</v>
      </c>
      <c r="AN185" s="21">
        <f>(VLOOKUP(C185,$B$4:$AJ$7,12,FALSE)+VLOOKUP(C185,$B$8:$AJ$11,12,FALSE)*입력란!$P$4)*입력란!$P$25/100</f>
        <v>45152.408181495877</v>
      </c>
      <c r="AO185" s="21"/>
      <c r="AP185" s="21"/>
      <c r="AQ185" s="22">
        <v>6</v>
      </c>
    </row>
    <row r="186" spans="2:43" ht="13.5" customHeight="1" x14ac:dyDescent="0.55000000000000004">
      <c r="B186" s="66">
        <v>171</v>
      </c>
      <c r="C186" s="29">
        <v>10</v>
      </c>
      <c r="D186" s="30" t="s">
        <v>167</v>
      </c>
      <c r="E186" s="27" t="s">
        <v>112</v>
      </c>
      <c r="F186" s="29"/>
      <c r="G186" s="29"/>
      <c r="H186" s="36">
        <f>I186/AJ186</f>
        <v>150183.94472324094</v>
      </c>
      <c r="I186" s="37">
        <f>SUM(J186:Q186)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890270.30440457736</v>
      </c>
      <c r="J186" s="21">
        <f>S186*(1+IF($AK186+IF(입력란!$C$9=1,10,0)+IF(입력란!$C$26=1,10,0)+IF(MID(E186,1,1)="3",트라이포드!$H$13,0)&gt;100,100,$AK186+IF(입력란!$C$9=1,10,0)+IF(입력란!$C$26=1,10,0)+IF(MID(E186,1,1)="3",트라이포드!$H$13,0))/100*(($AL186+IF(입력란!$C$30=1,IF(OR(입력란!$C$9=1,입력란!$C$10=1),55,17),IF(입력란!$C$30=2,IF(OR(입력란!$C$9=1,입력란!$C$10=1),60,20),IF(입력란!$C$30=3,IF(OR(입력란!$C$9=1,입력란!$C$10=1),65,22),0))))/100-1))</f>
        <v>210152.79947231719</v>
      </c>
      <c r="K186" s="21">
        <f>T186*(1+IF($AK186+IF(입력란!$C$9=1,10,0)+IF(입력란!$C$26=1,10,0)+IF(MID(E186,1,1)="3",트라이포드!H$13,0)&gt;100,100,$AK186+IF(입력란!$C$9=1,10,0)+IF(입력란!$C$26=1,10,0)+IF(MID(E186,1,1)="3",트라이포드!H$13,0))/100*(($AL186+IF(입력란!$C$30=1,IF(OR(입력란!$C$9=1,입력란!$C$10=1),55,17),IF(입력란!$C$30=2,IF(OR(입력란!$C$9=1,입력란!$C$10=1),60,20),IF(입력란!$C$30=3,IF(OR(입력란!$C$9=1,입력란!$C$10=1),65,22),0))))/100-1))</f>
        <v>210152.79947231719</v>
      </c>
      <c r="L186" s="21">
        <f>U186*(1+IF($AK186+IF(입력란!$C$9=1,10,0)+IF(입력란!$C$26=1,10,0)+IF(MID(E186,1,1)="3",트라이포드!H$13,0)&gt;100,100,$AK186+IF(입력란!$C$9=1,10,0)+IF(입력란!$C$26=1,10,0)+IF(MID(E186,1,1)="3",트라이포드!H$13,0))/100*(($AL186+IF(입력란!$C$30=1,IF(OR(입력란!$C$9=1,입력란!$C$10=1),55,17),IF(입력란!$C$30=2,IF(OR(입력란!$C$9=1,입력란!$C$10=1),60,20),IF(입력란!$C$30=3,IF(OR(입력란!$C$9=1,입력란!$C$10=1),65,22),0))))/100-1))</f>
        <v>210152.79947231719</v>
      </c>
      <c r="M186" s="21"/>
      <c r="N186" s="21"/>
      <c r="O186" s="21"/>
      <c r="P186" s="21"/>
      <c r="Q186" s="20"/>
      <c r="R186" s="19">
        <f>SUM(S186:Z186)</f>
        <v>199122.12008039679</v>
      </c>
      <c r="S186" s="21">
        <f>AN186*IF(입력란!$C$12=0,1,IF(입력란!$C$12=1,1.35,IF(입력란!$C$12=2,1.55,IF(입력란!$C$12=3,1.75,1))))*IF(MID(E186,3,1)="1",트라이포드!$J$13,트라이포드!$I$13)*IF(MID(E186,5,1)="2",트라이포드!$R$13,트라이포드!$Q$13)*IF(입력란!$C$9=1,IF(입력란!$C$15=0,1.05,IF(입력란!$C$15=1,1.05*1.05,IF(입력란!$C$15=2,1.05*1.12,IF(입력란!$C$15=3,1.05*1.25)))),1)</f>
        <v>66374.040026798932</v>
      </c>
      <c r="T186" s="21">
        <f>AN186*IF(입력란!$C$12=0,1,IF(입력란!$C$12=1,1.35,IF(입력란!$C$12=2,1.55,IF(입력란!$C$12=3,1.75,1))))*IF(MID(E186,3,1)="1",트라이포드!$J$13,트라이포드!$I$13)*IF(MID(E186,5,1)="2",트라이포드!$R$13,트라이포드!$Q$13)*IF(입력란!$C$9=1,IF(입력란!$C$15=0,1.05,IF(입력란!$C$15=1,1.05*1.05,IF(입력란!$C$15=2,1.05*1.12,IF(입력란!$C$15=3,1.05*1.25)))),1)</f>
        <v>66374.040026798932</v>
      </c>
      <c r="U186" s="21">
        <f>AN186*IF(입력란!$C$12=0,1,IF(입력란!$C$12=1,1.35,IF(입력란!$C$12=2,1.55,IF(입력란!$C$12=3,1.75,1))))*IF(MID(E186,3,1)="1",트라이포드!$J$13,트라이포드!$I$13)*IF(MID(E186,5,1)="1",1,0)*IF(입력란!$C$9=1,IF(입력란!$C$15=0,1.05,IF(입력란!$C$15=1,1.05*1.05,IF(입력란!$C$15=2,1.05*1.12,IF(입력란!$C$15=3,1.05*1.25)))),1)</f>
        <v>66374.040026798932</v>
      </c>
      <c r="V186" s="21"/>
      <c r="W186" s="21"/>
      <c r="X186" s="21"/>
      <c r="Y186" s="21"/>
      <c r="Z186" s="20"/>
      <c r="AA186" s="21">
        <f>SUM(AB186:AI186)</f>
        <v>398244.24016079359</v>
      </c>
      <c r="AB186" s="21">
        <f>S186*2</f>
        <v>132748.08005359786</v>
      </c>
      <c r="AC186" s="21">
        <f>T186*2</f>
        <v>132748.08005359786</v>
      </c>
      <c r="AD186" s="21">
        <f>U186*2</f>
        <v>132748.08005359786</v>
      </c>
      <c r="AE186" s="21"/>
      <c r="AF186" s="21"/>
      <c r="AG186" s="21"/>
      <c r="AH186" s="21"/>
      <c r="AI186" s="20"/>
      <c r="AJ186" s="21">
        <f>AQ186*(1-입력란!$P$10/100)</f>
        <v>5.9278660315199998</v>
      </c>
      <c r="AK1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6" s="21">
        <f>입력란!$P$24+입력란!$P$16+IF(입력란!$C$18=1,10,IF(입력란!$C$18=2,25,IF(입력란!$C$18=3,50,0)))+IF(입력란!$C$23&lt;&gt;0,-12)</f>
        <v>380.66103559999999</v>
      </c>
      <c r="AM186" s="21">
        <f>SUM(AN186:AP186)</f>
        <v>45152.408181495877</v>
      </c>
      <c r="AN186" s="21">
        <f>(VLOOKUP(C186,$B$4:$AJ$7,12,FALSE)+VLOOKUP(C186,$B$8:$AJ$11,12,FALSE)*입력란!$P$4)*입력란!$P$25/100</f>
        <v>45152.408181495877</v>
      </c>
      <c r="AO186" s="21"/>
      <c r="AP186" s="21"/>
      <c r="AQ186" s="22">
        <v>6</v>
      </c>
    </row>
    <row r="187" spans="2:43" ht="13.5" customHeight="1" x14ac:dyDescent="0.55000000000000004">
      <c r="B187" s="66">
        <v>172</v>
      </c>
      <c r="C187" s="29">
        <v>10</v>
      </c>
      <c r="D187" s="30" t="s">
        <v>167</v>
      </c>
      <c r="E187" s="27" t="s">
        <v>113</v>
      </c>
      <c r="F187" s="29"/>
      <c r="G187" s="29"/>
      <c r="H187" s="36">
        <f>I187/AJ187</f>
        <v>150183.94472324097</v>
      </c>
      <c r="I187" s="37">
        <f>SUM(J187:Q187)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890270.30440457747</v>
      </c>
      <c r="J187" s="21">
        <f>S187*(1+IF($AK187+IF(입력란!$C$9=1,10,0)+IF(입력란!$C$26=1,10,0)+IF(MID(E187,1,1)="3",트라이포드!$H$13,0)&gt;100,100,$AK187+IF(입력란!$C$9=1,10,0)+IF(입력란!$C$26=1,10,0)+IF(MID(E187,1,1)="3",트라이포드!$H$13,0))/100*(($AL187+IF(입력란!$C$30=1,IF(OR(입력란!$C$9=1,입력란!$C$10=1),55,17),IF(입력란!$C$30=2,IF(OR(입력란!$C$9=1,입력란!$C$10=1),60,20),IF(입력란!$C$30=3,IF(OR(입력란!$C$9=1,입력란!$C$10=1),65,22),0))))/100-1))</f>
        <v>315229.19920847582</v>
      </c>
      <c r="K187" s="21">
        <f>T187*(1+IF($AK187+IF(입력란!$C$9=1,10,0)+IF(입력란!$C$26=1,10,0)+IF(MID(E187,1,1)="3",트라이포드!H$13,0)&gt;100,100,$AK187+IF(입력란!$C$9=1,10,0)+IF(입력란!$C$26=1,10,0)+IF(MID(E187,1,1)="3",트라이포드!H$13,0))/100*(($AL187+IF(입력란!$C$30=1,IF(OR(입력란!$C$9=1,입력란!$C$10=1),55,17),IF(입력란!$C$30=2,IF(OR(입력란!$C$9=1,입력란!$C$10=1),60,20),IF(입력란!$C$30=3,IF(OR(입력란!$C$9=1,입력란!$C$10=1),65,22),0))))/100-1))</f>
        <v>315229.19920847582</v>
      </c>
      <c r="L187" s="21">
        <f>U187*(1+IF($AK187+IF(입력란!$C$9=1,10,0)+IF(입력란!$C$26=1,10,0)+IF(MID(E187,1,1)="3",트라이포드!H$13,0)&gt;100,100,$AK187+IF(입력란!$C$9=1,10,0)+IF(입력란!$C$26=1,10,0)+IF(MID(E187,1,1)="3",트라이포드!H$13,0))/100*(($AL187+IF(입력란!$C$30=1,IF(OR(입력란!$C$9=1,입력란!$C$10=1),55,17),IF(입력란!$C$30=2,IF(OR(입력란!$C$9=1,입력란!$C$10=1),60,20),IF(입력란!$C$30=3,IF(OR(입력란!$C$9=1,입력란!$C$10=1),65,22),0))))/100-1))</f>
        <v>0</v>
      </c>
      <c r="M187" s="21"/>
      <c r="N187" s="21"/>
      <c r="O187" s="21"/>
      <c r="P187" s="21"/>
      <c r="Q187" s="20"/>
      <c r="R187" s="19">
        <f>SUM(S187:Z187)</f>
        <v>199122.12008039682</v>
      </c>
      <c r="S187" s="21">
        <f>AN187*IF(입력란!$C$12=0,1,IF(입력란!$C$12=1,1.35,IF(입력란!$C$12=2,1.55,IF(입력란!$C$12=3,1.75,1))))*IF(MID(E187,3,1)="1",트라이포드!$J$13,트라이포드!$I$13)*IF(MID(E187,5,1)="2",트라이포드!$R$13,트라이포드!$Q$13)*IF(입력란!$C$9=1,IF(입력란!$C$15=0,1.05,IF(입력란!$C$15=1,1.05*1.05,IF(입력란!$C$15=2,1.05*1.12,IF(입력란!$C$15=3,1.05*1.25)))),1)</f>
        <v>99561.060040198412</v>
      </c>
      <c r="T187" s="21">
        <f>AN187*IF(입력란!$C$12=0,1,IF(입력란!$C$12=1,1.35,IF(입력란!$C$12=2,1.55,IF(입력란!$C$12=3,1.75,1))))*IF(MID(E187,3,1)="1",트라이포드!$J$13,트라이포드!$I$13)*IF(MID(E187,5,1)="2",트라이포드!$R$13,트라이포드!$Q$13)*IF(입력란!$C$9=1,IF(입력란!$C$15=0,1.05,IF(입력란!$C$15=1,1.05*1.05,IF(입력란!$C$15=2,1.05*1.12,IF(입력란!$C$15=3,1.05*1.25)))),1)</f>
        <v>99561.060040198412</v>
      </c>
      <c r="U187" s="21">
        <f>AN187*IF(입력란!$C$12=0,1,IF(입력란!$C$12=1,1.35,IF(입력란!$C$12=2,1.55,IF(입력란!$C$12=3,1.75,1))))*IF(MID(E187,3,1)="1",트라이포드!$J$13,트라이포드!$I$13)*IF(MID(E187,5,1)="1",1,0)*IF(입력란!$C$9=1,IF(입력란!$C$15=0,1.05,IF(입력란!$C$15=1,1.05*1.05,IF(입력란!$C$15=2,1.05*1.12,IF(입력란!$C$15=3,1.05*1.25)))),1)</f>
        <v>0</v>
      </c>
      <c r="V187" s="21"/>
      <c r="W187" s="21"/>
      <c r="X187" s="21"/>
      <c r="Y187" s="21"/>
      <c r="Z187" s="20"/>
      <c r="AA187" s="21">
        <f>SUM(AB187:AI187)</f>
        <v>398244.24016079365</v>
      </c>
      <c r="AB187" s="21">
        <f>S187*2</f>
        <v>199122.12008039682</v>
      </c>
      <c r="AC187" s="21">
        <f>T187*2</f>
        <v>199122.12008039682</v>
      </c>
      <c r="AD187" s="21">
        <f>U187*2</f>
        <v>0</v>
      </c>
      <c r="AE187" s="21"/>
      <c r="AF187" s="21"/>
      <c r="AG187" s="21"/>
      <c r="AH187" s="21"/>
      <c r="AI187" s="20"/>
      <c r="AJ187" s="21">
        <f>AQ187*(1-입력란!$P$10/100)</f>
        <v>5.9278660315199998</v>
      </c>
      <c r="AK1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7" s="21">
        <f>입력란!$P$24+입력란!$P$16+IF(입력란!$C$18=1,10,IF(입력란!$C$18=2,25,IF(입력란!$C$18=3,50,0)))+IF(입력란!$C$23&lt;&gt;0,-12)</f>
        <v>380.66103559999999</v>
      </c>
      <c r="AM187" s="21">
        <f>SUM(AN187:AP187)</f>
        <v>45152.408181495877</v>
      </c>
      <c r="AN187" s="21">
        <f>(VLOOKUP(C187,$B$4:$AJ$7,12,FALSE)+VLOOKUP(C187,$B$8:$AJ$11,12,FALSE)*입력란!$P$4)*입력란!$P$25/100</f>
        <v>45152.408181495877</v>
      </c>
      <c r="AO187" s="21"/>
      <c r="AP187" s="21"/>
      <c r="AQ187" s="22">
        <v>6</v>
      </c>
    </row>
    <row r="188" spans="2:43" ht="13.5" customHeight="1" x14ac:dyDescent="0.55000000000000004">
      <c r="B188" s="66">
        <v>173</v>
      </c>
      <c r="C188" s="29">
        <v>1</v>
      </c>
      <c r="D188" s="30" t="s">
        <v>169</v>
      </c>
      <c r="E188" s="27" t="s">
        <v>94</v>
      </c>
      <c r="F188" s="29"/>
      <c r="G188" s="29"/>
      <c r="H188" s="36">
        <f>I188/AJ188</f>
        <v>42827.138948557273</v>
      </c>
      <c r="I188" s="37">
        <f>SUM(J188:Q188)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338498.05626711977</v>
      </c>
      <c r="J188" s="21">
        <f>S188*(1+IF($AK188+IF(입력란!$C$9=1,10,0)+IF(입력란!$C$26=1,10,0)&gt;100,100,$AK188+IF(입력란!$C$9=1,10,0)+IF(입력란!$C$26=1,10,0))/100*(($AL188+IF(입력란!$C$30=1,IF(OR(입력란!$C$9=1,입력란!$C$10=1),55,17),IF(입력란!$C$30=2,IF(OR(입력란!$C$9=1,입력란!$C$10=1),60,20),IF(입력란!$C$30=3,IF(OR(입력란!$C$9=1,입력란!$C$10=1),65,22),0))))/100-1))</f>
        <v>119856.26239895182</v>
      </c>
      <c r="K188" s="21">
        <f>T188*(1+IF($AK188+IF(입력란!$C$9=1,10,0)+IF(입력란!$C$26=1,10,0)&gt;100,100,$AK188+IF(입력란!$C$9=1,10,0)+IF(입력란!$C$26=1,10,0))/100*(($AL188+IF(입력란!$C$30=1,IF(OR(입력란!$C$9=1,입력란!$C$10=1),55,17),IF(입력란!$C$30=2,IF(OR(입력란!$C$9=1,입력란!$C$10=1),60,20),IF(입력란!$C$30=3,IF(OR(입력란!$C$9=1,입력란!$C$10=1),65,22),0))))/100-1))</f>
        <v>119856.26239895182</v>
      </c>
      <c r="L188" s="21">
        <f>U188*(1+IF($AK188+IF(입력란!$C$9=1,10,0)+IF(입력란!$C$26=1,10,0)&gt;100,100,$AK188+IF(입력란!$C$9=1,10,0)+IF(입력란!$C$26=1,10,0))/100*(($AL188+IF(입력란!$C$30=1,IF(OR(입력란!$C$9=1,입력란!$C$10=1),55,17),IF(입력란!$C$30=2,IF(OR(입력란!$C$9=1,입력란!$C$10=1),60,20),IF(입력란!$C$30=3,IF(OR(입력란!$C$9=1,입력란!$C$10=1),65,22),0))))/100-1))</f>
        <v>0</v>
      </c>
      <c r="M188" s="21"/>
      <c r="N188" s="21"/>
      <c r="O188" s="21"/>
      <c r="P188" s="21"/>
      <c r="Q188" s="20"/>
      <c r="R188" s="19">
        <f>SUM(S188:Z188)</f>
        <v>87320.66509028431</v>
      </c>
      <c r="S188" s="21">
        <f>AN188*IF(입력란!$C$12=0,1,IF(입력란!$C$12=1,1.35,IF(입력란!$C$12=2,1.55,IF(입력란!$C$12=3,1.75,1))))*IF(입력란!$C$9=1,IF(입력란!$C$15=0,1.05,IF(입력란!$C$15=1,1.05*1.05,IF(입력란!$C$15=2,1.05*1.12,IF(입력란!$C$15=3,1.05*1.25)))),1)</f>
        <v>43660.332545142155</v>
      </c>
      <c r="T188" s="21">
        <f>AN188*IF(입력란!$C$12=0,1,IF(입력란!$C$12=1,1.35,IF(입력란!$C$12=2,1.55,IF(입력란!$C$12=3,1.75,1))))*IF(MID(E188,3,1)="2",트라이포드!$L$14,트라이포드!$K$14)*IF(MID(E188,3,1)="3",트라이포드!$N$14,트라이포드!$M$14)*IF(MID(E188,5,1)="1",트라이포드!$P$14,트라이포드!$O$14)*IF(입력란!$C$9=1,IF(입력란!$C$15=0,1.05,IF(입력란!$C$15=1,1.05*1.05,IF(입력란!$C$15=2,1.05*1.12,IF(입력란!$C$15=3,1.05*1.25)))),1)</f>
        <v>43660.332545142155</v>
      </c>
      <c r="U188" s="21">
        <f>AN188*IF(입력란!$C$12=0,1,IF(입력란!$C$12=1,1.35,IF(입력란!$C$12=2,1.55,IF(입력란!$C$12=3,1.75,1))))*IF(MID(E188,3,1)="3",트라이포드!$N$14,트라이포드!$M$14)*IF(MID(E188,3,1)="3",트라이포드!$N$14,트라이포드!$M$14)*IF(MID(E188,5,1)="2",1,0)*IF(입력란!$C$9=1,IF(입력란!$C$15=0,1.05,IF(입력란!$C$15=1,1.05*1.05,IF(입력란!$C$15=2,1.05*1.12,IF(입력란!$C$15=3,1.05*1.25)))),1)</f>
        <v>0</v>
      </c>
      <c r="V188" s="21"/>
      <c r="W188" s="21"/>
      <c r="X188" s="21"/>
      <c r="Y188" s="21"/>
      <c r="Z188" s="20"/>
      <c r="AA188" s="21">
        <f>SUM(AB188:AI188)</f>
        <v>174641.33018056862</v>
      </c>
      <c r="AB188" s="21">
        <f>S188*2</f>
        <v>87320.66509028431</v>
      </c>
      <c r="AC188" s="21">
        <f>T188*2</f>
        <v>87320.66509028431</v>
      </c>
      <c r="AD188" s="21">
        <f>U188*2</f>
        <v>0</v>
      </c>
      <c r="AE188" s="21"/>
      <c r="AF188" s="21"/>
      <c r="AG188" s="21"/>
      <c r="AH188" s="21"/>
      <c r="AI188" s="20"/>
      <c r="AJ188" s="21">
        <f>(AQ188+IF(MID(E188,5,1)="1",12,0))*(1-입력란!$P$10/100)</f>
        <v>7.9038213753599997</v>
      </c>
      <c r="AK1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8" s="21">
        <f>입력란!$P$24+입력란!$P$16+IF(입력란!$C$18=1,10,IF(입력란!$C$18=2,25,IF(입력란!$C$18=3,50,0)))+IF(입력란!$C$23&lt;&gt;0,-12)</f>
        <v>380.66103559999999</v>
      </c>
      <c r="AM188" s="21">
        <f>SUM(AN188:AP188)</f>
        <v>41581.269090611575</v>
      </c>
      <c r="AN188" s="21">
        <f>(VLOOKUP(C188,$B$4:$AJ$7,13,FALSE)+VLOOKUP(C188,$B$8:$AJ$11,13,FALSE)*입력란!$P$4)*입력란!$P$25/100</f>
        <v>41581.269090611575</v>
      </c>
      <c r="AO188" s="21"/>
      <c r="AP188" s="21"/>
      <c r="AQ188" s="22">
        <v>8</v>
      </c>
    </row>
    <row r="189" spans="2:43" ht="13.5" customHeight="1" x14ac:dyDescent="0.55000000000000004">
      <c r="B189" s="66">
        <v>174</v>
      </c>
      <c r="C189" s="29">
        <v>4</v>
      </c>
      <c r="D189" s="30" t="s">
        <v>169</v>
      </c>
      <c r="E189" s="27" t="s">
        <v>94</v>
      </c>
      <c r="F189" s="29"/>
      <c r="G189" s="29"/>
      <c r="H189" s="36">
        <f>I189/AJ189</f>
        <v>42882.756911976867</v>
      </c>
      <c r="I189" s="37">
        <f>SUM(J189:Q189)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338937.65071524953</v>
      </c>
      <c r="J189" s="21">
        <f>S189*(1+IF($AK189+IF(입력란!$C$9=1,10,0)+IF(입력란!$C$26=1,10,0)&gt;100,100,$AK189+IF(입력란!$C$9=1,10,0)+IF(입력란!$C$26=1,10,0))/100*(($AL189+IF(입력란!$C$30=1,IF(OR(입력란!$C$9=1,입력란!$C$10=1),55,17),IF(입력란!$C$30=2,IF(OR(입력란!$C$9=1,입력란!$C$10=1),60,20),IF(입력란!$C$30=3,IF(OR(입력란!$C$9=1,입력란!$C$10=1),65,22),0))))/100-1))</f>
        <v>120011.91513180705</v>
      </c>
      <c r="K189" s="21">
        <f>T189*(1+IF($AK189+IF(입력란!$C$9=1,10,0)+IF(입력란!$C$26=1,10,0)&gt;100,100,$AK189+IF(입력란!$C$9=1,10,0)+IF(입력란!$C$26=1,10,0))/100*(($AL189+IF(입력란!$C$30=1,IF(OR(입력란!$C$9=1,입력란!$C$10=1),55,17),IF(입력란!$C$30=2,IF(OR(입력란!$C$9=1,입력란!$C$10=1),60,20),IF(입력란!$C$30=3,IF(OR(입력란!$C$9=1,입력란!$C$10=1),65,22),0))))/100-1))</f>
        <v>120011.91513180705</v>
      </c>
      <c r="L189" s="21">
        <f>U189*(1+IF($AK189+IF(입력란!$C$9=1,10,0)+IF(입력란!$C$26=1,10,0)&gt;100,100,$AK189+IF(입력란!$C$9=1,10,0)+IF(입력란!$C$26=1,10,0))/100*(($AL189+IF(입력란!$C$30=1,IF(OR(입력란!$C$9=1,입력란!$C$10=1),55,17),IF(입력란!$C$30=2,IF(OR(입력란!$C$9=1,입력란!$C$10=1),60,20),IF(입력란!$C$30=3,IF(OR(입력란!$C$9=1,입력란!$C$10=1),65,22),0))))/100-1))</f>
        <v>0</v>
      </c>
      <c r="M189" s="21"/>
      <c r="N189" s="21"/>
      <c r="O189" s="21"/>
      <c r="P189" s="21"/>
      <c r="Q189" s="20"/>
      <c r="R189" s="19">
        <f>SUM(S189:Z189)</f>
        <v>87434.065090284304</v>
      </c>
      <c r="S189" s="21">
        <f>AN189*IF(입력란!$C$12=0,1,IF(입력란!$C$12=1,1.35,IF(입력란!$C$12=2,1.55,IF(입력란!$C$12=3,1.75,1))))*IF(입력란!$C$9=1,IF(입력란!$C$15=0,1.05,IF(입력란!$C$15=1,1.05*1.05,IF(입력란!$C$15=2,1.05*1.12,IF(입력란!$C$15=3,1.05*1.25)))),1)</f>
        <v>43717.032545142152</v>
      </c>
      <c r="T189" s="21">
        <f>AN189*IF(입력란!$C$12=0,1,IF(입력란!$C$12=1,1.35,IF(입력란!$C$12=2,1.55,IF(입력란!$C$12=3,1.75,1))))*IF(MID(E189,3,1)="2",트라이포드!$L$14,트라이포드!$K$14)*IF(MID(E189,3,1)="3",트라이포드!$N$14,트라이포드!$M$14)*IF(MID(E189,5,1)="1",트라이포드!$P$14,트라이포드!$O$14)*IF(입력란!$C$9=1,IF(입력란!$C$15=0,1.05,IF(입력란!$C$15=1,1.05*1.05,IF(입력란!$C$15=2,1.05*1.12,IF(입력란!$C$15=3,1.05*1.25)))),1)</f>
        <v>43717.032545142152</v>
      </c>
      <c r="U189" s="21">
        <f>AN189*IF(입력란!$C$12=0,1,IF(입력란!$C$12=1,1.35,IF(입력란!$C$12=2,1.55,IF(입력란!$C$12=3,1.75,1))))*IF(MID(E189,3,1)="3",트라이포드!$N$14,트라이포드!$M$14)*IF(MID(E189,3,1)="3",트라이포드!$N$14,트라이포드!$M$14)*IF(MID(E189,5,1)="2",1,0)*IF(입력란!$C$9=1,IF(입력란!$C$15=0,1.05,IF(입력란!$C$15=1,1.05*1.05,IF(입력란!$C$15=2,1.05*1.12,IF(입력란!$C$15=3,1.05*1.25)))),1)</f>
        <v>0</v>
      </c>
      <c r="V189" s="21"/>
      <c r="W189" s="21"/>
      <c r="X189" s="21"/>
      <c r="Y189" s="21"/>
      <c r="Z189" s="20"/>
      <c r="AA189" s="21">
        <f>SUM(AB189:AI189)</f>
        <v>174868.13018056861</v>
      </c>
      <c r="AB189" s="21">
        <f>S189*2</f>
        <v>87434.065090284304</v>
      </c>
      <c r="AC189" s="21">
        <f>T189*2</f>
        <v>87434.065090284304</v>
      </c>
      <c r="AD189" s="21">
        <f>U189*2</f>
        <v>0</v>
      </c>
      <c r="AE189" s="21"/>
      <c r="AF189" s="21"/>
      <c r="AG189" s="21"/>
      <c r="AH189" s="21"/>
      <c r="AI189" s="20"/>
      <c r="AJ189" s="21">
        <f>(AQ189+IF(MID(E189,5,1)="1",12,0))*(1-입력란!$P$10/100)</f>
        <v>7.9038213753599997</v>
      </c>
      <c r="AK1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89" s="21">
        <f>입력란!$P$24+입력란!$P$16+IF(입력란!$C$18=1,10,IF(입력란!$C$18=2,25,IF(입력란!$C$18=3,50,0)))+IF(입력란!$C$23&lt;&gt;0,-12)</f>
        <v>380.66103559999999</v>
      </c>
      <c r="AM189" s="21">
        <f>SUM(AN189:AP189)</f>
        <v>41635.269090611575</v>
      </c>
      <c r="AN189" s="21">
        <f>(VLOOKUP(C189,$B$4:$AJ$7,13,FALSE)+VLOOKUP(C189,$B$8:$AJ$11,13,FALSE)*입력란!$P$4)*입력란!$P$25/100</f>
        <v>41635.269090611575</v>
      </c>
      <c r="AO189" s="21"/>
      <c r="AP189" s="21"/>
      <c r="AQ189" s="22">
        <v>8</v>
      </c>
    </row>
    <row r="190" spans="2:43" ht="13.5" customHeight="1" x14ac:dyDescent="0.55000000000000004">
      <c r="B190" s="66">
        <v>175</v>
      </c>
      <c r="C190" s="29">
        <v>7</v>
      </c>
      <c r="D190" s="30" t="s">
        <v>169</v>
      </c>
      <c r="E190" s="27" t="s">
        <v>94</v>
      </c>
      <c r="F190" s="29"/>
      <c r="G190" s="29"/>
      <c r="H190" s="36">
        <f>I190/AJ190</f>
        <v>42909.1239464869</v>
      </c>
      <c r="I190" s="37">
        <f>SUM(J190:Q190)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339146.05104621476</v>
      </c>
      <c r="J190" s="21">
        <f>S190*(1+IF($AK190+IF(입력란!$C$9=1,10,0)+IF(입력란!$C$26=1,10,0)&gt;100,100,$AK190+IF(입력란!$C$9=1,10,0)+IF(입력란!$C$26=1,10,0))/100*(($AL190+IF(입력란!$C$30=1,IF(OR(입력란!$C$9=1,입력란!$C$10=1),55,17),IF(입력란!$C$30=2,IF(OR(입력란!$C$9=1,입력란!$C$10=1),60,20),IF(입력란!$C$30=3,IF(OR(입력란!$C$9=1,입력란!$C$10=1),65,22),0))))/100-1))</f>
        <v>120085.70605701252</v>
      </c>
      <c r="K190" s="21">
        <f>T190*(1+IF($AK190+IF(입력란!$C$9=1,10,0)+IF(입력란!$C$26=1,10,0)&gt;100,100,$AK190+IF(입력란!$C$9=1,10,0)+IF(입력란!$C$26=1,10,0))/100*(($AL190+IF(입력란!$C$30=1,IF(OR(입력란!$C$9=1,입력란!$C$10=1),55,17),IF(입력란!$C$30=2,IF(OR(입력란!$C$9=1,입력란!$C$10=1),60,20),IF(입력란!$C$30=3,IF(OR(입력란!$C$9=1,입력란!$C$10=1),65,22),0))))/100-1))</f>
        <v>120085.70605701252</v>
      </c>
      <c r="L190" s="21">
        <f>U190*(1+IF($AK190+IF(입력란!$C$9=1,10,0)+IF(입력란!$C$26=1,10,0)&gt;100,100,$AK190+IF(입력란!$C$9=1,10,0)+IF(입력란!$C$26=1,10,0))/100*(($AL190+IF(입력란!$C$30=1,IF(OR(입력란!$C$9=1,입력란!$C$10=1),55,17),IF(입력란!$C$30=2,IF(OR(입력란!$C$9=1,입력란!$C$10=1),60,20),IF(입력란!$C$30=3,IF(OR(입력란!$C$9=1,입력란!$C$10=1),65,22),0))))/100-1))</f>
        <v>0</v>
      </c>
      <c r="M190" s="21"/>
      <c r="N190" s="21"/>
      <c r="O190" s="21"/>
      <c r="P190" s="21"/>
      <c r="Q190" s="20"/>
      <c r="R190" s="19">
        <f>SUM(S190:Z190)</f>
        <v>87487.825090284314</v>
      </c>
      <c r="S190" s="21">
        <f>AN190*IF(입력란!$C$12=0,1,IF(입력란!$C$12=1,1.35,IF(입력란!$C$12=2,1.55,IF(입력란!$C$12=3,1.75,1))))*IF(입력란!$C$9=1,IF(입력란!$C$15=0,1.05,IF(입력란!$C$15=1,1.05*1.05,IF(입력란!$C$15=2,1.05*1.12,IF(입력란!$C$15=3,1.05*1.25)))),1)</f>
        <v>43743.912545142157</v>
      </c>
      <c r="T190" s="21">
        <f>AN190*IF(입력란!$C$12=0,1,IF(입력란!$C$12=1,1.35,IF(입력란!$C$12=2,1.55,IF(입력란!$C$12=3,1.75,1))))*IF(MID(E190,3,1)="2",트라이포드!$L$14,트라이포드!$K$14)*IF(MID(E190,3,1)="3",트라이포드!$N$14,트라이포드!$M$14)*IF(MID(E190,5,1)="1",트라이포드!$P$14,트라이포드!$O$14)*IF(입력란!$C$9=1,IF(입력란!$C$15=0,1.05,IF(입력란!$C$15=1,1.05*1.05,IF(입력란!$C$15=2,1.05*1.12,IF(입력란!$C$15=3,1.05*1.25)))),1)</f>
        <v>43743.912545142157</v>
      </c>
      <c r="U190" s="21">
        <f>AN190*IF(입력란!$C$12=0,1,IF(입력란!$C$12=1,1.35,IF(입력란!$C$12=2,1.55,IF(입력란!$C$12=3,1.75,1))))*IF(MID(E190,3,1)="3",트라이포드!$N$14,트라이포드!$M$14)*IF(MID(E190,3,1)="3",트라이포드!$N$14,트라이포드!$M$14)*IF(MID(E190,5,1)="2",1,0)*IF(입력란!$C$9=1,IF(입력란!$C$15=0,1.05,IF(입력란!$C$15=1,1.05*1.05,IF(입력란!$C$15=2,1.05*1.12,IF(입력란!$C$15=3,1.05*1.25)))),1)</f>
        <v>0</v>
      </c>
      <c r="V190" s="21"/>
      <c r="W190" s="21"/>
      <c r="X190" s="21"/>
      <c r="Y190" s="21"/>
      <c r="Z190" s="20"/>
      <c r="AA190" s="21">
        <f>SUM(AB190:AI190)</f>
        <v>174975.65018056863</v>
      </c>
      <c r="AB190" s="21">
        <f>S190*2</f>
        <v>87487.825090284314</v>
      </c>
      <c r="AC190" s="21">
        <f>T190*2</f>
        <v>87487.825090284314</v>
      </c>
      <c r="AD190" s="21">
        <f>U190*2</f>
        <v>0</v>
      </c>
      <c r="AE190" s="21"/>
      <c r="AF190" s="21"/>
      <c r="AG190" s="21"/>
      <c r="AH190" s="21"/>
      <c r="AI190" s="20"/>
      <c r="AJ190" s="21">
        <f>(AQ190+IF(MID(E190,5,1)="1",12,0))*(1-입력란!$P$10/100)</f>
        <v>7.9038213753599997</v>
      </c>
      <c r="AK1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0" s="21">
        <f>입력란!$P$24+입력란!$P$16+IF(입력란!$C$18=1,10,IF(입력란!$C$18=2,25,IF(입력란!$C$18=3,50,0)))+IF(입력란!$C$23&lt;&gt;0,-12)</f>
        <v>380.66103559999999</v>
      </c>
      <c r="AM190" s="21">
        <f>SUM(AN190:AP190)</f>
        <v>41660.869090611573</v>
      </c>
      <c r="AN190" s="21">
        <f>(VLOOKUP(C190,$B$4:$AJ$7,13,FALSE)+VLOOKUP(C190,$B$8:$AJ$11,13,FALSE)*입력란!$P$4)*입력란!$P$25/100</f>
        <v>41660.869090611573</v>
      </c>
      <c r="AO190" s="21"/>
      <c r="AP190" s="21"/>
      <c r="AQ190" s="22">
        <v>8</v>
      </c>
    </row>
    <row r="191" spans="2:43" ht="13.5" customHeight="1" x14ac:dyDescent="0.55000000000000004">
      <c r="B191" s="66">
        <v>176</v>
      </c>
      <c r="C191" s="29">
        <v>7</v>
      </c>
      <c r="D191" s="30" t="s">
        <v>169</v>
      </c>
      <c r="E191" s="27" t="s">
        <v>97</v>
      </c>
      <c r="F191" s="29"/>
      <c r="G191" s="29"/>
      <c r="H191" s="36">
        <f>I191/AJ191</f>
        <v>64363.685919730342</v>
      </c>
      <c r="I191" s="37">
        <f>SUM(J191:Q191)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508719.07656932215</v>
      </c>
      <c r="J191" s="21">
        <f>S191*(1+IF($AK191+IF(입력란!$C$9=1,10,0)+IF(입력란!$C$26=1,10,0)&gt;100,100,$AK191+IF(입력란!$C$9=1,10,0)+IF(입력란!$C$26=1,10,0))/100*(($AL191+IF(입력란!$C$30=1,IF(OR(입력란!$C$9=1,입력란!$C$10=1),55,17),IF(입력란!$C$30=2,IF(OR(입력란!$C$9=1,입력란!$C$10=1),60,20),IF(입력란!$C$30=3,IF(OR(입력란!$C$9=1,입력란!$C$10=1),65,22),0))))/100-1))</f>
        <v>120085.70605701252</v>
      </c>
      <c r="K191" s="21">
        <f>T191*(1+IF($AK191+IF(입력란!$C$9=1,10,0)+IF(입력란!$C$26=1,10,0)&gt;100,100,$AK191+IF(입력란!$C$9=1,10,0)+IF(입력란!$C$26=1,10,0))/100*(($AL191+IF(입력란!$C$30=1,IF(OR(입력란!$C$9=1,입력란!$C$10=1),55,17),IF(입력란!$C$30=2,IF(OR(입력란!$C$9=1,입력란!$C$10=1),60,20),IF(입력란!$C$30=3,IF(OR(입력란!$C$9=1,입력란!$C$10=1),65,22),0))))/100-1))</f>
        <v>240171.41211402504</v>
      </c>
      <c r="L191" s="21">
        <f>U191*(1+IF($AK191+IF(입력란!$C$9=1,10,0)+IF(입력란!$C$26=1,10,0)&gt;100,100,$AK191+IF(입력란!$C$9=1,10,0)+IF(입력란!$C$26=1,10,0))/100*(($AL191+IF(입력란!$C$30=1,IF(OR(입력란!$C$9=1,입력란!$C$10=1),55,17),IF(입력란!$C$30=2,IF(OR(입력란!$C$9=1,입력란!$C$10=1),60,20),IF(입력란!$C$30=3,IF(OR(입력란!$C$9=1,입력란!$C$10=1),65,22),0))))/100-1))</f>
        <v>0</v>
      </c>
      <c r="M191" s="21"/>
      <c r="N191" s="21"/>
      <c r="O191" s="21"/>
      <c r="P191" s="21"/>
      <c r="Q191" s="20"/>
      <c r="R191" s="19">
        <f>SUM(S191:Z191)</f>
        <v>131231.73763542646</v>
      </c>
      <c r="S191" s="21">
        <f>AN191*IF(입력란!$C$12=0,1,IF(입력란!$C$12=1,1.35,IF(입력란!$C$12=2,1.55,IF(입력란!$C$12=3,1.75,1))))*IF(입력란!$C$9=1,IF(입력란!$C$15=0,1.05,IF(입력란!$C$15=1,1.05*1.05,IF(입력란!$C$15=2,1.05*1.12,IF(입력란!$C$15=3,1.05*1.25)))),1)</f>
        <v>43743.912545142157</v>
      </c>
      <c r="T191" s="21">
        <f>AN191*IF(입력란!$C$12=0,1,IF(입력란!$C$12=1,1.35,IF(입력란!$C$12=2,1.55,IF(입력란!$C$12=3,1.75,1))))*IF(MID(E191,3,1)="2",트라이포드!$L$14,트라이포드!$K$14)*IF(MID(E191,3,1)="3",트라이포드!$N$14,트라이포드!$M$14)*IF(MID(E191,5,1)="1",트라이포드!$P$14,트라이포드!$O$14)*IF(입력란!$C$9=1,IF(입력란!$C$15=0,1.05,IF(입력란!$C$15=1,1.05*1.05,IF(입력란!$C$15=2,1.05*1.12,IF(입력란!$C$15=3,1.05*1.25)))),1)</f>
        <v>87487.825090284314</v>
      </c>
      <c r="U191" s="21">
        <f>AN191*IF(입력란!$C$12=0,1,IF(입력란!$C$12=1,1.35,IF(입력란!$C$12=2,1.55,IF(입력란!$C$12=3,1.75,1))))*IF(MID(E191,3,1)="3",트라이포드!$N$14,트라이포드!$M$14)*IF(MID(E191,3,1)="3",트라이포드!$N$14,트라이포드!$M$14)*IF(MID(E191,5,1)="2",1,0)*IF(입력란!$C$9=1,IF(입력란!$C$15=0,1.05,IF(입력란!$C$15=1,1.05*1.05,IF(입력란!$C$15=2,1.05*1.12,IF(입력란!$C$15=3,1.05*1.25)))),1)</f>
        <v>0</v>
      </c>
      <c r="V191" s="21"/>
      <c r="W191" s="21"/>
      <c r="X191" s="21"/>
      <c r="Y191" s="21"/>
      <c r="Z191" s="20"/>
      <c r="AA191" s="21">
        <f>SUM(AB191:AI191)</f>
        <v>262463.47527085291</v>
      </c>
      <c r="AB191" s="21">
        <f>S191*2</f>
        <v>87487.825090284314</v>
      </c>
      <c r="AC191" s="21">
        <f>T191*2</f>
        <v>174975.65018056863</v>
      </c>
      <c r="AD191" s="21">
        <f>U191*2</f>
        <v>0</v>
      </c>
      <c r="AE191" s="21"/>
      <c r="AF191" s="21"/>
      <c r="AG191" s="21"/>
      <c r="AH191" s="21"/>
      <c r="AI191" s="20"/>
      <c r="AJ191" s="21">
        <f>(AQ191+IF(MID(E191,5,1)="1",12,0))*(1-입력란!$P$10/100)</f>
        <v>7.9038213753599997</v>
      </c>
      <c r="AK19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1" s="21">
        <f>입력란!$P$24+입력란!$P$16+IF(입력란!$C$18=1,10,IF(입력란!$C$18=2,25,IF(입력란!$C$18=3,50,0)))+IF(입력란!$C$23&lt;&gt;0,-12)</f>
        <v>380.66103559999999</v>
      </c>
      <c r="AM191" s="21">
        <f>SUM(AN191:AP191)</f>
        <v>41660.869090611573</v>
      </c>
      <c r="AN191" s="21">
        <f>(VLOOKUP(C191,$B$4:$AJ$7,13,FALSE)+VLOOKUP(C191,$B$8:$AJ$11,13,FALSE)*입력란!$P$4)*입력란!$P$25/100</f>
        <v>41660.869090611573</v>
      </c>
      <c r="AO191" s="21"/>
      <c r="AP191" s="21"/>
      <c r="AQ191" s="22">
        <v>8</v>
      </c>
    </row>
    <row r="192" spans="2:43" ht="13.5" customHeight="1" x14ac:dyDescent="0.55000000000000004">
      <c r="B192" s="66">
        <v>177</v>
      </c>
      <c r="C192" s="29">
        <v>7</v>
      </c>
      <c r="D192" s="30" t="s">
        <v>169</v>
      </c>
      <c r="E192" s="27" t="s">
        <v>98</v>
      </c>
      <c r="F192" s="29"/>
      <c r="G192" s="29"/>
      <c r="H192" s="36">
        <f>I192/AJ192</f>
        <v>51490.948735784281</v>
      </c>
      <c r="I192" s="37">
        <f>SUM(J192:Q192)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406975.26125545776</v>
      </c>
      <c r="J192" s="21">
        <f>S192*(1+IF($AK192+IF(입력란!$C$9=1,10,0)+IF(입력란!$C$26=1,10,0)&gt;100,100,$AK192+IF(입력란!$C$9=1,10,0)+IF(입력란!$C$26=1,10,0))/100*(($AL192+IF(입력란!$C$30=1,IF(OR(입력란!$C$9=1,입력란!$C$10=1),55,17),IF(입력란!$C$30=2,IF(OR(입력란!$C$9=1,입력란!$C$10=1),60,20),IF(입력란!$C$30=3,IF(OR(입력란!$C$9=1,입력란!$C$10=1),65,22),0))))/100-1))</f>
        <v>120085.70605701252</v>
      </c>
      <c r="K192" s="21">
        <f>T192*(1+IF($AK192+IF(입력란!$C$9=1,10,0)+IF(입력란!$C$26=1,10,0)&gt;100,100,$AK192+IF(입력란!$C$9=1,10,0)+IF(입력란!$C$26=1,10,0))/100*(($AL192+IF(입력란!$C$30=1,IF(OR(입력란!$C$9=1,입력란!$C$10=1),55,17),IF(입력란!$C$30=2,IF(OR(입력란!$C$9=1,입력란!$C$10=1),60,20),IF(입력란!$C$30=3,IF(OR(입력란!$C$9=1,입력란!$C$10=1),65,22),0))))/100-1))</f>
        <v>168119.98847981752</v>
      </c>
      <c r="L192" s="21">
        <f>U192*(1+IF($AK192+IF(입력란!$C$9=1,10,0)+IF(입력란!$C$26=1,10,0)&gt;100,100,$AK192+IF(입력란!$C$9=1,10,0)+IF(입력란!$C$26=1,10,0))/100*(($AL192+IF(입력란!$C$30=1,IF(OR(입력란!$C$9=1,입력란!$C$10=1),55,17),IF(입력란!$C$30=2,IF(OR(입력란!$C$9=1,입력란!$C$10=1),60,20),IF(입력란!$C$30=3,IF(OR(입력란!$C$9=1,입력란!$C$10=1),65,22),0))))/100-1))</f>
        <v>0</v>
      </c>
      <c r="M192" s="21"/>
      <c r="N192" s="21"/>
      <c r="O192" s="21"/>
      <c r="P192" s="21"/>
      <c r="Q192" s="20"/>
      <c r="R192" s="19">
        <f>SUM(S192:Z192)</f>
        <v>104985.39010834118</v>
      </c>
      <c r="S192" s="21">
        <f>AN192*IF(입력란!$C$12=0,1,IF(입력란!$C$12=1,1.35,IF(입력란!$C$12=2,1.55,IF(입력란!$C$12=3,1.75,1))))*IF(입력란!$C$9=1,IF(입력란!$C$15=0,1.05,IF(입력란!$C$15=1,1.05*1.05,IF(입력란!$C$15=2,1.05*1.12,IF(입력란!$C$15=3,1.05*1.25)))),1)</f>
        <v>43743.912545142157</v>
      </c>
      <c r="T192" s="21">
        <f>AN192*IF(입력란!$C$12=0,1,IF(입력란!$C$12=1,1.35,IF(입력란!$C$12=2,1.55,IF(입력란!$C$12=3,1.75,1))))*IF(MID(E192,3,1)="2",트라이포드!$L$14,트라이포드!$K$14)*IF(MID(E192,3,1)="3",트라이포드!$N$14,트라이포드!$M$14)*IF(MID(E192,5,1)="1",트라이포드!$P$14,트라이포드!$O$14)*IF(입력란!$C$9=1,IF(입력란!$C$15=0,1.05,IF(입력란!$C$15=1,1.05*1.05,IF(입력란!$C$15=2,1.05*1.12,IF(입력란!$C$15=3,1.05*1.25)))),1)</f>
        <v>61241.477563199012</v>
      </c>
      <c r="U192" s="21">
        <f>AN192*IF(입력란!$C$12=0,1,IF(입력란!$C$12=1,1.35,IF(입력란!$C$12=2,1.55,IF(입력란!$C$12=3,1.75,1))))*IF(MID(E192,3,1)="3",트라이포드!$N$14,트라이포드!$M$14)*IF(MID(E192,3,1)="3",트라이포드!$N$14,트라이포드!$M$14)*IF(MID(E192,5,1)="2",1,0)*IF(입력란!$C$9=1,IF(입력란!$C$15=0,1.05,IF(입력란!$C$15=1,1.05*1.05,IF(입력란!$C$15=2,1.05*1.12,IF(입력란!$C$15=3,1.05*1.25)))),1)</f>
        <v>0</v>
      </c>
      <c r="V192" s="21"/>
      <c r="W192" s="21"/>
      <c r="X192" s="21"/>
      <c r="Y192" s="21"/>
      <c r="Z192" s="20"/>
      <c r="AA192" s="21">
        <f>SUM(AB192:AI192)</f>
        <v>209970.78021668235</v>
      </c>
      <c r="AB192" s="21">
        <f>S192*2</f>
        <v>87487.825090284314</v>
      </c>
      <c r="AC192" s="21">
        <f>T192*2</f>
        <v>122482.95512639802</v>
      </c>
      <c r="AD192" s="21">
        <f>U192*2</f>
        <v>0</v>
      </c>
      <c r="AE192" s="21"/>
      <c r="AF192" s="21"/>
      <c r="AG192" s="21"/>
      <c r="AH192" s="21"/>
      <c r="AI192" s="20"/>
      <c r="AJ192" s="21">
        <f>(AQ192+IF(MID(E192,5,1)="1",12,0))*(1-입력란!$P$10/100)</f>
        <v>7.9038213753599997</v>
      </c>
      <c r="AK19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2" s="21">
        <f>입력란!$P$24+입력란!$P$16+IF(입력란!$C$18=1,10,IF(입력란!$C$18=2,25,IF(입력란!$C$18=3,50,0)))+IF(입력란!$C$23&lt;&gt;0,-12)</f>
        <v>380.66103559999999</v>
      </c>
      <c r="AM192" s="21">
        <f>SUM(AN192:AP192)</f>
        <v>41660.869090611573</v>
      </c>
      <c r="AN192" s="21">
        <f>(VLOOKUP(C192,$B$4:$AJ$7,13,FALSE)+VLOOKUP(C192,$B$8:$AJ$11,13,FALSE)*입력란!$P$4)*입력란!$P$25/100</f>
        <v>41660.869090611573</v>
      </c>
      <c r="AO192" s="21"/>
      <c r="AP192" s="21"/>
      <c r="AQ192" s="22">
        <v>8</v>
      </c>
    </row>
    <row r="193" spans="2:43" ht="13.5" customHeight="1" x14ac:dyDescent="0.55000000000000004">
      <c r="B193" s="66">
        <v>178</v>
      </c>
      <c r="C193" s="29">
        <v>10</v>
      </c>
      <c r="D193" s="30" t="s">
        <v>169</v>
      </c>
      <c r="E193" s="27" t="s">
        <v>94</v>
      </c>
      <c r="F193" s="29"/>
      <c r="G193" s="29"/>
      <c r="H193" s="36">
        <f>I193/AJ193</f>
        <v>42926.015327969893</v>
      </c>
      <c r="I193" s="37">
        <f>SUM(J193:Q193)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339279.55750823941</v>
      </c>
      <c r="J193" s="21">
        <f>S193*(1+IF($AK193+IF(입력란!$C$9=1,10,0)+IF(입력란!$C$26=1,10,0)&gt;100,100,$AK193+IF(입력란!$C$9=1,10,0)+IF(입력란!$C$26=1,10,0))/100*(($AL193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3" s="21">
        <f>T193*(1+IF($AK193+IF(입력란!$C$9=1,10,0)+IF(입력란!$C$26=1,10,0)&gt;100,100,$AK193+IF(입력란!$C$9=1,10,0)+IF(입력란!$C$26=1,10,0))/100*(($AL193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L193" s="21">
        <f>U193*(1+IF($AK193+IF(입력란!$C$9=1,10,0)+IF(입력란!$C$26=1,10,0)&gt;100,100,$AK193+IF(입력란!$C$9=1,10,0)+IF(입력란!$C$26=1,10,0))/100*(($AL193+IF(입력란!$C$30=1,IF(OR(입력란!$C$9=1,입력란!$C$10=1),55,17),IF(입력란!$C$30=2,IF(OR(입력란!$C$9=1,입력란!$C$10=1),60,20),IF(입력란!$C$30=3,IF(OR(입력란!$C$9=1,입력란!$C$10=1),65,22),0))))/100-1))</f>
        <v>0</v>
      </c>
      <c r="M193" s="21"/>
      <c r="N193" s="21"/>
      <c r="O193" s="21"/>
      <c r="P193" s="21"/>
      <c r="Q193" s="20"/>
      <c r="R193" s="19">
        <f>SUM(S193:Z193)</f>
        <v>87522.265090284316</v>
      </c>
      <c r="S193" s="21">
        <f>AN193*IF(입력란!$C$12=0,1,IF(입력란!$C$12=1,1.35,IF(입력란!$C$12=2,1.55,IF(입력란!$C$12=3,1.75,1))))*IF(입력란!$C$9=1,IF(입력란!$C$15=0,1.05,IF(입력란!$C$15=1,1.05*1.05,IF(입력란!$C$15=2,1.05*1.12,IF(입력란!$C$15=3,1.05*1.25)))),1)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3" s="21">
        <f>AN193*IF(입력란!$C$12=0,1,IF(입력란!$C$12=1,1.35,IF(입력란!$C$12=2,1.55,IF(입력란!$C$12=3,1.75,1))))*IF(MID(E193,3,1)="2",트라이포드!$L$14,트라이포드!$K$14)*IF(MID(E193,3,1)="3",트라이포드!$N$14,트라이포드!$M$14)*IF(MID(E193,5,1)="1",트라이포드!$P$14,트라이포드!$O$14)*IF(입력란!$C$9=1,IF(입력란!$C$15=0,1.05,IF(입력란!$C$15=1,1.05*1.05,IF(입력란!$C$15=2,1.05*1.12,IF(입력란!$C$15=3,1.05*1.25)))),1)</f>
        <v>43761.132545142158</v>
      </c>
      <c r="U193" s="21">
        <f>AN193*IF(입력란!$C$12=0,1,IF(입력란!$C$12=1,1.35,IF(입력란!$C$12=2,1.55,IF(입력란!$C$12=3,1.75,1))))*IF(MID(E193,3,1)="3",트라이포드!$N$14,트라이포드!$M$14)*IF(MID(E193,3,1)="3",트라이포드!$N$14,트라이포드!$M$14)*IF(MID(E193,5,1)="2",1,0)*IF(입력란!$C$9=1,IF(입력란!$C$15=0,1.05,IF(입력란!$C$15=1,1.05*1.05,IF(입력란!$C$15=2,1.05*1.12,IF(입력란!$C$15=3,1.05*1.25)))),1)</f>
        <v>0</v>
      </c>
      <c r="V193" s="21"/>
      <c r="W193" s="21"/>
      <c r="X193" s="21"/>
      <c r="Y193" s="21"/>
      <c r="Z193" s="20"/>
      <c r="AA193" s="21">
        <f>SUM(AB193:AI193)</f>
        <v>175044.53018056863</v>
      </c>
      <c r="AB193" s="21">
        <f>S193*2</f>
        <v>87522.265090284316</v>
      </c>
      <c r="AC193" s="21">
        <f>T193*2</f>
        <v>87522.265090284316</v>
      </c>
      <c r="AD193" s="21">
        <f>U193*2</f>
        <v>0</v>
      </c>
      <c r="AE193" s="21"/>
      <c r="AF193" s="21"/>
      <c r="AG193" s="21"/>
      <c r="AH193" s="21"/>
      <c r="AI193" s="20"/>
      <c r="AJ193" s="21">
        <f>(AQ193+IF(MID(E193,5,1)="1",12,0))*(1-입력란!$P$10/100)</f>
        <v>7.9038213753599997</v>
      </c>
      <c r="AK19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3" s="21">
        <f>입력란!$P$24+입력란!$P$16+IF(입력란!$C$18=1,10,IF(입력란!$C$18=2,25,IF(입력란!$C$18=3,50,0)))+IF(입력란!$C$23&lt;&gt;0,-12)</f>
        <v>380.66103559999999</v>
      </c>
      <c r="AM193" s="21">
        <f>SUM(AN193:AP193)</f>
        <v>41677.269090611575</v>
      </c>
      <c r="AN193" s="21">
        <f>(VLOOKUP(C193,$B$4:$AJ$7,13,FALSE)+VLOOKUP(C193,$B$8:$AJ$11,13,FALSE)*입력란!$P$4)*입력란!$P$25/100</f>
        <v>41677.269090611575</v>
      </c>
      <c r="AO193" s="21"/>
      <c r="AP193" s="21"/>
      <c r="AQ193" s="22">
        <v>8</v>
      </c>
    </row>
    <row r="194" spans="2:43" ht="13.5" customHeight="1" x14ac:dyDescent="0.55000000000000004">
      <c r="B194" s="66">
        <v>179</v>
      </c>
      <c r="C194" s="29">
        <v>10</v>
      </c>
      <c r="D194" s="30" t="s">
        <v>169</v>
      </c>
      <c r="E194" s="27" t="s">
        <v>121</v>
      </c>
      <c r="F194" s="29"/>
      <c r="G194" s="29"/>
      <c r="H194" s="36">
        <f>I194/AJ194</f>
        <v>68681.624524751824</v>
      </c>
      <c r="I194" s="37">
        <f>SUM(J194:Q194)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1357118.2300329576</v>
      </c>
      <c r="J194" s="21">
        <f>S194*(1+IF($AK194+IF(입력란!$C$9=1,10,0)+IF(입력란!$C$26=1,10,0)&gt;100,100,$AK194+IF(입력란!$C$9=1,10,0)+IF(입력란!$C$26=1,10,0))/100*(($AL194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4" s="21">
        <f>T194*(1+IF($AK194+IF(입력란!$C$9=1,10,0)+IF(입력란!$C$26=1,10,0)&gt;100,100,$AK194+IF(입력란!$C$9=1,10,0)+IF(입력란!$C$26=1,10,0))/100*(($AL194+IF(입력란!$C$30=1,IF(OR(입력란!$C$9=1,입력란!$C$10=1),55,17),IF(입력란!$C$30=2,IF(OR(입력란!$C$9=1,입력란!$C$10=1),60,20),IF(입력란!$C$30=3,IF(OR(입력란!$C$9=1,입력란!$C$10=1),65,22),0))))/100-1))</f>
        <v>840930.84857930581</v>
      </c>
      <c r="L194" s="21">
        <f>U194*(1+IF($AK194+IF(입력란!$C$9=1,10,0)+IF(입력란!$C$26=1,10,0)&gt;100,100,$AK194+IF(입력란!$C$9=1,10,0)+IF(입력란!$C$26=1,10,0))/100*(($AL194+IF(입력란!$C$30=1,IF(OR(입력란!$C$9=1,입력란!$C$10=1),55,17),IF(입력란!$C$30=2,IF(OR(입력란!$C$9=1,입력란!$C$10=1),60,20),IF(입력란!$C$30=3,IF(OR(입력란!$C$9=1,입력란!$C$10=1),65,22),0))))/100-1))</f>
        <v>0</v>
      </c>
      <c r="M194" s="21"/>
      <c r="N194" s="21"/>
      <c r="O194" s="21"/>
      <c r="P194" s="21"/>
      <c r="Q194" s="20"/>
      <c r="R194" s="19">
        <f>SUM(S194:Z194)</f>
        <v>350089.06036113721</v>
      </c>
      <c r="S194" s="21">
        <f>AN194*IF(입력란!$C$12=0,1,IF(입력란!$C$12=1,1.35,IF(입력란!$C$12=2,1.55,IF(입력란!$C$12=3,1.75,1))))*IF(입력란!$C$9=1,IF(입력란!$C$15=0,1.05,IF(입력란!$C$15=1,1.05*1.05,IF(입력란!$C$15=2,1.05*1.12,IF(입력란!$C$15=3,1.05*1.25)))),1)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4" s="21">
        <f>AN194*IF(입력란!$C$12=0,1,IF(입력란!$C$12=1,1.35,IF(입력란!$C$12=2,1.55,IF(입력란!$C$12=3,1.75,1))))*IF(MID(E194,3,1)="2",트라이포드!$L$14,트라이포드!$K$14)*IF(MID(E194,3,1)="3",트라이포드!$N$14,트라이포드!$M$14)*IF(MID(E194,5,1)="1",트라이포드!$P$14,트라이포드!$O$14)*IF(입력란!$C$9=1,IF(입력란!$C$15=0,1.05,IF(입력란!$C$15=1,1.05*1.05,IF(입력란!$C$15=2,1.05*1.12,IF(입력란!$C$15=3,1.05*1.25)))),1)</f>
        <v>306327.92781599506</v>
      </c>
      <c r="U194" s="21">
        <f>AN194*IF(입력란!$C$12=0,1,IF(입력란!$C$12=1,1.35,IF(입력란!$C$12=2,1.55,IF(입력란!$C$12=3,1.75,1))))*IF(MID(E194,3,1)="3",트라이포드!$N$14,트라이포드!$M$14)*IF(MID(E194,3,1)="3",트라이포드!$N$14,트라이포드!$M$14)*IF(MID(E194,5,1)="2",1,0)*IF(입력란!$C$9=1,IF(입력란!$C$15=0,1.05,IF(입력란!$C$15=1,1.05*1.05,IF(입력란!$C$15=2,1.05*1.12,IF(입력란!$C$15=3,1.05*1.25)))),1)</f>
        <v>0</v>
      </c>
      <c r="V194" s="21"/>
      <c r="W194" s="21"/>
      <c r="X194" s="21"/>
      <c r="Y194" s="21"/>
      <c r="Z194" s="20"/>
      <c r="AA194" s="21">
        <f>SUM(AB194:AI194)</f>
        <v>700178.12072227441</v>
      </c>
      <c r="AB194" s="21">
        <f>S194*2</f>
        <v>87522.265090284316</v>
      </c>
      <c r="AC194" s="21">
        <f>T194*2</f>
        <v>612655.85563199013</v>
      </c>
      <c r="AD194" s="21">
        <f>U194*2</f>
        <v>0</v>
      </c>
      <c r="AE194" s="21"/>
      <c r="AF194" s="21"/>
      <c r="AG194" s="21"/>
      <c r="AH194" s="21"/>
      <c r="AI194" s="20"/>
      <c r="AJ194" s="21">
        <f>(AQ194+IF(MID(E194,5,1)="1",12,0))*(1-입력란!$P$10/100)</f>
        <v>19.759553438399998</v>
      </c>
      <c r="AK19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4" s="21">
        <f>입력란!$P$24+입력란!$P$16+IF(입력란!$C$18=1,10,IF(입력란!$C$18=2,25,IF(입력란!$C$18=3,50,0)))+IF(입력란!$C$23&lt;&gt;0,-12)</f>
        <v>380.66103559999999</v>
      </c>
      <c r="AM194" s="21">
        <f>SUM(AN194:AP194)</f>
        <v>41677.269090611575</v>
      </c>
      <c r="AN194" s="21">
        <f>(VLOOKUP(C194,$B$4:$AJ$7,13,FALSE)+VLOOKUP(C194,$B$8:$AJ$11,13,FALSE)*입력란!$P$4)*입력란!$P$25/100</f>
        <v>41677.269090611575</v>
      </c>
      <c r="AO194" s="21"/>
      <c r="AP194" s="21"/>
      <c r="AQ194" s="22">
        <v>8</v>
      </c>
    </row>
    <row r="195" spans="2:43" ht="13.5" customHeight="1" x14ac:dyDescent="0.55000000000000004">
      <c r="B195" s="66">
        <v>180</v>
      </c>
      <c r="C195" s="29">
        <v>10</v>
      </c>
      <c r="D195" s="30" t="s">
        <v>169</v>
      </c>
      <c r="E195" s="27" t="s">
        <v>122</v>
      </c>
      <c r="F195" s="29"/>
      <c r="G195" s="29"/>
      <c r="H195" s="36">
        <f>I195/AJ195</f>
        <v>64389.022991954836</v>
      </c>
      <c r="I195" s="37">
        <f>SUM(J195:Q195)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508919.33626235911</v>
      </c>
      <c r="J195" s="21">
        <f>S195*(1+IF($AK195+IF(입력란!$C$9=1,10,0)+IF(입력란!$C$26=1,10,0)&gt;100,100,$AK195+IF(입력란!$C$9=1,10,0)+IF(입력란!$C$26=1,10,0))/100*(($AL195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5" s="21">
        <f>T195*(1+IF($AK195+IF(입력란!$C$9=1,10,0)+IF(입력란!$C$26=1,10,0)&gt;100,100,$AK195+IF(입력란!$C$9=1,10,0)+IF(입력란!$C$26=1,10,0))/100*(($AL195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L195" s="21">
        <f>U195*(1+IF($AK195+IF(입력란!$C$9=1,10,0)+IF(입력란!$C$26=1,10,0)&gt;100,100,$AK195+IF(입력란!$C$9=1,10,0)+IF(입력란!$C$26=1,10,0))/100*(($AL195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M195" s="21"/>
      <c r="N195" s="21"/>
      <c r="O195" s="21"/>
      <c r="P195" s="21"/>
      <c r="Q195" s="20"/>
      <c r="R195" s="19">
        <f>SUM(S195:Z195)</f>
        <v>131283.39763542649</v>
      </c>
      <c r="S195" s="21">
        <f>AN195*IF(입력란!$C$12=0,1,IF(입력란!$C$12=1,1.35,IF(입력란!$C$12=2,1.55,IF(입력란!$C$12=3,1.75,1))))*IF(입력란!$C$9=1,IF(입력란!$C$15=0,1.05,IF(입력란!$C$15=1,1.05*1.05,IF(입력란!$C$15=2,1.05*1.12,IF(입력란!$C$15=3,1.05*1.25)))),1)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5" s="21">
        <f>AN195*IF(입력란!$C$12=0,1,IF(입력란!$C$12=1,1.35,IF(입력란!$C$12=2,1.55,IF(입력란!$C$12=3,1.75,1))))*IF(MID(E195,3,1)="2",트라이포드!$L$14,트라이포드!$K$14)*IF(MID(E195,3,1)="3",트라이포드!$N$14,트라이포드!$M$14)*IF(MID(E195,5,1)="1",트라이포드!$P$14,트라이포드!$O$14)*IF(입력란!$C$9=1,IF(입력란!$C$15=0,1.05,IF(입력란!$C$15=1,1.05*1.05,IF(입력란!$C$15=2,1.05*1.12,IF(입력란!$C$15=3,1.05*1.25)))),1)</f>
        <v>43761.132545142158</v>
      </c>
      <c r="U195" s="21">
        <f>AN195*IF(입력란!$C$12=0,1,IF(입력란!$C$12=1,1.35,IF(입력란!$C$12=2,1.55,IF(입력란!$C$12=3,1.75,1))))*IF(MID(E195,3,1)="3",트라이포드!$N$14,트라이포드!$M$14)*IF(MID(E195,3,1)="3",트라이포드!$N$14,트라이포드!$M$14)*IF(MID(E195,5,1)="2",1,0)*IF(입력란!$C$9=1,IF(입력란!$C$15=0,1.05,IF(입력란!$C$15=1,1.05*1.05,IF(입력란!$C$15=2,1.05*1.12,IF(입력란!$C$15=3,1.05*1.25)))),1)</f>
        <v>43761.132545142158</v>
      </c>
      <c r="V195" s="21"/>
      <c r="W195" s="21"/>
      <c r="X195" s="21"/>
      <c r="Y195" s="21"/>
      <c r="Z195" s="20"/>
      <c r="AA195" s="21">
        <f>SUM(AB195:AI195)</f>
        <v>262566.79527085298</v>
      </c>
      <c r="AB195" s="21">
        <f>S195*2</f>
        <v>87522.265090284316</v>
      </c>
      <c r="AC195" s="21">
        <f>T195*2</f>
        <v>87522.265090284316</v>
      </c>
      <c r="AD195" s="21">
        <f>U195*2</f>
        <v>87522.265090284316</v>
      </c>
      <c r="AE195" s="21"/>
      <c r="AF195" s="21"/>
      <c r="AG195" s="21"/>
      <c r="AH195" s="21"/>
      <c r="AI195" s="20"/>
      <c r="AJ195" s="21">
        <f>(AQ195+IF(MID(E195,5,1)="1",12,0))*(1-입력란!$P$10/100)</f>
        <v>7.9038213753599997</v>
      </c>
      <c r="AK19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5" s="21">
        <f>입력란!$P$24+입력란!$P$16+IF(입력란!$C$18=1,10,IF(입력란!$C$18=2,25,IF(입력란!$C$18=3,50,0)))+IF(입력란!$C$23&lt;&gt;0,-12)</f>
        <v>380.66103559999999</v>
      </c>
      <c r="AM195" s="21">
        <f>SUM(AN195:AP195)</f>
        <v>41677.269090611575</v>
      </c>
      <c r="AN195" s="21">
        <f>(VLOOKUP(C195,$B$4:$AJ$7,13,FALSE)+VLOOKUP(C195,$B$8:$AJ$11,13,FALSE)*입력란!$P$4)*입력란!$P$25/100</f>
        <v>41677.269090611575</v>
      </c>
      <c r="AO195" s="21"/>
      <c r="AP195" s="21"/>
      <c r="AQ195" s="22">
        <v>8</v>
      </c>
    </row>
    <row r="196" spans="2:43" ht="13.5" customHeight="1" x14ac:dyDescent="0.55000000000000004">
      <c r="B196" s="66">
        <v>181</v>
      </c>
      <c r="C196" s="29">
        <v>10</v>
      </c>
      <c r="D196" s="30" t="s">
        <v>169</v>
      </c>
      <c r="E196" s="27" t="s">
        <v>140</v>
      </c>
      <c r="F196" s="29"/>
      <c r="G196" s="29"/>
      <c r="H196" s="36">
        <f>I196/AJ196</f>
        <v>128778.04598390967</v>
      </c>
      <c r="I196" s="37">
        <f>SUM(J196:Q196)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2544596.6813117955</v>
      </c>
      <c r="J196" s="21">
        <f>S196*(1+IF($AK196+IF(입력란!$C$9=1,10,0)+IF(입력란!$C$26=1,10,0)&gt;100,100,$AK196+IF(입력란!$C$9=1,10,0)+IF(입력란!$C$26=1,10,0))/100*(($AL196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6" s="21">
        <f>T196*(1+IF($AK196+IF(입력란!$C$9=1,10,0)+IF(입력란!$C$26=1,10,0)&gt;100,100,$AK196+IF(입력란!$C$9=1,10,0)+IF(입력란!$C$26=1,10,0))/100*(($AL196+IF(입력란!$C$30=1,IF(OR(입력란!$C$9=1,입력란!$C$10=1),55,17),IF(입력란!$C$30=2,IF(OR(입력란!$C$9=1,입력란!$C$10=1),60,20),IF(입력란!$C$30=3,IF(OR(입력란!$C$9=1,입력란!$C$10=1),65,22),0))))/100-1))</f>
        <v>1681861.6971586116</v>
      </c>
      <c r="L196" s="21">
        <f>U196*(1+IF($AK196+IF(입력란!$C$9=1,10,0)+IF(입력란!$C$26=1,10,0)&gt;100,100,$AK196+IF(입력란!$C$9=1,10,0)+IF(입력란!$C$26=1,10,0))/100*(($AL196+IF(입력란!$C$30=1,IF(OR(입력란!$C$9=1,입력란!$C$10=1),55,17),IF(입력란!$C$30=2,IF(OR(입력란!$C$9=1,입력란!$C$10=1),60,20),IF(입력란!$C$30=3,IF(OR(입력란!$C$9=1,입력란!$C$10=1),65,22),0))))/100-1))</f>
        <v>0</v>
      </c>
      <c r="M196" s="21"/>
      <c r="N196" s="21"/>
      <c r="O196" s="21"/>
      <c r="P196" s="21"/>
      <c r="Q196" s="20"/>
      <c r="R196" s="19">
        <f>SUM(S196:Z196)</f>
        <v>656416.98817713233</v>
      </c>
      <c r="S196" s="21">
        <f>AN196*IF(입력란!$C$12=0,1,IF(입력란!$C$12=1,1.35,IF(입력란!$C$12=2,1.55,IF(입력란!$C$12=3,1.75,1))))*IF(입력란!$C$9=1,IF(입력란!$C$15=0,1.05,IF(입력란!$C$15=1,1.05*1.05,IF(입력란!$C$15=2,1.05*1.12,IF(입력란!$C$15=3,1.05*1.25)))),1)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6" s="21">
        <f>AN196*IF(입력란!$C$12=0,1,IF(입력란!$C$12=1,1.35,IF(입력란!$C$12=2,1.55,IF(입력란!$C$12=3,1.75,1))))*IF(MID(E196,3,1)="2",트라이포드!$L$14,트라이포드!$K$14)*IF(MID(E196,3,1)="3",트라이포드!$N$14,트라이포드!$M$14)*IF(MID(E196,5,1)="1",트라이포드!$P$14,트라이포드!$O$14)*IF(입력란!$C$9=1,IF(입력란!$C$15=0,1.05,IF(입력란!$C$15=1,1.05*1.05,IF(입력란!$C$15=2,1.05*1.12,IF(입력란!$C$15=3,1.05*1.25)))),1)</f>
        <v>612655.85563199013</v>
      </c>
      <c r="U196" s="21">
        <f>AN196*IF(입력란!$C$12=0,1,IF(입력란!$C$12=1,1.35,IF(입력란!$C$12=2,1.55,IF(입력란!$C$12=3,1.75,1))))*IF(MID(E196,3,1)="3",트라이포드!$N$14,트라이포드!$M$14)*IF(MID(E196,3,1)="3",트라이포드!$N$14,트라이포드!$M$14)*IF(MID(E196,5,1)="2",1,0)*IF(입력란!$C$9=1,IF(입력란!$C$15=0,1.05,IF(입력란!$C$15=1,1.05*1.05,IF(입력란!$C$15=2,1.05*1.12,IF(입력란!$C$15=3,1.05*1.25)))),1)</f>
        <v>0</v>
      </c>
      <c r="V196" s="21"/>
      <c r="W196" s="21"/>
      <c r="X196" s="21"/>
      <c r="Y196" s="21"/>
      <c r="Z196" s="20"/>
      <c r="AA196" s="21">
        <f>SUM(AB196:AI196)</f>
        <v>1312833.9763542647</v>
      </c>
      <c r="AB196" s="21">
        <f>S196*2</f>
        <v>87522.265090284316</v>
      </c>
      <c r="AC196" s="21">
        <f>T196*2</f>
        <v>1225311.7112639803</v>
      </c>
      <c r="AD196" s="21">
        <f>U196*2</f>
        <v>0</v>
      </c>
      <c r="AE196" s="21"/>
      <c r="AF196" s="21"/>
      <c r="AG196" s="21"/>
      <c r="AH196" s="21"/>
      <c r="AI196" s="20"/>
      <c r="AJ196" s="21">
        <f>(AQ196+IF(MID(E196,5,1)="1",12,0))*(1-입력란!$P$10/100)</f>
        <v>19.759553438399998</v>
      </c>
      <c r="AK19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6" s="21">
        <f>입력란!$P$24+입력란!$P$16+IF(입력란!$C$18=1,10,IF(입력란!$C$18=2,25,IF(입력란!$C$18=3,50,0)))+IF(입력란!$C$23&lt;&gt;0,-12)</f>
        <v>380.66103559999999</v>
      </c>
      <c r="AM196" s="21">
        <f>SUM(AN196:AP196)</f>
        <v>41677.269090611575</v>
      </c>
      <c r="AN196" s="21">
        <f>(VLOOKUP(C196,$B$4:$AJ$7,13,FALSE)+VLOOKUP(C196,$B$8:$AJ$11,13,FALSE)*입력란!$P$4)*입력란!$P$25/100</f>
        <v>41677.269090611575</v>
      </c>
      <c r="AO196" s="21"/>
      <c r="AP196" s="21"/>
      <c r="AQ196" s="22">
        <v>8</v>
      </c>
    </row>
    <row r="197" spans="2:43" ht="13.5" customHeight="1" x14ac:dyDescent="0.55000000000000004">
      <c r="B197" s="66">
        <v>182</v>
      </c>
      <c r="C197" s="29">
        <v>10</v>
      </c>
      <c r="D197" s="30" t="s">
        <v>169</v>
      </c>
      <c r="E197" s="27" t="s">
        <v>147</v>
      </c>
      <c r="F197" s="29"/>
      <c r="G197" s="29"/>
      <c r="H197" s="36">
        <f>I197/AJ197</f>
        <v>85852.030655939787</v>
      </c>
      <c r="I197" s="37">
        <f>SUM(J197:Q197)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678559.11501647881</v>
      </c>
      <c r="J197" s="21">
        <f>S197*(1+IF($AK197+IF(입력란!$C$9=1,10,0)+IF(입력란!$C$26=1,10,0)&gt;100,100,$AK197+IF(입력란!$C$9=1,10,0)+IF(입력란!$C$26=1,10,0))/100*(($AL197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7" s="21">
        <f>T197*(1+IF($AK197+IF(입력란!$C$9=1,10,0)+IF(입력란!$C$26=1,10,0)&gt;100,100,$AK197+IF(입력란!$C$9=1,10,0)+IF(입력란!$C$26=1,10,0))/100*(($AL197+IF(입력란!$C$30=1,IF(OR(입력란!$C$9=1,입력란!$C$10=1),55,17),IF(입력란!$C$30=2,IF(OR(입력란!$C$9=1,입력란!$C$10=1),60,20),IF(입력란!$C$30=3,IF(OR(입력란!$C$9=1,입력란!$C$10=1),65,22),0))))/100-1))</f>
        <v>240265.95673694453</v>
      </c>
      <c r="L197" s="21">
        <f>U197*(1+IF($AK197+IF(입력란!$C$9=1,10,0)+IF(입력란!$C$26=1,10,0)&gt;100,100,$AK197+IF(입력란!$C$9=1,10,0)+IF(입력란!$C$26=1,10,0))/100*(($AL197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M197" s="21"/>
      <c r="N197" s="21"/>
      <c r="O197" s="21"/>
      <c r="P197" s="21"/>
      <c r="Q197" s="20"/>
      <c r="R197" s="19">
        <f>SUM(S197:Z197)</f>
        <v>175044.53018056863</v>
      </c>
      <c r="S197" s="21">
        <f>AN197*IF(입력란!$C$12=0,1,IF(입력란!$C$12=1,1.35,IF(입력란!$C$12=2,1.55,IF(입력란!$C$12=3,1.75,1))))*IF(입력란!$C$9=1,IF(입력란!$C$15=0,1.05,IF(입력란!$C$15=1,1.05*1.05,IF(입력란!$C$15=2,1.05*1.12,IF(입력란!$C$15=3,1.05*1.25)))),1)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7" s="21">
        <f>AN197*IF(입력란!$C$12=0,1,IF(입력란!$C$12=1,1.35,IF(입력란!$C$12=2,1.55,IF(입력란!$C$12=3,1.75,1))))*IF(MID(E197,3,1)="2",트라이포드!$L$14,트라이포드!$K$14)*IF(MID(E197,3,1)="3",트라이포드!$N$14,트라이포드!$M$14)*IF(MID(E197,5,1)="1",트라이포드!$P$14,트라이포드!$O$14)*IF(입력란!$C$9=1,IF(입력란!$C$15=0,1.05,IF(입력란!$C$15=1,1.05*1.05,IF(입력란!$C$15=2,1.05*1.12,IF(입력란!$C$15=3,1.05*1.25)))),1)</f>
        <v>87522.265090284316</v>
      </c>
      <c r="U197" s="21">
        <f>AN197*IF(입력란!$C$12=0,1,IF(입력란!$C$12=1,1.35,IF(입력란!$C$12=2,1.55,IF(입력란!$C$12=3,1.75,1))))*IF(MID(E197,3,1)="3",트라이포드!$N$14,트라이포드!$M$14)*IF(MID(E197,3,1)="3",트라이포드!$N$14,트라이포드!$M$14)*IF(MID(E197,5,1)="2",1,0)*IF(입력란!$C$9=1,IF(입력란!$C$15=0,1.05,IF(입력란!$C$15=1,1.05*1.05,IF(입력란!$C$15=2,1.05*1.12,IF(입력란!$C$15=3,1.05*1.25)))),1)</f>
        <v>43761.132545142158</v>
      </c>
      <c r="V197" s="21"/>
      <c r="W197" s="21"/>
      <c r="X197" s="21"/>
      <c r="Y197" s="21"/>
      <c r="Z197" s="20"/>
      <c r="AA197" s="21">
        <f>SUM(AB197:AI197)</f>
        <v>350089.06036113726</v>
      </c>
      <c r="AB197" s="21">
        <f>S197*2</f>
        <v>87522.265090284316</v>
      </c>
      <c r="AC197" s="21">
        <f>T197*2</f>
        <v>175044.53018056863</v>
      </c>
      <c r="AD197" s="21">
        <f>U197*2</f>
        <v>87522.265090284316</v>
      </c>
      <c r="AE197" s="21"/>
      <c r="AF197" s="21"/>
      <c r="AG197" s="21"/>
      <c r="AH197" s="21"/>
      <c r="AI197" s="20"/>
      <c r="AJ197" s="21">
        <f>(AQ197+IF(MID(E197,5,1)="1",12,0))*(1-입력란!$P$10/100)</f>
        <v>7.9038213753599997</v>
      </c>
      <c r="AK19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7" s="21">
        <f>입력란!$P$24+입력란!$P$16+IF(입력란!$C$18=1,10,IF(입력란!$C$18=2,25,IF(입력란!$C$18=3,50,0)))+IF(입력란!$C$23&lt;&gt;0,-12)</f>
        <v>380.66103559999999</v>
      </c>
      <c r="AM197" s="21">
        <f>SUM(AN197:AP197)</f>
        <v>41677.269090611575</v>
      </c>
      <c r="AN197" s="21">
        <f>(VLOOKUP(C197,$B$4:$AJ$7,13,FALSE)+VLOOKUP(C197,$B$8:$AJ$11,13,FALSE)*입력란!$P$4)*입력란!$P$25/100</f>
        <v>41677.269090611575</v>
      </c>
      <c r="AO197" s="21"/>
      <c r="AP197" s="21"/>
      <c r="AQ197" s="22">
        <v>8</v>
      </c>
    </row>
    <row r="198" spans="2:43" ht="13.5" customHeight="1" x14ac:dyDescent="0.55000000000000004">
      <c r="B198" s="66">
        <v>183</v>
      </c>
      <c r="C198" s="29">
        <v>10</v>
      </c>
      <c r="D198" s="30" t="s">
        <v>169</v>
      </c>
      <c r="E198" s="27" t="s">
        <v>126</v>
      </c>
      <c r="F198" s="29"/>
      <c r="G198" s="29"/>
      <c r="H198" s="36">
        <f>I198/AJ198</f>
        <v>92720.193108414969</v>
      </c>
      <c r="I198" s="37">
        <f>SUM(J198:Q198)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1832109.6105444927</v>
      </c>
      <c r="J198" s="21">
        <f>S198*(1+IF($AK198+IF(입력란!$C$9=1,10,0)+IF(입력란!$C$26=1,10,0)&gt;100,100,$AK198+IF(입력란!$C$9=1,10,0)+IF(입력란!$C$26=1,10,0))/100*(($AL198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8" s="21">
        <f>T198*(1+IF($AK198+IF(입력란!$C$9=1,10,0)+IF(입력란!$C$26=1,10,0)&gt;100,100,$AK198+IF(입력란!$C$9=1,10,0)+IF(입력란!$C$26=1,10,0))/100*(($AL198+IF(입력란!$C$30=1,IF(OR(입력란!$C$9=1,입력란!$C$10=1),55,17),IF(입력란!$C$30=2,IF(OR(입력란!$C$9=1,입력란!$C$10=1),60,20),IF(입력란!$C$30=3,IF(OR(입력란!$C$9=1,입력란!$C$10=1),65,22),0))))/100-1))</f>
        <v>1177303.1880110281</v>
      </c>
      <c r="L198" s="21">
        <f>U198*(1+IF($AK198+IF(입력란!$C$9=1,10,0)+IF(입력란!$C$26=1,10,0)&gt;100,100,$AK198+IF(입력란!$C$9=1,10,0)+IF(입력란!$C$26=1,10,0))/100*(($AL198+IF(입력란!$C$30=1,IF(OR(입력란!$C$9=1,입력란!$C$10=1),55,17),IF(입력란!$C$30=2,IF(OR(입력란!$C$9=1,입력란!$C$10=1),60,20),IF(입력란!$C$30=3,IF(OR(입력란!$C$9=1,입력란!$C$10=1),65,22),0))))/100-1))</f>
        <v>0</v>
      </c>
      <c r="M198" s="21"/>
      <c r="N198" s="21"/>
      <c r="O198" s="21"/>
      <c r="P198" s="21"/>
      <c r="Q198" s="20"/>
      <c r="R198" s="19">
        <f>SUM(S198:Z198)</f>
        <v>472620.23148753523</v>
      </c>
      <c r="S198" s="21">
        <f>AN198*IF(입력란!$C$12=0,1,IF(입력란!$C$12=1,1.35,IF(입력란!$C$12=2,1.55,IF(입력란!$C$12=3,1.75,1))))*IF(입력란!$C$9=1,IF(입력란!$C$15=0,1.05,IF(입력란!$C$15=1,1.05*1.05,IF(입력란!$C$15=2,1.05*1.12,IF(입력란!$C$15=3,1.05*1.25)))),1)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8" s="21">
        <f>AN198*IF(입력란!$C$12=0,1,IF(입력란!$C$12=1,1.35,IF(입력란!$C$12=2,1.55,IF(입력란!$C$12=3,1.75,1))))*IF(MID(E198,3,1)="2",트라이포드!$L$14,트라이포드!$K$14)*IF(MID(E198,3,1)="3",트라이포드!$N$14,트라이포드!$M$14)*IF(MID(E198,5,1)="1",트라이포드!$P$14,트라이포드!$O$14)*IF(입력란!$C$9=1,IF(입력란!$C$15=0,1.05,IF(입력란!$C$15=1,1.05*1.05,IF(입력란!$C$15=2,1.05*1.12,IF(입력란!$C$15=3,1.05*1.25)))),1)</f>
        <v>428859.09894239309</v>
      </c>
      <c r="U198" s="21">
        <f>AN198*IF(입력란!$C$12=0,1,IF(입력란!$C$12=1,1.35,IF(입력란!$C$12=2,1.55,IF(입력란!$C$12=3,1.75,1))))*IF(MID(E198,3,1)="3",트라이포드!$N$14,트라이포드!$M$14)*IF(MID(E198,3,1)="3",트라이포드!$N$14,트라이포드!$M$14)*IF(MID(E198,5,1)="2",1,0)*IF(입력란!$C$9=1,IF(입력란!$C$15=0,1.05,IF(입력란!$C$15=1,1.05*1.05,IF(입력란!$C$15=2,1.05*1.12,IF(입력란!$C$15=3,1.05*1.25)))),1)</f>
        <v>0</v>
      </c>
      <c r="V198" s="21"/>
      <c r="W198" s="21"/>
      <c r="X198" s="21"/>
      <c r="Y198" s="21"/>
      <c r="Z198" s="20"/>
      <c r="AA198" s="21">
        <f>SUM(AB198:AI198)</f>
        <v>945240.46297507046</v>
      </c>
      <c r="AB198" s="21">
        <f>S198*2</f>
        <v>87522.265090284316</v>
      </c>
      <c r="AC198" s="21">
        <f>T198*2</f>
        <v>857718.19788478618</v>
      </c>
      <c r="AD198" s="21">
        <f>U198*2</f>
        <v>0</v>
      </c>
      <c r="AE198" s="21"/>
      <c r="AF198" s="21"/>
      <c r="AG198" s="21"/>
      <c r="AH198" s="21"/>
      <c r="AI198" s="20"/>
      <c r="AJ198" s="21">
        <f>(AQ198+IF(MID(E198,5,1)="1",12,0))*(1-입력란!$P$10/100)</f>
        <v>19.759553438399998</v>
      </c>
      <c r="AK19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8" s="21">
        <f>입력란!$P$24+입력란!$P$16+IF(입력란!$C$18=1,10,IF(입력란!$C$18=2,25,IF(입력란!$C$18=3,50,0)))+IF(입력란!$C$23&lt;&gt;0,-12)</f>
        <v>380.66103559999999</v>
      </c>
      <c r="AM198" s="21">
        <f>SUM(AN198:AP198)</f>
        <v>41677.269090611575</v>
      </c>
      <c r="AN198" s="21">
        <f>(VLOOKUP(C198,$B$4:$AJ$7,13,FALSE)+VLOOKUP(C198,$B$8:$AJ$11,13,FALSE)*입력란!$P$4)*입력란!$P$25/100</f>
        <v>41677.269090611575</v>
      </c>
      <c r="AO198" s="21"/>
      <c r="AP198" s="21"/>
      <c r="AQ198" s="22">
        <v>8</v>
      </c>
    </row>
    <row r="199" spans="2:43" ht="13.5" customHeight="1" x14ac:dyDescent="0.55000000000000004">
      <c r="B199" s="66">
        <v>184</v>
      </c>
      <c r="C199" s="29">
        <v>10</v>
      </c>
      <c r="D199" s="30" t="s">
        <v>169</v>
      </c>
      <c r="E199" s="27" t="s">
        <v>127</v>
      </c>
      <c r="F199" s="29"/>
      <c r="G199" s="29"/>
      <c r="H199" s="36">
        <f>I199/AJ199</f>
        <v>93578.713414974351</v>
      </c>
      <c r="I199" s="37">
        <f>SUM(J199:Q199)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739629.43536796188</v>
      </c>
      <c r="J199" s="21">
        <f>S199*(1+IF($AK199+IF(입력란!$C$9=1,10,0)+IF(입력란!$C$26=1,10,0)&gt;100,100,$AK199+IF(입력란!$C$9=1,10,0)+IF(입력란!$C$26=1,10,0))/100*(($AL199+IF(입력란!$C$30=1,IF(OR(입력란!$C$9=1,입력란!$C$10=1),55,17),IF(입력란!$C$30=2,IF(OR(입력란!$C$9=1,입력란!$C$10=1),60,20),IF(입력란!$C$30=3,IF(OR(입력란!$C$9=1,입력란!$C$10=1),65,22),0))))/100-1))</f>
        <v>120132.97836847226</v>
      </c>
      <c r="K199" s="21">
        <f>T199*(1+IF($AK199+IF(입력란!$C$9=1,10,0)+IF(입력란!$C$26=1,10,0)&gt;100,100,$AK199+IF(입력란!$C$9=1,10,0)+IF(입력란!$C$26=1,10,0))/100*(($AL199+IF(입력란!$C$30=1,IF(OR(입력란!$C$9=1,입력란!$C$10=1),55,17),IF(입력란!$C$30=2,IF(OR(입력란!$C$9=1,입력란!$C$10=1),60,20),IF(입력란!$C$30=3,IF(OR(입력란!$C$9=1,입력란!$C$10=1),65,22),0))))/100-1))</f>
        <v>168186.16971586118</v>
      </c>
      <c r="L199" s="21">
        <f>U199*(1+IF($AK199+IF(입력란!$C$9=1,10,0)+IF(입력란!$C$26=1,10,0)&gt;100,100,$AK199+IF(입력란!$C$9=1,10,0)+IF(입력란!$C$26=1,10,0))/100*(($AL199+IF(입력란!$C$30=1,IF(OR(입력란!$C$9=1,입력란!$C$10=1),55,17),IF(입력란!$C$30=2,IF(OR(입력란!$C$9=1,입력란!$C$10=1),60,20),IF(입력란!$C$30=3,IF(OR(입력란!$C$9=1,입력란!$C$10=1),65,22),0))))/100-1))</f>
        <v>235460.63760220562</v>
      </c>
      <c r="M199" s="21"/>
      <c r="N199" s="21"/>
      <c r="O199" s="21"/>
      <c r="P199" s="21"/>
      <c r="Q199" s="20"/>
      <c r="R199" s="19">
        <f>SUM(S199:Z199)</f>
        <v>190798.53789681982</v>
      </c>
      <c r="S199" s="21">
        <f>AN199*IF(입력란!$C$12=0,1,IF(입력란!$C$12=1,1.35,IF(입력란!$C$12=2,1.55,IF(입력란!$C$12=3,1.75,1))))*IF(입력란!$C$9=1,IF(입력란!$C$15=0,1.05,IF(입력란!$C$15=1,1.05*1.05,IF(입력란!$C$15=2,1.05*1.12,IF(입력란!$C$15=3,1.05*1.25)))),1)</f>
        <v>43761.132545142158</v>
      </c>
      <c r="T199" s="21">
        <f>AN199*IF(입력란!$C$12=0,1,IF(입력란!$C$12=1,1.35,IF(입력란!$C$12=2,1.55,IF(입력란!$C$12=3,1.75,1))))*IF(MID(E199,3,1)="2",트라이포드!$L$14,트라이포드!$K$14)*IF(MID(E199,3,1)="3",트라이포드!$N$14,트라이포드!$M$14)*IF(MID(E199,5,1)="1",트라이포드!$P$14,트라이포드!$O$14)*IF(입력란!$C$9=1,IF(입력란!$C$15=0,1.05,IF(입력란!$C$15=1,1.05*1.05,IF(입력란!$C$15=2,1.05*1.12,IF(입력란!$C$15=3,1.05*1.25)))),1)</f>
        <v>61265.58556319902</v>
      </c>
      <c r="U199" s="21">
        <f>AN199*IF(입력란!$C$12=0,1,IF(입력란!$C$12=1,1.35,IF(입력란!$C$12=2,1.55,IF(입력란!$C$12=3,1.75,1))))*IF(MID(E199,3,1)="3",트라이포드!$N$14,트라이포드!$M$14)*IF(MID(E199,3,1)="3",트라이포드!$N$14,트라이포드!$M$14)*IF(MID(E199,5,1)="2",1,0)*IF(입력란!$C$9=1,IF(입력란!$C$15=0,1.05,IF(입력란!$C$15=1,1.05*1.05,IF(입력란!$C$15=2,1.05*1.12,IF(입력란!$C$15=3,1.05*1.25)))),1)</f>
        <v>85771.81978847862</v>
      </c>
      <c r="V199" s="21"/>
      <c r="W199" s="21"/>
      <c r="X199" s="21"/>
      <c r="Y199" s="21"/>
      <c r="Z199" s="20"/>
      <c r="AA199" s="21">
        <f>SUM(AB199:AI199)</f>
        <v>381597.07579363964</v>
      </c>
      <c r="AB199" s="21">
        <f>S199*2</f>
        <v>87522.265090284316</v>
      </c>
      <c r="AC199" s="21">
        <f>T199*2</f>
        <v>122531.17112639804</v>
      </c>
      <c r="AD199" s="21">
        <f>U199*2</f>
        <v>171543.63957695724</v>
      </c>
      <c r="AE199" s="21"/>
      <c r="AF199" s="21"/>
      <c r="AG199" s="21"/>
      <c r="AH199" s="21"/>
      <c r="AI199" s="20"/>
      <c r="AJ199" s="21">
        <f>(AQ199+IF(MID(E199,5,1)="1",12,0))*(1-입력란!$P$10/100)</f>
        <v>7.9038213753599997</v>
      </c>
      <c r="AK19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199" s="21">
        <f>입력란!$P$24+입력란!$P$16+IF(입력란!$C$18=1,10,IF(입력란!$C$18=2,25,IF(입력란!$C$18=3,50,0)))+IF(입력란!$C$23&lt;&gt;0,-12)</f>
        <v>380.66103559999999</v>
      </c>
      <c r="AM199" s="21">
        <f>SUM(AN199:AP199)</f>
        <v>41677.269090611575</v>
      </c>
      <c r="AN199" s="21">
        <f>(VLOOKUP(C199,$B$4:$AJ$7,13,FALSE)+VLOOKUP(C199,$B$8:$AJ$11,13,FALSE)*입력란!$P$4)*입력란!$P$25/100</f>
        <v>41677.269090611575</v>
      </c>
      <c r="AO199" s="21"/>
      <c r="AP199" s="21"/>
      <c r="AQ199" s="22">
        <v>8</v>
      </c>
    </row>
    <row r="200" spans="2:43" ht="13.5" customHeight="1" x14ac:dyDescent="0.55000000000000004">
      <c r="B200" s="66">
        <v>185</v>
      </c>
      <c r="C200" s="29">
        <v>1</v>
      </c>
      <c r="D200" s="30" t="s">
        <v>170</v>
      </c>
      <c r="E200" s="27" t="s">
        <v>94</v>
      </c>
      <c r="F200" s="29"/>
      <c r="G200" s="29"/>
      <c r="H200" s="36">
        <f>I200/AJ200</f>
        <v>77377.82636580203</v>
      </c>
      <c r="I200" s="37">
        <f>SUM(J200:Q200)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1376056.1655200713</v>
      </c>
      <c r="J200" s="21">
        <f>S200*(1+IF($AK200+IF(입력란!$C$9=1,10,0)+IF(입력란!$C$26=1,10,0)+IF(MID(E200,3,1)="1",트라이포드!J$15,0)&gt;100,100,$AK200+IF(입력란!$C$9=1,10,0)+IF(입력란!$C$26=1,10,0)+IF(MID(E200,3,1)="1",트라이포드!J$15,0))/100*(($AL200+IF(입력란!$C$30=1,IF(OR(입력란!$C$9=1,입력란!$C$10=1),55,17),IF(입력란!$C$30=2,IF(OR(입력란!$C$9=1,입력란!$C$10=1),60,20),IF(입력란!$C$30=3,IF(OR(입력란!$C$9=1,입력란!$C$10=1),65,22),0))))/100-1))</f>
        <v>487237.50638059317</v>
      </c>
      <c r="K200" s="21">
        <f>T200*(1+IF($AK200+IF(입력란!$C$9=1,10,0)+IF(입력란!$C$26=1,10,0)&gt;100,100,$AK200+IF(입력란!$C$9=1,10,0)+IF(입력란!$C$26=1,10,0))/100*(($AL200+IF(입력란!$C$30=1,IF(OR(입력란!$C$9=1,입력란!$C$10=1),55,17),IF(입력란!$C$30=2,IF(OR(입력란!$C$9=1,입력란!$C$10=1),60,20),IF(입력란!$C$30=3,IF(OR(입력란!$C$9=1,입력란!$C$10=1),65,22),0))))/100-1))</f>
        <v>487237.50638059317</v>
      </c>
      <c r="L200" s="21"/>
      <c r="M200" s="21"/>
      <c r="N200" s="21"/>
      <c r="O200" s="21"/>
      <c r="P200" s="21"/>
      <c r="Q200" s="20"/>
      <c r="R200" s="19">
        <f>SUM(S200:Z200)</f>
        <v>354974.38567262649</v>
      </c>
      <c r="S200" s="21">
        <f>AN200*IF(입력란!$C$12=0,1,IF(입력란!$C$12=1,1.35,IF(입력란!$C$12=2,1.55,IF(입력란!$C$12=3,1.75,1))))*IF(MID(E200,3,1)="2",트라이포드!$L$15,트라이포드!$K$15)*IF(입력란!$C$9=1,IF(입력란!$C$15=0,1.05,IF(입력란!$C$15=1,1.05*1.05,IF(입력란!$C$15=2,1.05*1.12,IF(입력란!$C$15=3,1.05*1.25)))),1)</f>
        <v>177487.19283631325</v>
      </c>
      <c r="T200" s="21">
        <f>AN200*IF(입력란!$C$12=0,1,IF(입력란!$C$12=1,1.35,IF(입력란!$C$12=2,1.55,IF(입력란!$C$12=3,1.75,1))))*IF(MID(E200,5,1)="1",트라이포드!$P$15,IF(MID(E200,5,1)="2",트라이포드!$R$15,1))*IF(입력란!$C$9=1,IF(입력란!$C$15=0,1.05,IF(입력란!$C$15=1,1.05*1.05,IF(입력란!$C$15=2,1.05*1.12,IF(입력란!$C$15=3,1.05*1.25)))),1)</f>
        <v>177487.19283631325</v>
      </c>
      <c r="U200" s="21"/>
      <c r="V200" s="21"/>
      <c r="W200" s="21"/>
      <c r="X200" s="21"/>
      <c r="Y200" s="21"/>
      <c r="Z200" s="20"/>
      <c r="AA200" s="21">
        <f>SUM(AB200:AI200)</f>
        <v>709948.77134525299</v>
      </c>
      <c r="AB200" s="21">
        <f>S200*2</f>
        <v>354974.38567262649</v>
      </c>
      <c r="AC200" s="21">
        <f>T200*2</f>
        <v>354974.38567262649</v>
      </c>
      <c r="AD200" s="21"/>
      <c r="AE200" s="21"/>
      <c r="AF200" s="21"/>
      <c r="AG200" s="21"/>
      <c r="AH200" s="21"/>
      <c r="AI200" s="20"/>
      <c r="AJ200" s="21">
        <f>(AQ200-IF(MID(E200,1,1)="1",트라이포드!$D$15,트라이포드!$C$15))*(1-입력란!$P$10/100)</f>
        <v>17.783598094559999</v>
      </c>
      <c r="AK20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0" s="21">
        <f>입력란!$P$24+입력란!$P$16+IF(입력란!$C$18=1,10,IF(입력란!$C$18=2,25,IF(입력란!$C$18=3,50,0)))+IF(입력란!$C$23&lt;&gt;0,-12)</f>
        <v>380.66103559999999</v>
      </c>
      <c r="AM200" s="21">
        <f>SUM(AN200:AP200)</f>
        <v>338089.33934664656</v>
      </c>
      <c r="AN200" s="21">
        <f>(VLOOKUP(C200,$B$4:$AJ$7,14,FALSE)+VLOOKUP(C200,$B$8:$AJ$11,14,FALSE)*입력란!$P$4)*입력란!$P$25/100</f>
        <v>169035.42174886976</v>
      </c>
      <c r="AO200" s="21">
        <f>(VLOOKUP(C200,$B$4:$AJ$7,15,FALSE)+VLOOKUP(C200,$B$8:$AJ$11,15,FALSE)*입력란!$P$4)*입력란!$P$25/100</f>
        <v>169053.9175977768</v>
      </c>
      <c r="AP200" s="21"/>
      <c r="AQ200" s="22">
        <v>18</v>
      </c>
    </row>
    <row r="201" spans="2:43" ht="13.5" customHeight="1" x14ac:dyDescent="0.55000000000000004">
      <c r="B201" s="66">
        <v>186</v>
      </c>
      <c r="C201" s="29">
        <v>4</v>
      </c>
      <c r="D201" s="30" t="s">
        <v>170</v>
      </c>
      <c r="E201" s="27" t="s">
        <v>94</v>
      </c>
      <c r="F201" s="29"/>
      <c r="G201" s="29"/>
      <c r="H201" s="36">
        <f>I201/AJ201</f>
        <v>77479.083102496792</v>
      </c>
      <c r="I201" s="37">
        <f>SUM(J201:Q201)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1377856.8746298177</v>
      </c>
      <c r="J201" s="21">
        <f>S201*(1+IF($AK201+IF(입력란!$C$9=1,10,0)+IF(입력란!$C$26=1,10,0)+IF(MID(E201,3,1)="1",트라이포드!J$15,0)&gt;100,100,$AK201+IF(입력란!$C$9=1,10,0)+IF(입력란!$C$26=1,10,0)+IF(MID(E201,3,1)="1",트라이포드!J$15,0))/100*(($AL201+IF(입력란!$C$30=1,IF(OR(입력란!$C$9=1,입력란!$C$10=1),55,17),IF(입력란!$C$30=2,IF(OR(입력란!$C$9=1,입력란!$C$10=1),60,20),IF(입력란!$C$30=3,IF(OR(입력란!$C$9=1,입력란!$C$10=1),65,22),0))))/100-1))</f>
        <v>487875.10609369649</v>
      </c>
      <c r="K201" s="21">
        <f>T201*(1+IF($AK201+IF(입력란!$C$9=1,10,0)+IF(입력란!$C$26=1,10,0)&gt;100,100,$AK201+IF(입력란!$C$9=1,10,0)+IF(입력란!$C$26=1,10,0))/100*(($AL201+IF(입력란!$C$30=1,IF(OR(입력란!$C$9=1,입력란!$C$10=1),55,17),IF(입력란!$C$30=2,IF(OR(입력란!$C$9=1,입력란!$C$10=1),60,20),IF(입력란!$C$30=3,IF(OR(입력란!$C$9=1,입력란!$C$10=1),65,22),0))))/100-1))</f>
        <v>487875.10609369649</v>
      </c>
      <c r="L201" s="21"/>
      <c r="M201" s="21"/>
      <c r="N201" s="21"/>
      <c r="O201" s="21"/>
      <c r="P201" s="21"/>
      <c r="Q201" s="20"/>
      <c r="R201" s="19">
        <f>SUM(S201:Z201)</f>
        <v>355438.90567262645</v>
      </c>
      <c r="S201" s="21">
        <f>AN201*IF(입력란!$C$12=0,1,IF(입력란!$C$12=1,1.35,IF(입력란!$C$12=2,1.55,IF(입력란!$C$12=3,1.75,1))))*IF(MID(E201,3,1)="2",트라이포드!$L$15,트라이포드!$K$15)*IF(입력란!$C$9=1,IF(입력란!$C$15=0,1.05,IF(입력란!$C$15=1,1.05*1.05,IF(입력란!$C$15=2,1.05*1.12,IF(입력란!$C$15=3,1.05*1.25)))),1)</f>
        <v>177719.45283631323</v>
      </c>
      <c r="T201" s="21">
        <f>AN201*IF(입력란!$C$12=0,1,IF(입력란!$C$12=1,1.35,IF(입력란!$C$12=2,1.55,IF(입력란!$C$12=3,1.75,1))))*IF(MID(E201,5,1)="1",트라이포드!$P$15,IF(MID(E201,5,1)="2",트라이포드!$R$15,1))*IF(입력란!$C$9=1,IF(입력란!$C$15=0,1.05,IF(입력란!$C$15=1,1.05*1.05,IF(입력란!$C$15=2,1.05*1.12,IF(입력란!$C$15=3,1.05*1.25)))),1)</f>
        <v>177719.45283631323</v>
      </c>
      <c r="U201" s="21"/>
      <c r="V201" s="21"/>
      <c r="W201" s="21"/>
      <c r="X201" s="21"/>
      <c r="Y201" s="21"/>
      <c r="Z201" s="20"/>
      <c r="AA201" s="21">
        <f>SUM(AB201:AI201)</f>
        <v>710877.81134525291</v>
      </c>
      <c r="AB201" s="21">
        <f>S201*2</f>
        <v>355438.90567262645</v>
      </c>
      <c r="AC201" s="21">
        <f>T201*2</f>
        <v>355438.90567262645</v>
      </c>
      <c r="AD201" s="21"/>
      <c r="AE201" s="21"/>
      <c r="AF201" s="21"/>
      <c r="AG201" s="21"/>
      <c r="AH201" s="21"/>
      <c r="AI201" s="20"/>
      <c r="AJ201" s="21">
        <f>(AQ201-IF(MID(E201,1,1)="1",트라이포드!$D$15,트라이포드!$C$15))*(1-입력란!$P$10/100)</f>
        <v>17.783598094559999</v>
      </c>
      <c r="AK20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1" s="21">
        <f>입력란!$P$24+입력란!$P$16+IF(입력란!$C$18=1,10,IF(입력란!$C$18=2,25,IF(입력란!$C$18=3,50,0)))+IF(입력란!$C$23&lt;&gt;0,-12)</f>
        <v>380.66103559999999</v>
      </c>
      <c r="AM201" s="21">
        <f>SUM(AN201:AP201)</f>
        <v>338538.97129628225</v>
      </c>
      <c r="AN201" s="21">
        <f>(VLOOKUP(C201,$B$4:$AJ$7,14,FALSE)+VLOOKUP(C201,$B$8:$AJ$11,14,FALSE)*입력란!$P$4)*입력란!$P$25/100</f>
        <v>169256.62174886974</v>
      </c>
      <c r="AO201" s="21">
        <f>(VLOOKUP(C201,$B$4:$AJ$7,15,FALSE)+VLOOKUP(C201,$B$8:$AJ$11,15,FALSE)*입력란!$P$4)*입력란!$P$25/100</f>
        <v>169282.34954741248</v>
      </c>
      <c r="AP201" s="21"/>
      <c r="AQ201" s="22">
        <v>18</v>
      </c>
    </row>
    <row r="202" spans="2:43" ht="13.5" customHeight="1" x14ac:dyDescent="0.55000000000000004">
      <c r="B202" s="66">
        <v>187</v>
      </c>
      <c r="C202" s="29">
        <v>4</v>
      </c>
      <c r="D202" s="30" t="s">
        <v>170</v>
      </c>
      <c r="E202" s="27" t="s">
        <v>171</v>
      </c>
      <c r="F202" s="29"/>
      <c r="G202" s="29"/>
      <c r="H202" s="36">
        <f>I202/AJ202</f>
        <v>77479.083102496792</v>
      </c>
      <c r="I202" s="37">
        <f>SUM(J202:Q202)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1377856.8746298177</v>
      </c>
      <c r="J202" s="21">
        <f>S202*(1+IF($AK202+IF(입력란!$C$9=1,10,0)+IF(입력란!$C$26=1,10,0)+IF(MID(E202,3,1)="1",트라이포드!J$15,0)&gt;100,100,$AK202+IF(입력란!$C$9=1,10,0)+IF(입력란!$C$26=1,10,0)+IF(MID(E202,3,1)="1",트라이포드!J$15,0))/100*(($AL202+IF(입력란!$C$30=1,IF(OR(입력란!$C$9=1,입력란!$C$10=1),55,17),IF(입력란!$C$30=2,IF(OR(입력란!$C$9=1,입력란!$C$10=1),60,20),IF(입력란!$C$30=3,IF(OR(입력란!$C$9=1,입력란!$C$10=1),65,22),0))))/100-1))</f>
        <v>487875.10609369649</v>
      </c>
      <c r="K202" s="21">
        <f>T202*(1+IF($AK202+IF(입력란!$C$9=1,10,0)+IF(입력란!$C$26=1,10,0)&gt;100,100,$AK202+IF(입력란!$C$9=1,10,0)+IF(입력란!$C$26=1,10,0))/100*(($AL202+IF(입력란!$C$30=1,IF(OR(입력란!$C$9=1,입력란!$C$10=1),55,17),IF(입력란!$C$30=2,IF(OR(입력란!$C$9=1,입력란!$C$10=1),60,20),IF(입력란!$C$30=3,IF(OR(입력란!$C$9=1,입력란!$C$10=1),65,22),0))))/100-1))</f>
        <v>487875.10609369649</v>
      </c>
      <c r="L202" s="21"/>
      <c r="M202" s="21"/>
      <c r="N202" s="21"/>
      <c r="O202" s="21"/>
      <c r="P202" s="21"/>
      <c r="Q202" s="20"/>
      <c r="R202" s="19">
        <f>SUM(S202:Z202)</f>
        <v>355438.90567262645</v>
      </c>
      <c r="S202" s="21">
        <f>AN202*IF(입력란!$C$12=0,1,IF(입력란!$C$12=1,1.35,IF(입력란!$C$12=2,1.55,IF(입력란!$C$12=3,1.75,1))))*IF(MID(E202,3,1)="2",트라이포드!$L$15,트라이포드!$K$15)*IF(입력란!$C$9=1,IF(입력란!$C$15=0,1.05,IF(입력란!$C$15=1,1.05*1.05,IF(입력란!$C$15=2,1.05*1.12,IF(입력란!$C$15=3,1.05*1.25)))),1)</f>
        <v>177719.45283631323</v>
      </c>
      <c r="T202" s="21">
        <f>AN202*IF(입력란!$C$12=0,1,IF(입력란!$C$12=1,1.35,IF(입력란!$C$12=2,1.55,IF(입력란!$C$12=3,1.75,1))))*IF(MID(E202,5,1)="1",트라이포드!$P$15,IF(MID(E202,5,1)="2",트라이포드!$R$15,1))*IF(입력란!$C$9=1,IF(입력란!$C$15=0,1.05,IF(입력란!$C$15=1,1.05*1.05,IF(입력란!$C$15=2,1.05*1.12,IF(입력란!$C$15=3,1.05*1.25)))),1)</f>
        <v>177719.45283631323</v>
      </c>
      <c r="U202" s="21"/>
      <c r="V202" s="21"/>
      <c r="W202" s="21"/>
      <c r="X202" s="21"/>
      <c r="Y202" s="21"/>
      <c r="Z202" s="20"/>
      <c r="AA202" s="21">
        <f>SUM(AB202:AI202)</f>
        <v>710877.81134525291</v>
      </c>
      <c r="AB202" s="21">
        <f>S202*2</f>
        <v>355438.90567262645</v>
      </c>
      <c r="AC202" s="21">
        <f>T202*2</f>
        <v>355438.90567262645</v>
      </c>
      <c r="AD202" s="21"/>
      <c r="AE202" s="21"/>
      <c r="AF202" s="21"/>
      <c r="AG202" s="21"/>
      <c r="AH202" s="21"/>
      <c r="AI202" s="20"/>
      <c r="AJ202" s="21">
        <f>(AQ202-IF(MID(E202,1,1)="1",트라이포드!$D$15,트라이포드!$C$15))*(1-입력란!$P$10/100)</f>
        <v>17.783598094559999</v>
      </c>
      <c r="AK20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2" s="21">
        <f>입력란!$P$24+입력란!$P$16+IF(입력란!$C$18=1,10,IF(입력란!$C$18=2,25,IF(입력란!$C$18=3,50,0)))+IF(입력란!$C$23&lt;&gt;0,-12)</f>
        <v>380.66103559999999</v>
      </c>
      <c r="AM202" s="21">
        <f>SUM(AN202:AP202)</f>
        <v>338538.97129628225</v>
      </c>
      <c r="AN202" s="21">
        <f>(VLOOKUP(C202,$B$4:$AJ$7,14,FALSE)+VLOOKUP(C202,$B$8:$AJ$11,14,FALSE)*입력란!$P$4)*입력란!$P$25/100</f>
        <v>169256.62174886974</v>
      </c>
      <c r="AO202" s="21">
        <f>(VLOOKUP(C202,$B$4:$AJ$7,15,FALSE)+VLOOKUP(C202,$B$8:$AJ$11,15,FALSE)*입력란!$P$4)*입력란!$P$25/100</f>
        <v>169282.34954741248</v>
      </c>
      <c r="AP202" s="21"/>
      <c r="AQ202" s="22">
        <v>18</v>
      </c>
    </row>
    <row r="203" spans="2:43" ht="13.5" customHeight="1" x14ac:dyDescent="0.55000000000000004">
      <c r="B203" s="66">
        <v>188</v>
      </c>
      <c r="C203" s="29">
        <v>7</v>
      </c>
      <c r="D203" s="30" t="s">
        <v>170</v>
      </c>
      <c r="E203" s="27" t="s">
        <v>94</v>
      </c>
      <c r="F203" s="29"/>
      <c r="G203" s="29"/>
      <c r="H203" s="36">
        <f>I203/AJ203</f>
        <v>77526.324039327272</v>
      </c>
      <c r="I203" s="37">
        <f>SUM(J203:Q203)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1378696.9884640216</v>
      </c>
      <c r="J203" s="21">
        <f>S203*(1+IF($AK203+IF(입력란!$C$9=1,10,0)+IF(입력란!$C$26=1,10,0)+IF(MID(E203,3,1)="1",트라이포드!J$15,0)&gt;100,100,$AK203+IF(입력란!$C$9=1,10,0)+IF(입력란!$C$26=1,10,0)+IF(MID(E203,3,1)="1",트라이포드!J$15,0))/100*(($AL203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K203" s="21">
        <f>T203*(1+IF($AK203+IF(입력란!$C$9=1,10,0)+IF(입력란!$C$26=1,10,0)&gt;100,100,$AK203+IF(입력란!$C$9=1,10,0)+IF(입력란!$C$26=1,10,0))/100*(($AL203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3" s="21"/>
      <c r="M203" s="21"/>
      <c r="N203" s="21"/>
      <c r="O203" s="21"/>
      <c r="P203" s="21"/>
      <c r="Q203" s="20"/>
      <c r="R203" s="19">
        <f>SUM(S203:Z203)</f>
        <v>355655.62567262648</v>
      </c>
      <c r="S203" s="21">
        <f>AN203*IF(입력란!$C$12=0,1,IF(입력란!$C$12=1,1.35,IF(입력란!$C$12=2,1.55,IF(입력란!$C$12=3,1.75,1))))*IF(MID(E203,3,1)="2",트라이포드!$L$15,트라이포드!$K$15)*IF(입력란!$C$9=1,IF(입력란!$C$15=0,1.05,IF(입력란!$C$15=1,1.05*1.05,IF(입력란!$C$15=2,1.05*1.12,IF(입력란!$C$15=3,1.05*1.25)))),1)</f>
        <v>177827.81283631324</v>
      </c>
      <c r="T203" s="21">
        <f>AN203*IF(입력란!$C$12=0,1,IF(입력란!$C$12=1,1.35,IF(입력란!$C$12=2,1.55,IF(입력란!$C$12=3,1.75,1))))*IF(MID(E203,5,1)="1",트라이포드!$P$15,IF(MID(E203,5,1)="2",트라이포드!$R$15,1))*IF(입력란!$C$9=1,IF(입력란!$C$15=0,1.05,IF(입력란!$C$15=1,1.05*1.05,IF(입력란!$C$15=2,1.05*1.12,IF(입력란!$C$15=3,1.05*1.25)))),1)</f>
        <v>177827.81283631324</v>
      </c>
      <c r="U203" s="21"/>
      <c r="V203" s="21"/>
      <c r="W203" s="21"/>
      <c r="X203" s="21"/>
      <c r="Y203" s="21"/>
      <c r="Z203" s="20"/>
      <c r="AA203" s="21">
        <f>SUM(AB203:AI203)</f>
        <v>711311.25134525297</v>
      </c>
      <c r="AB203" s="21">
        <f>S203*2</f>
        <v>355655.62567262648</v>
      </c>
      <c r="AC203" s="21">
        <f>T203*2</f>
        <v>355655.62567262648</v>
      </c>
      <c r="AD203" s="21"/>
      <c r="AE203" s="21"/>
      <c r="AF203" s="21"/>
      <c r="AG203" s="21"/>
      <c r="AH203" s="21"/>
      <c r="AI203" s="20"/>
      <c r="AJ203" s="21">
        <f>(AQ203-IF(MID(E203,1,1)="1",트라이포드!$D$15,트라이포드!$C$15))*(1-입력란!$P$10/100)</f>
        <v>17.783598094559999</v>
      </c>
      <c r="AK20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3" s="21">
        <f>입력란!$P$24+입력란!$P$16+IF(입력란!$C$18=1,10,IF(입력란!$C$18=2,25,IF(입력란!$C$18=3,50,0)))+IF(입력란!$C$23&lt;&gt;0,-12)</f>
        <v>380.66103559999999</v>
      </c>
      <c r="AM203" s="21">
        <f>SUM(AN203:AP203)</f>
        <v>338745.37129628222</v>
      </c>
      <c r="AN203" s="21">
        <f>(VLOOKUP(C203,$B$4:$AJ$7,14,FALSE)+VLOOKUP(C203,$B$8:$AJ$11,14,FALSE)*입력란!$P$4)*입력란!$P$25/100</f>
        <v>169359.82174886976</v>
      </c>
      <c r="AO203" s="21">
        <f>(VLOOKUP(C203,$B$4:$AJ$7,15,FALSE)+VLOOKUP(C203,$B$8:$AJ$11,15,FALSE)*입력란!$P$4)*입력란!$P$25/100</f>
        <v>169385.54954741246</v>
      </c>
      <c r="AP203" s="21"/>
      <c r="AQ203" s="22">
        <v>18</v>
      </c>
    </row>
    <row r="204" spans="2:43" ht="13.5" customHeight="1" x14ac:dyDescent="0.55000000000000004">
      <c r="B204" s="66">
        <v>189</v>
      </c>
      <c r="C204" s="29">
        <v>7</v>
      </c>
      <c r="D204" s="30" t="s">
        <v>170</v>
      </c>
      <c r="E204" s="27" t="s">
        <v>96</v>
      </c>
      <c r="F204" s="29"/>
      <c r="G204" s="29"/>
      <c r="H204" s="36">
        <f>I204/AJ204</f>
        <v>92513.837943760387</v>
      </c>
      <c r="I204" s="37">
        <f>SUM(J204:Q204)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1645228.9121770896</v>
      </c>
      <c r="J204" s="21">
        <f>S204*(1+IF($AK204+IF(입력란!$C$9=1,10,0)+IF(입력란!$C$26=1,10,0)+IF(MID(E204,3,1)="1",트라이포드!J$15,0)&gt;100,100,$AK204+IF(입력란!$C$9=1,10,0)+IF(입력란!$C$26=1,10,0)+IF(MID(E204,3,1)="1",트라이포드!J$15,0))/100*(($AL204+IF(입력란!$C$30=1,IF(OR(입력란!$C$9=1,입력란!$C$10=1),55,17),IF(입력란!$C$30=2,IF(OR(입력란!$C$9=1,입력란!$C$10=1),60,20),IF(입력란!$C$30=3,IF(OR(입력란!$C$9=1,입력란!$C$10=1),65,22),0))))/100-1))</f>
        <v>676921.19392753963</v>
      </c>
      <c r="K204" s="21">
        <f>T204*(1+IF($AK204+IF(입력란!$C$9=1,10,0)+IF(입력란!$C$26=1,10,0)&gt;100,100,$AK204+IF(입력란!$C$9=1,10,0)+IF(입력란!$C$26=1,10,0))/100*(($AL204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4" s="21"/>
      <c r="M204" s="21"/>
      <c r="N204" s="21"/>
      <c r="O204" s="21"/>
      <c r="P204" s="21"/>
      <c r="Q204" s="20"/>
      <c r="R204" s="19">
        <f>SUM(S204:Z204)</f>
        <v>355655.62567262648</v>
      </c>
      <c r="S204" s="21">
        <f>AN204*IF(입력란!$C$12=0,1,IF(입력란!$C$12=1,1.35,IF(입력란!$C$12=2,1.55,IF(입력란!$C$12=3,1.75,1))))*IF(MID(E204,3,1)="2",트라이포드!$L$15,트라이포드!$K$15)*IF(입력란!$C$9=1,IF(입력란!$C$15=0,1.05,IF(입력란!$C$15=1,1.05*1.05,IF(입력란!$C$15=2,1.05*1.12,IF(입력란!$C$15=3,1.05*1.25)))),1)</f>
        <v>177827.81283631324</v>
      </c>
      <c r="T204" s="21">
        <f>AN204*IF(입력란!$C$12=0,1,IF(입력란!$C$12=1,1.35,IF(입력란!$C$12=2,1.55,IF(입력란!$C$12=3,1.75,1))))*IF(MID(E204,5,1)="1",트라이포드!$P$15,IF(MID(E204,5,1)="2",트라이포드!$R$15,1))*IF(입력란!$C$9=1,IF(입력란!$C$15=0,1.05,IF(입력란!$C$15=1,1.05*1.05,IF(입력란!$C$15=2,1.05*1.12,IF(입력란!$C$15=3,1.05*1.25)))),1)</f>
        <v>177827.81283631324</v>
      </c>
      <c r="U204" s="21"/>
      <c r="V204" s="21"/>
      <c r="W204" s="21"/>
      <c r="X204" s="21"/>
      <c r="Y204" s="21"/>
      <c r="Z204" s="20"/>
      <c r="AA204" s="21">
        <f>SUM(AB204:AI204)</f>
        <v>711311.25134525297</v>
      </c>
      <c r="AB204" s="21">
        <f>S204*2</f>
        <v>355655.62567262648</v>
      </c>
      <c r="AC204" s="21">
        <f>T204*2</f>
        <v>355655.62567262648</v>
      </c>
      <c r="AD204" s="21"/>
      <c r="AE204" s="21"/>
      <c r="AF204" s="21"/>
      <c r="AG204" s="21"/>
      <c r="AH204" s="21"/>
      <c r="AI204" s="20"/>
      <c r="AJ204" s="21">
        <f>(AQ204-IF(MID(E204,1,1)="1",트라이포드!$D$15,트라이포드!$C$15))*(1-입력란!$P$10/100)</f>
        <v>17.783598094559999</v>
      </c>
      <c r="AK20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4" s="21">
        <f>입력란!$P$24+입력란!$P$16+IF(입력란!$C$18=1,10,IF(입력란!$C$18=2,25,IF(입력란!$C$18=3,50,0)))+IF(입력란!$C$23&lt;&gt;0,-12)</f>
        <v>380.66103559999999</v>
      </c>
      <c r="AM204" s="21">
        <f>SUM(AN204:AP204)</f>
        <v>338745.37129628222</v>
      </c>
      <c r="AN204" s="21">
        <f>(VLOOKUP(C204,$B$4:$AJ$7,14,FALSE)+VLOOKUP(C204,$B$8:$AJ$11,14,FALSE)*입력란!$P$4)*입력란!$P$25/100</f>
        <v>169359.82174886976</v>
      </c>
      <c r="AO204" s="21">
        <f>(VLOOKUP(C204,$B$4:$AJ$7,15,FALSE)+VLOOKUP(C204,$B$8:$AJ$11,15,FALSE)*입력란!$P$4)*입력란!$P$25/100</f>
        <v>169385.54954741246</v>
      </c>
      <c r="AP204" s="21"/>
      <c r="AQ204" s="22">
        <v>18</v>
      </c>
    </row>
    <row r="205" spans="2:43" ht="13.5" customHeight="1" x14ac:dyDescent="0.55000000000000004">
      <c r="B205" s="66">
        <v>190</v>
      </c>
      <c r="C205" s="29">
        <v>7</v>
      </c>
      <c r="D205" s="30" t="s">
        <v>170</v>
      </c>
      <c r="E205" s="27" t="s">
        <v>97</v>
      </c>
      <c r="F205" s="29"/>
      <c r="G205" s="29"/>
      <c r="H205" s="36">
        <f>I205/AJ205</f>
        <v>96907.905049159104</v>
      </c>
      <c r="I205" s="37">
        <f>SUM(J205:Q205)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1723371.2355800271</v>
      </c>
      <c r="J205" s="21">
        <f>S205*(1+IF($AK205+IF(입력란!$C$9=1,10,0)+IF(입력란!$C$26=1,10,0)+IF(MID(E205,3,1)="1",트라이포드!J$15,0)&gt;100,100,$AK205+IF(입력란!$C$9=1,10,0)+IF(입력란!$C$26=1,10,0)+IF(MID(E205,3,1)="1",트라이포드!J$15,0))/100*(($AL205+IF(입력란!$C$30=1,IF(OR(입력란!$C$9=1,입력란!$C$10=1),55,17),IF(입력란!$C$30=2,IF(OR(입력란!$C$9=1,입력란!$C$10=1),60,20),IF(입력란!$C$30=3,IF(OR(입력란!$C$9=1,입력란!$C$10=1),65,22),0))))/100-1))</f>
        <v>732258.86364139663</v>
      </c>
      <c r="K205" s="21">
        <f>T205*(1+IF($AK205+IF(입력란!$C$9=1,10,0)+IF(입력란!$C$26=1,10,0)&gt;100,100,$AK205+IF(입력란!$C$9=1,10,0)+IF(입력란!$C$26=1,10,0))/100*(($AL205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5" s="21"/>
      <c r="M205" s="21"/>
      <c r="N205" s="21"/>
      <c r="O205" s="21"/>
      <c r="P205" s="21"/>
      <c r="Q205" s="20"/>
      <c r="R205" s="19">
        <f>SUM(S205:Z205)</f>
        <v>444569.53209078312</v>
      </c>
      <c r="S205" s="21">
        <f>AN205*IF(입력란!$C$12=0,1,IF(입력란!$C$12=1,1.35,IF(입력란!$C$12=2,1.55,IF(입력란!$C$12=3,1.75,1))))*IF(MID(E205,3,1)="2",트라이포드!$L$15,트라이포드!$K$15)*IF(입력란!$C$9=1,IF(입력란!$C$15=0,1.05,IF(입력란!$C$15=1,1.05*1.05,IF(입력란!$C$15=2,1.05*1.12,IF(입력란!$C$15=3,1.05*1.25)))),1)</f>
        <v>266741.71925446991</v>
      </c>
      <c r="T205" s="21">
        <f>AN205*IF(입력란!$C$12=0,1,IF(입력란!$C$12=1,1.35,IF(입력란!$C$12=2,1.55,IF(입력란!$C$12=3,1.75,1))))*IF(MID(E205,5,1)="1",트라이포드!$P$15,IF(MID(E205,5,1)="2",트라이포드!$R$15,1))*IF(입력란!$C$9=1,IF(입력란!$C$15=0,1.05,IF(입력란!$C$15=1,1.05*1.05,IF(입력란!$C$15=2,1.05*1.12,IF(입력란!$C$15=3,1.05*1.25)))),1)</f>
        <v>177827.81283631324</v>
      </c>
      <c r="U205" s="21"/>
      <c r="V205" s="21"/>
      <c r="W205" s="21"/>
      <c r="X205" s="21"/>
      <c r="Y205" s="21"/>
      <c r="Z205" s="20"/>
      <c r="AA205" s="21">
        <f>SUM(AB205:AI205)</f>
        <v>889139.06418156624</v>
      </c>
      <c r="AB205" s="21">
        <f>S205*2</f>
        <v>533483.43850893981</v>
      </c>
      <c r="AC205" s="21">
        <f>T205*2</f>
        <v>355655.62567262648</v>
      </c>
      <c r="AD205" s="21"/>
      <c r="AE205" s="21"/>
      <c r="AF205" s="21"/>
      <c r="AG205" s="21"/>
      <c r="AH205" s="21"/>
      <c r="AI205" s="20"/>
      <c r="AJ205" s="21">
        <f>(AQ205-IF(MID(E205,1,1)="1",트라이포드!$D$15,트라이포드!$C$15))*(1-입력란!$P$10/100)</f>
        <v>17.783598094559999</v>
      </c>
      <c r="AK20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5" s="21">
        <f>입력란!$P$24+입력란!$P$16+IF(입력란!$C$18=1,10,IF(입력란!$C$18=2,25,IF(입력란!$C$18=3,50,0)))+IF(입력란!$C$23&lt;&gt;0,-12)</f>
        <v>380.66103559999999</v>
      </c>
      <c r="AM205" s="21">
        <f>SUM(AN205:AP205)</f>
        <v>338745.37129628222</v>
      </c>
      <c r="AN205" s="21">
        <f>(VLOOKUP(C205,$B$4:$AJ$7,14,FALSE)+VLOOKUP(C205,$B$8:$AJ$11,14,FALSE)*입력란!$P$4)*입력란!$P$25/100</f>
        <v>169359.82174886976</v>
      </c>
      <c r="AO205" s="21">
        <f>(VLOOKUP(C205,$B$4:$AJ$7,15,FALSE)+VLOOKUP(C205,$B$8:$AJ$11,15,FALSE)*입력란!$P$4)*입력란!$P$25/100</f>
        <v>169385.54954741246</v>
      </c>
      <c r="AP205" s="21"/>
      <c r="AQ205" s="22">
        <v>18</v>
      </c>
    </row>
    <row r="206" spans="2:43" ht="13.5" customHeight="1" x14ac:dyDescent="0.55000000000000004">
      <c r="B206" s="66">
        <v>191</v>
      </c>
      <c r="C206" s="29">
        <v>7</v>
      </c>
      <c r="D206" s="30" t="s">
        <v>170</v>
      </c>
      <c r="E206" s="27" t="s">
        <v>171</v>
      </c>
      <c r="F206" s="29"/>
      <c r="G206" s="29"/>
      <c r="H206" s="36">
        <f>I206/AJ206</f>
        <v>77526.324039327272</v>
      </c>
      <c r="I206" s="37">
        <f>SUM(J206:Q206)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1378696.9884640216</v>
      </c>
      <c r="J206" s="21">
        <f>S206*(1+IF($AK206+IF(입력란!$C$9=1,10,0)+IF(입력란!$C$26=1,10,0)+IF(MID(E206,3,1)="1",트라이포드!J$15,0)&gt;100,100,$AK206+IF(입력란!$C$9=1,10,0)+IF(입력란!$C$26=1,10,0)+IF(MID(E206,3,1)="1",트라이포드!J$15,0))/100*(($AL206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K206" s="21">
        <f>T206*(1+IF($AK206+IF(입력란!$C$9=1,10,0)+IF(입력란!$C$26=1,10,0)&gt;100,100,$AK206+IF(입력란!$C$9=1,10,0)+IF(입력란!$C$26=1,10,0))/100*(($AL206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6" s="21"/>
      <c r="M206" s="21"/>
      <c r="N206" s="21"/>
      <c r="O206" s="21"/>
      <c r="P206" s="21"/>
      <c r="Q206" s="20"/>
      <c r="R206" s="19">
        <f>SUM(S206:Z206)</f>
        <v>355655.62567262648</v>
      </c>
      <c r="S206" s="21">
        <f>AN206*IF(입력란!$C$12=0,1,IF(입력란!$C$12=1,1.35,IF(입력란!$C$12=2,1.55,IF(입력란!$C$12=3,1.75,1))))*IF(MID(E206,3,1)="2",트라이포드!$L$15,트라이포드!$K$15)*IF(입력란!$C$9=1,IF(입력란!$C$15=0,1.05,IF(입력란!$C$15=1,1.05*1.05,IF(입력란!$C$15=2,1.05*1.12,IF(입력란!$C$15=3,1.05*1.25)))),1)</f>
        <v>177827.81283631324</v>
      </c>
      <c r="T206" s="21">
        <f>AN206*IF(입력란!$C$12=0,1,IF(입력란!$C$12=1,1.35,IF(입력란!$C$12=2,1.55,IF(입력란!$C$12=3,1.75,1))))*IF(MID(E206,5,1)="1",트라이포드!$P$15,IF(MID(E206,5,1)="2",트라이포드!$R$15,1))*IF(입력란!$C$9=1,IF(입력란!$C$15=0,1.05,IF(입력란!$C$15=1,1.05*1.05,IF(입력란!$C$15=2,1.05*1.12,IF(입력란!$C$15=3,1.05*1.25)))),1)</f>
        <v>177827.81283631324</v>
      </c>
      <c r="U206" s="21"/>
      <c r="V206" s="21"/>
      <c r="W206" s="21"/>
      <c r="X206" s="21"/>
      <c r="Y206" s="21"/>
      <c r="Z206" s="20"/>
      <c r="AA206" s="21">
        <f>SUM(AB206:AI206)</f>
        <v>711311.25134525297</v>
      </c>
      <c r="AB206" s="21">
        <f>S206*2</f>
        <v>355655.62567262648</v>
      </c>
      <c r="AC206" s="21">
        <f>T206*2</f>
        <v>355655.62567262648</v>
      </c>
      <c r="AD206" s="21"/>
      <c r="AE206" s="21"/>
      <c r="AF206" s="21"/>
      <c r="AG206" s="21"/>
      <c r="AH206" s="21"/>
      <c r="AI206" s="20"/>
      <c r="AJ206" s="21">
        <f>(AQ206-IF(MID(E206,1,1)="1",트라이포드!$D$15,트라이포드!$C$15))*(1-입력란!$P$10/100)</f>
        <v>17.783598094559999</v>
      </c>
      <c r="AK20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6" s="21">
        <f>입력란!$P$24+입력란!$P$16+IF(입력란!$C$18=1,10,IF(입력란!$C$18=2,25,IF(입력란!$C$18=3,50,0)))+IF(입력란!$C$23&lt;&gt;0,-12)</f>
        <v>380.66103559999999</v>
      </c>
      <c r="AM206" s="21">
        <f>SUM(AN206:AP206)</f>
        <v>338745.37129628222</v>
      </c>
      <c r="AN206" s="21">
        <f>(VLOOKUP(C206,$B$4:$AJ$7,14,FALSE)+VLOOKUP(C206,$B$8:$AJ$11,14,FALSE)*입력란!$P$4)*입력란!$P$25/100</f>
        <v>169359.82174886976</v>
      </c>
      <c r="AO206" s="21">
        <f>(VLOOKUP(C206,$B$4:$AJ$7,15,FALSE)+VLOOKUP(C206,$B$8:$AJ$11,15,FALSE)*입력란!$P$4)*입력란!$P$25/100</f>
        <v>169385.54954741246</v>
      </c>
      <c r="AP206" s="21"/>
      <c r="AQ206" s="22">
        <v>18</v>
      </c>
    </row>
    <row r="207" spans="2:43" ht="13.5" customHeight="1" x14ac:dyDescent="0.55000000000000004">
      <c r="B207" s="66">
        <v>192</v>
      </c>
      <c r="C207" s="29">
        <v>7</v>
      </c>
      <c r="D207" s="30" t="s">
        <v>170</v>
      </c>
      <c r="E207" s="27" t="s">
        <v>172</v>
      </c>
      <c r="F207" s="29"/>
      <c r="G207" s="29"/>
      <c r="H207" s="36">
        <f>I207/AJ207</f>
        <v>92513.837943760387</v>
      </c>
      <c r="I207" s="37">
        <f>SUM(J207:Q207)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1645228.9121770896</v>
      </c>
      <c r="J207" s="21">
        <f>S207*(1+IF($AK207+IF(입력란!$C$9=1,10,0)+IF(입력란!$C$26=1,10,0)+IF(MID(E207,3,1)="1",트라이포드!J$15,0)&gt;100,100,$AK207+IF(입력란!$C$9=1,10,0)+IF(입력란!$C$26=1,10,0)+IF(MID(E207,3,1)="1",트라이포드!J$15,0))/100*(($AL207+IF(입력란!$C$30=1,IF(OR(입력란!$C$9=1,입력란!$C$10=1),55,17),IF(입력란!$C$30=2,IF(OR(입력란!$C$9=1,입력란!$C$10=1),60,20),IF(입력란!$C$30=3,IF(OR(입력란!$C$9=1,입력란!$C$10=1),65,22),0))))/100-1))</f>
        <v>676921.19392753963</v>
      </c>
      <c r="K207" s="21">
        <f>T207*(1+IF($AK207+IF(입력란!$C$9=1,10,0)+IF(입력란!$C$26=1,10,0)&gt;100,100,$AK207+IF(입력란!$C$9=1,10,0)+IF(입력란!$C$26=1,10,0))/100*(($AL207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7" s="21"/>
      <c r="M207" s="21"/>
      <c r="N207" s="21"/>
      <c r="O207" s="21"/>
      <c r="P207" s="21"/>
      <c r="Q207" s="20"/>
      <c r="R207" s="19">
        <f>SUM(S207:Z207)</f>
        <v>355655.62567262648</v>
      </c>
      <c r="S207" s="21">
        <f>AN207*IF(입력란!$C$12=0,1,IF(입력란!$C$12=1,1.35,IF(입력란!$C$12=2,1.55,IF(입력란!$C$12=3,1.75,1))))*IF(MID(E207,3,1)="2",트라이포드!$L$15,트라이포드!$K$15)*IF(입력란!$C$9=1,IF(입력란!$C$15=0,1.05,IF(입력란!$C$15=1,1.05*1.05,IF(입력란!$C$15=2,1.05*1.12,IF(입력란!$C$15=3,1.05*1.25)))),1)</f>
        <v>177827.81283631324</v>
      </c>
      <c r="T207" s="21">
        <f>AN207*IF(입력란!$C$12=0,1,IF(입력란!$C$12=1,1.35,IF(입력란!$C$12=2,1.55,IF(입력란!$C$12=3,1.75,1))))*IF(MID(E207,5,1)="1",트라이포드!$P$15,IF(MID(E207,5,1)="2",트라이포드!$R$15,1))*IF(입력란!$C$9=1,IF(입력란!$C$15=0,1.05,IF(입력란!$C$15=1,1.05*1.05,IF(입력란!$C$15=2,1.05*1.12,IF(입력란!$C$15=3,1.05*1.25)))),1)</f>
        <v>177827.81283631324</v>
      </c>
      <c r="U207" s="21"/>
      <c r="V207" s="21"/>
      <c r="W207" s="21"/>
      <c r="X207" s="21"/>
      <c r="Y207" s="21"/>
      <c r="Z207" s="20"/>
      <c r="AA207" s="21">
        <f>SUM(AB207:AI207)</f>
        <v>711311.25134525297</v>
      </c>
      <c r="AB207" s="21">
        <f>S207*2</f>
        <v>355655.62567262648</v>
      </c>
      <c r="AC207" s="21">
        <f>T207*2</f>
        <v>355655.62567262648</v>
      </c>
      <c r="AD207" s="21"/>
      <c r="AE207" s="21"/>
      <c r="AF207" s="21"/>
      <c r="AG207" s="21"/>
      <c r="AH207" s="21"/>
      <c r="AI207" s="20"/>
      <c r="AJ207" s="21">
        <f>(AQ207-IF(MID(E207,1,1)="1",트라이포드!$D$15,트라이포드!$C$15))*(1-입력란!$P$10/100)</f>
        <v>17.783598094559999</v>
      </c>
      <c r="AK20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7" s="21">
        <f>입력란!$P$24+입력란!$P$16+IF(입력란!$C$18=1,10,IF(입력란!$C$18=2,25,IF(입력란!$C$18=3,50,0)))+IF(입력란!$C$23&lt;&gt;0,-12)</f>
        <v>380.66103559999999</v>
      </c>
      <c r="AM207" s="21">
        <f>SUM(AN207:AP207)</f>
        <v>338745.37129628222</v>
      </c>
      <c r="AN207" s="21">
        <f>(VLOOKUP(C207,$B$4:$AJ$7,14,FALSE)+VLOOKUP(C207,$B$8:$AJ$11,14,FALSE)*입력란!$P$4)*입력란!$P$25/100</f>
        <v>169359.82174886976</v>
      </c>
      <c r="AO207" s="21">
        <f>(VLOOKUP(C207,$B$4:$AJ$7,15,FALSE)+VLOOKUP(C207,$B$8:$AJ$11,15,FALSE)*입력란!$P$4)*입력란!$P$25/100</f>
        <v>169385.54954741246</v>
      </c>
      <c r="AP207" s="21"/>
      <c r="AQ207" s="22">
        <v>18</v>
      </c>
    </row>
    <row r="208" spans="2:43" ht="13.5" customHeight="1" x14ac:dyDescent="0.55000000000000004">
      <c r="B208" s="66">
        <v>193</v>
      </c>
      <c r="C208" s="29">
        <v>7</v>
      </c>
      <c r="D208" s="30" t="s">
        <v>170</v>
      </c>
      <c r="E208" s="27" t="s">
        <v>173</v>
      </c>
      <c r="F208" s="29"/>
      <c r="G208" s="29"/>
      <c r="H208" s="36">
        <f>I208/AJ208</f>
        <v>96907.905049159104</v>
      </c>
      <c r="I208" s="37">
        <f>SUM(J208:Q208)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1723371.2355800271</v>
      </c>
      <c r="J208" s="21">
        <f>S208*(1+IF($AK208+IF(입력란!$C$9=1,10,0)+IF(입력란!$C$26=1,10,0)+IF(MID(E208,3,1)="1",트라이포드!J$15,0)&gt;100,100,$AK208+IF(입력란!$C$9=1,10,0)+IF(입력란!$C$26=1,10,0)+IF(MID(E208,3,1)="1",트라이포드!J$15,0))/100*(($AL208+IF(입력란!$C$30=1,IF(OR(입력란!$C$9=1,입력란!$C$10=1),55,17),IF(입력란!$C$30=2,IF(OR(입력란!$C$9=1,입력란!$C$10=1),60,20),IF(입력란!$C$30=3,IF(OR(입력란!$C$9=1,입력란!$C$10=1),65,22),0))))/100-1))</f>
        <v>732258.86364139663</v>
      </c>
      <c r="K208" s="21">
        <f>T208*(1+IF($AK208+IF(입력란!$C$9=1,10,0)+IF(입력란!$C$26=1,10,0)&gt;100,100,$AK208+IF(입력란!$C$9=1,10,0)+IF(입력란!$C$26=1,10,0))/100*(($AL208+IF(입력란!$C$30=1,IF(OR(입력란!$C$9=1,입력란!$C$10=1),55,17),IF(입력란!$C$30=2,IF(OR(입력란!$C$9=1,입력란!$C$10=1),60,20),IF(입력란!$C$30=3,IF(OR(입력란!$C$9=1,입력란!$C$10=1),65,22),0))))/100-1))</f>
        <v>488172.57576093101</v>
      </c>
      <c r="L208" s="21"/>
      <c r="M208" s="21"/>
      <c r="N208" s="21"/>
      <c r="O208" s="21"/>
      <c r="P208" s="21"/>
      <c r="Q208" s="20"/>
      <c r="R208" s="19">
        <f>SUM(S208:Z208)</f>
        <v>444569.53209078312</v>
      </c>
      <c r="S208" s="21">
        <f>AN208*IF(입력란!$C$12=0,1,IF(입력란!$C$12=1,1.35,IF(입력란!$C$12=2,1.55,IF(입력란!$C$12=3,1.75,1))))*IF(MID(E208,3,1)="2",트라이포드!$L$15,트라이포드!$K$15)*IF(입력란!$C$9=1,IF(입력란!$C$15=0,1.05,IF(입력란!$C$15=1,1.05*1.05,IF(입력란!$C$15=2,1.05*1.12,IF(입력란!$C$15=3,1.05*1.25)))),1)</f>
        <v>266741.71925446991</v>
      </c>
      <c r="T208" s="21">
        <f>AN208*IF(입력란!$C$12=0,1,IF(입력란!$C$12=1,1.35,IF(입력란!$C$12=2,1.55,IF(입력란!$C$12=3,1.75,1))))*IF(MID(E208,5,1)="1",트라이포드!$P$15,IF(MID(E208,5,1)="2",트라이포드!$R$15,1))*IF(입력란!$C$9=1,IF(입력란!$C$15=0,1.05,IF(입력란!$C$15=1,1.05*1.05,IF(입력란!$C$15=2,1.05*1.12,IF(입력란!$C$15=3,1.05*1.25)))),1)</f>
        <v>177827.81283631324</v>
      </c>
      <c r="U208" s="21"/>
      <c r="V208" s="21"/>
      <c r="W208" s="21"/>
      <c r="X208" s="21"/>
      <c r="Y208" s="21"/>
      <c r="Z208" s="20"/>
      <c r="AA208" s="21">
        <f>SUM(AB208:AI208)</f>
        <v>889139.06418156624</v>
      </c>
      <c r="AB208" s="21">
        <f>S208*2</f>
        <v>533483.43850893981</v>
      </c>
      <c r="AC208" s="21">
        <f>T208*2</f>
        <v>355655.62567262648</v>
      </c>
      <c r="AD208" s="21"/>
      <c r="AE208" s="21"/>
      <c r="AF208" s="21"/>
      <c r="AG208" s="21"/>
      <c r="AH208" s="21"/>
      <c r="AI208" s="20"/>
      <c r="AJ208" s="21">
        <f>(AQ208-IF(MID(E208,1,1)="1",트라이포드!$D$15,트라이포드!$C$15))*(1-입력란!$P$10/100)</f>
        <v>17.783598094559999</v>
      </c>
      <c r="AK2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8" s="21">
        <f>입력란!$P$24+입력란!$P$16+IF(입력란!$C$18=1,10,IF(입력란!$C$18=2,25,IF(입력란!$C$18=3,50,0)))+IF(입력란!$C$23&lt;&gt;0,-12)</f>
        <v>380.66103559999999</v>
      </c>
      <c r="AM208" s="21">
        <f>SUM(AN208:AP208)</f>
        <v>338745.37129628222</v>
      </c>
      <c r="AN208" s="21">
        <f>(VLOOKUP(C208,$B$4:$AJ$7,14,FALSE)+VLOOKUP(C208,$B$8:$AJ$11,14,FALSE)*입력란!$P$4)*입력란!$P$25/100</f>
        <v>169359.82174886976</v>
      </c>
      <c r="AO208" s="21">
        <f>(VLOOKUP(C208,$B$4:$AJ$7,15,FALSE)+VLOOKUP(C208,$B$8:$AJ$11,15,FALSE)*입력란!$P$4)*입력란!$P$25/100</f>
        <v>169385.54954741246</v>
      </c>
      <c r="AP208" s="21"/>
      <c r="AQ208" s="22">
        <v>18</v>
      </c>
    </row>
    <row r="209" spans="2:43" ht="13.5" customHeight="1" x14ac:dyDescent="0.55000000000000004">
      <c r="B209" s="66">
        <v>194</v>
      </c>
      <c r="C209" s="29">
        <v>10</v>
      </c>
      <c r="D209" s="30" t="s">
        <v>170</v>
      </c>
      <c r="E209" s="27" t="s">
        <v>94</v>
      </c>
      <c r="F209" s="29"/>
      <c r="G209" s="29"/>
      <c r="H209" s="36">
        <f>I209/AJ209</f>
        <v>77556.353161963692</v>
      </c>
      <c r="I209" s="37">
        <f>SUM(J209:Q209)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1379231.0143121199</v>
      </c>
      <c r="J209" s="21">
        <f>S209*(1+IF($AK209+IF(입력란!$C$9=1,10,0)+IF(입력란!$C$26=1,10,0)+IF(MID(E209,3,1)="1",트라이포드!J$15,0)&gt;100,100,$AK209+IF(입력란!$C$9=1,10,0)+IF(입력란!$C$26=1,10,0)+IF(MID(E209,3,1)="1",트라이포드!J$15,0))/100*(($AL209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K209" s="21">
        <f>T209*(1+IF($AK209+IF(입력란!$C$9=1,10,0)+IF(입력란!$C$26=1,10,0)&gt;100,100,$AK209+IF(입력란!$C$9=1,10,0)+IF(입력란!$C$26=1,10,0))/100*(($AL209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L209" s="21"/>
      <c r="M209" s="21"/>
      <c r="N209" s="21"/>
      <c r="O209" s="21"/>
      <c r="P209" s="21"/>
      <c r="Q209" s="20"/>
      <c r="R209" s="19">
        <f>SUM(S209:Z209)</f>
        <v>355793.38567262649</v>
      </c>
      <c r="S209" s="21">
        <f>AN209*IF(입력란!$C$12=0,1,IF(입력란!$C$12=1,1.35,IF(입력란!$C$12=2,1.55,IF(입력란!$C$12=3,1.75,1))))*IF(MID(E209,3,1)="2",트라이포드!$L$15,트라이포드!$K$15)*IF(입력란!$C$9=1,IF(입력란!$C$15=0,1.05,IF(입력란!$C$15=1,1.05*1.05,IF(입력란!$C$15=2,1.05*1.12,IF(입력란!$C$15=3,1.05*1.25)))),1)</f>
        <v>177896.69283631325</v>
      </c>
      <c r="T209" s="21">
        <f>AN209*IF(입력란!$C$12=0,1,IF(입력란!$C$12=1,1.35,IF(입력란!$C$12=2,1.55,IF(입력란!$C$12=3,1.75,1))))*IF(MID(E209,5,1)="1",트라이포드!$P$15,IF(MID(E209,5,1)="2",트라이포드!$R$15,1))*IF(입력란!$C$9=1,IF(입력란!$C$15=0,1.05,IF(입력란!$C$15=1,1.05*1.05,IF(입력란!$C$15=2,1.05*1.12,IF(입력란!$C$15=3,1.05*1.25)))),1)</f>
        <v>177896.69283631325</v>
      </c>
      <c r="U209" s="21"/>
      <c r="V209" s="21"/>
      <c r="W209" s="21"/>
      <c r="X209" s="21"/>
      <c r="Y209" s="21"/>
      <c r="Z209" s="20"/>
      <c r="AA209" s="21">
        <f>SUM(AB209:AI209)</f>
        <v>711586.77134525299</v>
      </c>
      <c r="AB209" s="21">
        <f>S209*2</f>
        <v>355793.38567262649</v>
      </c>
      <c r="AC209" s="21">
        <f>T209*2</f>
        <v>355793.38567262649</v>
      </c>
      <c r="AD209" s="21"/>
      <c r="AE209" s="21"/>
      <c r="AF209" s="21"/>
      <c r="AG209" s="21"/>
      <c r="AH209" s="21"/>
      <c r="AI209" s="20"/>
      <c r="AJ209" s="21">
        <f>(AQ209-IF(MID(E209,1,1)="1",트라이포드!$D$15,트라이포드!$C$15))*(1-입력란!$P$10/100)</f>
        <v>17.783598094559999</v>
      </c>
      <c r="AK2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09" s="21">
        <f>입력란!$P$24+입력란!$P$16+IF(입력란!$C$18=1,10,IF(입력란!$C$18=2,25,IF(입력란!$C$18=3,50,0)))+IF(입력란!$C$23&lt;&gt;0,-12)</f>
        <v>380.66103559999999</v>
      </c>
      <c r="AM209" s="21">
        <f>SUM(AN209:AP209)</f>
        <v>338871.33934664656</v>
      </c>
      <c r="AN209" s="21">
        <f>(VLOOKUP(C209,$B$4:$AJ$7,14,FALSE)+VLOOKUP(C209,$B$8:$AJ$11,14,FALSE)*입력란!$P$4)*입력란!$P$25/100</f>
        <v>169425.42174886976</v>
      </c>
      <c r="AO209" s="21">
        <f>(VLOOKUP(C209,$B$4:$AJ$7,15,FALSE)+VLOOKUP(C209,$B$8:$AJ$11,15,FALSE)*입력란!$P$4)*입력란!$P$25/100</f>
        <v>169445.9175977768</v>
      </c>
      <c r="AP209" s="21"/>
      <c r="AQ209" s="22">
        <v>18</v>
      </c>
    </row>
    <row r="210" spans="2:43" ht="13.5" customHeight="1" x14ac:dyDescent="0.55000000000000004">
      <c r="B210" s="66">
        <v>195</v>
      </c>
      <c r="C210" s="29">
        <v>10</v>
      </c>
      <c r="D210" s="30" t="s">
        <v>170</v>
      </c>
      <c r="E210" s="27" t="s">
        <v>121</v>
      </c>
      <c r="F210" s="29"/>
      <c r="G210" s="29"/>
      <c r="H210" s="36">
        <f>I210/AJ210</f>
        <v>147357.07100773102</v>
      </c>
      <c r="I210" s="37">
        <f>SUM(J210:Q210)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2620538.9271930279</v>
      </c>
      <c r="J210" s="21">
        <f>S210*(1+IF($AK210+IF(입력란!$C$9=1,10,0)+IF(입력란!$C$26=1,10,0)+IF(MID(E210,3,1)="1",트라이포드!J$15,0)&gt;100,100,$AK210+IF(입력란!$C$9=1,10,0)+IF(입력란!$C$26=1,10,0)+IF(MID(E210,3,1)="1",트라이포드!J$15,0))/100*(($AL210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K210" s="21">
        <f>T210*(1+IF($AK210+IF(입력란!$C$9=1,10,0)+IF(입력란!$C$26=1,10,0)&gt;100,100,$AK210+IF(입력란!$C$9=1,10,0)+IF(입력란!$C$26=1,10,0))/100*(($AL210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10" s="21"/>
      <c r="M210" s="21"/>
      <c r="N210" s="21"/>
      <c r="O210" s="21"/>
      <c r="P210" s="21"/>
      <c r="Q210" s="20"/>
      <c r="R210" s="19">
        <f>SUM(S210:Z210)</f>
        <v>676007.43277799035</v>
      </c>
      <c r="S210" s="21">
        <f>AN210*IF(입력란!$C$12=0,1,IF(입력란!$C$12=1,1.35,IF(입력란!$C$12=2,1.55,IF(입력란!$C$12=3,1.75,1))))*IF(MID(E210,3,1)="2",트라이포드!$L$15,트라이포드!$K$15)*IF(입력란!$C$9=1,IF(입력란!$C$15=0,1.05,IF(입력란!$C$15=1,1.05*1.05,IF(입력란!$C$15=2,1.05*1.12,IF(입력란!$C$15=3,1.05*1.25)))),1)</f>
        <v>177896.69283631325</v>
      </c>
      <c r="T210" s="21">
        <f>AN210*IF(입력란!$C$12=0,1,IF(입력란!$C$12=1,1.35,IF(입력란!$C$12=2,1.55,IF(입력란!$C$12=3,1.75,1))))*IF(MID(E210,5,1)="1",트라이포드!$P$15,IF(MID(E210,5,1)="2",트라이포드!$R$15,1))*IF(입력란!$C$9=1,IF(입력란!$C$15=0,1.05,IF(입력란!$C$15=1,1.05*1.05,IF(입력란!$C$15=2,1.05*1.12,IF(입력란!$C$15=3,1.05*1.25)))),1)</f>
        <v>498110.73994167708</v>
      </c>
      <c r="U210" s="21"/>
      <c r="V210" s="21"/>
      <c r="W210" s="21"/>
      <c r="X210" s="21"/>
      <c r="Y210" s="21"/>
      <c r="Z210" s="20"/>
      <c r="AA210" s="21">
        <f>SUM(AB210:AI210)</f>
        <v>1352014.8655559807</v>
      </c>
      <c r="AB210" s="21">
        <f>S210*2</f>
        <v>355793.38567262649</v>
      </c>
      <c r="AC210" s="21">
        <f>T210*2</f>
        <v>996221.47988335416</v>
      </c>
      <c r="AD210" s="21"/>
      <c r="AE210" s="21"/>
      <c r="AF210" s="21"/>
      <c r="AG210" s="21"/>
      <c r="AH210" s="21"/>
      <c r="AI210" s="20"/>
      <c r="AJ210" s="21">
        <f>(AQ210-IF(MID(E210,1,1)="1",트라이포드!$D$15,트라이포드!$C$15))*(1-입력란!$P$10/100)</f>
        <v>17.783598094559999</v>
      </c>
      <c r="AK2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0" s="21">
        <f>입력란!$P$24+입력란!$P$16+IF(입력란!$C$18=1,10,IF(입력란!$C$18=2,25,IF(입력란!$C$18=3,50,0)))+IF(입력란!$C$23&lt;&gt;0,-12)</f>
        <v>380.66103559999999</v>
      </c>
      <c r="AM210" s="21">
        <f>SUM(AN210:AP210)</f>
        <v>338871.33934664656</v>
      </c>
      <c r="AN210" s="21">
        <f>(VLOOKUP(C210,$B$4:$AJ$7,14,FALSE)+VLOOKUP(C210,$B$8:$AJ$11,14,FALSE)*입력란!$P$4)*입력란!$P$25/100</f>
        <v>169425.42174886976</v>
      </c>
      <c r="AO210" s="21">
        <f>(VLOOKUP(C210,$B$4:$AJ$7,15,FALSE)+VLOOKUP(C210,$B$8:$AJ$11,15,FALSE)*입력란!$P$4)*입력란!$P$25/100</f>
        <v>169445.9175977768</v>
      </c>
      <c r="AP210" s="21"/>
      <c r="AQ210" s="22">
        <v>18</v>
      </c>
    </row>
    <row r="211" spans="2:43" ht="13.5" customHeight="1" x14ac:dyDescent="0.55000000000000004">
      <c r="B211" s="66">
        <v>196</v>
      </c>
      <c r="C211" s="29">
        <v>10</v>
      </c>
      <c r="D211" s="30" t="s">
        <v>170</v>
      </c>
      <c r="E211" s="27" t="s">
        <v>122</v>
      </c>
      <c r="F211" s="29"/>
      <c r="G211" s="29"/>
      <c r="H211" s="36">
        <f>I211/AJ211</f>
        <v>131845.80037533829</v>
      </c>
      <c r="I211" s="37">
        <f>SUM(J211:Q211)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2344692.7243306041</v>
      </c>
      <c r="J211" s="21">
        <f>S211*(1+IF($AK211+IF(입력란!$C$9=1,10,0)+IF(입력란!$C$26=1,10,0)+IF(MID(E211,3,1)="1",트라이포드!J$15,0)&gt;100,100,$AK211+IF(입력란!$C$9=1,10,0)+IF(입력란!$C$26=1,10,0)+IF(MID(E211,3,1)="1",트라이포드!J$15,0))/100*(($AL211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K211" s="21">
        <f>T211*(1+IF($AK211+IF(입력란!$C$9=1,10,0)+IF(입력란!$C$26=1,10,0)&gt;100,100,$AK211+IF(입력란!$C$9=1,10,0)+IF(입력란!$C$26=1,10,0))/100*(($AL211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11" s="21"/>
      <c r="M211" s="21"/>
      <c r="N211" s="21"/>
      <c r="O211" s="21"/>
      <c r="P211" s="21"/>
      <c r="Q211" s="20"/>
      <c r="R211" s="19">
        <f>SUM(S211:Z211)</f>
        <v>604848.75564346509</v>
      </c>
      <c r="S211" s="21">
        <f>AN211*IF(입력란!$C$12=0,1,IF(입력란!$C$12=1,1.35,IF(입력란!$C$12=2,1.55,IF(입력란!$C$12=3,1.75,1))))*IF(MID(E211,3,1)="2",트라이포드!$L$15,트라이포드!$K$15)*IF(입력란!$C$9=1,IF(입력란!$C$15=0,1.05,IF(입력란!$C$15=1,1.05*1.05,IF(입력란!$C$15=2,1.05*1.12,IF(입력란!$C$15=3,1.05*1.25)))),1)</f>
        <v>177896.69283631325</v>
      </c>
      <c r="T211" s="21">
        <f>AN211*IF(입력란!$C$12=0,1,IF(입력란!$C$12=1,1.35,IF(입력란!$C$12=2,1.55,IF(입력란!$C$12=3,1.75,1))))*IF(MID(E211,5,1)="1",트라이포드!$P$15,IF(MID(E211,5,1)="2",트라이포드!$R$15,1))*IF(입력란!$C$9=1,IF(입력란!$C$15=0,1.05,IF(입력란!$C$15=1,1.05*1.05,IF(입력란!$C$15=2,1.05*1.12,IF(입력란!$C$15=3,1.05*1.25)))),1)</f>
        <v>426952.06280715181</v>
      </c>
      <c r="U211" s="21"/>
      <c r="V211" s="21"/>
      <c r="W211" s="21"/>
      <c r="X211" s="21"/>
      <c r="Y211" s="21"/>
      <c r="Z211" s="20"/>
      <c r="AA211" s="21">
        <f>SUM(AB211:AI211)</f>
        <v>1209697.5112869302</v>
      </c>
      <c r="AB211" s="21">
        <f>S211*2</f>
        <v>355793.38567262649</v>
      </c>
      <c r="AC211" s="21">
        <f>T211*2</f>
        <v>853904.12561430363</v>
      </c>
      <c r="AD211" s="21"/>
      <c r="AE211" s="21"/>
      <c r="AF211" s="21"/>
      <c r="AG211" s="21"/>
      <c r="AH211" s="21"/>
      <c r="AI211" s="20"/>
      <c r="AJ211" s="21">
        <f>(AQ211-IF(MID(E211,1,1)="1",트라이포드!$D$15,트라이포드!$C$15))*(1-입력란!$P$10/100)</f>
        <v>17.783598094559999</v>
      </c>
      <c r="AK2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1" s="21">
        <f>입력란!$P$24+입력란!$P$16+IF(입력란!$C$18=1,10,IF(입력란!$C$18=2,25,IF(입력란!$C$18=3,50,0)))+IF(입력란!$C$23&lt;&gt;0,-12)</f>
        <v>380.66103559999999</v>
      </c>
      <c r="AM211" s="21">
        <f>SUM(AN211:AP211)</f>
        <v>338871.33934664656</v>
      </c>
      <c r="AN211" s="21">
        <f>(VLOOKUP(C211,$B$4:$AJ$7,14,FALSE)+VLOOKUP(C211,$B$8:$AJ$11,14,FALSE)*입력란!$P$4)*입력란!$P$25/100</f>
        <v>169425.42174886976</v>
      </c>
      <c r="AO211" s="21">
        <f>(VLOOKUP(C211,$B$4:$AJ$7,15,FALSE)+VLOOKUP(C211,$B$8:$AJ$11,15,FALSE)*입력란!$P$4)*입력란!$P$25/100</f>
        <v>169445.9175977768</v>
      </c>
      <c r="AP211" s="21"/>
      <c r="AQ211" s="22">
        <v>18</v>
      </c>
    </row>
    <row r="212" spans="2:43" ht="13.5" customHeight="1" x14ac:dyDescent="0.55000000000000004">
      <c r="B212" s="66">
        <v>197</v>
      </c>
      <c r="C212" s="29">
        <v>10</v>
      </c>
      <c r="D212" s="30" t="s">
        <v>170</v>
      </c>
      <c r="E212" s="27" t="s">
        <v>145</v>
      </c>
      <c r="F212" s="29"/>
      <c r="G212" s="29"/>
      <c r="H212" s="36">
        <f>I212/AJ212</f>
        <v>162350.39019054704</v>
      </c>
      <c r="I212" s="37">
        <f>SUM(J212:Q212)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2887174.0896436847</v>
      </c>
      <c r="J212" s="21">
        <f>S212*(1+IF($AK212+IF(입력란!$C$9=1,10,0)+IF(입력란!$C$26=1,10,0)+IF(MID(E212,3,1)="1",트라이포드!J$15,0)&gt;100,100,$AK212+IF(입력란!$C$9=1,10,0)+IF(입력란!$C$26=1,10,0)+IF(MID(E212,3,1)="1",트라이포드!J$15,0))/100*(($AL212+IF(입력란!$C$30=1,IF(OR(입력란!$C$9=1,입력란!$C$10=1),55,17),IF(입력란!$C$30=2,IF(OR(입력란!$C$9=1,입력란!$C$10=1),60,20),IF(입력란!$C$30=3,IF(OR(입력란!$C$9=1,입력란!$C$10=1),65,22),0))))/100-1))</f>
        <v>677183.39324886096</v>
      </c>
      <c r="K212" s="21">
        <f>T212*(1+IF($AK212+IF(입력란!$C$9=1,10,0)+IF(입력란!$C$26=1,10,0)&gt;100,100,$AK212+IF(입력란!$C$9=1,10,0)+IF(입력란!$C$26=1,10,0))/100*(($AL212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12" s="21"/>
      <c r="M212" s="21"/>
      <c r="N212" s="21"/>
      <c r="O212" s="21"/>
      <c r="P212" s="21"/>
      <c r="Q212" s="20"/>
      <c r="R212" s="19">
        <f>SUM(S212:Z212)</f>
        <v>676007.43277799035</v>
      </c>
      <c r="S212" s="21">
        <f>AN212*IF(입력란!$C$12=0,1,IF(입력란!$C$12=1,1.35,IF(입력란!$C$12=2,1.55,IF(입력란!$C$12=3,1.75,1))))*IF(MID(E212,3,1)="2",트라이포드!$L$15,트라이포드!$K$15)*IF(입력란!$C$9=1,IF(입력란!$C$15=0,1.05,IF(입력란!$C$15=1,1.05*1.05,IF(입력란!$C$15=2,1.05*1.12,IF(입력란!$C$15=3,1.05*1.25)))),1)</f>
        <v>177896.69283631325</v>
      </c>
      <c r="T212" s="21">
        <f>AN212*IF(입력란!$C$12=0,1,IF(입력란!$C$12=1,1.35,IF(입력란!$C$12=2,1.55,IF(입력란!$C$12=3,1.75,1))))*IF(MID(E212,5,1)="1",트라이포드!$P$15,IF(MID(E212,5,1)="2",트라이포드!$R$15,1))*IF(입력란!$C$9=1,IF(입력란!$C$15=0,1.05,IF(입력란!$C$15=1,1.05*1.05,IF(입력란!$C$15=2,1.05*1.12,IF(입력란!$C$15=3,1.05*1.25)))),1)</f>
        <v>498110.73994167708</v>
      </c>
      <c r="U212" s="21"/>
      <c r="V212" s="21"/>
      <c r="W212" s="21"/>
      <c r="X212" s="21"/>
      <c r="Y212" s="21"/>
      <c r="Z212" s="20"/>
      <c r="AA212" s="21">
        <f>SUM(AB212:AI212)</f>
        <v>1352014.8655559807</v>
      </c>
      <c r="AB212" s="21">
        <f>S212*2</f>
        <v>355793.38567262649</v>
      </c>
      <c r="AC212" s="21">
        <f>T212*2</f>
        <v>996221.47988335416</v>
      </c>
      <c r="AD212" s="21"/>
      <c r="AE212" s="21"/>
      <c r="AF212" s="21"/>
      <c r="AG212" s="21"/>
      <c r="AH212" s="21"/>
      <c r="AI212" s="20"/>
      <c r="AJ212" s="21">
        <f>(AQ212-IF(MID(E212,1,1)="1",트라이포드!$D$15,트라이포드!$C$15))*(1-입력란!$P$10/100)</f>
        <v>17.783598094559999</v>
      </c>
      <c r="AK2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2" s="21">
        <f>입력란!$P$24+입력란!$P$16+IF(입력란!$C$18=1,10,IF(입력란!$C$18=2,25,IF(입력란!$C$18=3,50,0)))+IF(입력란!$C$23&lt;&gt;0,-12)</f>
        <v>380.66103559999999</v>
      </c>
      <c r="AM212" s="21">
        <f>SUM(AN212:AP212)</f>
        <v>338871.33934664656</v>
      </c>
      <c r="AN212" s="21">
        <f>(VLOOKUP(C212,$B$4:$AJ$7,14,FALSE)+VLOOKUP(C212,$B$8:$AJ$11,14,FALSE)*입력란!$P$4)*입력란!$P$25/100</f>
        <v>169425.42174886976</v>
      </c>
      <c r="AO212" s="21">
        <f>(VLOOKUP(C212,$B$4:$AJ$7,15,FALSE)+VLOOKUP(C212,$B$8:$AJ$11,15,FALSE)*입력란!$P$4)*입력란!$P$25/100</f>
        <v>169445.9175977768</v>
      </c>
      <c r="AP212" s="21"/>
      <c r="AQ212" s="22">
        <v>18</v>
      </c>
    </row>
    <row r="213" spans="2:43" ht="13.5" customHeight="1" x14ac:dyDescent="0.55000000000000004">
      <c r="B213" s="66">
        <v>198</v>
      </c>
      <c r="C213" s="29">
        <v>10</v>
      </c>
      <c r="D213" s="30" t="s">
        <v>170</v>
      </c>
      <c r="E213" s="27" t="s">
        <v>174</v>
      </c>
      <c r="F213" s="29"/>
      <c r="G213" s="29"/>
      <c r="H213" s="36">
        <f>I213/AJ213</f>
        <v>146839.11955815431</v>
      </c>
      <c r="I213" s="37">
        <f>SUM(J213:Q213)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2611327.8867812608</v>
      </c>
      <c r="J213" s="21">
        <f>S213*(1+IF($AK213+IF(입력란!$C$9=1,10,0)+IF(입력란!$C$26=1,10,0)+IF(MID(E213,3,1)="1",트라이포드!J$15,0)&gt;100,100,$AK213+IF(입력란!$C$9=1,10,0)+IF(입력란!$C$26=1,10,0)+IF(MID(E213,3,1)="1",트라이포드!J$15,0))/100*(($AL213+IF(입력란!$C$30=1,IF(OR(입력란!$C$9=1,입력란!$C$10=1),55,17),IF(입력란!$C$30=2,IF(OR(입력란!$C$9=1,입력란!$C$10=1),60,20),IF(입력란!$C$30=3,IF(OR(입력란!$C$9=1,입력란!$C$10=1),65,22),0))))/100-1))</f>
        <v>677183.39324886096</v>
      </c>
      <c r="K213" s="21">
        <f>T213*(1+IF($AK213+IF(입력란!$C$9=1,10,0)+IF(입력란!$C$26=1,10,0)&gt;100,100,$AK213+IF(입력란!$C$9=1,10,0)+IF(입력란!$C$26=1,10,0))/100*(($AL213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13" s="21"/>
      <c r="M213" s="21"/>
      <c r="N213" s="21"/>
      <c r="O213" s="21"/>
      <c r="P213" s="21"/>
      <c r="Q213" s="20"/>
      <c r="R213" s="19">
        <f>SUM(S213:Z213)</f>
        <v>604848.75564346509</v>
      </c>
      <c r="S213" s="21">
        <f>AN213*IF(입력란!$C$12=0,1,IF(입력란!$C$12=1,1.35,IF(입력란!$C$12=2,1.55,IF(입력란!$C$12=3,1.75,1))))*IF(MID(E213,3,1)="2",트라이포드!$L$15,트라이포드!$K$15)*IF(입력란!$C$9=1,IF(입력란!$C$15=0,1.05,IF(입력란!$C$15=1,1.05*1.05,IF(입력란!$C$15=2,1.05*1.12,IF(입력란!$C$15=3,1.05*1.25)))),1)</f>
        <v>177896.69283631325</v>
      </c>
      <c r="T213" s="21">
        <f>AN213*IF(입력란!$C$12=0,1,IF(입력란!$C$12=1,1.35,IF(입력란!$C$12=2,1.55,IF(입력란!$C$12=3,1.75,1))))*IF(MID(E213,5,1)="1",트라이포드!$P$15,IF(MID(E213,5,1)="2",트라이포드!$R$15,1))*IF(입력란!$C$9=1,IF(입력란!$C$15=0,1.05,IF(입력란!$C$15=1,1.05*1.05,IF(입력란!$C$15=2,1.05*1.12,IF(입력란!$C$15=3,1.05*1.25)))),1)</f>
        <v>426952.06280715181</v>
      </c>
      <c r="U213" s="21"/>
      <c r="V213" s="21"/>
      <c r="W213" s="21"/>
      <c r="X213" s="21"/>
      <c r="Y213" s="21"/>
      <c r="Z213" s="20"/>
      <c r="AA213" s="21">
        <f>SUM(AB213:AI213)</f>
        <v>1209697.5112869302</v>
      </c>
      <c r="AB213" s="21">
        <f>S213*2</f>
        <v>355793.38567262649</v>
      </c>
      <c r="AC213" s="21">
        <f>T213*2</f>
        <v>853904.12561430363</v>
      </c>
      <c r="AD213" s="21"/>
      <c r="AE213" s="21"/>
      <c r="AF213" s="21"/>
      <c r="AG213" s="21"/>
      <c r="AH213" s="21"/>
      <c r="AI213" s="20"/>
      <c r="AJ213" s="21">
        <f>(AQ213-IF(MID(E213,1,1)="1",트라이포드!$D$15,트라이포드!$C$15))*(1-입력란!$P$10/100)</f>
        <v>17.783598094559999</v>
      </c>
      <c r="AK2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3" s="21">
        <f>입력란!$P$24+입력란!$P$16+IF(입력란!$C$18=1,10,IF(입력란!$C$18=2,25,IF(입력란!$C$18=3,50,0)))+IF(입력란!$C$23&lt;&gt;0,-12)</f>
        <v>380.66103559999999</v>
      </c>
      <c r="AM213" s="21">
        <f>SUM(AN213:AP213)</f>
        <v>338871.33934664656</v>
      </c>
      <c r="AN213" s="21">
        <f>(VLOOKUP(C213,$B$4:$AJ$7,14,FALSE)+VLOOKUP(C213,$B$8:$AJ$11,14,FALSE)*입력란!$P$4)*입력란!$P$25/100</f>
        <v>169425.42174886976</v>
      </c>
      <c r="AO213" s="21">
        <f>(VLOOKUP(C213,$B$4:$AJ$7,15,FALSE)+VLOOKUP(C213,$B$8:$AJ$11,15,FALSE)*입력란!$P$4)*입력란!$P$25/100</f>
        <v>169445.9175977768</v>
      </c>
      <c r="AP213" s="21"/>
      <c r="AQ213" s="22">
        <v>18</v>
      </c>
    </row>
    <row r="214" spans="2:43" ht="13.5" customHeight="1" x14ac:dyDescent="0.55000000000000004">
      <c r="B214" s="66">
        <v>199</v>
      </c>
      <c r="C214" s="29">
        <v>10</v>
      </c>
      <c r="D214" s="30" t="s">
        <v>170</v>
      </c>
      <c r="E214" s="27" t="s">
        <v>175</v>
      </c>
      <c r="F214" s="29"/>
      <c r="G214" s="29"/>
      <c r="H214" s="36">
        <f>I214/AJ214</f>
        <v>166746.15929822196</v>
      </c>
      <c r="I214" s="37">
        <f>SUM(J214:Q214)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2965346.680771058</v>
      </c>
      <c r="J214" s="21">
        <f>S214*(1+IF($AK214+IF(입력란!$C$9=1,10,0)+IF(입력란!$C$26=1,10,0)+IF(MID(E214,3,1)="1",트라이포드!J$15,0)&gt;100,100,$AK214+IF(입력란!$C$9=1,10,0)+IF(입력란!$C$26=1,10,0)+IF(MID(E214,3,1)="1",트라이포드!J$15,0))/100*(($AL214+IF(입력란!$C$30=1,IF(OR(입력란!$C$9=1,입력란!$C$10=1),55,17),IF(입력란!$C$30=2,IF(OR(입력란!$C$9=1,입력란!$C$10=1),60,20),IF(입력란!$C$30=3,IF(OR(입력란!$C$9=1,입력란!$C$10=1),65,22),0))))/100-1))</f>
        <v>732542.49751015508</v>
      </c>
      <c r="K214" s="21">
        <f>T214*(1+IF($AK214+IF(입력란!$C$9=1,10,0)+IF(입력란!$C$26=1,10,0)&gt;100,100,$AK214+IF(입력란!$C$9=1,10,0)+IF(입력란!$C$26=1,10,0))/100*(($AL214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14" s="21"/>
      <c r="M214" s="21"/>
      <c r="N214" s="21"/>
      <c r="O214" s="21"/>
      <c r="P214" s="21"/>
      <c r="Q214" s="20"/>
      <c r="R214" s="19">
        <f>SUM(S214:Z214)</f>
        <v>764955.77919614699</v>
      </c>
      <c r="S214" s="21">
        <f>AN214*IF(입력란!$C$12=0,1,IF(입력란!$C$12=1,1.35,IF(입력란!$C$12=2,1.55,IF(입력란!$C$12=3,1.75,1))))*IF(MID(E214,3,1)="2",트라이포드!$L$15,트라이포드!$K$15)*IF(입력란!$C$9=1,IF(입력란!$C$15=0,1.05,IF(입력란!$C$15=1,1.05*1.05,IF(입력란!$C$15=2,1.05*1.12,IF(입력란!$C$15=3,1.05*1.25)))),1)</f>
        <v>266845.03925446991</v>
      </c>
      <c r="T214" s="21">
        <f>AN214*IF(입력란!$C$12=0,1,IF(입력란!$C$12=1,1.35,IF(입력란!$C$12=2,1.55,IF(입력란!$C$12=3,1.75,1))))*IF(MID(E214,5,1)="1",트라이포드!$P$15,IF(MID(E214,5,1)="2",트라이포드!$R$15,1))*IF(입력란!$C$9=1,IF(입력란!$C$15=0,1.05,IF(입력란!$C$15=1,1.05*1.05,IF(입력란!$C$15=2,1.05*1.12,IF(입력란!$C$15=3,1.05*1.25)))),1)</f>
        <v>498110.73994167708</v>
      </c>
      <c r="U214" s="21"/>
      <c r="V214" s="21"/>
      <c r="W214" s="21"/>
      <c r="X214" s="21"/>
      <c r="Y214" s="21"/>
      <c r="Z214" s="20"/>
      <c r="AA214" s="21">
        <f>SUM(AB214:AI214)</f>
        <v>1529911.558392294</v>
      </c>
      <c r="AB214" s="21">
        <f>S214*2</f>
        <v>533690.07850893983</v>
      </c>
      <c r="AC214" s="21">
        <f>T214*2</f>
        <v>996221.47988335416</v>
      </c>
      <c r="AD214" s="21"/>
      <c r="AE214" s="21"/>
      <c r="AF214" s="21"/>
      <c r="AG214" s="21"/>
      <c r="AH214" s="21"/>
      <c r="AI214" s="20"/>
      <c r="AJ214" s="21">
        <f>(AQ214-IF(MID(E214,1,1)="1",트라이포드!$D$15,트라이포드!$C$15))*(1-입력란!$P$10/100)</f>
        <v>17.783598094559999</v>
      </c>
      <c r="AK2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4" s="21">
        <f>입력란!$P$24+입력란!$P$16+IF(입력란!$C$18=1,10,IF(입력란!$C$18=2,25,IF(입력란!$C$18=3,50,0)))+IF(입력란!$C$23&lt;&gt;0,-12)</f>
        <v>380.66103559999999</v>
      </c>
      <c r="AM214" s="21">
        <f>SUM(AN214:AP214)</f>
        <v>338871.33934664656</v>
      </c>
      <c r="AN214" s="21">
        <f>(VLOOKUP(C214,$B$4:$AJ$7,14,FALSE)+VLOOKUP(C214,$B$8:$AJ$11,14,FALSE)*입력란!$P$4)*입력란!$P$25/100</f>
        <v>169425.42174886976</v>
      </c>
      <c r="AO214" s="21">
        <f>(VLOOKUP(C214,$B$4:$AJ$7,15,FALSE)+VLOOKUP(C214,$B$8:$AJ$11,15,FALSE)*입력란!$P$4)*입력란!$P$25/100</f>
        <v>169445.9175977768</v>
      </c>
      <c r="AP214" s="21"/>
      <c r="AQ214" s="22">
        <v>18</v>
      </c>
    </row>
    <row r="215" spans="2:43" ht="13.5" customHeight="1" x14ac:dyDescent="0.55000000000000004">
      <c r="B215" s="66">
        <v>200</v>
      </c>
      <c r="C215" s="29">
        <v>10</v>
      </c>
      <c r="D215" s="30" t="s">
        <v>170</v>
      </c>
      <c r="E215" s="27" t="s">
        <v>147</v>
      </c>
      <c r="F215" s="29"/>
      <c r="G215" s="29"/>
      <c r="H215" s="36">
        <f>I215/AJ215</f>
        <v>151234.88866582926</v>
      </c>
      <c r="I215" s="37">
        <f>SUM(J215:Q215)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2689500.4779086346</v>
      </c>
      <c r="J215" s="21">
        <f>S215*(1+IF($AK215+IF(입력란!$C$9=1,10,0)+IF(입력란!$C$26=1,10,0)+IF(MID(E215,3,1)="1",트라이포드!J$15,0)&gt;100,100,$AK215+IF(입력란!$C$9=1,10,0)+IF(입력란!$C$26=1,10,0)+IF(MID(E215,3,1)="1",트라이포드!J$15,0))/100*(($AL215+IF(입력란!$C$30=1,IF(OR(입력란!$C$9=1,입력란!$C$10=1),55,17),IF(입력란!$C$30=2,IF(OR(입력란!$C$9=1,입력란!$C$10=1),60,20),IF(입력란!$C$30=3,IF(OR(입력란!$C$9=1,입력란!$C$10=1),65,22),0))))/100-1))</f>
        <v>732542.49751015508</v>
      </c>
      <c r="K215" s="21">
        <f>T215*(1+IF($AK215+IF(입력란!$C$9=1,10,0)+IF(입력란!$C$26=1,10,0)&gt;100,100,$AK215+IF(입력란!$C$9=1,10,0)+IF(입력란!$C$26=1,10,0))/100*(($AL215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15" s="21"/>
      <c r="M215" s="21"/>
      <c r="N215" s="21"/>
      <c r="O215" s="21"/>
      <c r="P215" s="21"/>
      <c r="Q215" s="20"/>
      <c r="R215" s="19">
        <f>SUM(S215:Z215)</f>
        <v>693797.10206162173</v>
      </c>
      <c r="S215" s="21">
        <f>AN215*IF(입력란!$C$12=0,1,IF(입력란!$C$12=1,1.35,IF(입력란!$C$12=2,1.55,IF(입력란!$C$12=3,1.75,1))))*IF(MID(E215,3,1)="2",트라이포드!$L$15,트라이포드!$K$15)*IF(입력란!$C$9=1,IF(입력란!$C$15=0,1.05,IF(입력란!$C$15=1,1.05*1.05,IF(입력란!$C$15=2,1.05*1.12,IF(입력란!$C$15=3,1.05*1.25)))),1)</f>
        <v>266845.03925446991</v>
      </c>
      <c r="T215" s="21">
        <f>AN215*IF(입력란!$C$12=0,1,IF(입력란!$C$12=1,1.35,IF(입력란!$C$12=2,1.55,IF(입력란!$C$12=3,1.75,1))))*IF(MID(E215,5,1)="1",트라이포드!$P$15,IF(MID(E215,5,1)="2",트라이포드!$R$15,1))*IF(입력란!$C$9=1,IF(입력란!$C$15=0,1.05,IF(입력란!$C$15=1,1.05*1.05,IF(입력란!$C$15=2,1.05*1.12,IF(입력란!$C$15=3,1.05*1.25)))),1)</f>
        <v>426952.06280715181</v>
      </c>
      <c r="U215" s="21"/>
      <c r="V215" s="21"/>
      <c r="W215" s="21"/>
      <c r="X215" s="21"/>
      <c r="Y215" s="21"/>
      <c r="Z215" s="20"/>
      <c r="AA215" s="21">
        <f>SUM(AB215:AI215)</f>
        <v>1387594.2041232435</v>
      </c>
      <c r="AB215" s="21">
        <f>S215*2</f>
        <v>533690.07850893983</v>
      </c>
      <c r="AC215" s="21">
        <f>T215*2</f>
        <v>853904.12561430363</v>
      </c>
      <c r="AD215" s="21"/>
      <c r="AE215" s="21"/>
      <c r="AF215" s="21"/>
      <c r="AG215" s="21"/>
      <c r="AH215" s="21"/>
      <c r="AI215" s="20"/>
      <c r="AJ215" s="21">
        <f>(AQ215-IF(MID(E215,1,1)="1",트라이포드!$D$15,트라이포드!$C$15))*(1-입력란!$P$10/100)</f>
        <v>17.783598094559999</v>
      </c>
      <c r="AK2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5" s="21">
        <f>입력란!$P$24+입력란!$P$16+IF(입력란!$C$18=1,10,IF(입력란!$C$18=2,25,IF(입력란!$C$18=3,50,0)))+IF(입력란!$C$23&lt;&gt;0,-12)</f>
        <v>380.66103559999999</v>
      </c>
      <c r="AM215" s="21">
        <f>SUM(AN215:AP215)</f>
        <v>338871.33934664656</v>
      </c>
      <c r="AN215" s="21">
        <f>(VLOOKUP(C215,$B$4:$AJ$7,14,FALSE)+VLOOKUP(C215,$B$8:$AJ$11,14,FALSE)*입력란!$P$4)*입력란!$P$25/100</f>
        <v>169425.42174886976</v>
      </c>
      <c r="AO215" s="21">
        <f>(VLOOKUP(C215,$B$4:$AJ$7,15,FALSE)+VLOOKUP(C215,$B$8:$AJ$11,15,FALSE)*입력란!$P$4)*입력란!$P$25/100</f>
        <v>169445.9175977768</v>
      </c>
      <c r="AP215" s="21"/>
      <c r="AQ215" s="22">
        <v>18</v>
      </c>
    </row>
    <row r="216" spans="2:43" ht="13.5" customHeight="1" x14ac:dyDescent="0.55000000000000004">
      <c r="B216" s="66">
        <v>201</v>
      </c>
      <c r="C216" s="29">
        <v>10</v>
      </c>
      <c r="D216" s="30" t="s">
        <v>170</v>
      </c>
      <c r="E216" s="27" t="s">
        <v>176</v>
      </c>
      <c r="F216" s="29"/>
      <c r="G216" s="29"/>
      <c r="H216" s="36">
        <f>I216/AJ216</f>
        <v>147357.07100773102</v>
      </c>
      <c r="I216" s="37">
        <f>SUM(J216:Q216)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2620538.9271930279</v>
      </c>
      <c r="J216" s="21">
        <f>S216*(1+IF($AK216+IF(입력란!$C$9=1,10,0)+IF(입력란!$C$26=1,10,0)+IF(MID(E216,3,1)="1",트라이포드!J$15,0)&gt;100,100,$AK216+IF(입력란!$C$9=1,10,0)+IF(입력란!$C$26=1,10,0)+IF(MID(E216,3,1)="1",트라이포드!J$15,0))/100*(($AL216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K216" s="21">
        <f>T216*(1+IF($AK216+IF(입력란!$C$9=1,10,0)+IF(입력란!$C$26=1,10,0)&gt;100,100,$AK216+IF(입력란!$C$9=1,10,0)+IF(입력란!$C$26=1,10,0))/100*(($AL216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16" s="21"/>
      <c r="M216" s="21"/>
      <c r="N216" s="21"/>
      <c r="O216" s="21"/>
      <c r="P216" s="21"/>
      <c r="Q216" s="20"/>
      <c r="R216" s="19">
        <f>SUM(S216:Z216)</f>
        <v>676007.43277799035</v>
      </c>
      <c r="S216" s="21">
        <f>AN216*IF(입력란!$C$12=0,1,IF(입력란!$C$12=1,1.35,IF(입력란!$C$12=2,1.55,IF(입력란!$C$12=3,1.75,1))))*IF(MID(E216,3,1)="2",트라이포드!$L$15,트라이포드!$K$15)*IF(입력란!$C$9=1,IF(입력란!$C$15=0,1.05,IF(입력란!$C$15=1,1.05*1.05,IF(입력란!$C$15=2,1.05*1.12,IF(입력란!$C$15=3,1.05*1.25)))),1)</f>
        <v>177896.69283631325</v>
      </c>
      <c r="T216" s="21">
        <f>AN216*IF(입력란!$C$12=0,1,IF(입력란!$C$12=1,1.35,IF(입력란!$C$12=2,1.55,IF(입력란!$C$12=3,1.75,1))))*IF(MID(E216,5,1)="1",트라이포드!$P$15,IF(MID(E216,5,1)="2",트라이포드!$R$15,1))*IF(입력란!$C$9=1,IF(입력란!$C$15=0,1.05,IF(입력란!$C$15=1,1.05*1.05,IF(입력란!$C$15=2,1.05*1.12,IF(입력란!$C$15=3,1.05*1.25)))),1)</f>
        <v>498110.73994167708</v>
      </c>
      <c r="U216" s="21"/>
      <c r="V216" s="21"/>
      <c r="W216" s="21"/>
      <c r="X216" s="21"/>
      <c r="Y216" s="21"/>
      <c r="Z216" s="20"/>
      <c r="AA216" s="21">
        <f>SUM(AB216:AI216)</f>
        <v>1352014.8655559807</v>
      </c>
      <c r="AB216" s="21">
        <f>S216*2</f>
        <v>355793.38567262649</v>
      </c>
      <c r="AC216" s="21">
        <f>T216*2</f>
        <v>996221.47988335416</v>
      </c>
      <c r="AD216" s="21"/>
      <c r="AE216" s="21"/>
      <c r="AF216" s="21"/>
      <c r="AG216" s="21"/>
      <c r="AH216" s="21"/>
      <c r="AI216" s="20"/>
      <c r="AJ216" s="21">
        <f>(AQ216-IF(MID(E216,1,1)="1",트라이포드!$D$15,트라이포드!$C$15))*(1-입력란!$P$10/100)</f>
        <v>17.783598094559999</v>
      </c>
      <c r="AK2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6" s="21">
        <f>입력란!$P$24+입력란!$P$16+IF(입력란!$C$18=1,10,IF(입력란!$C$18=2,25,IF(입력란!$C$18=3,50,0)))+IF(입력란!$C$23&lt;&gt;0,-12)</f>
        <v>380.66103559999999</v>
      </c>
      <c r="AM216" s="21">
        <f>SUM(AN216:AP216)</f>
        <v>338871.33934664656</v>
      </c>
      <c r="AN216" s="21">
        <f>(VLOOKUP(C216,$B$4:$AJ$7,14,FALSE)+VLOOKUP(C216,$B$8:$AJ$11,14,FALSE)*입력란!$P$4)*입력란!$P$25/100</f>
        <v>169425.42174886976</v>
      </c>
      <c r="AO216" s="21">
        <f>(VLOOKUP(C216,$B$4:$AJ$7,15,FALSE)+VLOOKUP(C216,$B$8:$AJ$11,15,FALSE)*입력란!$P$4)*입력란!$P$25/100</f>
        <v>169445.9175977768</v>
      </c>
      <c r="AP216" s="21"/>
      <c r="AQ216" s="22">
        <v>18</v>
      </c>
    </row>
    <row r="217" spans="2:43" ht="13.5" customHeight="1" x14ac:dyDescent="0.55000000000000004">
      <c r="B217" s="66">
        <v>202</v>
      </c>
      <c r="C217" s="29">
        <v>10</v>
      </c>
      <c r="D217" s="30" t="s">
        <v>170</v>
      </c>
      <c r="E217" s="27" t="s">
        <v>177</v>
      </c>
      <c r="F217" s="29"/>
      <c r="G217" s="29"/>
      <c r="H217" s="36">
        <f>I217/AJ217</f>
        <v>131845.80037533829</v>
      </c>
      <c r="I217" s="37">
        <f>SUM(J217:Q217)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2344692.7243306041</v>
      </c>
      <c r="J217" s="21">
        <f>S217*(1+IF($AK217+IF(입력란!$C$9=1,10,0)+IF(입력란!$C$26=1,10,0)+IF(MID(E217,3,1)="1",트라이포드!J$15,0)&gt;100,100,$AK217+IF(입력란!$C$9=1,10,0)+IF(입력란!$C$26=1,10,0)+IF(MID(E217,3,1)="1",트라이포드!J$15,0))/100*(($AL217+IF(입력란!$C$30=1,IF(OR(입력란!$C$9=1,입력란!$C$10=1),55,17),IF(입력란!$C$30=2,IF(OR(입력란!$C$9=1,입력란!$C$10=1),60,20),IF(입력란!$C$30=3,IF(OR(입력란!$C$9=1,입력란!$C$10=1),65,22),0))))/100-1))</f>
        <v>488361.66500677</v>
      </c>
      <c r="K217" s="21">
        <f>T217*(1+IF($AK217+IF(입력란!$C$9=1,10,0)+IF(입력란!$C$26=1,10,0)&gt;100,100,$AK217+IF(입력란!$C$9=1,10,0)+IF(입력란!$C$26=1,10,0))/100*(($AL217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17" s="21"/>
      <c r="M217" s="21"/>
      <c r="N217" s="21"/>
      <c r="O217" s="21"/>
      <c r="P217" s="21"/>
      <c r="Q217" s="20"/>
      <c r="R217" s="19">
        <f>SUM(S217:Z217)</f>
        <v>604848.75564346509</v>
      </c>
      <c r="S217" s="21">
        <f>AN217*IF(입력란!$C$12=0,1,IF(입력란!$C$12=1,1.35,IF(입력란!$C$12=2,1.55,IF(입력란!$C$12=3,1.75,1))))*IF(MID(E217,3,1)="2",트라이포드!$L$15,트라이포드!$K$15)*IF(입력란!$C$9=1,IF(입력란!$C$15=0,1.05,IF(입력란!$C$15=1,1.05*1.05,IF(입력란!$C$15=2,1.05*1.12,IF(입력란!$C$15=3,1.05*1.25)))),1)</f>
        <v>177896.69283631325</v>
      </c>
      <c r="T217" s="21">
        <f>AN217*IF(입력란!$C$12=0,1,IF(입력란!$C$12=1,1.35,IF(입력란!$C$12=2,1.55,IF(입력란!$C$12=3,1.75,1))))*IF(MID(E217,5,1)="1",트라이포드!$P$15,IF(MID(E217,5,1)="2",트라이포드!$R$15,1))*IF(입력란!$C$9=1,IF(입력란!$C$15=0,1.05,IF(입력란!$C$15=1,1.05*1.05,IF(입력란!$C$15=2,1.05*1.12,IF(입력란!$C$15=3,1.05*1.25)))),1)</f>
        <v>426952.06280715181</v>
      </c>
      <c r="U217" s="21"/>
      <c r="V217" s="21"/>
      <c r="W217" s="21"/>
      <c r="X217" s="21"/>
      <c r="Y217" s="21"/>
      <c r="Z217" s="20"/>
      <c r="AA217" s="21">
        <f>SUM(AB217:AI217)</f>
        <v>1209697.5112869302</v>
      </c>
      <c r="AB217" s="21">
        <f>S217*2</f>
        <v>355793.38567262649</v>
      </c>
      <c r="AC217" s="21">
        <f>T217*2</f>
        <v>853904.12561430363</v>
      </c>
      <c r="AD217" s="21"/>
      <c r="AE217" s="21"/>
      <c r="AF217" s="21"/>
      <c r="AG217" s="21"/>
      <c r="AH217" s="21"/>
      <c r="AI217" s="20"/>
      <c r="AJ217" s="21">
        <f>(AQ217-IF(MID(E217,1,1)="1",트라이포드!$D$15,트라이포드!$C$15))*(1-입력란!$P$10/100)</f>
        <v>17.783598094559999</v>
      </c>
      <c r="AK2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7" s="21">
        <f>입력란!$P$24+입력란!$P$16+IF(입력란!$C$18=1,10,IF(입력란!$C$18=2,25,IF(입력란!$C$18=3,50,0)))+IF(입력란!$C$23&lt;&gt;0,-12)</f>
        <v>380.66103559999999</v>
      </c>
      <c r="AM217" s="21">
        <f>SUM(AN217:AP217)</f>
        <v>338871.33934664656</v>
      </c>
      <c r="AN217" s="21">
        <f>(VLOOKUP(C217,$B$4:$AJ$7,14,FALSE)+VLOOKUP(C217,$B$8:$AJ$11,14,FALSE)*입력란!$P$4)*입력란!$P$25/100</f>
        <v>169425.42174886976</v>
      </c>
      <c r="AO217" s="21">
        <f>(VLOOKUP(C217,$B$4:$AJ$7,15,FALSE)+VLOOKUP(C217,$B$8:$AJ$11,15,FALSE)*입력란!$P$4)*입력란!$P$25/100</f>
        <v>169445.9175977768</v>
      </c>
      <c r="AP217" s="21"/>
      <c r="AQ217" s="22">
        <v>18</v>
      </c>
    </row>
    <row r="218" spans="2:43" ht="13.5" customHeight="1" x14ac:dyDescent="0.55000000000000004">
      <c r="B218" s="66">
        <v>203</v>
      </c>
      <c r="C218" s="29">
        <v>10</v>
      </c>
      <c r="D218" s="30" t="s">
        <v>170</v>
      </c>
      <c r="E218" s="27" t="s">
        <v>178</v>
      </c>
      <c r="F218" s="29"/>
      <c r="G218" s="29"/>
      <c r="H218" s="36">
        <f>I218/AJ218</f>
        <v>162350.39019054704</v>
      </c>
      <c r="I218" s="37">
        <f>SUM(J218:Q218)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2887174.0896436847</v>
      </c>
      <c r="J218" s="21">
        <f>S218*(1+IF($AK218+IF(입력란!$C$9=1,10,0)+IF(입력란!$C$26=1,10,0)+IF(MID(E218,3,1)="1",트라이포드!J$15,0)&gt;100,100,$AK218+IF(입력란!$C$9=1,10,0)+IF(입력란!$C$26=1,10,0)+IF(MID(E218,3,1)="1",트라이포드!J$15,0))/100*(($AL218+IF(입력란!$C$30=1,IF(OR(입력란!$C$9=1,입력란!$C$10=1),55,17),IF(입력란!$C$30=2,IF(OR(입력란!$C$9=1,입력란!$C$10=1),60,20),IF(입력란!$C$30=3,IF(OR(입력란!$C$9=1,입력란!$C$10=1),65,22),0))))/100-1))</f>
        <v>677183.39324886096</v>
      </c>
      <c r="K218" s="21">
        <f>T218*(1+IF($AK218+IF(입력란!$C$9=1,10,0)+IF(입력란!$C$26=1,10,0)&gt;100,100,$AK218+IF(입력란!$C$9=1,10,0)+IF(입력란!$C$26=1,10,0))/100*(($AL218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18" s="21"/>
      <c r="M218" s="21"/>
      <c r="N218" s="21"/>
      <c r="O218" s="21"/>
      <c r="P218" s="21"/>
      <c r="Q218" s="20"/>
      <c r="R218" s="19">
        <f>SUM(S218:Z218)</f>
        <v>676007.43277799035</v>
      </c>
      <c r="S218" s="21">
        <f>AN218*IF(입력란!$C$12=0,1,IF(입력란!$C$12=1,1.35,IF(입력란!$C$12=2,1.55,IF(입력란!$C$12=3,1.75,1))))*IF(MID(E218,3,1)="2",트라이포드!$L$15,트라이포드!$K$15)*IF(입력란!$C$9=1,IF(입력란!$C$15=0,1.05,IF(입력란!$C$15=1,1.05*1.05,IF(입력란!$C$15=2,1.05*1.12,IF(입력란!$C$15=3,1.05*1.25)))),1)</f>
        <v>177896.69283631325</v>
      </c>
      <c r="T218" s="21">
        <f>AN218*IF(입력란!$C$12=0,1,IF(입력란!$C$12=1,1.35,IF(입력란!$C$12=2,1.55,IF(입력란!$C$12=3,1.75,1))))*IF(MID(E218,5,1)="1",트라이포드!$P$15,IF(MID(E218,5,1)="2",트라이포드!$R$15,1))*IF(입력란!$C$9=1,IF(입력란!$C$15=0,1.05,IF(입력란!$C$15=1,1.05*1.05,IF(입력란!$C$15=2,1.05*1.12,IF(입력란!$C$15=3,1.05*1.25)))),1)</f>
        <v>498110.73994167708</v>
      </c>
      <c r="U218" s="21"/>
      <c r="V218" s="21"/>
      <c r="W218" s="21"/>
      <c r="X218" s="21"/>
      <c r="Y218" s="21"/>
      <c r="Z218" s="20"/>
      <c r="AA218" s="21">
        <f>SUM(AB218:AI218)</f>
        <v>1352014.8655559807</v>
      </c>
      <c r="AB218" s="21">
        <f>S218*2</f>
        <v>355793.38567262649</v>
      </c>
      <c r="AC218" s="21">
        <f>T218*2</f>
        <v>996221.47988335416</v>
      </c>
      <c r="AD218" s="21"/>
      <c r="AE218" s="21"/>
      <c r="AF218" s="21"/>
      <c r="AG218" s="21"/>
      <c r="AH218" s="21"/>
      <c r="AI218" s="20"/>
      <c r="AJ218" s="21">
        <f>(AQ218-IF(MID(E218,1,1)="1",트라이포드!$D$15,트라이포드!$C$15))*(1-입력란!$P$10/100)</f>
        <v>17.783598094559999</v>
      </c>
      <c r="AK2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8" s="21">
        <f>입력란!$P$24+입력란!$P$16+IF(입력란!$C$18=1,10,IF(입력란!$C$18=2,25,IF(입력란!$C$18=3,50,0)))+IF(입력란!$C$23&lt;&gt;0,-12)</f>
        <v>380.66103559999999</v>
      </c>
      <c r="AM218" s="21">
        <f>SUM(AN218:AP218)</f>
        <v>338871.33934664656</v>
      </c>
      <c r="AN218" s="21">
        <f>(VLOOKUP(C218,$B$4:$AJ$7,14,FALSE)+VLOOKUP(C218,$B$8:$AJ$11,14,FALSE)*입력란!$P$4)*입력란!$P$25/100</f>
        <v>169425.42174886976</v>
      </c>
      <c r="AO218" s="21">
        <f>(VLOOKUP(C218,$B$4:$AJ$7,15,FALSE)+VLOOKUP(C218,$B$8:$AJ$11,15,FALSE)*입력란!$P$4)*입력란!$P$25/100</f>
        <v>169445.9175977768</v>
      </c>
      <c r="AP218" s="21"/>
      <c r="AQ218" s="22">
        <v>18</v>
      </c>
    </row>
    <row r="219" spans="2:43" ht="13.5" customHeight="1" x14ac:dyDescent="0.55000000000000004">
      <c r="B219" s="66">
        <v>204</v>
      </c>
      <c r="C219" s="29">
        <v>10</v>
      </c>
      <c r="D219" s="30" t="s">
        <v>170</v>
      </c>
      <c r="E219" s="27" t="s">
        <v>179</v>
      </c>
      <c r="F219" s="29"/>
      <c r="G219" s="29"/>
      <c r="H219" s="36">
        <f>I219/AJ219</f>
        <v>146839.11955815431</v>
      </c>
      <c r="I219" s="37">
        <f>SUM(J219:Q219)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2611327.8867812608</v>
      </c>
      <c r="J219" s="21">
        <f>S219*(1+IF($AK219+IF(입력란!$C$9=1,10,0)+IF(입력란!$C$26=1,10,0)+IF(MID(E219,3,1)="1",트라이포드!J$15,0)&gt;100,100,$AK219+IF(입력란!$C$9=1,10,0)+IF(입력란!$C$26=1,10,0)+IF(MID(E219,3,1)="1",트라이포드!J$15,0))/100*(($AL219+IF(입력란!$C$30=1,IF(OR(입력란!$C$9=1,입력란!$C$10=1),55,17),IF(입력란!$C$30=2,IF(OR(입력란!$C$9=1,입력란!$C$10=1),60,20),IF(입력란!$C$30=3,IF(OR(입력란!$C$9=1,입력란!$C$10=1),65,22),0))))/100-1))</f>
        <v>677183.39324886096</v>
      </c>
      <c r="K219" s="21">
        <f>T219*(1+IF($AK219+IF(입력란!$C$9=1,10,0)+IF(입력란!$C$26=1,10,0)&gt;100,100,$AK219+IF(입력란!$C$9=1,10,0)+IF(입력란!$C$26=1,10,0))/100*(($AL219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19" s="21"/>
      <c r="M219" s="21"/>
      <c r="N219" s="21"/>
      <c r="O219" s="21"/>
      <c r="P219" s="21"/>
      <c r="Q219" s="20"/>
      <c r="R219" s="19">
        <f>SUM(S219:Z219)</f>
        <v>604848.75564346509</v>
      </c>
      <c r="S219" s="21">
        <f>AN219*IF(입력란!$C$12=0,1,IF(입력란!$C$12=1,1.35,IF(입력란!$C$12=2,1.55,IF(입력란!$C$12=3,1.75,1))))*IF(MID(E219,3,1)="2",트라이포드!$L$15,트라이포드!$K$15)*IF(입력란!$C$9=1,IF(입력란!$C$15=0,1.05,IF(입력란!$C$15=1,1.05*1.05,IF(입력란!$C$15=2,1.05*1.12,IF(입력란!$C$15=3,1.05*1.25)))),1)</f>
        <v>177896.69283631325</v>
      </c>
      <c r="T219" s="21">
        <f>AN219*IF(입력란!$C$12=0,1,IF(입력란!$C$12=1,1.35,IF(입력란!$C$12=2,1.55,IF(입력란!$C$12=3,1.75,1))))*IF(MID(E219,5,1)="1",트라이포드!$P$15,IF(MID(E219,5,1)="2",트라이포드!$R$15,1))*IF(입력란!$C$9=1,IF(입력란!$C$15=0,1.05,IF(입력란!$C$15=1,1.05*1.05,IF(입력란!$C$15=2,1.05*1.12,IF(입력란!$C$15=3,1.05*1.25)))),1)</f>
        <v>426952.06280715181</v>
      </c>
      <c r="U219" s="21"/>
      <c r="V219" s="21"/>
      <c r="W219" s="21"/>
      <c r="X219" s="21"/>
      <c r="Y219" s="21"/>
      <c r="Z219" s="20"/>
      <c r="AA219" s="21">
        <f>SUM(AB219:AI219)</f>
        <v>1209697.5112869302</v>
      </c>
      <c r="AB219" s="21">
        <f>S219*2</f>
        <v>355793.38567262649</v>
      </c>
      <c r="AC219" s="21">
        <f>T219*2</f>
        <v>853904.12561430363</v>
      </c>
      <c r="AD219" s="21"/>
      <c r="AE219" s="21"/>
      <c r="AF219" s="21"/>
      <c r="AG219" s="21"/>
      <c r="AH219" s="21"/>
      <c r="AI219" s="20"/>
      <c r="AJ219" s="21">
        <f>(AQ219-IF(MID(E219,1,1)="1",트라이포드!$D$15,트라이포드!$C$15))*(1-입력란!$P$10/100)</f>
        <v>17.783598094559999</v>
      </c>
      <c r="AK2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19" s="21">
        <f>입력란!$P$24+입력란!$P$16+IF(입력란!$C$18=1,10,IF(입력란!$C$18=2,25,IF(입력란!$C$18=3,50,0)))+IF(입력란!$C$23&lt;&gt;0,-12)</f>
        <v>380.66103559999999</v>
      </c>
      <c r="AM219" s="21">
        <f>SUM(AN219:AP219)</f>
        <v>338871.33934664656</v>
      </c>
      <c r="AN219" s="21">
        <f>(VLOOKUP(C219,$B$4:$AJ$7,14,FALSE)+VLOOKUP(C219,$B$8:$AJ$11,14,FALSE)*입력란!$P$4)*입력란!$P$25/100</f>
        <v>169425.42174886976</v>
      </c>
      <c r="AO219" s="21">
        <f>(VLOOKUP(C219,$B$4:$AJ$7,15,FALSE)+VLOOKUP(C219,$B$8:$AJ$11,15,FALSE)*입력란!$P$4)*입력란!$P$25/100</f>
        <v>169445.9175977768</v>
      </c>
      <c r="AP219" s="21"/>
      <c r="AQ219" s="22">
        <v>18</v>
      </c>
    </row>
    <row r="220" spans="2:43" ht="13.5" customHeight="1" x14ac:dyDescent="0.55000000000000004">
      <c r="B220" s="66">
        <v>205</v>
      </c>
      <c r="C220" s="29">
        <v>10</v>
      </c>
      <c r="D220" s="30" t="s">
        <v>170</v>
      </c>
      <c r="E220" s="27" t="s">
        <v>180</v>
      </c>
      <c r="F220" s="29"/>
      <c r="G220" s="29"/>
      <c r="H220" s="36">
        <f>I220/AJ220</f>
        <v>166746.15929822196</v>
      </c>
      <c r="I220" s="37">
        <f>SUM(J220:Q220)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2965346.680771058</v>
      </c>
      <c r="J220" s="21">
        <f>S220*(1+IF($AK220+IF(입력란!$C$9=1,10,0)+IF(입력란!$C$26=1,10,0)+IF(MID(E220,3,1)="1",트라이포드!J$15,0)&gt;100,100,$AK220+IF(입력란!$C$9=1,10,0)+IF(입력란!$C$26=1,10,0)+IF(MID(E220,3,1)="1",트라이포드!J$15,0))/100*(($AL220+IF(입력란!$C$30=1,IF(OR(입력란!$C$9=1,입력란!$C$10=1),55,17),IF(입력란!$C$30=2,IF(OR(입력란!$C$9=1,입력란!$C$10=1),60,20),IF(입력란!$C$30=3,IF(OR(입력란!$C$9=1,입력란!$C$10=1),65,22),0))))/100-1))</f>
        <v>732542.49751015508</v>
      </c>
      <c r="K220" s="21">
        <f>T220*(1+IF($AK220+IF(입력란!$C$9=1,10,0)+IF(입력란!$C$26=1,10,0)&gt;100,100,$AK220+IF(입력란!$C$9=1,10,0)+IF(입력란!$C$26=1,10,0))/100*(($AL220+IF(입력란!$C$30=1,IF(OR(입력란!$C$9=1,입력란!$C$10=1),55,17),IF(입력란!$C$30=2,IF(OR(입력란!$C$9=1,입력란!$C$10=1),60,20),IF(입력란!$C$30=3,IF(OR(입력란!$C$9=1,입력란!$C$10=1),65,22),0))))/100-1))</f>
        <v>1367412.6620189559</v>
      </c>
      <c r="L220" s="21"/>
      <c r="M220" s="21"/>
      <c r="N220" s="21"/>
      <c r="O220" s="21"/>
      <c r="P220" s="21"/>
      <c r="Q220" s="20"/>
      <c r="R220" s="19">
        <f>SUM(S220:Z220)</f>
        <v>764955.77919614699</v>
      </c>
      <c r="S220" s="21">
        <f>AN220*IF(입력란!$C$12=0,1,IF(입력란!$C$12=1,1.35,IF(입력란!$C$12=2,1.55,IF(입력란!$C$12=3,1.75,1))))*IF(MID(E220,3,1)="2",트라이포드!$L$15,트라이포드!$K$15)*IF(입력란!$C$9=1,IF(입력란!$C$15=0,1.05,IF(입력란!$C$15=1,1.05*1.05,IF(입력란!$C$15=2,1.05*1.12,IF(입력란!$C$15=3,1.05*1.25)))),1)</f>
        <v>266845.03925446991</v>
      </c>
      <c r="T220" s="21">
        <f>AN220*IF(입력란!$C$12=0,1,IF(입력란!$C$12=1,1.35,IF(입력란!$C$12=2,1.55,IF(입력란!$C$12=3,1.75,1))))*IF(MID(E220,5,1)="1",트라이포드!$P$15,IF(MID(E220,5,1)="2",트라이포드!$R$15,1))*IF(입력란!$C$9=1,IF(입력란!$C$15=0,1.05,IF(입력란!$C$15=1,1.05*1.05,IF(입력란!$C$15=2,1.05*1.12,IF(입력란!$C$15=3,1.05*1.25)))),1)</f>
        <v>498110.73994167708</v>
      </c>
      <c r="U220" s="21"/>
      <c r="V220" s="21"/>
      <c r="W220" s="21"/>
      <c r="X220" s="21"/>
      <c r="Y220" s="21"/>
      <c r="Z220" s="20"/>
      <c r="AA220" s="21">
        <f>SUM(AB220:AI220)</f>
        <v>1529911.558392294</v>
      </c>
      <c r="AB220" s="21">
        <f>S220*2</f>
        <v>533690.07850893983</v>
      </c>
      <c r="AC220" s="21">
        <f>T220*2</f>
        <v>996221.47988335416</v>
      </c>
      <c r="AD220" s="21"/>
      <c r="AE220" s="21"/>
      <c r="AF220" s="21"/>
      <c r="AG220" s="21"/>
      <c r="AH220" s="21"/>
      <c r="AI220" s="20"/>
      <c r="AJ220" s="21">
        <f>(AQ220-IF(MID(E220,1,1)="1",트라이포드!$D$15,트라이포드!$C$15))*(1-입력란!$P$10/100)</f>
        <v>17.783598094559999</v>
      </c>
      <c r="AK2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0" s="21">
        <f>입력란!$P$24+입력란!$P$16+IF(입력란!$C$18=1,10,IF(입력란!$C$18=2,25,IF(입력란!$C$18=3,50,0)))+IF(입력란!$C$23&lt;&gt;0,-12)</f>
        <v>380.66103559999999</v>
      </c>
      <c r="AM220" s="21">
        <f>SUM(AN220:AP220)</f>
        <v>338871.33934664656</v>
      </c>
      <c r="AN220" s="21">
        <f>(VLOOKUP(C220,$B$4:$AJ$7,14,FALSE)+VLOOKUP(C220,$B$8:$AJ$11,14,FALSE)*입력란!$P$4)*입력란!$P$25/100</f>
        <v>169425.42174886976</v>
      </c>
      <c r="AO220" s="21">
        <f>(VLOOKUP(C220,$B$4:$AJ$7,15,FALSE)+VLOOKUP(C220,$B$8:$AJ$11,15,FALSE)*입력란!$P$4)*입력란!$P$25/100</f>
        <v>169445.9175977768</v>
      </c>
      <c r="AP220" s="21"/>
      <c r="AQ220" s="22">
        <v>18</v>
      </c>
    </row>
    <row r="221" spans="2:43" ht="13.5" customHeight="1" x14ac:dyDescent="0.55000000000000004">
      <c r="B221" s="66">
        <v>206</v>
      </c>
      <c r="C221" s="29">
        <v>10</v>
      </c>
      <c r="D221" s="30" t="s">
        <v>170</v>
      </c>
      <c r="E221" s="27" t="s">
        <v>181</v>
      </c>
      <c r="F221" s="29"/>
      <c r="G221" s="29"/>
      <c r="H221" s="36">
        <f>I221/AJ221</f>
        <v>151234.88866582926</v>
      </c>
      <c r="I221" s="37">
        <f>SUM(J221:Q221)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2689500.4779086346</v>
      </c>
      <c r="J221" s="21">
        <f>S221*(1+IF($AK221+IF(입력란!$C$9=1,10,0)+IF(입력란!$C$26=1,10,0)+IF(MID(E221,3,1)="1",트라이포드!J$15,0)&gt;100,100,$AK221+IF(입력란!$C$9=1,10,0)+IF(입력란!$C$26=1,10,0)+IF(MID(E221,3,1)="1",트라이포드!J$15,0))/100*(($AL221+IF(입력란!$C$30=1,IF(OR(입력란!$C$9=1,입력란!$C$10=1),55,17),IF(입력란!$C$30=2,IF(OR(입력란!$C$9=1,입력란!$C$10=1),60,20),IF(입력란!$C$30=3,IF(OR(입력란!$C$9=1,입력란!$C$10=1),65,22),0))))/100-1))</f>
        <v>732542.49751015508</v>
      </c>
      <c r="K221" s="21">
        <f>T221*(1+IF($AK221+IF(입력란!$C$9=1,10,0)+IF(입력란!$C$26=1,10,0)&gt;100,100,$AK221+IF(입력란!$C$9=1,10,0)+IF(입력란!$C$26=1,10,0))/100*(($AL221+IF(입력란!$C$30=1,IF(OR(입력란!$C$9=1,입력란!$C$10=1),55,17),IF(입력란!$C$30=2,IF(OR(입력란!$C$9=1,입력란!$C$10=1),60,20),IF(입력란!$C$30=3,IF(OR(입력란!$C$9=1,입력란!$C$10=1),65,22),0))))/100-1))</f>
        <v>1172067.9960162481</v>
      </c>
      <c r="L221" s="21"/>
      <c r="M221" s="21"/>
      <c r="N221" s="21"/>
      <c r="O221" s="21"/>
      <c r="P221" s="21"/>
      <c r="Q221" s="20"/>
      <c r="R221" s="19">
        <f>SUM(S221:Z221)</f>
        <v>693797.10206162173</v>
      </c>
      <c r="S221" s="21">
        <f>AN221*IF(입력란!$C$12=0,1,IF(입력란!$C$12=1,1.35,IF(입력란!$C$12=2,1.55,IF(입력란!$C$12=3,1.75,1))))*IF(MID(E221,3,1)="2",트라이포드!$L$15,트라이포드!$K$15)*IF(입력란!$C$9=1,IF(입력란!$C$15=0,1.05,IF(입력란!$C$15=1,1.05*1.05,IF(입력란!$C$15=2,1.05*1.12,IF(입력란!$C$15=3,1.05*1.25)))),1)</f>
        <v>266845.03925446991</v>
      </c>
      <c r="T221" s="21">
        <f>AN221*IF(입력란!$C$12=0,1,IF(입력란!$C$12=1,1.35,IF(입력란!$C$12=2,1.55,IF(입력란!$C$12=3,1.75,1))))*IF(MID(E221,5,1)="1",트라이포드!$P$15,IF(MID(E221,5,1)="2",트라이포드!$R$15,1))*IF(입력란!$C$9=1,IF(입력란!$C$15=0,1.05,IF(입력란!$C$15=1,1.05*1.05,IF(입력란!$C$15=2,1.05*1.12,IF(입력란!$C$15=3,1.05*1.25)))),1)</f>
        <v>426952.06280715181</v>
      </c>
      <c r="U221" s="21"/>
      <c r="V221" s="21"/>
      <c r="W221" s="21"/>
      <c r="X221" s="21"/>
      <c r="Y221" s="21"/>
      <c r="Z221" s="20"/>
      <c r="AA221" s="21">
        <f>SUM(AB221:AI221)</f>
        <v>1387594.2041232435</v>
      </c>
      <c r="AB221" s="21">
        <f>S221*2</f>
        <v>533690.07850893983</v>
      </c>
      <c r="AC221" s="21">
        <f>T221*2</f>
        <v>853904.12561430363</v>
      </c>
      <c r="AD221" s="21"/>
      <c r="AE221" s="21"/>
      <c r="AF221" s="21"/>
      <c r="AG221" s="21"/>
      <c r="AH221" s="21"/>
      <c r="AI221" s="20"/>
      <c r="AJ221" s="21">
        <f>(AQ221-IF(MID(E221,1,1)="1",트라이포드!$D$15,트라이포드!$C$15))*(1-입력란!$P$10/100)</f>
        <v>17.783598094559999</v>
      </c>
      <c r="AK2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1" s="21">
        <f>입력란!$P$24+입력란!$P$16+IF(입력란!$C$18=1,10,IF(입력란!$C$18=2,25,IF(입력란!$C$18=3,50,0)))+IF(입력란!$C$23&lt;&gt;0,-12)</f>
        <v>380.66103559999999</v>
      </c>
      <c r="AM221" s="21">
        <f>SUM(AN221:AP221)</f>
        <v>338871.33934664656</v>
      </c>
      <c r="AN221" s="21">
        <f>(VLOOKUP(C221,$B$4:$AJ$7,14,FALSE)+VLOOKUP(C221,$B$8:$AJ$11,14,FALSE)*입력란!$P$4)*입력란!$P$25/100</f>
        <v>169425.42174886976</v>
      </c>
      <c r="AO221" s="21">
        <f>(VLOOKUP(C221,$B$4:$AJ$7,15,FALSE)+VLOOKUP(C221,$B$8:$AJ$11,15,FALSE)*입력란!$P$4)*입력란!$P$25/100</f>
        <v>169445.9175977768</v>
      </c>
      <c r="AP221" s="21"/>
      <c r="AQ221" s="22">
        <v>18</v>
      </c>
    </row>
    <row r="222" spans="2:43" ht="13.5" customHeight="1" x14ac:dyDescent="0.55000000000000004">
      <c r="B222" s="66">
        <v>207</v>
      </c>
      <c r="C222" s="29">
        <v>1</v>
      </c>
      <c r="D222" s="30" t="s">
        <v>464</v>
      </c>
      <c r="E222" s="27" t="s">
        <v>76</v>
      </c>
      <c r="F222" s="29"/>
      <c r="G222" s="29"/>
      <c r="H222" s="36">
        <f>I222/AJ222</f>
        <v>88443.780314232848</v>
      </c>
      <c r="I222" s="37">
        <f>SUM(J222:Q222)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1747609.6034131937</v>
      </c>
      <c r="J222" s="21">
        <f>S222*(1+IF($AK222+IF(입력란!$C$26=1,10,0)&gt;100,100,$AK222+IF(입력란!$C$26=1,10,0))/100*(($AL222+IF(입력란!$C$30=1,17,IF(입력란!$C$30=2,20,IF(입력란!$C$30=3,22,0))))/100-1))</f>
        <v>1237596.2066519323</v>
      </c>
      <c r="K222" s="21">
        <f>T222*(1+IF($AK222+IF(입력란!$C$26=1,10,0)&gt;100,100,$AK222+IF(입력란!$C$26=1,10,0))/100*(($AL222+IF(입력란!$C$30=1,17,IF(입력란!$C$30=2,20,IF(입력란!$C$30=3,22,0))))/100-1))</f>
        <v>0</v>
      </c>
      <c r="L222" s="21"/>
      <c r="M222" s="21"/>
      <c r="N222" s="21"/>
      <c r="O222" s="21"/>
      <c r="P222" s="21"/>
      <c r="Q222" s="20"/>
      <c r="R222" s="19">
        <f>SUM(S222:Z222)</f>
        <v>502161.73225617339</v>
      </c>
      <c r="S222" s="21">
        <f>AN222*IF(입력란!$C$12=0,1,IF(입력란!$C$12=1,1.35,IF(입력란!$C$12=2,1.55,IF(입력란!$C$12=3,1.75,1))))*IF(MID(E222,3,1)="1",트라이포드!$I$16*트라이포드!$J$16,1)*IF(MID(E222,3,1)="2",트라이포드!$L$16,트라이포드!$K$16)*IF(MID(E222,3,1)="3",트라이포드!$N$16,트라이포드!$M$16)*IF(MID(E222,5,1)="2",트라이포드!$R$16,트라이포드!$Q$16)</f>
        <v>502161.73225617339</v>
      </c>
      <c r="T222" s="21">
        <f>AN222*IF(입력란!$C$12=0,1,IF(입력란!$C$12=1,1.35,IF(입력란!$C$12=2,1.55,IF(입력란!$C$12=3,1.75,1))))*IF(MID(E222,5,1)="1",IF(MID(E222,3,1)="1",트라이포드!$P$16*트라이포드!$I$16*트라이포드!$J$16,IF(MID(E222,3,1)="2",트라이포드!$P$16*트라이포드!$L$16,트라이포드!$P$16)),0)</f>
        <v>0</v>
      </c>
      <c r="U222" s="21"/>
      <c r="V222" s="21"/>
      <c r="W222" s="21"/>
      <c r="X222" s="21"/>
      <c r="Y222" s="21"/>
      <c r="Z222" s="20"/>
      <c r="AA222" s="21">
        <f>SUM(AB222:AI222)</f>
        <v>1004323.4645123468</v>
      </c>
      <c r="AB222" s="21">
        <f>S222*2</f>
        <v>1004323.4645123468</v>
      </c>
      <c r="AC222" s="21">
        <f>T222*2</f>
        <v>0</v>
      </c>
      <c r="AD222" s="21"/>
      <c r="AE222" s="21"/>
      <c r="AF222" s="21"/>
      <c r="AG222" s="21"/>
      <c r="AH222" s="21"/>
      <c r="AI222" s="20"/>
      <c r="AJ222" s="21">
        <f>(AQ222-IF(MID(E222,1,1)="1",트라이포드!$D$15,트라이포드!$C$15))*(1-입력란!$P$10/100)</f>
        <v>19.759553438399998</v>
      </c>
      <c r="AK2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2" s="21">
        <f>입력란!$P$24+입력란!$P$16+IF(입력란!$C$18=1,10,IF(입력란!$C$18=2,25,IF(입력란!$C$18=3,50,0)))+IF(입력란!$C$23&lt;&gt;0,-12)</f>
        <v>380.66103559999999</v>
      </c>
      <c r="AM222" s="21">
        <f>SUM(AN222:AP222)</f>
        <v>502161.73225617339</v>
      </c>
      <c r="AN222" s="21">
        <f>(VLOOKUP(C222,$B$4:$AJ$7,16,FALSE)+VLOOKUP(C222,$B$8:$AJ$11,16,FALSE)*입력란!$P$4)*입력란!$P$25/100</f>
        <v>502161.73225617339</v>
      </c>
      <c r="AO222" s="21"/>
      <c r="AP222" s="21"/>
      <c r="AQ222" s="22">
        <v>20</v>
      </c>
    </row>
    <row r="223" spans="2:43" ht="13.5" customHeight="1" x14ac:dyDescent="0.55000000000000004">
      <c r="B223" s="66">
        <v>208</v>
      </c>
      <c r="C223" s="29">
        <v>4</v>
      </c>
      <c r="D223" s="30" t="s">
        <v>464</v>
      </c>
      <c r="E223" s="27" t="s">
        <v>76</v>
      </c>
      <c r="F223" s="29"/>
      <c r="G223" s="29"/>
      <c r="H223" s="36">
        <f>I223/AJ223</f>
        <v>88559.812179523025</v>
      </c>
      <c r="I223" s="37">
        <f>SUM(J223:Q223)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1749902.3412559521</v>
      </c>
      <c r="J223" s="21">
        <f>S223*(1+IF($AK223+IF(입력란!$C$26=1,10,0)&gt;100,100,$AK223+IF(입력란!$C$26=1,10,0))/100*(($AL223+IF(입력란!$C$30=1,17,IF(입력란!$C$30=2,20,IF(입력란!$C$30=3,22,0))))/100-1))</f>
        <v>1239219.8436767594</v>
      </c>
      <c r="K223" s="21">
        <f>T223*(1+IF($AK223+IF(입력란!$C$26=1,10,0)&gt;100,100,$AK223+IF(입력란!$C$26=1,10,0))/100*(($AL223+IF(입력란!$C$30=1,17,IF(입력란!$C$30=2,20,IF(입력란!$C$30=3,22,0))))/100-1))</f>
        <v>0</v>
      </c>
      <c r="L223" s="21"/>
      <c r="M223" s="21"/>
      <c r="N223" s="21"/>
      <c r="O223" s="21"/>
      <c r="P223" s="21"/>
      <c r="Q223" s="20"/>
      <c r="R223" s="19">
        <f>SUM(S223:Z223)</f>
        <v>502820.53225617344</v>
      </c>
      <c r="S223" s="21">
        <f>AN223*IF(입력란!$C$12=0,1,IF(입력란!$C$12=1,1.35,IF(입력란!$C$12=2,1.55,IF(입력란!$C$12=3,1.75,1))))*IF(MID(E223,3,1)="1",트라이포드!$I$16*트라이포드!$J$16,1)*IF(MID(E223,3,1)="2",트라이포드!$L$16,트라이포드!$K$16)*IF(MID(E223,3,1)="3",트라이포드!$N$16,트라이포드!$M$16)*IF(MID(E223,5,1)="2",트라이포드!$R$16,트라이포드!$Q$16)</f>
        <v>502820.53225617344</v>
      </c>
      <c r="T223" s="21">
        <f>AN223*IF(입력란!$C$12=0,1,IF(입력란!$C$12=1,1.35,IF(입력란!$C$12=2,1.55,IF(입력란!$C$12=3,1.75,1))))*IF(MID(E223,5,1)="1",IF(MID(E223,3,1)="1",트라이포드!$P$16*트라이포드!$I$16*트라이포드!$J$16,IF(MID(E223,3,1)="2",트라이포드!$P$16*트라이포드!$L$16,트라이포드!$P$16)),0)</f>
        <v>0</v>
      </c>
      <c r="U223" s="21"/>
      <c r="V223" s="21"/>
      <c r="W223" s="21"/>
      <c r="X223" s="21"/>
      <c r="Y223" s="21"/>
      <c r="Z223" s="20"/>
      <c r="AA223" s="21">
        <f>SUM(AB223:AI223)</f>
        <v>1005641.0645123469</v>
      </c>
      <c r="AB223" s="21">
        <f>S223*2</f>
        <v>1005641.0645123469</v>
      </c>
      <c r="AC223" s="21">
        <f>T223*2</f>
        <v>0</v>
      </c>
      <c r="AD223" s="21"/>
      <c r="AE223" s="21"/>
      <c r="AF223" s="21"/>
      <c r="AG223" s="21"/>
      <c r="AH223" s="21"/>
      <c r="AI223" s="20"/>
      <c r="AJ223" s="21">
        <f>(AQ223-IF(MID(E223,1,1)="1",트라이포드!$D$15,트라이포드!$C$15))*(1-입력란!$P$10/100)</f>
        <v>19.759553438399998</v>
      </c>
      <c r="AK2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3" s="21">
        <f>입력란!$P$24+입력란!$P$16+IF(입력란!$C$18=1,10,IF(입력란!$C$18=2,25,IF(입력란!$C$18=3,50,0)))+IF(입력란!$C$23&lt;&gt;0,-12)</f>
        <v>380.66103559999999</v>
      </c>
      <c r="AM223" s="21">
        <f>SUM(AN223:AP223)</f>
        <v>502820.53225617344</v>
      </c>
      <c r="AN223" s="21">
        <f>(VLOOKUP(C223,$B$4:$AJ$7,16,FALSE)+VLOOKUP(C223,$B$8:$AJ$11,16,FALSE)*입력란!$P$4)*입력란!$P$25/100</f>
        <v>502820.53225617344</v>
      </c>
      <c r="AO223" s="21"/>
      <c r="AP223" s="21"/>
      <c r="AQ223" s="22">
        <v>20</v>
      </c>
    </row>
    <row r="224" spans="2:43" ht="13.5" customHeight="1" x14ac:dyDescent="0.55000000000000004">
      <c r="B224" s="66">
        <v>209</v>
      </c>
      <c r="C224" s="29">
        <v>7</v>
      </c>
      <c r="D224" s="30" t="s">
        <v>464</v>
      </c>
      <c r="E224" s="27" t="s">
        <v>76</v>
      </c>
      <c r="F224" s="29"/>
      <c r="G224" s="29"/>
      <c r="H224" s="36">
        <f>I224/AJ224</f>
        <v>88614.340815670294</v>
      </c>
      <c r="I224" s="37">
        <f>SUM(J224:Q224)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1750979.8027558271</v>
      </c>
      <c r="J224" s="21">
        <f>S224*(1+IF($AK224+IF(입력란!$C$26=1,10,0)&gt;100,100,$AK224+IF(입력란!$C$26=1,10,0))/100*(($AL224+IF(입력란!$C$30=1,17,IF(입력란!$C$30=2,20,IF(입력란!$C$30=3,22,0))))/100-1))</f>
        <v>1239982.8643550931</v>
      </c>
      <c r="K224" s="21">
        <f>T224*(1+IF($AK224+IF(입력란!$C$26=1,10,0)&gt;100,100,$AK224+IF(입력란!$C$26=1,10,0))/100*(($AL224+IF(입력란!$C$30=1,17,IF(입력란!$C$30=2,20,IF(입력란!$C$30=3,22,0))))/100-1))</f>
        <v>0</v>
      </c>
      <c r="L224" s="21"/>
      <c r="M224" s="21"/>
      <c r="N224" s="21"/>
      <c r="O224" s="21"/>
      <c r="P224" s="21"/>
      <c r="Q224" s="20"/>
      <c r="R224" s="19">
        <f>SUM(S224:Z224)</f>
        <v>503130.13225617341</v>
      </c>
      <c r="S224" s="21">
        <f>AN224*IF(입력란!$C$12=0,1,IF(입력란!$C$12=1,1.35,IF(입력란!$C$12=2,1.55,IF(입력란!$C$12=3,1.75,1))))*IF(MID(E224,3,1)="1",트라이포드!$I$16*트라이포드!$J$16,1)*IF(MID(E224,3,1)="2",트라이포드!$L$16,트라이포드!$K$16)*IF(MID(E224,3,1)="3",트라이포드!$N$16,트라이포드!$M$16)*IF(MID(E224,5,1)="2",트라이포드!$R$16,트라이포드!$Q$16)</f>
        <v>503130.13225617341</v>
      </c>
      <c r="T224" s="21">
        <f>AN224*IF(입력란!$C$12=0,1,IF(입력란!$C$12=1,1.35,IF(입력란!$C$12=2,1.55,IF(입력란!$C$12=3,1.75,1))))*IF(MID(E224,5,1)="1",IF(MID(E224,3,1)="1",트라이포드!$P$16*트라이포드!$I$16*트라이포드!$J$16,IF(MID(E224,3,1)="2",트라이포드!$P$16*트라이포드!$L$16,트라이포드!$P$16)),0)</f>
        <v>0</v>
      </c>
      <c r="U224" s="21"/>
      <c r="V224" s="21"/>
      <c r="W224" s="21"/>
      <c r="X224" s="21"/>
      <c r="Y224" s="21"/>
      <c r="Z224" s="20"/>
      <c r="AA224" s="21">
        <f>SUM(AB224:AI224)</f>
        <v>1006260.2645123468</v>
      </c>
      <c r="AB224" s="21">
        <f>S224*2</f>
        <v>1006260.2645123468</v>
      </c>
      <c r="AC224" s="21">
        <f>T224*2</f>
        <v>0</v>
      </c>
      <c r="AD224" s="21"/>
      <c r="AE224" s="21"/>
      <c r="AF224" s="21"/>
      <c r="AG224" s="21"/>
      <c r="AH224" s="21"/>
      <c r="AI224" s="20"/>
      <c r="AJ224" s="21">
        <f>(AQ224-IF(MID(E224,1,1)="1",트라이포드!$D$15,트라이포드!$C$15))*(1-입력란!$P$10/100)</f>
        <v>19.759553438399998</v>
      </c>
      <c r="AK2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4" s="21">
        <f>입력란!$P$24+입력란!$P$16+IF(입력란!$C$18=1,10,IF(입력란!$C$18=2,25,IF(입력란!$C$18=3,50,0)))+IF(입력란!$C$23&lt;&gt;0,-12)</f>
        <v>380.66103559999999</v>
      </c>
      <c r="AM224" s="21">
        <f>SUM(AN224:AP224)</f>
        <v>503130.13225617341</v>
      </c>
      <c r="AN224" s="21">
        <f>(VLOOKUP(C224,$B$4:$AJ$7,16,FALSE)+VLOOKUP(C224,$B$8:$AJ$11,16,FALSE)*입력란!$P$4)*입력란!$P$25/100</f>
        <v>503130.13225617341</v>
      </c>
      <c r="AO224" s="21"/>
      <c r="AP224" s="21"/>
      <c r="AQ224" s="22">
        <v>20</v>
      </c>
    </row>
    <row r="225" spans="2:43" ht="13.5" customHeight="1" x14ac:dyDescent="0.55000000000000004">
      <c r="B225" s="66">
        <v>210</v>
      </c>
      <c r="C225" s="29">
        <v>7</v>
      </c>
      <c r="D225" s="30" t="s">
        <v>464</v>
      </c>
      <c r="E225" s="27" t="s">
        <v>96</v>
      </c>
      <c r="F225" s="29" t="s">
        <v>466</v>
      </c>
      <c r="G225" s="29"/>
      <c r="H225" s="36">
        <f>I225/AJ225</f>
        <v>127383.11492252605</v>
      </c>
      <c r="I225" s="37">
        <f>SUM(J225:Q225)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2517033.4664615015</v>
      </c>
      <c r="J225" s="21">
        <f>S225*(1+IF($AK225+IF(입력란!$C$26=1,10,0)&gt;100,100,$AK225+IF(입력란!$C$26=1,10,0))/100*(($AL225+IF(입력란!$C$30=1,17,IF(입력란!$C$30=2,20,IF(입력란!$C$30=3,22,0))))/100-1))</f>
        <v>1782475.3675104463</v>
      </c>
      <c r="K225" s="21">
        <f>T225*(1+IF($AK225+IF(입력란!$C$26=1,10,0)&gt;100,100,$AK225+IF(입력란!$C$26=1,10,0))/100*(($AL225+IF(입력란!$C$30=1,17,IF(입력란!$C$30=2,20,IF(입력란!$C$30=3,22,0))))/100-1))</f>
        <v>0</v>
      </c>
      <c r="L225" s="21"/>
      <c r="M225" s="21"/>
      <c r="N225" s="21"/>
      <c r="O225" s="21"/>
      <c r="P225" s="21"/>
      <c r="Q225" s="20"/>
      <c r="R225" s="19">
        <f>SUM(S225:Z225)</f>
        <v>723249.56511824927</v>
      </c>
      <c r="S225" s="21">
        <f>AN225*IF(입력란!$C$12=0,1,IF(입력란!$C$12=1,1.35,IF(입력란!$C$12=2,1.55,IF(입력란!$C$12=3,1.75,1))))*IF(MID(E225,3,1)="1",트라이포드!$I$16*트라이포드!$J$16,1)*IF(MID(E225,3,1)="2",트라이포드!$L$16,트라이포드!$K$16)*IF(MID(E225,3,1)="3",트라이포드!$N$16,트라이포드!$M$16)*IF(MID(E225,5,1)="2",트라이포드!$R$16,트라이포드!$Q$16)</f>
        <v>723249.56511824927</v>
      </c>
      <c r="T225" s="21">
        <f>AN225*IF(입력란!$C$12=0,1,IF(입력란!$C$12=1,1.35,IF(입력란!$C$12=2,1.55,IF(입력란!$C$12=3,1.75,1))))*IF(MID(E225,5,1)="1",IF(MID(E225,3,1)="1",트라이포드!$P$16*트라이포드!$I$16*트라이포드!$J$16,IF(MID(E225,3,1)="2",트라이포드!$P$16*트라이포드!$L$16,트라이포드!$P$16)),0)</f>
        <v>0</v>
      </c>
      <c r="U225" s="21"/>
      <c r="V225" s="21"/>
      <c r="W225" s="21"/>
      <c r="X225" s="21"/>
      <c r="Y225" s="21"/>
      <c r="Z225" s="20"/>
      <c r="AA225" s="21">
        <f>SUM(AB225:AI225)</f>
        <v>1446499.1302364985</v>
      </c>
      <c r="AB225" s="21">
        <f>S225*2</f>
        <v>1446499.1302364985</v>
      </c>
      <c r="AC225" s="21">
        <f>T225*2</f>
        <v>0</v>
      </c>
      <c r="AD225" s="21"/>
      <c r="AE225" s="21"/>
      <c r="AF225" s="21"/>
      <c r="AG225" s="21"/>
      <c r="AH225" s="21"/>
      <c r="AI225" s="20"/>
      <c r="AJ225" s="21">
        <f>(AQ225-IF(MID(E225,1,1)="1",트라이포드!$D$15,트라이포드!$C$15))*(1-입력란!$P$10/100)</f>
        <v>19.759553438399998</v>
      </c>
      <c r="AK2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5" s="21">
        <f>입력란!$P$24+입력란!$P$16+IF(입력란!$C$18=1,10,IF(입력란!$C$18=2,25,IF(입력란!$C$18=3,50,0)))+IF(입력란!$C$23&lt;&gt;0,-12)</f>
        <v>380.66103559999999</v>
      </c>
      <c r="AM225" s="21">
        <f>SUM(AN225:AP225)</f>
        <v>503130.13225617341</v>
      </c>
      <c r="AN225" s="21">
        <f>(VLOOKUP(C225,$B$4:$AJ$7,16,FALSE)+VLOOKUP(C225,$B$8:$AJ$11,16,FALSE)*입력란!$P$4)*입력란!$P$25/100</f>
        <v>503130.13225617341</v>
      </c>
      <c r="AO225" s="21"/>
      <c r="AP225" s="21"/>
      <c r="AQ225" s="22">
        <v>20</v>
      </c>
    </row>
    <row r="226" spans="2:43" ht="13.5" customHeight="1" x14ac:dyDescent="0.55000000000000004">
      <c r="B226" s="66">
        <v>211</v>
      </c>
      <c r="C226" s="29">
        <v>7</v>
      </c>
      <c r="D226" s="30" t="s">
        <v>464</v>
      </c>
      <c r="E226" s="27" t="s">
        <v>78</v>
      </c>
      <c r="F226" s="29"/>
      <c r="G226" s="29"/>
      <c r="H226" s="36">
        <f>I226/AJ226</f>
        <v>124060.07714193838</v>
      </c>
      <c r="I226" s="37">
        <f>SUM(J226:Q226)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2451371.7238581576</v>
      </c>
      <c r="J226" s="21">
        <f>S226*(1+IF($AK226+IF(입력란!$C$26=1,10,0)&gt;100,100,$AK226+IF(입력란!$C$26=1,10,0))/100*(($AL226+IF(입력란!$C$30=1,17,IF(입력란!$C$30=2,20,IF(입력란!$C$30=3,22,0))))/100-1))</f>
        <v>1735976.0100971302</v>
      </c>
      <c r="K226" s="21">
        <f>T226*(1+IF($AK226+IF(입력란!$C$26=1,10,0)&gt;100,100,$AK226+IF(입력란!$C$26=1,10,0))/100*(($AL226+IF(입력란!$C$30=1,17,IF(입력란!$C$30=2,20,IF(입력란!$C$30=3,22,0))))/100-1))</f>
        <v>0</v>
      </c>
      <c r="L226" s="21"/>
      <c r="M226" s="21"/>
      <c r="N226" s="21"/>
      <c r="O226" s="21"/>
      <c r="P226" s="21"/>
      <c r="Q226" s="20"/>
      <c r="R226" s="19">
        <f>SUM(S226:Z226)</f>
        <v>704382.18515864271</v>
      </c>
      <c r="S226" s="21">
        <f>AN226*IF(입력란!$C$12=0,1,IF(입력란!$C$12=1,1.35,IF(입력란!$C$12=2,1.55,IF(입력란!$C$12=3,1.75,1))))*IF(MID(E226,3,1)="1",트라이포드!$I$16*트라이포드!$J$16,1)*IF(MID(E226,3,1)="2",트라이포드!$L$16,트라이포드!$K$16)*IF(MID(E226,3,1)="3",트라이포드!$N$16,트라이포드!$M$16)*IF(MID(E226,5,1)="2",트라이포드!$R$16,트라이포드!$Q$16)</f>
        <v>704382.18515864271</v>
      </c>
      <c r="T226" s="21">
        <f>AN226*IF(입력란!$C$12=0,1,IF(입력란!$C$12=1,1.35,IF(입력란!$C$12=2,1.55,IF(입력란!$C$12=3,1.75,1))))*IF(MID(E226,5,1)="1",IF(MID(E226,3,1)="1",트라이포드!$P$16*트라이포드!$I$16*트라이포드!$J$16,IF(MID(E226,3,1)="2",트라이포드!$P$16*트라이포드!$L$16,트라이포드!$P$16)),0)</f>
        <v>0</v>
      </c>
      <c r="U226" s="21"/>
      <c r="V226" s="21"/>
      <c r="W226" s="21"/>
      <c r="X226" s="21"/>
      <c r="Y226" s="21"/>
      <c r="Z226" s="20"/>
      <c r="AA226" s="21">
        <f>SUM(AB226:AI226)</f>
        <v>1408764.3703172854</v>
      </c>
      <c r="AB226" s="21">
        <f>S226*2</f>
        <v>1408764.3703172854</v>
      </c>
      <c r="AC226" s="21">
        <f>T226*2</f>
        <v>0</v>
      </c>
      <c r="AD226" s="21"/>
      <c r="AE226" s="21"/>
      <c r="AF226" s="21"/>
      <c r="AG226" s="21"/>
      <c r="AH226" s="21"/>
      <c r="AI226" s="20"/>
      <c r="AJ226" s="21">
        <f>(AQ226-IF(MID(E226,1,1)="1",트라이포드!$D$15,트라이포드!$C$15))*(1-입력란!$P$10/100)</f>
        <v>19.759553438399998</v>
      </c>
      <c r="AK2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6" s="21">
        <f>입력란!$P$24+입력란!$P$16+IF(입력란!$C$18=1,10,IF(입력란!$C$18=2,25,IF(입력란!$C$18=3,50,0)))+IF(입력란!$C$23&lt;&gt;0,-12)</f>
        <v>380.66103559999999</v>
      </c>
      <c r="AM226" s="21">
        <f>SUM(AN226:AP226)</f>
        <v>503130.13225617341</v>
      </c>
      <c r="AN226" s="21">
        <f>(VLOOKUP(C226,$B$4:$AJ$7,16,FALSE)+VLOOKUP(C226,$B$8:$AJ$11,16,FALSE)*입력란!$P$4)*입력란!$P$25/100</f>
        <v>503130.13225617341</v>
      </c>
      <c r="AO226" s="21"/>
      <c r="AP226" s="21"/>
      <c r="AQ226" s="22">
        <v>20</v>
      </c>
    </row>
    <row r="227" spans="2:43" ht="13.5" customHeight="1" x14ac:dyDescent="0.55000000000000004">
      <c r="B227" s="66">
        <v>212</v>
      </c>
      <c r="C227" s="29">
        <v>7</v>
      </c>
      <c r="D227" s="30" t="s">
        <v>464</v>
      </c>
      <c r="E227" s="27" t="s">
        <v>79</v>
      </c>
      <c r="F227" s="29" t="s">
        <v>465</v>
      </c>
      <c r="G227" s="29"/>
      <c r="H227" s="36">
        <f>I227/AJ227</f>
        <v>141782.9453050725</v>
      </c>
      <c r="I227" s="37">
        <f>SUM(J227:Q227)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2801567.6844093241</v>
      </c>
      <c r="J227" s="21">
        <f>S227*(1+IF($AK227+IF(입력란!$C$26=1,10,0)&gt;100,100,$AK227+IF(입력란!$C$26=1,10,0))/100*(($AL227+IF(입력란!$C$30=1,17,IF(입력란!$C$30=2,20,IF(입력란!$C$30=3,22,0))))/100-1))</f>
        <v>1983972.5829681493</v>
      </c>
      <c r="K227" s="21">
        <f>T227*(1+IF($AK227+IF(입력란!$C$26=1,10,0)&gt;100,100,$AK227+IF(입력란!$C$26=1,10,0))/100*(($AL227+IF(입력란!$C$30=1,17,IF(입력란!$C$30=2,20,IF(입력란!$C$30=3,22,0))))/100-1))</f>
        <v>0</v>
      </c>
      <c r="L227" s="21"/>
      <c r="M227" s="21"/>
      <c r="N227" s="21"/>
      <c r="O227" s="21"/>
      <c r="P227" s="21"/>
      <c r="Q227" s="20"/>
      <c r="R227" s="19">
        <f>SUM(S227:Z227)</f>
        <v>805008.21160987753</v>
      </c>
      <c r="S227" s="21">
        <f>AN227*IF(입력란!$C$12=0,1,IF(입력란!$C$12=1,1.35,IF(입력란!$C$12=2,1.55,IF(입력란!$C$12=3,1.75,1))))*IF(MID(E227,3,1)="1",트라이포드!$I$16*트라이포드!$J$16,1)*IF(MID(E227,3,1)="2",트라이포드!$L$16,트라이포드!$K$16)*IF(MID(E227,3,1)="3",트라이포드!$N$16,트라이포드!$M$16)*IF(MID(E227,5,1)="2",트라이포드!$R$16,트라이포드!$Q$16)</f>
        <v>805008.21160987753</v>
      </c>
      <c r="T227" s="21">
        <f>AN227*IF(입력란!$C$12=0,1,IF(입력란!$C$12=1,1.35,IF(입력란!$C$12=2,1.55,IF(입력란!$C$12=3,1.75,1))))*IF(MID(E227,5,1)="1",IF(MID(E227,3,1)="1",트라이포드!$P$16*트라이포드!$I$16*트라이포드!$J$16,IF(MID(E227,3,1)="2",트라이포드!$P$16*트라이포드!$L$16,트라이포드!$P$16)),0)</f>
        <v>0</v>
      </c>
      <c r="U227" s="21"/>
      <c r="V227" s="21"/>
      <c r="W227" s="21"/>
      <c r="X227" s="21"/>
      <c r="Y227" s="21"/>
      <c r="Z227" s="20"/>
      <c r="AA227" s="21">
        <f>SUM(AB227:AI227)</f>
        <v>1610016.4232197551</v>
      </c>
      <c r="AB227" s="21">
        <f>S227*2</f>
        <v>1610016.4232197551</v>
      </c>
      <c r="AC227" s="21">
        <f>T227*2</f>
        <v>0</v>
      </c>
      <c r="AD227" s="21"/>
      <c r="AE227" s="21"/>
      <c r="AF227" s="21"/>
      <c r="AG227" s="21"/>
      <c r="AH227" s="21"/>
      <c r="AI227" s="20"/>
      <c r="AJ227" s="21">
        <f>(AQ227-IF(MID(E227,1,1)="1",트라이포드!$D$15,트라이포드!$C$15))*(1-입력란!$P$10/100)</f>
        <v>19.759553438399998</v>
      </c>
      <c r="AK2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7" s="21">
        <f>입력란!$P$24+입력란!$P$16+IF(입력란!$C$18=1,10,IF(입력란!$C$18=2,25,IF(입력란!$C$18=3,50,0)))+IF(입력란!$C$23&lt;&gt;0,-12)</f>
        <v>380.66103559999999</v>
      </c>
      <c r="AM227" s="21">
        <f>SUM(AN227:AP227)</f>
        <v>503130.13225617341</v>
      </c>
      <c r="AN227" s="21">
        <f>(VLOOKUP(C227,$B$4:$AJ$7,16,FALSE)+VLOOKUP(C227,$B$8:$AJ$11,16,FALSE)*입력란!$P$4)*입력란!$P$25/100</f>
        <v>503130.13225617341</v>
      </c>
      <c r="AO227" s="21"/>
      <c r="AP227" s="21"/>
      <c r="AQ227" s="22">
        <v>20</v>
      </c>
    </row>
    <row r="228" spans="2:43" ht="13.5" customHeight="1" x14ac:dyDescent="0.55000000000000004">
      <c r="B228" s="66">
        <v>213</v>
      </c>
      <c r="C228" s="29">
        <v>10</v>
      </c>
      <c r="D228" s="30" t="s">
        <v>464</v>
      </c>
      <c r="E228" s="27" t="s">
        <v>76</v>
      </c>
      <c r="F228" s="29"/>
      <c r="G228" s="29"/>
      <c r="H228" s="36">
        <f>I228/AJ228</f>
        <v>88648.699613398931</v>
      </c>
      <c r="I228" s="37">
        <f>SUM(J228:Q228)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1751658.7172556254</v>
      </c>
      <c r="J228" s="21">
        <f>S228*(1+IF($AK228+IF(입력란!$C$26=1,10,0)&gt;100,100,$AK228+IF(입력란!$C$26=1,10,0))/100*(($AL228+IF(입력란!$C$30=1,17,IF(입력란!$C$30=2,20,IF(입력란!$C$30=3,22,0))))/100-1))</f>
        <v>1240463.6479396822</v>
      </c>
      <c r="K228" s="21">
        <f>T228*(1+IF($AK228+IF(입력란!$C$26=1,10,0)&gt;100,100,$AK228+IF(입력란!$C$26=1,10,0))/100*(($AL228+IF(입력란!$C$30=1,17,IF(입력란!$C$30=2,20,IF(입력란!$C$30=3,22,0))))/100-1))</f>
        <v>0</v>
      </c>
      <c r="L228" s="21"/>
      <c r="M228" s="21"/>
      <c r="N228" s="21"/>
      <c r="O228" s="21"/>
      <c r="P228" s="21"/>
      <c r="Q228" s="20"/>
      <c r="R228" s="19">
        <f>SUM(S228:Z228)</f>
        <v>503325.21294273331</v>
      </c>
      <c r="S228" s="21">
        <f>AN228*IF(입력란!$C$12=0,1,IF(입력란!$C$12=1,1.35,IF(입력란!$C$12=2,1.55,IF(입력란!$C$12=3,1.75,1))))*IF(MID(E228,3,1)="1",트라이포드!$I$16*트라이포드!$J$16,1)*IF(MID(E228,3,1)="2",트라이포드!$L$16,트라이포드!$K$16)*IF(MID(E228,3,1)="3",트라이포드!$N$16,트라이포드!$M$16)*IF(MID(E228,5,1)="2",트라이포드!$R$16,트라이포드!$Q$16)</f>
        <v>503325.21294273331</v>
      </c>
      <c r="T228" s="21">
        <f>AN228*IF(입력란!$C$12=0,1,IF(입력란!$C$12=1,1.35,IF(입력란!$C$12=2,1.55,IF(입력란!$C$12=3,1.75,1))))*IF(MID(E228,5,1)="1",IF(MID(E228,3,1)="1",트라이포드!$P$16*트라이포드!$I$16*트라이포드!$J$16,IF(MID(E228,3,1)="2",트라이포드!$P$16*트라이포드!$L$16,트라이포드!$P$16)),0)</f>
        <v>0</v>
      </c>
      <c r="U228" s="21"/>
      <c r="V228" s="21"/>
      <c r="W228" s="21"/>
      <c r="X228" s="21"/>
      <c r="Y228" s="21"/>
      <c r="Z228" s="20"/>
      <c r="AA228" s="21">
        <f>SUM(AB228:AI228)</f>
        <v>1006650.4258854666</v>
      </c>
      <c r="AB228" s="21">
        <f>S228*2</f>
        <v>1006650.4258854666</v>
      </c>
      <c r="AC228" s="21">
        <f>T228*2</f>
        <v>0</v>
      </c>
      <c r="AD228" s="21"/>
      <c r="AE228" s="21"/>
      <c r="AF228" s="21"/>
      <c r="AG228" s="21"/>
      <c r="AH228" s="21"/>
      <c r="AI228" s="20"/>
      <c r="AJ228" s="21">
        <f>(AQ228-IF(MID(E228,1,1)="1",트라이포드!$D$15,트라이포드!$C$15))*(1-입력란!$P$10/100)</f>
        <v>19.759553438399998</v>
      </c>
      <c r="AK2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8" s="21">
        <f>입력란!$P$24+입력란!$P$16+IF(입력란!$C$18=1,10,IF(입력란!$C$18=2,25,IF(입력란!$C$18=3,50,0)))+IF(입력란!$C$23&lt;&gt;0,-12)</f>
        <v>380.66103559999999</v>
      </c>
      <c r="AM228" s="21">
        <f>SUM(AN228:AP228)</f>
        <v>503325.21294273331</v>
      </c>
      <c r="AN228" s="21">
        <f>(VLOOKUP(C228,$B$4:$AJ$7,16,FALSE)+VLOOKUP(C228,$B$8:$AJ$11,16,FALSE)*입력란!$P$4)*입력란!$P$25/100</f>
        <v>503325.21294273331</v>
      </c>
      <c r="AO228" s="21"/>
      <c r="AP228" s="21"/>
      <c r="AQ228" s="22">
        <v>20</v>
      </c>
    </row>
    <row r="229" spans="2:43" ht="13.5" customHeight="1" x14ac:dyDescent="0.55000000000000004">
      <c r="B229" s="66">
        <v>214</v>
      </c>
      <c r="C229" s="29">
        <v>10</v>
      </c>
      <c r="D229" s="30" t="s">
        <v>464</v>
      </c>
      <c r="E229" s="27" t="s">
        <v>121</v>
      </c>
      <c r="F229" s="29"/>
      <c r="G229" s="29"/>
      <c r="H229" s="36">
        <f>I229/AJ229</f>
        <v>132973.0494200984</v>
      </c>
      <c r="I229" s="37">
        <f>SUM(J229:Q229)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2627488.0758834383</v>
      </c>
      <c r="J229" s="21">
        <f>S229*(1+IF($AK229+IF(입력란!$C$26=1,10,0)&gt;100,100,$AK229+IF(입력란!$C$26=1,10,0))/100*(($AL229+IF(입력란!$C$30=1,17,IF(입력란!$C$30=2,20,IF(입력란!$C$30=3,22,0))))/100-1))</f>
        <v>1240463.6479396822</v>
      </c>
      <c r="K229" s="21">
        <f>T229*(1+IF($AK229+IF(입력란!$C$26=1,10,0)&gt;100,100,$AK229+IF(입력란!$C$26=1,10,0))/100*(($AL229+IF(입력란!$C$30=1,17,IF(입력란!$C$30=2,20,IF(입력란!$C$30=3,22,0))))/100-1))</f>
        <v>620231.82396984112</v>
      </c>
      <c r="L229" s="21"/>
      <c r="M229" s="21"/>
      <c r="N229" s="21"/>
      <c r="O229" s="21"/>
      <c r="P229" s="21"/>
      <c r="Q229" s="20"/>
      <c r="R229" s="19">
        <f>SUM(S229:Z229)</f>
        <v>754987.81941409991</v>
      </c>
      <c r="S229" s="21">
        <f>AN229*IF(입력란!$C$12=0,1,IF(입력란!$C$12=1,1.35,IF(입력란!$C$12=2,1.55,IF(입력란!$C$12=3,1.75,1))))*IF(MID(E229,3,1)="1",트라이포드!$I$16*트라이포드!$J$16,1)*IF(MID(E229,3,1)="2",트라이포드!$L$16,트라이포드!$K$16)*IF(MID(E229,3,1)="3",트라이포드!$N$16,트라이포드!$M$16)*IF(MID(E229,5,1)="2",트라이포드!$R$16,트라이포드!$Q$16)</f>
        <v>503325.21294273331</v>
      </c>
      <c r="T229" s="21">
        <f>AN229*IF(입력란!$C$12=0,1,IF(입력란!$C$12=1,1.35,IF(입력란!$C$12=2,1.55,IF(입력란!$C$12=3,1.75,1))))*IF(MID(E229,5,1)="1",IF(MID(E229,3,1)="1",트라이포드!$P$16*트라이포드!$I$16*트라이포드!$J$16,IF(MID(E229,3,1)="2",트라이포드!$P$16*트라이포드!$L$16,트라이포드!$P$16)),0)</f>
        <v>251662.60647136666</v>
      </c>
      <c r="U229" s="21"/>
      <c r="V229" s="21"/>
      <c r="W229" s="21"/>
      <c r="X229" s="21"/>
      <c r="Y229" s="21"/>
      <c r="Z229" s="20"/>
      <c r="AA229" s="21">
        <f>SUM(AB229:AI229)</f>
        <v>1509975.6388281998</v>
      </c>
      <c r="AB229" s="21">
        <f>S229*2</f>
        <v>1006650.4258854666</v>
      </c>
      <c r="AC229" s="21">
        <f>T229*2</f>
        <v>503325.21294273331</v>
      </c>
      <c r="AD229" s="21"/>
      <c r="AE229" s="21"/>
      <c r="AF229" s="21"/>
      <c r="AG229" s="21"/>
      <c r="AH229" s="21"/>
      <c r="AI229" s="20"/>
      <c r="AJ229" s="21">
        <f>(AQ229-IF(MID(E229,1,1)="1",트라이포드!$D$15,트라이포드!$C$15))*(1-입력란!$P$10/100)</f>
        <v>19.759553438399998</v>
      </c>
      <c r="AK2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29" s="21">
        <f>입력란!$P$24+입력란!$P$16+IF(입력란!$C$18=1,10,IF(입력란!$C$18=2,25,IF(입력란!$C$18=3,50,0)))+IF(입력란!$C$23&lt;&gt;0,-12)</f>
        <v>380.66103559999999</v>
      </c>
      <c r="AM229" s="21">
        <f>SUM(AN229:AP229)</f>
        <v>503325.21294273331</v>
      </c>
      <c r="AN229" s="21">
        <f>(VLOOKUP(C229,$B$4:$AJ$7,16,FALSE)+VLOOKUP(C229,$B$8:$AJ$11,16,FALSE)*입력란!$P$4)*입력란!$P$25/100</f>
        <v>503325.21294273331</v>
      </c>
      <c r="AO229" s="21"/>
      <c r="AP229" s="21"/>
      <c r="AQ229" s="22">
        <v>20</v>
      </c>
    </row>
    <row r="230" spans="2:43" ht="13.5" customHeight="1" x14ac:dyDescent="0.55000000000000004">
      <c r="B230" s="66">
        <v>215</v>
      </c>
      <c r="C230" s="29">
        <v>10</v>
      </c>
      <c r="D230" s="30" t="s">
        <v>464</v>
      </c>
      <c r="E230" s="27" t="s">
        <v>122</v>
      </c>
      <c r="F230" s="29"/>
      <c r="G230" s="29"/>
      <c r="H230" s="36">
        <f>I230/AJ230</f>
        <v>124108.1794587585</v>
      </c>
      <c r="I230" s="37">
        <f>SUM(J230:Q230)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2452322.2041578754</v>
      </c>
      <c r="J230" s="21">
        <f>S230*(1+IF($AK230+IF(입력란!$C$26=1,10,0)&gt;100,100,$AK230+IF(입력란!$C$26=1,10,0))/100*(($AL230+IF(입력란!$C$30=1,17,IF(입력란!$C$30=2,20,IF(입력란!$C$30=3,22,0))))/100-1))</f>
        <v>1736649.1071155551</v>
      </c>
      <c r="K230" s="21">
        <f>T230*(1+IF($AK230+IF(입력란!$C$26=1,10,0)&gt;100,100,$AK230+IF(입력란!$C$26=1,10,0))/100*(($AL230+IF(입력란!$C$30=1,17,IF(입력란!$C$30=2,20,IF(입력란!$C$30=3,22,0))))/100-1))</f>
        <v>0</v>
      </c>
      <c r="L230" s="21"/>
      <c r="M230" s="21"/>
      <c r="N230" s="21"/>
      <c r="O230" s="21"/>
      <c r="P230" s="21"/>
      <c r="Q230" s="20"/>
      <c r="R230" s="19">
        <f>SUM(S230:Z230)</f>
        <v>704655.29811982659</v>
      </c>
      <c r="S230" s="21">
        <f>AN230*IF(입력란!$C$12=0,1,IF(입력란!$C$12=1,1.35,IF(입력란!$C$12=2,1.55,IF(입력란!$C$12=3,1.75,1))))*IF(MID(E230,3,1)="1",트라이포드!$I$16*트라이포드!$J$16,1)*IF(MID(E230,3,1)="2",트라이포드!$L$16,트라이포드!$K$16)*IF(MID(E230,3,1)="3",트라이포드!$N$16,트라이포드!$M$16)*IF(MID(E230,5,1)="2",트라이포드!$R$16,트라이포드!$Q$16)</f>
        <v>704655.29811982659</v>
      </c>
      <c r="T230" s="21">
        <f>AN230*IF(입력란!$C$12=0,1,IF(입력란!$C$12=1,1.35,IF(입력란!$C$12=2,1.55,IF(입력란!$C$12=3,1.75,1))))*IF(MID(E230,5,1)="1",IF(MID(E230,3,1)="1",트라이포드!$P$16*트라이포드!$I$16*트라이포드!$J$16,IF(MID(E230,3,1)="2",트라이포드!$P$16*트라이포드!$L$16,트라이포드!$P$16)),0)</f>
        <v>0</v>
      </c>
      <c r="U230" s="21"/>
      <c r="V230" s="21"/>
      <c r="W230" s="21"/>
      <c r="X230" s="21"/>
      <c r="Y230" s="21"/>
      <c r="Z230" s="20"/>
      <c r="AA230" s="21">
        <f>SUM(AB230:AI230)</f>
        <v>1409310.5962396532</v>
      </c>
      <c r="AB230" s="21">
        <f>S230*2</f>
        <v>1409310.5962396532</v>
      </c>
      <c r="AC230" s="21">
        <f>T230*2</f>
        <v>0</v>
      </c>
      <c r="AD230" s="21"/>
      <c r="AE230" s="21"/>
      <c r="AF230" s="21"/>
      <c r="AG230" s="21"/>
      <c r="AH230" s="21"/>
      <c r="AI230" s="20"/>
      <c r="AJ230" s="21">
        <f>(AQ230-IF(MID(E230,1,1)="1",트라이포드!$D$15,트라이포드!$C$15))*(1-입력란!$P$10/100)</f>
        <v>19.759553438399998</v>
      </c>
      <c r="AK2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0" s="21">
        <f>입력란!$P$24+입력란!$P$16+IF(입력란!$C$18=1,10,IF(입력란!$C$18=2,25,IF(입력란!$C$18=3,50,0)))+IF(입력란!$C$23&lt;&gt;0,-12)</f>
        <v>380.66103559999999</v>
      </c>
      <c r="AM230" s="21">
        <f>SUM(AN230:AP230)</f>
        <v>503325.21294273331</v>
      </c>
      <c r="AN230" s="21">
        <f>(VLOOKUP(C230,$B$4:$AJ$7,16,FALSE)+VLOOKUP(C230,$B$8:$AJ$11,16,FALSE)*입력란!$P$4)*입력란!$P$25/100</f>
        <v>503325.21294273331</v>
      </c>
      <c r="AO230" s="21"/>
      <c r="AP230" s="21"/>
      <c r="AQ230" s="22">
        <v>20</v>
      </c>
    </row>
    <row r="231" spans="2:43" ht="13.5" customHeight="1" x14ac:dyDescent="0.55000000000000004">
      <c r="B231" s="66">
        <v>216</v>
      </c>
      <c r="C231" s="29">
        <v>10</v>
      </c>
      <c r="D231" s="30" t="s">
        <v>464</v>
      </c>
      <c r="E231" s="27" t="s">
        <v>145</v>
      </c>
      <c r="F231" s="29" t="s">
        <v>466</v>
      </c>
      <c r="G231" s="29"/>
      <c r="H231" s="36">
        <f>I231/AJ231</f>
        <v>191148.75854139143</v>
      </c>
      <c r="I231" s="37">
        <f>SUM(J231:Q231)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3777014.1090824422</v>
      </c>
      <c r="J231" s="21">
        <f>S231*(1+IF($AK231+IF(입력란!$C$26=1,10,0)&gt;100,100,$AK231+IF(입력란!$C$26=1,10,0))/100*(($AL231+IF(입력란!$C$30=1,17,IF(입력란!$C$30=2,20,IF(입력란!$C$30=3,22,0))))/100-1))</f>
        <v>1783166.4939132931</v>
      </c>
      <c r="K231" s="21">
        <f>T231*(1+IF($AK231+IF(입력란!$C$26=1,10,0)&gt;100,100,$AK231+IF(입력란!$C$26=1,10,0))/100*(($AL231+IF(입력란!$C$30=1,17,IF(입력란!$C$30=2,20,IF(입력란!$C$30=3,22,0))))/100-1))</f>
        <v>891583.24695664656</v>
      </c>
      <c r="L231" s="21"/>
      <c r="M231" s="21"/>
      <c r="N231" s="21"/>
      <c r="O231" s="21"/>
      <c r="P231" s="21"/>
      <c r="Q231" s="20"/>
      <c r="R231" s="19">
        <f>SUM(S231:Z231)</f>
        <v>1085294.9904077686</v>
      </c>
      <c r="S231" s="21">
        <f>AN231*IF(입력란!$C$12=0,1,IF(입력란!$C$12=1,1.35,IF(입력란!$C$12=2,1.55,IF(입력란!$C$12=3,1.75,1))))*IF(MID(E231,3,1)="1",트라이포드!$I$16*트라이포드!$J$16,1)*IF(MID(E231,3,1)="2",트라이포드!$L$16,트라이포드!$K$16)*IF(MID(E231,3,1)="3",트라이포드!$N$16,트라이포드!$M$16)*IF(MID(E231,5,1)="2",트라이포드!$R$16,트라이포드!$Q$16)</f>
        <v>723529.99360517913</v>
      </c>
      <c r="T231" s="21">
        <f>AN231*IF(입력란!$C$12=0,1,IF(입력란!$C$12=1,1.35,IF(입력란!$C$12=2,1.55,IF(입력란!$C$12=3,1.75,1))))*IF(MID(E231,5,1)="1",IF(MID(E231,3,1)="1",트라이포드!$P$16*트라이포드!$I$16*트라이포드!$J$16,IF(MID(E231,3,1)="2",트라이포드!$P$16*트라이포드!$L$16,트라이포드!$P$16)),0)</f>
        <v>361764.99680258957</v>
      </c>
      <c r="U231" s="21"/>
      <c r="V231" s="21"/>
      <c r="W231" s="21"/>
      <c r="X231" s="21"/>
      <c r="Y231" s="21"/>
      <c r="Z231" s="20"/>
      <c r="AA231" s="21">
        <f>SUM(AB231:AI231)</f>
        <v>2170589.9808155373</v>
      </c>
      <c r="AB231" s="21">
        <f>S231*2</f>
        <v>1447059.9872103583</v>
      </c>
      <c r="AC231" s="21">
        <f>T231*2</f>
        <v>723529.99360517913</v>
      </c>
      <c r="AD231" s="21"/>
      <c r="AE231" s="21"/>
      <c r="AF231" s="21"/>
      <c r="AG231" s="21"/>
      <c r="AH231" s="21"/>
      <c r="AI231" s="20"/>
      <c r="AJ231" s="21">
        <f>(AQ231-IF(MID(E231,1,1)="1",트라이포드!$D$15,트라이포드!$C$15))*(1-입력란!$P$10/100)</f>
        <v>19.759553438399998</v>
      </c>
      <c r="AK2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1" s="21">
        <f>입력란!$P$24+입력란!$P$16+IF(입력란!$C$18=1,10,IF(입력란!$C$18=2,25,IF(입력란!$C$18=3,50,0)))+IF(입력란!$C$23&lt;&gt;0,-12)</f>
        <v>380.66103559999999</v>
      </c>
      <c r="AM231" s="21">
        <f>SUM(AN231:AP231)</f>
        <v>503325.21294273331</v>
      </c>
      <c r="AN231" s="21">
        <f>(VLOOKUP(C231,$B$4:$AJ$7,16,FALSE)+VLOOKUP(C231,$B$8:$AJ$11,16,FALSE)*입력란!$P$4)*입력란!$P$25/100</f>
        <v>503325.21294273331</v>
      </c>
      <c r="AO231" s="21"/>
      <c r="AP231" s="21"/>
      <c r="AQ231" s="22">
        <v>20</v>
      </c>
    </row>
    <row r="232" spans="2:43" ht="13.5" customHeight="1" x14ac:dyDescent="0.55000000000000004">
      <c r="B232" s="66">
        <v>217</v>
      </c>
      <c r="C232" s="29">
        <v>10</v>
      </c>
      <c r="D232" s="30" t="s">
        <v>464</v>
      </c>
      <c r="E232" s="27" t="s">
        <v>146</v>
      </c>
      <c r="F232" s="29" t="s">
        <v>466</v>
      </c>
      <c r="G232" s="29"/>
      <c r="H232" s="36">
        <f>I232/AJ232</f>
        <v>178405.50797196536</v>
      </c>
      <c r="I232" s="37">
        <f>SUM(J232:Q232)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3525213.1684769462</v>
      </c>
      <c r="J232" s="21">
        <f>S232*(1+IF($AK232+IF(입력란!$C$26=1,10,0)&gt;100,100,$AK232+IF(입력란!$C$26=1,10,0))/100*(($AL232+IF(입력란!$C$30=1,17,IF(입력란!$C$30=2,20,IF(입력란!$C$30=3,22,0))))/100-1))</f>
        <v>2496433.0914786104</v>
      </c>
      <c r="K232" s="21">
        <f>T232*(1+IF($AK232+IF(입력란!$C$26=1,10,0)&gt;100,100,$AK232+IF(입력란!$C$26=1,10,0))/100*(($AL232+IF(입력란!$C$30=1,17,IF(입력란!$C$30=2,20,IF(입력란!$C$30=3,22,0))))/100-1))</f>
        <v>0</v>
      </c>
      <c r="L232" s="21"/>
      <c r="M232" s="21"/>
      <c r="N232" s="21"/>
      <c r="O232" s="21"/>
      <c r="P232" s="21"/>
      <c r="Q232" s="20"/>
      <c r="R232" s="19">
        <f>SUM(S232:Z232)</f>
        <v>1012941.9910472507</v>
      </c>
      <c r="S232" s="21">
        <f>AN232*IF(입력란!$C$12=0,1,IF(입력란!$C$12=1,1.35,IF(입력란!$C$12=2,1.55,IF(입력란!$C$12=3,1.75,1))))*IF(MID(E232,3,1)="1",트라이포드!$I$16*트라이포드!$J$16,1)*IF(MID(E232,3,1)="2",트라이포드!$L$16,트라이포드!$K$16)*IF(MID(E232,3,1)="3",트라이포드!$N$16,트라이포드!$M$16)*IF(MID(E232,5,1)="2",트라이포드!$R$16,트라이포드!$Q$16)</f>
        <v>1012941.9910472507</v>
      </c>
      <c r="T232" s="21">
        <f>AN232*IF(입력란!$C$12=0,1,IF(입력란!$C$12=1,1.35,IF(입력란!$C$12=2,1.55,IF(입력란!$C$12=3,1.75,1))))*IF(MID(E232,5,1)="1",IF(MID(E232,3,1)="1",트라이포드!$P$16*트라이포드!$I$16*트라이포드!$J$16,IF(MID(E232,3,1)="2",트라이포드!$P$16*트라이포드!$L$16,트라이포드!$P$16)),0)</f>
        <v>0</v>
      </c>
      <c r="U232" s="21"/>
      <c r="V232" s="21"/>
      <c r="W232" s="21"/>
      <c r="X232" s="21"/>
      <c r="Y232" s="21"/>
      <c r="Z232" s="20"/>
      <c r="AA232" s="21">
        <f>SUM(AB232:AI232)</f>
        <v>2025883.9820945014</v>
      </c>
      <c r="AB232" s="21">
        <f>S232*2</f>
        <v>2025883.9820945014</v>
      </c>
      <c r="AC232" s="21">
        <f>T232*2</f>
        <v>0</v>
      </c>
      <c r="AD232" s="21"/>
      <c r="AE232" s="21"/>
      <c r="AF232" s="21"/>
      <c r="AG232" s="21"/>
      <c r="AH232" s="21"/>
      <c r="AI232" s="20"/>
      <c r="AJ232" s="21">
        <f>(AQ232-IF(MID(E232,1,1)="1",트라이포드!$D$15,트라이포드!$C$15))*(1-입력란!$P$10/100)</f>
        <v>19.759553438399998</v>
      </c>
      <c r="AK2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2" s="21">
        <f>입력란!$P$24+입력란!$P$16+IF(입력란!$C$18=1,10,IF(입력란!$C$18=2,25,IF(입력란!$C$18=3,50,0)))+IF(입력란!$C$23&lt;&gt;0,-12)</f>
        <v>380.66103559999999</v>
      </c>
      <c r="AM232" s="21">
        <f>SUM(AN232:AP232)</f>
        <v>503325.21294273331</v>
      </c>
      <c r="AN232" s="21">
        <f>(VLOOKUP(C232,$B$4:$AJ$7,16,FALSE)+VLOOKUP(C232,$B$8:$AJ$11,16,FALSE)*입력란!$P$4)*입력란!$P$25/100</f>
        <v>503325.21294273331</v>
      </c>
      <c r="AO232" s="21"/>
      <c r="AP232" s="21"/>
      <c r="AQ232" s="22">
        <v>20</v>
      </c>
    </row>
    <row r="233" spans="2:43" ht="13.5" customHeight="1" x14ac:dyDescent="0.55000000000000004">
      <c r="B233" s="66">
        <v>218</v>
      </c>
      <c r="C233" s="29">
        <v>10</v>
      </c>
      <c r="D233" s="30" t="s">
        <v>464</v>
      </c>
      <c r="E233" s="27" t="s">
        <v>140</v>
      </c>
      <c r="F233" s="29"/>
      <c r="G233" s="29"/>
      <c r="H233" s="36">
        <f>I233/AJ233</f>
        <v>186162.26918813772</v>
      </c>
      <c r="I233" s="37">
        <f>SUM(J233:Q233)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3678483.3062368128</v>
      </c>
      <c r="J233" s="21">
        <f>S233*(1+IF($AK233+IF(입력란!$C$26=1,10,0)&gt;100,100,$AK233+IF(입력란!$C$26=1,10,0))/100*(($AL233+IF(입력란!$C$30=1,17,IF(입력란!$C$30=2,20,IF(입력란!$C$30=3,22,0))))/100-1))</f>
        <v>1736649.1071155551</v>
      </c>
      <c r="K233" s="21">
        <f>T233*(1+IF($AK233+IF(입력란!$C$26=1,10,0)&gt;100,100,$AK233+IF(입력란!$C$26=1,10,0))/100*(($AL233+IF(입력란!$C$30=1,17,IF(입력란!$C$30=2,20,IF(입력란!$C$30=3,22,0))))/100-1))</f>
        <v>868324.55355777754</v>
      </c>
      <c r="L233" s="21"/>
      <c r="M233" s="21"/>
      <c r="N233" s="21"/>
      <c r="O233" s="21"/>
      <c r="P233" s="21"/>
      <c r="Q233" s="20"/>
      <c r="R233" s="19">
        <f>SUM(S233:Z233)</f>
        <v>1056982.9471797398</v>
      </c>
      <c r="S233" s="21">
        <f>AN233*IF(입력란!$C$12=0,1,IF(입력란!$C$12=1,1.35,IF(입력란!$C$12=2,1.55,IF(입력란!$C$12=3,1.75,1))))*IF(MID(E233,3,1)="1",트라이포드!$I$16*트라이포드!$J$16,1)*IF(MID(E233,3,1)="2",트라이포드!$L$16,트라이포드!$K$16)*IF(MID(E233,3,1)="3",트라이포드!$N$16,트라이포드!$M$16)*IF(MID(E233,5,1)="2",트라이포드!$R$16,트라이포드!$Q$16)</f>
        <v>704655.29811982659</v>
      </c>
      <c r="T233" s="21">
        <f>AN233*IF(입력란!$C$12=0,1,IF(입력란!$C$12=1,1.35,IF(입력란!$C$12=2,1.55,IF(입력란!$C$12=3,1.75,1))))*IF(MID(E233,5,1)="1",IF(MID(E233,3,1)="1",트라이포드!$P$16*트라이포드!$I$16*트라이포드!$J$16,IF(MID(E233,3,1)="2",트라이포드!$P$16*트라이포드!$L$16,트라이포드!$P$16)),0)</f>
        <v>352327.6490599133</v>
      </c>
      <c r="U233" s="21"/>
      <c r="V233" s="21"/>
      <c r="W233" s="21"/>
      <c r="X233" s="21"/>
      <c r="Y233" s="21"/>
      <c r="Z233" s="20"/>
      <c r="AA233" s="21">
        <f>SUM(AB233:AI233)</f>
        <v>2113965.8943594797</v>
      </c>
      <c r="AB233" s="21">
        <f>S233*2</f>
        <v>1409310.5962396532</v>
      </c>
      <c r="AC233" s="21">
        <f>T233*2</f>
        <v>704655.29811982659</v>
      </c>
      <c r="AD233" s="21"/>
      <c r="AE233" s="21"/>
      <c r="AF233" s="21"/>
      <c r="AG233" s="21"/>
      <c r="AH233" s="21"/>
      <c r="AI233" s="20"/>
      <c r="AJ233" s="21">
        <f>(AQ233-IF(MID(E233,1,1)="1",트라이포드!$D$15,트라이포드!$C$15))*(1-입력란!$P$10/100)</f>
        <v>19.759553438399998</v>
      </c>
      <c r="AK2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3" s="21">
        <f>입력란!$P$24+입력란!$P$16+IF(입력란!$C$18=1,10,IF(입력란!$C$18=2,25,IF(입력란!$C$18=3,50,0)))+IF(입력란!$C$23&lt;&gt;0,-12)</f>
        <v>380.66103559999999</v>
      </c>
      <c r="AM233" s="21">
        <f>SUM(AN233:AP233)</f>
        <v>503325.21294273331</v>
      </c>
      <c r="AN233" s="21">
        <f>(VLOOKUP(C233,$B$4:$AJ$7,16,FALSE)+VLOOKUP(C233,$B$8:$AJ$11,16,FALSE)*입력란!$P$4)*입력란!$P$25/100</f>
        <v>503325.21294273331</v>
      </c>
      <c r="AO233" s="21"/>
      <c r="AP233" s="21"/>
      <c r="AQ233" s="22">
        <v>20</v>
      </c>
    </row>
    <row r="234" spans="2:43" ht="13.5" customHeight="1" x14ac:dyDescent="0.55000000000000004">
      <c r="B234" s="66">
        <v>219</v>
      </c>
      <c r="C234" s="29">
        <v>10</v>
      </c>
      <c r="D234" s="30" t="s">
        <v>464</v>
      </c>
      <c r="E234" s="27" t="s">
        <v>147</v>
      </c>
      <c r="F234" s="29"/>
      <c r="G234" s="29"/>
      <c r="H234" s="36">
        <f>I234/AJ234</f>
        <v>173751.45124226192</v>
      </c>
      <c r="I234" s="37">
        <f>SUM(J234:Q234)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3433251.085821026</v>
      </c>
      <c r="J234" s="21">
        <f>S234*(1+IF($AK234+IF(입력란!$C$26=1,10,0)&gt;100,100,$AK234+IF(입력란!$C$26=1,10,0))/100*(($AL234+IF(입력란!$C$30=1,17,IF(입력란!$C$30=2,20,IF(입력란!$C$30=3,22,0))))/100-1))</f>
        <v>2431308.7499617771</v>
      </c>
      <c r="K234" s="21">
        <f>T234*(1+IF($AK234+IF(입력란!$C$26=1,10,0)&gt;100,100,$AK234+IF(입력란!$C$26=1,10,0))/100*(($AL234+IF(입력란!$C$30=1,17,IF(입력란!$C$30=2,20,IF(입력란!$C$30=3,22,0))))/100-1))</f>
        <v>0</v>
      </c>
      <c r="L234" s="21"/>
      <c r="M234" s="21"/>
      <c r="N234" s="21"/>
      <c r="O234" s="21"/>
      <c r="P234" s="21"/>
      <c r="Q234" s="20"/>
      <c r="R234" s="19">
        <f>SUM(S234:Z234)</f>
        <v>986517.41736775718</v>
      </c>
      <c r="S234" s="21">
        <f>AN234*IF(입력란!$C$12=0,1,IF(입력란!$C$12=1,1.35,IF(입력란!$C$12=2,1.55,IF(입력란!$C$12=3,1.75,1))))*IF(MID(E234,3,1)="1",트라이포드!$I$16*트라이포드!$J$16,1)*IF(MID(E234,3,1)="2",트라이포드!$L$16,트라이포드!$K$16)*IF(MID(E234,3,1)="3",트라이포드!$N$16,트라이포드!$M$16)*IF(MID(E234,5,1)="2",트라이포드!$R$16,트라이포드!$Q$16)</f>
        <v>986517.41736775718</v>
      </c>
      <c r="T234" s="21">
        <f>AN234*IF(입력란!$C$12=0,1,IF(입력란!$C$12=1,1.35,IF(입력란!$C$12=2,1.55,IF(입력란!$C$12=3,1.75,1))))*IF(MID(E234,5,1)="1",IF(MID(E234,3,1)="1",트라이포드!$P$16*트라이포드!$I$16*트라이포드!$J$16,IF(MID(E234,3,1)="2",트라이포드!$P$16*트라이포드!$L$16,트라이포드!$P$16)),0)</f>
        <v>0</v>
      </c>
      <c r="U234" s="21"/>
      <c r="V234" s="21"/>
      <c r="W234" s="21"/>
      <c r="X234" s="21"/>
      <c r="Y234" s="21"/>
      <c r="Z234" s="20"/>
      <c r="AA234" s="21">
        <f>SUM(AB234:AI234)</f>
        <v>1973034.8347355144</v>
      </c>
      <c r="AB234" s="21">
        <f>S234*2</f>
        <v>1973034.8347355144</v>
      </c>
      <c r="AC234" s="21">
        <f>T234*2</f>
        <v>0</v>
      </c>
      <c r="AD234" s="21"/>
      <c r="AE234" s="21"/>
      <c r="AF234" s="21"/>
      <c r="AG234" s="21"/>
      <c r="AH234" s="21"/>
      <c r="AI234" s="20"/>
      <c r="AJ234" s="21">
        <f>(AQ234-IF(MID(E234,1,1)="1",트라이포드!$D$15,트라이포드!$C$15))*(1-입력란!$P$10/100)</f>
        <v>19.759553438399998</v>
      </c>
      <c r="AK2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4" s="21">
        <f>입력란!$P$24+입력란!$P$16+IF(입력란!$C$18=1,10,IF(입력란!$C$18=2,25,IF(입력란!$C$18=3,50,0)))+IF(입력란!$C$23&lt;&gt;0,-12)</f>
        <v>380.66103559999999</v>
      </c>
      <c r="AM234" s="21">
        <f>SUM(AN234:AP234)</f>
        <v>503325.21294273331</v>
      </c>
      <c r="AN234" s="21">
        <f>(VLOOKUP(C234,$B$4:$AJ$7,16,FALSE)+VLOOKUP(C234,$B$8:$AJ$11,16,FALSE)*입력란!$P$4)*입력란!$P$25/100</f>
        <v>503325.21294273331</v>
      </c>
      <c r="AO234" s="21"/>
      <c r="AP234" s="21"/>
      <c r="AQ234" s="22">
        <v>20</v>
      </c>
    </row>
    <row r="235" spans="2:43" ht="13.5" customHeight="1" x14ac:dyDescent="0.55000000000000004">
      <c r="B235" s="66">
        <v>220</v>
      </c>
      <c r="C235" s="29">
        <v>10</v>
      </c>
      <c r="D235" s="30" t="s">
        <v>464</v>
      </c>
      <c r="E235" s="27" t="s">
        <v>126</v>
      </c>
      <c r="F235" s="29" t="s">
        <v>465</v>
      </c>
      <c r="G235" s="29"/>
      <c r="H235" s="36">
        <f>I235/AJ235</f>
        <v>186162.26918813778</v>
      </c>
      <c r="I235" s="37">
        <f>SUM(J235:Q235)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3678483.3062368138</v>
      </c>
      <c r="J235" s="21">
        <f>S235*(1+IF($AK235+IF(입력란!$C$26=1,10,0)&gt;100,100,$AK235+IF(입력란!$C$26=1,10,0))/100*(($AL235+IF(입력란!$C$30=1,17,IF(입력란!$C$30=2,20,IF(입력란!$C$30=3,22,0))))/100-1))</f>
        <v>1984741.8367034916</v>
      </c>
      <c r="K235" s="21">
        <f>T235*(1+IF($AK235+IF(입력란!$C$26=1,10,0)&gt;100,100,$AK235+IF(입력란!$C$26=1,10,0))/100*(($AL235+IF(입력란!$C$30=1,17,IF(입력란!$C$30=2,20,IF(입력란!$C$30=3,22,0))))/100-1))</f>
        <v>620231.82396984112</v>
      </c>
      <c r="L235" s="21"/>
      <c r="M235" s="21"/>
      <c r="N235" s="21"/>
      <c r="O235" s="21"/>
      <c r="P235" s="21"/>
      <c r="Q235" s="20"/>
      <c r="R235" s="19">
        <f>SUM(S235:Z235)</f>
        <v>1056982.9471797401</v>
      </c>
      <c r="S235" s="21">
        <f>AN235*IF(입력란!$C$12=0,1,IF(입력란!$C$12=1,1.35,IF(입력란!$C$12=2,1.55,IF(입력란!$C$12=3,1.75,1))))*IF(MID(E235,3,1)="1",트라이포드!$I$16*트라이포드!$J$16,1)*IF(MID(E235,3,1)="2",트라이포드!$L$16,트라이포드!$K$16)*IF(MID(E235,3,1)="3",트라이포드!$N$16,트라이포드!$M$16)*IF(MID(E235,5,1)="2",트라이포드!$R$16,트라이포드!$Q$16)</f>
        <v>805320.34070837335</v>
      </c>
      <c r="T235" s="21">
        <f>AN235*IF(입력란!$C$12=0,1,IF(입력란!$C$12=1,1.35,IF(입력란!$C$12=2,1.55,IF(입력란!$C$12=3,1.75,1))))*IF(MID(E235,5,1)="1",IF(MID(E235,3,1)="1",트라이포드!$P$16*트라이포드!$I$16*트라이포드!$J$16,IF(MID(E235,3,1)="2",트라이포드!$P$16*트라이포드!$L$16,트라이포드!$P$16)),0)</f>
        <v>251662.60647136666</v>
      </c>
      <c r="U235" s="21"/>
      <c r="V235" s="21"/>
      <c r="W235" s="21"/>
      <c r="X235" s="21"/>
      <c r="Y235" s="21"/>
      <c r="Z235" s="20"/>
      <c r="AA235" s="21">
        <f>SUM(AB235:AI235)</f>
        <v>2113965.8943594801</v>
      </c>
      <c r="AB235" s="21">
        <f>S235*2</f>
        <v>1610640.6814167467</v>
      </c>
      <c r="AC235" s="21">
        <f>T235*2</f>
        <v>503325.21294273331</v>
      </c>
      <c r="AD235" s="21"/>
      <c r="AE235" s="21"/>
      <c r="AF235" s="21"/>
      <c r="AG235" s="21"/>
      <c r="AH235" s="21"/>
      <c r="AI235" s="20"/>
      <c r="AJ235" s="21">
        <f>(AQ235-IF(MID(E235,1,1)="1",트라이포드!$D$15,트라이포드!$C$15))*(1-입력란!$P$10/100)</f>
        <v>19.759553438399998</v>
      </c>
      <c r="AK2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5" s="21">
        <f>입력란!$P$24+입력란!$P$16+IF(입력란!$C$18=1,10,IF(입력란!$C$18=2,25,IF(입력란!$C$18=3,50,0)))+IF(입력란!$C$23&lt;&gt;0,-12)</f>
        <v>380.66103559999999</v>
      </c>
      <c r="AM235" s="21">
        <f>SUM(AN235:AP235)</f>
        <v>503325.21294273331</v>
      </c>
      <c r="AN235" s="21">
        <f>(VLOOKUP(C235,$B$4:$AJ$7,16,FALSE)+VLOOKUP(C235,$B$8:$AJ$11,16,FALSE)*입력란!$P$4)*입력란!$P$25/100</f>
        <v>503325.21294273331</v>
      </c>
      <c r="AO235" s="21"/>
      <c r="AP235" s="21"/>
      <c r="AQ235" s="22">
        <v>20</v>
      </c>
    </row>
    <row r="236" spans="2:43" ht="13.5" customHeight="1" x14ac:dyDescent="0.55000000000000004">
      <c r="B236" s="66">
        <v>221</v>
      </c>
      <c r="C236" s="29">
        <v>10</v>
      </c>
      <c r="D236" s="30" t="s">
        <v>464</v>
      </c>
      <c r="E236" s="27" t="s">
        <v>127</v>
      </c>
      <c r="F236" s="29" t="s">
        <v>465</v>
      </c>
      <c r="G236" s="29"/>
      <c r="H236" s="36">
        <f>I236/AJ236</f>
        <v>198573.08713401362</v>
      </c>
      <c r="I236" s="37">
        <f>SUM(J236:Q236)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3923715.5266526011</v>
      </c>
      <c r="J236" s="21">
        <f>S236*(1+IF($AK236+IF(입력란!$C$26=1,10,0)&gt;100,100,$AK236+IF(입력란!$C$26=1,10,0))/100*(($AL236+IF(입력란!$C$30=1,17,IF(입력란!$C$30=2,20,IF(입력란!$C$30=3,22,0))))/100-1))</f>
        <v>2778638.5713848881</v>
      </c>
      <c r="K236" s="21">
        <f>T236*(1+IF($AK236+IF(입력란!$C$26=1,10,0)&gt;100,100,$AK236+IF(입력란!$C$26=1,10,0))/100*(($AL236+IF(입력란!$C$30=1,17,IF(입력란!$C$30=2,20,IF(입력란!$C$30=3,22,0))))/100-1))</f>
        <v>0</v>
      </c>
      <c r="L236" s="21"/>
      <c r="M236" s="21"/>
      <c r="N236" s="21"/>
      <c r="O236" s="21"/>
      <c r="P236" s="21"/>
      <c r="Q236" s="20"/>
      <c r="R236" s="19">
        <f>SUM(S236:Z236)</f>
        <v>1127448.4769917226</v>
      </c>
      <c r="S236" s="21">
        <f>AN236*IF(입력란!$C$12=0,1,IF(입력란!$C$12=1,1.35,IF(입력란!$C$12=2,1.55,IF(입력란!$C$12=3,1.75,1))))*IF(MID(E236,3,1)="1",트라이포드!$I$16*트라이포드!$J$16,1)*IF(MID(E236,3,1)="2",트라이포드!$L$16,트라이포드!$K$16)*IF(MID(E236,3,1)="3",트라이포드!$N$16,트라이포드!$M$16)*IF(MID(E236,5,1)="2",트라이포드!$R$16,트라이포드!$Q$16)</f>
        <v>1127448.4769917226</v>
      </c>
      <c r="T236" s="21">
        <f>AN236*IF(입력란!$C$12=0,1,IF(입력란!$C$12=1,1.35,IF(입력란!$C$12=2,1.55,IF(입력란!$C$12=3,1.75,1))))*IF(MID(E236,5,1)="1",IF(MID(E236,3,1)="1",트라이포드!$P$16*트라이포드!$I$16*트라이포드!$J$16,IF(MID(E236,3,1)="2",트라이포드!$P$16*트라이포드!$L$16,트라이포드!$P$16)),0)</f>
        <v>0</v>
      </c>
      <c r="U236" s="21"/>
      <c r="V236" s="21"/>
      <c r="W236" s="21"/>
      <c r="X236" s="21"/>
      <c r="Y236" s="21"/>
      <c r="Z236" s="20"/>
      <c r="AA236" s="21">
        <f>SUM(AB236:AI236)</f>
        <v>2254896.9539834452</v>
      </c>
      <c r="AB236" s="21">
        <f>S236*2</f>
        <v>2254896.9539834452</v>
      </c>
      <c r="AC236" s="21">
        <f>T236*2</f>
        <v>0</v>
      </c>
      <c r="AD236" s="21"/>
      <c r="AE236" s="21"/>
      <c r="AF236" s="21"/>
      <c r="AG236" s="21"/>
      <c r="AH236" s="21"/>
      <c r="AI236" s="20"/>
      <c r="AJ236" s="21">
        <f>(AQ236-IF(MID(E236,1,1)="1",트라이포드!$D$15,트라이포드!$C$15))*(1-입력란!$P$10/100)</f>
        <v>19.759553438399998</v>
      </c>
      <c r="AK2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6" s="21">
        <f>입력란!$P$24+입력란!$P$16+IF(입력란!$C$18=1,10,IF(입력란!$C$18=2,25,IF(입력란!$C$18=3,50,0)))+IF(입력란!$C$23&lt;&gt;0,-12)</f>
        <v>380.66103559999999</v>
      </c>
      <c r="AM236" s="21">
        <f>SUM(AN236:AP236)</f>
        <v>503325.21294273331</v>
      </c>
      <c r="AN236" s="21">
        <f>(VLOOKUP(C236,$B$4:$AJ$7,16,FALSE)+VLOOKUP(C236,$B$8:$AJ$11,16,FALSE)*입력란!$P$4)*입력란!$P$25/100</f>
        <v>503325.21294273331</v>
      </c>
      <c r="AO236" s="21"/>
      <c r="AP236" s="21"/>
      <c r="AQ236" s="22">
        <v>20</v>
      </c>
    </row>
    <row r="237" spans="2:43" ht="13.5" customHeight="1" x14ac:dyDescent="0.55000000000000004">
      <c r="B237" s="66">
        <v>222</v>
      </c>
      <c r="C237" s="29">
        <v>1</v>
      </c>
      <c r="D237" s="67" t="s">
        <v>183</v>
      </c>
      <c r="E237" s="27" t="s">
        <v>184</v>
      </c>
      <c r="F237" s="29"/>
      <c r="G237" s="29" t="s">
        <v>200</v>
      </c>
      <c r="H237" s="36">
        <f>I237/AJ237</f>
        <v>57790.248610827461</v>
      </c>
      <c r="I237" s="37">
        <f>SUM(J237:Q237)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1370291.4067728799</v>
      </c>
      <c r="J237" s="21">
        <f>S237*(1+IF($AK237+IF(입력란!$C$9=1,10,0)+IF(입력란!$C$26=1,10,0)&gt;100,100,$AK237+IF(입력란!$C$9=1,10,0)+IF(입력란!$C$26=1,10,0))/100*(($AL237+IF(입력란!$C$30=1,IF(OR(입력란!$C$9=1,입력란!$C$10=1),55,17),IF(입력란!$C$30=2,IF(OR(입력란!$C$9=1,입력란!$C$10=1),60,20),IF(입력란!$C$30=3,IF(OR(입력란!$C$9=1,입력란!$C$10=1),65,22),0))))/100-1))</f>
        <v>426959.14735594945</v>
      </c>
      <c r="K237" s="21">
        <f>T237*(1+IF($AK237+IF(입력란!$C$9=1,10,0)+IF(입력란!$C$26=1,10,0)&gt;100,100,$AK237+IF(입력란!$C$9=1,10,0)+IF(입력란!$C$26=1,10,0))/100*(($AL237+IF(입력란!$C$30=1,IF(OR(입력란!$C$9=1,입력란!$C$10=1),55,17),IF(입력란!$C$30=2,IF(OR(입력란!$C$9=1,입력란!$C$10=1),60,20),IF(입력란!$C$30=3,IF(OR(입력란!$C$9=1,입력란!$C$10=1),65,22),0))))/100-1))</f>
        <v>543433.46419626346</v>
      </c>
      <c r="L237" s="21">
        <f>U237*(1+IF($AK237+IF(입력란!$C$9=1,10,0)+IF(입력란!$C$26=1,10,0)&gt;100,100,$AK237+IF(입력란!$C$9=1,10,0)+IF(입력란!$C$26=1,10,0))/100*(($AL237+IF(입력란!$C$30=1,IF(OR(입력란!$C$9=1,입력란!$C$10=1),55,17),IF(입력란!$C$30=2,IF(OR(입력란!$C$9=1,입력란!$C$10=1),60,20),IF(입력란!$C$30=3,IF(OR(입력란!$C$9=1,입력란!$C$10=1),65,22),0))))/100-1))</f>
        <v>0</v>
      </c>
      <c r="M237" s="21"/>
      <c r="N237" s="21"/>
      <c r="O237" s="21"/>
      <c r="P237" s="21"/>
      <c r="Q237" s="20"/>
      <c r="R237" s="19">
        <f>SUM(S237:Z237)</f>
        <v>598336.67719526065</v>
      </c>
      <c r="S237" s="21">
        <f>AN237*IF(G237="근접",IF(MID(E237,1,1)="1",트라이포드!$D$17,트라이포드!$C$17),1)*IF(MID(E237,1,1)="2",트라이포드!$F$17,트라이포드!$E$17)*IF(MID(E237,3,1)="1",트라이포드!$J$17,트라이포드!$I$17)*IF(MID(E237,5,1)="2",트라이포드!$R$17,트라이포드!$Q$17)*(1+입력란!$P$17/100)*IF(입력란!$C$9=1,IF(입력란!$C$15=0,1.05,IF(입력란!$C$15=1,1.05*1.05,IF(입력란!$C$15=2,1.05*1.12,IF(입력란!$C$15=3,1.05*1.25)))),1)</f>
        <v>263259.75124485465</v>
      </c>
      <c r="T237" s="21">
        <f>AO237*IF(G237="근접",IF(MID(E237,1,1)="1",트라이포드!$D$17,트라이포드!$C$17),1)*IF(MID(E237,1,1)="2",트라이포드!$F$17,트라이포드!$E$17)*IF(MID(E237,3,1)="1",트라이포드!$J$17,트라이포드!$I$17)*IF(MID(E237,5,1)="2",트라이포드!$R$17,트라이포드!$Q$17)*(1+입력란!$P$17/100)*IF(입력란!$C$9=1,IF(입력란!$C$15=0,1.05,IF(입력란!$C$15=1,1.05*1.05,IF(입력란!$C$15=2,1.05*1.12,IF(입력란!$C$15=3,1.05*1.25)))),1)</f>
        <v>335076.925950406</v>
      </c>
      <c r="U237" s="21">
        <f>AO237*IF(G237="근접",IF(MID(E237,1,1)="1",트라이포드!$D$17,트라이포드!$C$17),1)*IF(MID(E237,1,1)="2",트라이포드!$F$17,트라이포드!$E$17)*IF(MID(E237,3,1)="1",트라이포드!$J$17,트라이포드!$I$17)*IF(MID(E237,5,1)="1",트라이포드!P$17,트라이포드!O$17)*(1+입력란!$P$17/100)*IF(입력란!$C$9=1,IF(입력란!$C$15=0,1.05,IF(입력란!$C$15=1,1.05*1.05,IF(입력란!$C$15=2,1.05*1.12,IF(입력란!$C$15=3,1.05*1.25)))),1)</f>
        <v>0</v>
      </c>
      <c r="V237" s="21"/>
      <c r="W237" s="21"/>
      <c r="X237" s="21"/>
      <c r="Y237" s="21"/>
      <c r="Z237" s="20"/>
      <c r="AA237" s="21">
        <f>SUM(AB237:AI237)</f>
        <v>1196673.3543905213</v>
      </c>
      <c r="AB237" s="21">
        <f>S237*2</f>
        <v>526519.5024897093</v>
      </c>
      <c r="AC237" s="21">
        <f>T237*2</f>
        <v>670153.85190081201</v>
      </c>
      <c r="AD237" s="21">
        <f>U237*2</f>
        <v>0</v>
      </c>
      <c r="AE237" s="21"/>
      <c r="AF237" s="21"/>
      <c r="AG237" s="21"/>
      <c r="AH237" s="21"/>
      <c r="AI237" s="20"/>
      <c r="AJ237" s="21">
        <f>(AQ237-IF(MID(E237,3,1)="3",트라이포드!$N$17,트라이포드!$M$17))*(1-입력란!$P$10/100)</f>
        <v>23.711464126079999</v>
      </c>
      <c r="AK2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7" s="21">
        <f>입력란!$P$24+IF(입력란!$C$18=1,10,IF(입력란!$C$18=2,25,IF(입력란!$C$18=3,50,0)))+IF(입력란!$C$23&lt;&gt;0,-12)</f>
        <v>200</v>
      </c>
      <c r="AM237" s="21">
        <f>SUM(AN237:AP237)</f>
        <v>355686.47253467399</v>
      </c>
      <c r="AN237" s="21">
        <f>(VLOOKUP(C237,$B$4:$AJ$7,17,FALSE)+VLOOKUP(C237,$B$8:$AJ$11,17,FALSE)*입력란!$P$4)*IF(G237="근접",입력란!$P$27,IF(MID(E237,1,1)="2",입력란!$P$27,입력란!$P$26))*입력란!$P$25/100</f>
        <v>156497.062355548</v>
      </c>
      <c r="AO237" s="21">
        <f>(VLOOKUP(C237,$B$4:$AJ$7,18,FALSE)+VLOOKUP(C237,$B$8:$AJ$11,18,FALSE)*입력란!$P$4)*IF(G237="근접",입력란!$P$27,IF(MID(E237,1,1)="2",입력란!$P$27,입력란!$P$26))*입력란!$P$25/100</f>
        <v>199189.41017912596</v>
      </c>
      <c r="AP237" s="21"/>
      <c r="AQ237" s="22">
        <v>24</v>
      </c>
    </row>
    <row r="238" spans="2:43" ht="13.5" customHeight="1" x14ac:dyDescent="0.55000000000000004">
      <c r="B238" s="66">
        <v>223</v>
      </c>
      <c r="C238" s="29">
        <v>4</v>
      </c>
      <c r="D238" s="67" t="s">
        <v>183</v>
      </c>
      <c r="E238" s="27" t="s">
        <v>184</v>
      </c>
      <c r="F238" s="29"/>
      <c r="G238" s="29" t="s">
        <v>200</v>
      </c>
      <c r="H238" s="36">
        <f>I238/AJ238</f>
        <v>57864.066982459321</v>
      </c>
      <c r="I238" s="37">
        <f>SUM(J238:Q238)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1372041.7484436743</v>
      </c>
      <c r="J238" s="21">
        <f>S238*(1+IF($AK238+IF(입력란!$C$9=1,10,0)+IF(입력란!$C$26=1,10,0)&gt;100,100,$AK238+IF(입력란!$C$9=1,10,0)+IF(입력란!$C$26=1,10,0))/100*(($AL238+IF(입력란!$C$30=1,IF(OR(입력란!$C$9=1,입력란!$C$10=1),55,17),IF(입력란!$C$30=2,IF(OR(입력란!$C$9=1,입력란!$C$10=1),60,20),IF(입력란!$C$30=3,IF(OR(입력란!$C$9=1,입력란!$C$10=1),65,22),0))))/100-1))</f>
        <v>427517.88776974613</v>
      </c>
      <c r="K238" s="21">
        <f>T238*(1+IF($AK238+IF(입력란!$C$9=1,10,0)+IF(입력란!$C$26=1,10,0)&gt;100,100,$AK238+IF(입력란!$C$9=1,10,0)+IF(입력란!$C$26=1,10,0))/100*(($AL238+IF(입력란!$C$30=1,IF(OR(입력란!$C$9=1,입력란!$C$10=1),55,17),IF(입력란!$C$30=2,IF(OR(입력란!$C$9=1,입력란!$C$10=1),60,20),IF(입력란!$C$30=3,IF(OR(입력란!$C$9=1,입력란!$C$10=1),65,22),0))))/100-1))</f>
        <v>544114.25474400935</v>
      </c>
      <c r="L238" s="21">
        <f>U238*(1+IF($AK238+IF(입력란!$C$9=1,10,0)+IF(입력란!$C$26=1,10,0)&gt;100,100,$AK238+IF(입력란!$C$9=1,10,0)+IF(입력란!$C$26=1,10,0))/100*(($AL238+IF(입력란!$C$30=1,IF(OR(입력란!$C$9=1,입력란!$C$10=1),55,17),IF(입력란!$C$30=2,IF(OR(입력란!$C$9=1,입력란!$C$10=1),60,20),IF(입력란!$C$30=3,IF(OR(입력란!$C$9=1,입력란!$C$10=1),65,22),0))))/100-1))</f>
        <v>0</v>
      </c>
      <c r="M238" s="21"/>
      <c r="N238" s="21"/>
      <c r="O238" s="21"/>
      <c r="P238" s="21"/>
      <c r="Q238" s="20"/>
      <c r="R238" s="19">
        <f>SUM(S238:Z238)</f>
        <v>599100.9625247044</v>
      </c>
      <c r="S238" s="21">
        <f>AN238*IF(G238="근접",IF(MID(E238,1,1)="1",트라이포드!$D$17,트라이포드!$C$17),1)*IF(MID(E238,1,1)="2",트라이포드!$F$17,트라이포드!$E$17)*IF(MID(E238,3,1)="1",트라이포드!$J$17,트라이포드!$I$17)*IF(MID(E238,5,1)="2",트라이포드!$R$17,트라이포드!$Q$17)*(1+입력란!$P$17/100)*IF(입력란!$C$9=1,IF(입력란!$C$15=0,1.05,IF(입력란!$C$15=1,1.05*1.05,IF(입력란!$C$15=2,1.05*1.12,IF(입력란!$C$15=3,1.05*1.25)))),1)</f>
        <v>263604.26631908945</v>
      </c>
      <c r="T238" s="21">
        <f>AO238*IF(G238="근접",IF(MID(E238,1,1)="1",트라이포드!$D$17,트라이포드!$C$17),1)*IF(MID(E238,1,1)="2",트라이포드!$F$17,트라이포드!$E$17)*IF(MID(E238,3,1)="1",트라이포드!$J$17,트라이포드!$I$17)*IF(MID(E238,5,1)="2",트라이포드!$R$17,트라이포드!$Q$17)*(1+입력란!$P$17/100)*IF(입력란!$C$9=1,IF(입력란!$C$15=0,1.05,IF(입력란!$C$15=1,1.05*1.05,IF(입력란!$C$15=2,1.05*1.12,IF(입력란!$C$15=3,1.05*1.25)))),1)</f>
        <v>335496.69620561495</v>
      </c>
      <c r="U238" s="21">
        <f>AO238*IF(G238="근접",IF(MID(E238,1,1)="1",트라이포드!$D$17,트라이포드!$C$17),1)*IF(MID(E238,1,1)="2",트라이포드!$F$17,트라이포드!$E$17)*IF(MID(E238,3,1)="1",트라이포드!$J$17,트라이포드!$I$17)*IF(MID(E238,5,1)="1",트라이포드!P$17,트라이포드!O$17)*(1+입력란!$P$17/100)*IF(입력란!$C$9=1,IF(입력란!$C$15=0,1.05,IF(입력란!$C$15=1,1.05*1.05,IF(입력란!$C$15=2,1.05*1.12,IF(입력란!$C$15=3,1.05*1.25)))),1)</f>
        <v>0</v>
      </c>
      <c r="V238" s="21"/>
      <c r="W238" s="21"/>
      <c r="X238" s="21"/>
      <c r="Y238" s="21"/>
      <c r="Z238" s="20"/>
      <c r="AA238" s="21">
        <f>SUM(AB238:AI238)</f>
        <v>1198201.9250494088</v>
      </c>
      <c r="AB238" s="21">
        <f>S238*2</f>
        <v>527208.53263817891</v>
      </c>
      <c r="AC238" s="21">
        <f>T238*2</f>
        <v>670993.3924112299</v>
      </c>
      <c r="AD238" s="21">
        <f>U238*2</f>
        <v>0</v>
      </c>
      <c r="AE238" s="21"/>
      <c r="AF238" s="21"/>
      <c r="AG238" s="21"/>
      <c r="AH238" s="21"/>
      <c r="AI238" s="20"/>
      <c r="AJ238" s="21">
        <f>(AQ238-IF(MID(E238,3,1)="3",트라이포드!$N$17,트라이포드!$M$17))*(1-입력란!$P$10/100)</f>
        <v>23.711464126079999</v>
      </c>
      <c r="AK2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8" s="21">
        <f>입력란!$P$24+IF(입력란!$C$18=1,10,IF(입력란!$C$18=2,25,IF(입력란!$C$18=3,50,0)))+IF(입력란!$C$23&lt;&gt;0,-12)</f>
        <v>200</v>
      </c>
      <c r="AM238" s="21">
        <f>SUM(AN238:AP238)</f>
        <v>356140.80863540259</v>
      </c>
      <c r="AN238" s="21">
        <f>(VLOOKUP(C238,$B$4:$AJ$7,17,FALSE)+VLOOKUP(C238,$B$8:$AJ$11,17,FALSE)*입력란!$P$4)*IF(G238="근접",입력란!$P$27,IF(MID(E238,1,1)="2",입력란!$P$27,입력란!$P$26))*입력란!$P$25/100</f>
        <v>156701.86235554799</v>
      </c>
      <c r="AO238" s="21">
        <f>(VLOOKUP(C238,$B$4:$AJ$7,18,FALSE)+VLOOKUP(C238,$B$8:$AJ$11,18,FALSE)*입력란!$P$4)*IF(G238="근접",입력란!$P$27,IF(MID(E238,1,1)="2",입력란!$P$27,입력란!$P$26))*입력란!$P$25/100</f>
        <v>199438.94627985463</v>
      </c>
      <c r="AP238" s="21"/>
      <c r="AQ238" s="22">
        <v>24</v>
      </c>
    </row>
    <row r="239" spans="2:43" ht="13.5" customHeight="1" x14ac:dyDescent="0.55000000000000004">
      <c r="B239" s="66">
        <v>224</v>
      </c>
      <c r="C239" s="29">
        <v>4</v>
      </c>
      <c r="D239" s="67" t="s">
        <v>183</v>
      </c>
      <c r="E239" s="27" t="s">
        <v>185</v>
      </c>
      <c r="F239" s="29"/>
      <c r="G239" s="29" t="s">
        <v>200</v>
      </c>
      <c r="H239" s="36">
        <f>I239/AJ239</f>
        <v>72330.083728074154</v>
      </c>
      <c r="I239" s="37">
        <f>SUM(J239:Q239)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1715052.1855545929</v>
      </c>
      <c r="J239" s="21">
        <f>S239*(1+IF($AK239+IF(입력란!$C$9=1,10,0)+IF(입력란!$C$26=1,10,0)&gt;100,100,$AK239+IF(입력란!$C$9=1,10,0)+IF(입력란!$C$26=1,10,0))/100*(($AL239+IF(입력란!$C$30=1,IF(OR(입력란!$C$9=1,입력란!$C$10=1),55,17),IF(입력란!$C$30=2,IF(OR(입력란!$C$9=1,입력란!$C$10=1),60,20),IF(입력란!$C$30=3,IF(OR(입력란!$C$9=1,입력란!$C$10=1),65,22),0))))/100-1))</f>
        <v>534397.35971218278</v>
      </c>
      <c r="K239" s="21">
        <f>T239*(1+IF($AK239+IF(입력란!$C$9=1,10,0)+IF(입력란!$C$26=1,10,0)&gt;100,100,$AK239+IF(입력란!$C$9=1,10,0)+IF(입력란!$C$26=1,10,0))/100*(($AL239+IF(입력란!$C$30=1,IF(OR(입력란!$C$9=1,입력란!$C$10=1),55,17),IF(입력란!$C$30=2,IF(OR(입력란!$C$9=1,입력란!$C$10=1),60,20),IF(입력란!$C$30=3,IF(OR(입력란!$C$9=1,입력란!$C$10=1),65,22),0))))/100-1))</f>
        <v>680142.81843001163</v>
      </c>
      <c r="L239" s="21">
        <f>U239*(1+IF($AK239+IF(입력란!$C$9=1,10,0)+IF(입력란!$C$26=1,10,0)&gt;100,100,$AK239+IF(입력란!$C$9=1,10,0)+IF(입력란!$C$26=1,10,0))/100*(($AL239+IF(입력란!$C$30=1,IF(OR(입력란!$C$9=1,입력란!$C$10=1),55,17),IF(입력란!$C$30=2,IF(OR(입력란!$C$9=1,입력란!$C$10=1),60,20),IF(입력란!$C$30=3,IF(OR(입력란!$C$9=1,입력란!$C$10=1),65,22),0))))/100-1))</f>
        <v>0</v>
      </c>
      <c r="M239" s="21"/>
      <c r="N239" s="21"/>
      <c r="O239" s="21"/>
      <c r="P239" s="21"/>
      <c r="Q239" s="20"/>
      <c r="R239" s="19">
        <f>SUM(S239:Z239)</f>
        <v>748876.20315588056</v>
      </c>
      <c r="S239" s="21">
        <f>AN239*IF(G239="근접",IF(MID(E239,1,1)="1",트라이포드!$D$17,트라이포드!$C$17),1)*IF(MID(E239,1,1)="2",트라이포드!$F$17,트라이포드!$E$17)*IF(MID(E239,3,1)="1",트라이포드!$J$17,트라이포드!$I$17)*IF(MID(E239,5,1)="2",트라이포드!$R$17,트라이포드!$Q$17)*(1+입력란!$P$17/100)*IF(입력란!$C$9=1,IF(입력란!$C$15=0,1.05,IF(입력란!$C$15=1,1.05*1.05,IF(입력란!$C$15=2,1.05*1.12,IF(입력란!$C$15=3,1.05*1.25)))),1)</f>
        <v>329505.33289886185</v>
      </c>
      <c r="T239" s="21">
        <f>AO239*IF(G239="근접",IF(MID(E239,1,1)="1",트라이포드!$D$17,트라이포드!$C$17),1)*IF(MID(E239,1,1)="2",트라이포드!$F$17,트라이포드!$E$17)*IF(MID(E239,3,1)="1",트라이포드!$J$17,트라이포드!$I$17)*IF(MID(E239,5,1)="2",트라이포드!$R$17,트라이포드!$Q$17)*(1+입력란!$P$17/100)*IF(입력란!$C$9=1,IF(입력란!$C$15=0,1.05,IF(입력란!$C$15=1,1.05*1.05,IF(입력란!$C$15=2,1.05*1.12,IF(입력란!$C$15=3,1.05*1.25)))),1)</f>
        <v>419370.87025701872</v>
      </c>
      <c r="U239" s="21">
        <f>AO239*IF(G239="근접",IF(MID(E239,1,1)="1",트라이포드!$D$17,트라이포드!$C$17),1)*IF(MID(E239,1,1)="2",트라이포드!$F$17,트라이포드!$E$17)*IF(MID(E239,3,1)="1",트라이포드!$J$17,트라이포드!$I$17)*IF(MID(E239,5,1)="1",트라이포드!P$17,트라이포드!O$17)*(1+입력란!$P$17/100)*IF(입력란!$C$9=1,IF(입력란!$C$15=0,1.05,IF(입력란!$C$15=1,1.05*1.05,IF(입력란!$C$15=2,1.05*1.12,IF(입력란!$C$15=3,1.05*1.25)))),1)</f>
        <v>0</v>
      </c>
      <c r="V239" s="21"/>
      <c r="W239" s="21"/>
      <c r="X239" s="21"/>
      <c r="Y239" s="21"/>
      <c r="Z239" s="20"/>
      <c r="AA239" s="21">
        <f>SUM(AB239:AI239)</f>
        <v>1497752.4063117611</v>
      </c>
      <c r="AB239" s="21">
        <f>S239*2</f>
        <v>659010.66579772369</v>
      </c>
      <c r="AC239" s="21">
        <f>T239*2</f>
        <v>838741.74051403743</v>
      </c>
      <c r="AD239" s="21">
        <f>U239*2</f>
        <v>0</v>
      </c>
      <c r="AE239" s="21"/>
      <c r="AF239" s="21"/>
      <c r="AG239" s="21"/>
      <c r="AH239" s="21"/>
      <c r="AI239" s="20"/>
      <c r="AJ239" s="21">
        <f>(AQ239-IF(MID(E239,3,1)="3",트라이포드!$N$17,트라이포드!$M$17))*(1-입력란!$P$10/100)</f>
        <v>23.711464126079999</v>
      </c>
      <c r="AK2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39" s="21">
        <f>입력란!$P$24+IF(입력란!$C$18=1,10,IF(입력란!$C$18=2,25,IF(입력란!$C$18=3,50,0)))+IF(입력란!$C$23&lt;&gt;0,-12)</f>
        <v>200</v>
      </c>
      <c r="AM239" s="21">
        <f>SUM(AN239:AP239)</f>
        <v>356140.80863540259</v>
      </c>
      <c r="AN239" s="21">
        <f>(VLOOKUP(C239,$B$4:$AJ$7,17,FALSE)+VLOOKUP(C239,$B$8:$AJ$11,17,FALSE)*입력란!$P$4)*IF(G239="근접",입력란!$P$27,IF(MID(E239,1,1)="2",입력란!$P$27,입력란!$P$26))*입력란!$P$25/100</f>
        <v>156701.86235554799</v>
      </c>
      <c r="AO239" s="21">
        <f>(VLOOKUP(C239,$B$4:$AJ$7,18,FALSE)+VLOOKUP(C239,$B$8:$AJ$11,18,FALSE)*입력란!$P$4)*IF(G239="근접",입력란!$P$27,IF(MID(E239,1,1)="2",입력란!$P$27,입력란!$P$26))*입력란!$P$25/100</f>
        <v>199438.94627985463</v>
      </c>
      <c r="AP239" s="21"/>
      <c r="AQ239" s="22">
        <v>24</v>
      </c>
    </row>
    <row r="240" spans="2:43" ht="13.5" customHeight="1" x14ac:dyDescent="0.55000000000000004">
      <c r="B240" s="66">
        <v>225</v>
      </c>
      <c r="C240" s="29">
        <v>4</v>
      </c>
      <c r="D240" s="67" t="s">
        <v>46</v>
      </c>
      <c r="E240" s="27" t="s">
        <v>351</v>
      </c>
      <c r="F240" s="29"/>
      <c r="G240" s="29" t="s">
        <v>37</v>
      </c>
      <c r="H240" s="36">
        <f>I240/AJ240</f>
        <v>63650.473680705254</v>
      </c>
      <c r="I240" s="37">
        <f>SUM(J240:Q240)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1509245.9232880417</v>
      </c>
      <c r="J240" s="21">
        <f>S240*(1+IF($AK240+IF(입력란!$C$9=1,10,0)+IF(입력란!$C$26=1,10,0)&gt;100,100,$AK240+IF(입력란!$C$9=1,10,0)+IF(입력란!$C$26=1,10,0))/100*(($AL240+IF(입력란!$C$30=1,IF(OR(입력란!$C$9=1,입력란!$C$10=1),55,17),IF(입력란!$C$30=2,IF(OR(입력란!$C$9=1,입력란!$C$10=1),60,20),IF(입력란!$C$30=3,IF(OR(입력란!$C$9=1,입력란!$C$10=1),65,22),0))))/100-1))</f>
        <v>470269.67654672079</v>
      </c>
      <c r="K240" s="21">
        <f>T240*(1+IF($AK240+IF(입력란!$C$9=1,10,0)+IF(입력란!$C$26=1,10,0)&gt;100,100,$AK240+IF(입력란!$C$9=1,10,0)+IF(입력란!$C$26=1,10,0))/100*(($AL240+IF(입력란!$C$30=1,IF(OR(입력란!$C$9=1,입력란!$C$10=1),55,17),IF(입력란!$C$30=2,IF(OR(입력란!$C$9=1,입력란!$C$10=1),60,20),IF(입력란!$C$30=3,IF(OR(입력란!$C$9=1,입력란!$C$10=1),65,22),0))))/100-1))</f>
        <v>598525.68021841033</v>
      </c>
      <c r="L240" s="21">
        <f>U240*(1+IF($AK240+IF(입력란!$C$9=1,10,0)+IF(입력란!$C$26=1,10,0)&gt;100,100,$AK240+IF(입력란!$C$9=1,10,0)+IF(입력란!$C$26=1,10,0))/100*(($AL240+IF(입력란!$C$30=1,IF(OR(입력란!$C$9=1,입력란!$C$10=1),55,17),IF(입력란!$C$30=2,IF(OR(입력란!$C$9=1,입력란!$C$10=1),60,20),IF(입력란!$C$30=3,IF(OR(입력란!$C$9=1,입력란!$C$10=1),65,22),0))))/100-1))</f>
        <v>0</v>
      </c>
      <c r="M240" s="21"/>
      <c r="N240" s="21"/>
      <c r="O240" s="21"/>
      <c r="P240" s="21"/>
      <c r="Q240" s="20"/>
      <c r="R240" s="19">
        <f>SUM(S240:Z240)</f>
        <v>659011.05877717491</v>
      </c>
      <c r="S240" s="21">
        <f>AN240*IF(G240="근접",IF(MID(E240,1,1)="1",트라이포드!$D$17,트라이포드!$C$17),1)*IF(MID(E240,1,1)="2",트라이포드!$F$17,트라이포드!$E$17)*IF(MID(E240,3,1)="1",트라이포드!$J$17,트라이포드!$I$17)*IF(MID(E240,5,1)="2",트라이포드!$R$17,트라이포드!$Q$17)*(1+입력란!$P$17/100)*IF(입력란!$C$9=1,IF(입력란!$C$15=0,1.05,IF(입력란!$C$15=1,1.05*1.05,IF(입력란!$C$15=2,1.05*1.12,IF(입력란!$C$15=3,1.05*1.25)))),1)</f>
        <v>289964.69295099843</v>
      </c>
      <c r="T240" s="21">
        <f>AO240*IF(G240="근접",IF(MID(E240,1,1)="1",트라이포드!$D$17,트라이포드!$C$17),1)*IF(MID(E240,1,1)="2",트라이포드!$F$17,트라이포드!$E$17)*IF(MID(E240,3,1)="1",트라이포드!$J$17,트라이포드!$I$17)*IF(MID(E240,5,1)="2",트라이포드!$R$17,트라이포드!$Q$17)*(1+입력란!$P$17/100)*IF(입력란!$C$9=1,IF(입력란!$C$15=0,1.05,IF(입력란!$C$15=1,1.05*1.05,IF(입력란!$C$15=2,1.05*1.12,IF(입력란!$C$15=3,1.05*1.25)))),1)</f>
        <v>369046.36582617648</v>
      </c>
      <c r="U240" s="21">
        <f>AO240*IF(G240="근접",IF(MID(E240,1,1)="1",트라이포드!$D$17,트라이포드!$C$17),1)*IF(MID(E240,1,1)="2",트라이포드!$F$17,트라이포드!$E$17)*IF(MID(E240,3,1)="1",트라이포드!$J$17,트라이포드!$I$17)*IF(MID(E240,5,1)="1",트라이포드!P$17,트라이포드!O$17)*(1+입력란!$P$17/100)*IF(입력란!$C$9=1,IF(입력란!$C$15=0,1.05,IF(입력란!$C$15=1,1.05*1.05,IF(입력란!$C$15=2,1.05*1.12,IF(입력란!$C$15=3,1.05*1.25)))),1)</f>
        <v>0</v>
      </c>
      <c r="V240" s="21"/>
      <c r="W240" s="21"/>
      <c r="X240" s="21"/>
      <c r="Y240" s="21"/>
      <c r="Z240" s="20"/>
      <c r="AA240" s="21">
        <f>SUM(AB240:AI240)</f>
        <v>1318022.1175543498</v>
      </c>
      <c r="AB240" s="21">
        <f>S240*2</f>
        <v>579929.38590199687</v>
      </c>
      <c r="AC240" s="21">
        <f>T240*2</f>
        <v>738092.73165235296</v>
      </c>
      <c r="AD240" s="21">
        <f>U240*2</f>
        <v>0</v>
      </c>
      <c r="AE240" s="21"/>
      <c r="AF240" s="21"/>
      <c r="AG240" s="21"/>
      <c r="AH240" s="21"/>
      <c r="AI240" s="20"/>
      <c r="AJ240" s="21">
        <f>(AQ240-IF(MID(E240,3,1)="3",트라이포드!$N$17,트라이포드!$M$17))*(1-입력란!$P$10/100)</f>
        <v>23.711464126079999</v>
      </c>
      <c r="AK24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0" s="21">
        <f>입력란!$P$24+IF(입력란!$C$18=1,10,IF(입력란!$C$18=2,25,IF(입력란!$C$18=3,50,0)))+IF(입력란!$C$23&lt;&gt;0,-12)</f>
        <v>200</v>
      </c>
      <c r="AM240" s="21">
        <f>SUM(AN240:AP240)</f>
        <v>356140.80863540259</v>
      </c>
      <c r="AN240" s="21">
        <f>(VLOOKUP(C240,$B$4:$AJ$7,17,FALSE)+VLOOKUP(C240,$B$8:$AJ$11,17,FALSE)*입력란!$P$4)*IF(G240="근접",입력란!$P$27,IF(MID(E240,1,1)="2",입력란!$P$27,입력란!$P$26))*입력란!$P$25/100</f>
        <v>156701.86235554799</v>
      </c>
      <c r="AO240" s="21">
        <f>(VLOOKUP(C240,$B$4:$AJ$7,18,FALSE)+VLOOKUP(C240,$B$8:$AJ$11,18,FALSE)*입력란!$P$4)*IF(G240="근접",입력란!$P$27,IF(MID(E240,1,1)="2",입력란!$P$27,입력란!$P$26))*입력란!$P$25/100</f>
        <v>199438.94627985463</v>
      </c>
      <c r="AP240" s="21"/>
      <c r="AQ240" s="22">
        <v>24</v>
      </c>
    </row>
    <row r="241" spans="2:43" ht="13.5" customHeight="1" x14ac:dyDescent="0.55000000000000004">
      <c r="B241" s="66">
        <v>226</v>
      </c>
      <c r="C241" s="29">
        <v>7</v>
      </c>
      <c r="D241" s="67" t="s">
        <v>183</v>
      </c>
      <c r="E241" s="27" t="s">
        <v>184</v>
      </c>
      <c r="F241" s="29"/>
      <c r="G241" s="29" t="s">
        <v>200</v>
      </c>
      <c r="H241" s="36">
        <f>I241/AJ241</f>
        <v>57903.081806602793</v>
      </c>
      <c r="I241" s="37">
        <f>SUM(J241:Q241)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1372966.8470467376</v>
      </c>
      <c r="J241" s="21">
        <f>S241*(1+IF($AK241+IF(입력란!$C$9=1,10,0)+IF(입력란!$C$26=1,10,0)&gt;100,100,$AK241+IF(입력란!$C$9=1,10,0)+IF(입력란!$C$26=1,10,0))/100*(($AL241+IF(입력란!$C$30=1,IF(OR(입력란!$C$9=1,입력란!$C$10=1),55,17),IF(입력란!$C$30=2,IF(OR(입력란!$C$9=1,입력란!$C$10=1),60,20),IF(입력란!$C$30=3,IF(OR(입력란!$C$9=1,입력란!$C$10=1),65,22),0))))/100-1))</f>
        <v>427808.34520692035</v>
      </c>
      <c r="K241" s="21">
        <f>T241*(1+IF($AK241+IF(입력란!$C$9=1,10,0)+IF(입력란!$C$26=1,10,0)&gt;100,100,$AK241+IF(입력란!$C$9=1,10,0)+IF(입력란!$C$26=1,10,0))/100*(($AL241+IF(입력란!$C$30=1,IF(OR(입력란!$C$9=1,입력란!$C$10=1),55,17),IF(입력란!$C$30=2,IF(OR(입력란!$C$9=1,입력란!$C$10=1),60,20),IF(입력란!$C$30=3,IF(OR(입력란!$C$9=1,입력란!$C$10=1),65,22),0))))/100-1))</f>
        <v>544478.91989239084</v>
      </c>
      <c r="L241" s="21">
        <f>U241*(1+IF($AK241+IF(입력란!$C$9=1,10,0)+IF(입력란!$C$26=1,10,0)&gt;100,100,$AK241+IF(입력란!$C$9=1,10,0)+IF(입력란!$C$26=1,10,0))/100*(($AL241+IF(입력란!$C$30=1,IF(OR(입력란!$C$9=1,입력란!$C$10=1),55,17),IF(입력란!$C$30=2,IF(OR(입력란!$C$9=1,입력란!$C$10=1),60,20),IF(입력란!$C$30=3,IF(OR(입력란!$C$9=1,입력란!$C$10=1),65,22),0))))/100-1))</f>
        <v>0</v>
      </c>
      <c r="M241" s="21"/>
      <c r="N241" s="21"/>
      <c r="O241" s="21"/>
      <c r="P241" s="21"/>
      <c r="Q241" s="20"/>
      <c r="R241" s="19">
        <f>SUM(S241:Z241)</f>
        <v>599504.90611035272</v>
      </c>
      <c r="S241" s="21">
        <f>AN241*IF(G241="근접",IF(MID(E241,1,1)="1",트라이포드!$D$17,트라이포드!$C$17),1)*IF(MID(E241,1,1)="2",트라이포드!$F$17,트라이포드!$E$17)*IF(MID(E241,3,1)="1",트라이포드!$J$17,트라이포드!$I$17)*IF(MID(E241,5,1)="2",트라이포드!$R$17,트라이포드!$Q$17)*(1+입력란!$P$17/100)*IF(입력란!$C$9=1,IF(입력란!$C$15=0,1.05,IF(입력란!$C$15=1,1.05*1.05,IF(입력란!$C$15=2,1.05*1.12,IF(입력란!$C$15=3,1.05*1.25)))),1)</f>
        <v>263783.36015776522</v>
      </c>
      <c r="T241" s="21">
        <f>AO241*IF(G241="근접",IF(MID(E241,1,1)="1",트라이포드!$D$17,트라이포드!$C$17),1)*IF(MID(E241,1,1)="2",트라이포드!$F$17,트라이포드!$E$17)*IF(MID(E241,3,1)="1",트라이포드!$J$17,트라이포드!$I$17)*IF(MID(E241,5,1)="2",트라이포드!$R$17,트라이포드!$Q$17)*(1+입력란!$P$17/100)*IF(입력란!$C$9=1,IF(입력란!$C$15=0,1.05,IF(입력란!$C$15=1,1.05*1.05,IF(입력란!$C$15=2,1.05*1.12,IF(입력란!$C$15=3,1.05*1.25)))),1)</f>
        <v>335721.5459525875</v>
      </c>
      <c r="U241" s="21">
        <f>AO241*IF(G241="근접",IF(MID(E241,1,1)="1",트라이포드!$D$17,트라이포드!$C$17),1)*IF(MID(E241,1,1)="2",트라이포드!$F$17,트라이포드!$E$17)*IF(MID(E241,3,1)="1",트라이포드!$J$17,트라이포드!$I$17)*IF(MID(E241,5,1)="1",트라이포드!P$17,트라이포드!O$17)*(1+입력란!$P$17/100)*IF(입력란!$C$9=1,IF(입력란!$C$15=0,1.05,IF(입력란!$C$15=1,1.05*1.05,IF(입력란!$C$15=2,1.05*1.12,IF(입력란!$C$15=3,1.05*1.25)))),1)</f>
        <v>0</v>
      </c>
      <c r="V241" s="21"/>
      <c r="W241" s="21"/>
      <c r="X241" s="21"/>
      <c r="Y241" s="21"/>
      <c r="Z241" s="20"/>
      <c r="AA241" s="21">
        <f>SUM(AB241:AI241)</f>
        <v>1199009.8122207054</v>
      </c>
      <c r="AB241" s="21">
        <f>S241*2</f>
        <v>527566.72031553043</v>
      </c>
      <c r="AC241" s="21">
        <f>T241*2</f>
        <v>671443.09190517501</v>
      </c>
      <c r="AD241" s="21">
        <f>U241*2</f>
        <v>0</v>
      </c>
      <c r="AE241" s="21"/>
      <c r="AF241" s="21"/>
      <c r="AG241" s="21"/>
      <c r="AH241" s="21"/>
      <c r="AI241" s="20"/>
      <c r="AJ241" s="21">
        <f>(AQ241-IF(MID(E241,3,1)="3",트라이포드!$N$17,트라이포드!$M$17))*(1-입력란!$P$10/100)</f>
        <v>23.711464126079999</v>
      </c>
      <c r="AK24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1" s="21">
        <f>입력란!$P$24+IF(입력란!$C$18=1,10,IF(입력란!$C$18=2,25,IF(입력란!$C$18=3,50,0)))+IF(입력란!$C$23&lt;&gt;0,-12)</f>
        <v>200</v>
      </c>
      <c r="AM241" s="21">
        <f>SUM(AN241:AP241)</f>
        <v>356380.93643394532</v>
      </c>
      <c r="AN241" s="21">
        <f>(VLOOKUP(C241,$B$4:$AJ$7,17,FALSE)+VLOOKUP(C241,$B$8:$AJ$11,17,FALSE)*입력란!$P$4)*IF(G241="근접",입력란!$P$27,IF(MID(E241,1,1)="2",입력란!$P$27,입력란!$P$26))*입력란!$P$25/100</f>
        <v>156808.32625481935</v>
      </c>
      <c r="AO241" s="21">
        <f>(VLOOKUP(C241,$B$4:$AJ$7,18,FALSE)+VLOOKUP(C241,$B$8:$AJ$11,18,FALSE)*입력란!$P$4)*IF(G241="근접",입력란!$P$27,IF(MID(E241,1,1)="2",입력란!$P$27,입력란!$P$26))*입력란!$P$25/100</f>
        <v>199572.61017912597</v>
      </c>
      <c r="AP241" s="21"/>
      <c r="AQ241" s="22">
        <v>24</v>
      </c>
    </row>
    <row r="242" spans="2:43" ht="13.5" customHeight="1" x14ac:dyDescent="0.55000000000000004">
      <c r="B242" s="66">
        <v>227</v>
      </c>
      <c r="C242" s="29">
        <v>7</v>
      </c>
      <c r="D242" s="67" t="s">
        <v>183</v>
      </c>
      <c r="E242" s="27" t="s">
        <v>186</v>
      </c>
      <c r="F242" s="29"/>
      <c r="G242" s="29" t="s">
        <v>200</v>
      </c>
      <c r="H242" s="36">
        <f>I242/AJ242</f>
        <v>72378.852258253493</v>
      </c>
      <c r="I242" s="37">
        <f>SUM(J242:Q242)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1716208.5588084219</v>
      </c>
      <c r="J242" s="21">
        <f>S242*(1+IF($AK242+IF(입력란!$C$9=1,10,0)+IF(입력란!$C$26=1,10,0)&gt;100,100,$AK242+IF(입력란!$C$9=1,10,0)+IF(입력란!$C$26=1,10,0))/100*(($AL242+IF(입력란!$C$30=1,IF(OR(입력란!$C$9=1,입력란!$C$10=1),55,17),IF(입력란!$C$30=2,IF(OR(입력란!$C$9=1,입력란!$C$10=1),60,20),IF(입력란!$C$30=3,IF(OR(입력란!$C$9=1,입력란!$C$10=1),65,22),0))))/100-1))</f>
        <v>534760.43150865042</v>
      </c>
      <c r="K242" s="21">
        <f>T242*(1+IF($AK242+IF(입력란!$C$9=1,10,0)+IF(입력란!$C$26=1,10,0)&gt;100,100,$AK242+IF(입력란!$C$9=1,10,0)+IF(입력란!$C$26=1,10,0))/100*(($AL242+IF(입력란!$C$30=1,IF(OR(입력란!$C$9=1,입력란!$C$10=1),55,17),IF(입력란!$C$30=2,IF(OR(입력란!$C$9=1,입력란!$C$10=1),60,20),IF(입력란!$C$30=3,IF(OR(입력란!$C$9=1,입력란!$C$10=1),65,22),0))))/100-1))</f>
        <v>680598.64986548864</v>
      </c>
      <c r="L242" s="21">
        <f>U242*(1+IF($AK242+IF(입력란!$C$9=1,10,0)+IF(입력란!$C$26=1,10,0)&gt;100,100,$AK242+IF(입력란!$C$9=1,10,0)+IF(입력란!$C$26=1,10,0))/100*(($AL242+IF(입력란!$C$30=1,IF(OR(입력란!$C$9=1,입력란!$C$10=1),55,17),IF(입력란!$C$30=2,IF(OR(입력란!$C$9=1,입력란!$C$10=1),60,20),IF(입력란!$C$30=3,IF(OR(입력란!$C$9=1,입력란!$C$10=1),65,22),0))))/100-1))</f>
        <v>0</v>
      </c>
      <c r="M242" s="21"/>
      <c r="N242" s="21"/>
      <c r="O242" s="21"/>
      <c r="P242" s="21"/>
      <c r="Q242" s="20"/>
      <c r="R242" s="19">
        <f>SUM(S242:Z242)</f>
        <v>749381.13263794093</v>
      </c>
      <c r="S242" s="21">
        <f>AN242*IF(G242="근접",IF(MID(E242,1,1)="1",트라이포드!$D$17,트라이포드!$C$17),1)*IF(MID(E242,1,1)="2",트라이포드!$F$17,트라이포드!$E$17)*IF(MID(E242,3,1)="1",트라이포드!$J$17,트라이포드!$I$17)*IF(MID(E242,5,1)="2",트라이포드!$R$17,트라이포드!$Q$17)*(1+입력란!$P$17/100)*IF(입력란!$C$9=1,IF(입력란!$C$15=0,1.05,IF(입력란!$C$15=1,1.05*1.05,IF(입력란!$C$15=2,1.05*1.12,IF(입력란!$C$15=3,1.05*1.25)))),1)</f>
        <v>329729.20019720652</v>
      </c>
      <c r="T242" s="21">
        <f>AO242*IF(G242="근접",IF(MID(E242,1,1)="1",트라이포드!$D$17,트라이포드!$C$17),1)*IF(MID(E242,1,1)="2",트라이포드!$F$17,트라이포드!$E$17)*IF(MID(E242,3,1)="1",트라이포드!$J$17,트라이포드!$I$17)*IF(MID(E242,5,1)="2",트라이포드!$R$17,트라이포드!$Q$17)*(1+입력란!$P$17/100)*IF(입력란!$C$9=1,IF(입력란!$C$15=0,1.05,IF(입력란!$C$15=1,1.05*1.05,IF(입력란!$C$15=2,1.05*1.12,IF(입력란!$C$15=3,1.05*1.25)))),1)</f>
        <v>419651.93244073441</v>
      </c>
      <c r="U242" s="21">
        <f>AO242*IF(G242="근접",IF(MID(E242,1,1)="1",트라이포드!$D$17,트라이포드!$C$17),1)*IF(MID(E242,1,1)="2",트라이포드!$F$17,트라이포드!$E$17)*IF(MID(E242,3,1)="1",트라이포드!$J$17,트라이포드!$I$17)*IF(MID(E242,5,1)="1",트라이포드!P$17,트라이포드!O$17)*(1+입력란!$P$17/100)*IF(입력란!$C$9=1,IF(입력란!$C$15=0,1.05,IF(입력란!$C$15=1,1.05*1.05,IF(입력란!$C$15=2,1.05*1.12,IF(입력란!$C$15=3,1.05*1.25)))),1)</f>
        <v>0</v>
      </c>
      <c r="V242" s="21"/>
      <c r="W242" s="21"/>
      <c r="X242" s="21"/>
      <c r="Y242" s="21"/>
      <c r="Z242" s="20"/>
      <c r="AA242" s="21">
        <f>SUM(AB242:AI242)</f>
        <v>1498762.2652758819</v>
      </c>
      <c r="AB242" s="21">
        <f>S242*2</f>
        <v>659458.40039441304</v>
      </c>
      <c r="AC242" s="21">
        <f>T242*2</f>
        <v>839303.86488146882</v>
      </c>
      <c r="AD242" s="21">
        <f>U242*2</f>
        <v>0</v>
      </c>
      <c r="AE242" s="21"/>
      <c r="AF242" s="21"/>
      <c r="AG242" s="21"/>
      <c r="AH242" s="21"/>
      <c r="AI242" s="20"/>
      <c r="AJ242" s="21">
        <f>(AQ242-IF(MID(E242,3,1)="3",트라이포드!$N$17,트라이포드!$M$17))*(1-입력란!$P$10/100)</f>
        <v>23.711464126079999</v>
      </c>
      <c r="AK24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2" s="21">
        <f>입력란!$P$24+IF(입력란!$C$18=1,10,IF(입력란!$C$18=2,25,IF(입력란!$C$18=3,50,0)))+IF(입력란!$C$23&lt;&gt;0,-12)</f>
        <v>200</v>
      </c>
      <c r="AM242" s="21">
        <f>SUM(AN242:AP242)</f>
        <v>356380.93643394532</v>
      </c>
      <c r="AN242" s="21">
        <f>(VLOOKUP(C242,$B$4:$AJ$7,17,FALSE)+VLOOKUP(C242,$B$8:$AJ$11,17,FALSE)*입력란!$P$4)*IF(G242="근접",입력란!$P$27,IF(MID(E242,1,1)="2",입력란!$P$27,입력란!$P$26))*입력란!$P$25/100</f>
        <v>156808.32625481935</v>
      </c>
      <c r="AO242" s="21">
        <f>(VLOOKUP(C242,$B$4:$AJ$7,18,FALSE)+VLOOKUP(C242,$B$8:$AJ$11,18,FALSE)*입력란!$P$4)*IF(G242="근접",입력란!$P$27,IF(MID(E242,1,1)="2",입력란!$P$27,입력란!$P$26))*입력란!$P$25/100</f>
        <v>199572.61017912597</v>
      </c>
      <c r="AP242" s="21"/>
      <c r="AQ242" s="22">
        <v>24</v>
      </c>
    </row>
    <row r="243" spans="2:43" ht="13.5" customHeight="1" x14ac:dyDescent="0.55000000000000004">
      <c r="B243" s="66">
        <v>228</v>
      </c>
      <c r="C243" s="29">
        <v>7</v>
      </c>
      <c r="D243" s="67" t="s">
        <v>183</v>
      </c>
      <c r="E243" s="27" t="s">
        <v>187</v>
      </c>
      <c r="F243" s="29"/>
      <c r="G243" s="29" t="s">
        <v>200</v>
      </c>
      <c r="H243" s="36">
        <f>I243/AJ243</f>
        <v>73140.734913603534</v>
      </c>
      <c r="I243" s="37">
        <f>SUM(J243:Q243)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1372966.8470467376</v>
      </c>
      <c r="J243" s="21">
        <f>S243*(1+IF($AK243+IF(입력란!$C$9=1,10,0)+IF(입력란!$C$26=1,10,0)&gt;100,100,$AK243+IF(입력란!$C$9=1,10,0)+IF(입력란!$C$26=1,10,0))/100*(($AL243+IF(입력란!$C$30=1,IF(OR(입력란!$C$9=1,입력란!$C$10=1),55,17),IF(입력란!$C$30=2,IF(OR(입력란!$C$9=1,입력란!$C$10=1),60,20),IF(입력란!$C$30=3,IF(OR(입력란!$C$9=1,입력란!$C$10=1),65,22),0))))/100-1))</f>
        <v>427808.34520692035</v>
      </c>
      <c r="K243" s="21">
        <f>T243*(1+IF($AK243+IF(입력란!$C$9=1,10,0)+IF(입력란!$C$26=1,10,0)&gt;100,100,$AK243+IF(입력란!$C$9=1,10,0)+IF(입력란!$C$26=1,10,0))/100*(($AL243+IF(입력란!$C$30=1,IF(OR(입력란!$C$9=1,입력란!$C$10=1),55,17),IF(입력란!$C$30=2,IF(OR(입력란!$C$9=1,입력란!$C$10=1),60,20),IF(입력란!$C$30=3,IF(OR(입력란!$C$9=1,입력란!$C$10=1),65,22),0))))/100-1))</f>
        <v>544478.91989239084</v>
      </c>
      <c r="L243" s="21">
        <f>U243*(1+IF($AK243+IF(입력란!$C$9=1,10,0)+IF(입력란!$C$26=1,10,0)&gt;100,100,$AK243+IF(입력란!$C$9=1,10,0)+IF(입력란!$C$26=1,10,0))/100*(($AL243+IF(입력란!$C$30=1,IF(OR(입력란!$C$9=1,입력란!$C$10=1),55,17),IF(입력란!$C$30=2,IF(OR(입력란!$C$9=1,입력란!$C$10=1),60,20),IF(입력란!$C$30=3,IF(OR(입력란!$C$9=1,입력란!$C$10=1),65,22),0))))/100-1))</f>
        <v>0</v>
      </c>
      <c r="M243" s="21"/>
      <c r="N243" s="21"/>
      <c r="O243" s="21"/>
      <c r="P243" s="21"/>
      <c r="Q243" s="20"/>
      <c r="R243" s="19">
        <f>SUM(S243:Z243)</f>
        <v>599504.90611035272</v>
      </c>
      <c r="S243" s="21">
        <f>AN243*IF(G243="근접",IF(MID(E243,1,1)="1",트라이포드!$D$17,트라이포드!$C$17),1)*IF(MID(E243,1,1)="2",트라이포드!$F$17,트라이포드!$E$17)*IF(MID(E243,3,1)="1",트라이포드!$J$17,트라이포드!$I$17)*IF(MID(E243,5,1)="2",트라이포드!$R$17,트라이포드!$Q$17)*(1+입력란!$P$17/100)*IF(입력란!$C$9=1,IF(입력란!$C$15=0,1.05,IF(입력란!$C$15=1,1.05*1.05,IF(입력란!$C$15=2,1.05*1.12,IF(입력란!$C$15=3,1.05*1.25)))),1)</f>
        <v>263783.36015776522</v>
      </c>
      <c r="T243" s="21">
        <f>AO243*IF(G243="근접",IF(MID(E243,1,1)="1",트라이포드!$D$17,트라이포드!$C$17),1)*IF(MID(E243,1,1)="2",트라이포드!$F$17,트라이포드!$E$17)*IF(MID(E243,3,1)="1",트라이포드!$J$17,트라이포드!$I$17)*IF(MID(E243,5,1)="2",트라이포드!$R$17,트라이포드!$Q$17)*(1+입력란!$P$17/100)*IF(입력란!$C$9=1,IF(입력란!$C$15=0,1.05,IF(입력란!$C$15=1,1.05*1.05,IF(입력란!$C$15=2,1.05*1.12,IF(입력란!$C$15=3,1.05*1.25)))),1)</f>
        <v>335721.5459525875</v>
      </c>
      <c r="U243" s="21">
        <f>AO243*IF(G243="근접",IF(MID(E243,1,1)="1",트라이포드!$D$17,트라이포드!$C$17),1)*IF(MID(E243,1,1)="2",트라이포드!$F$17,트라이포드!$E$17)*IF(MID(E243,3,1)="1",트라이포드!$J$17,트라이포드!$I$17)*IF(MID(E243,5,1)="1",트라이포드!P$17,트라이포드!O$17)*(1+입력란!$P$17/100)*IF(입력란!$C$9=1,IF(입력란!$C$15=0,1.05,IF(입력란!$C$15=1,1.05*1.05,IF(입력란!$C$15=2,1.05*1.12,IF(입력란!$C$15=3,1.05*1.25)))),1)</f>
        <v>0</v>
      </c>
      <c r="V243" s="21"/>
      <c r="W243" s="21"/>
      <c r="X243" s="21"/>
      <c r="Y243" s="21"/>
      <c r="Z243" s="20"/>
      <c r="AA243" s="21">
        <f>SUM(AB243:AI243)</f>
        <v>1199009.8122207054</v>
      </c>
      <c r="AB243" s="21">
        <f>S243*2</f>
        <v>527566.72031553043</v>
      </c>
      <c r="AC243" s="21">
        <f>T243*2</f>
        <v>671443.09190517501</v>
      </c>
      <c r="AD243" s="21">
        <f>U243*2</f>
        <v>0</v>
      </c>
      <c r="AE243" s="21"/>
      <c r="AF243" s="21"/>
      <c r="AG243" s="21"/>
      <c r="AH243" s="21"/>
      <c r="AI243" s="20"/>
      <c r="AJ243" s="21">
        <f>(AQ243-IF(MID(E243,3,1)="3",트라이포드!$N$17,트라이포드!$M$17))*(1-입력란!$P$10/100)</f>
        <v>18.771575766479998</v>
      </c>
      <c r="AK24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3" s="21">
        <f>입력란!$P$24+IF(입력란!$C$18=1,10,IF(입력란!$C$18=2,25,IF(입력란!$C$18=3,50,0)))+IF(입력란!$C$23&lt;&gt;0,-12)</f>
        <v>200</v>
      </c>
      <c r="AM243" s="21">
        <f>SUM(AN243:AP243)</f>
        <v>356380.93643394532</v>
      </c>
      <c r="AN243" s="21">
        <f>(VLOOKUP(C243,$B$4:$AJ$7,17,FALSE)+VLOOKUP(C243,$B$8:$AJ$11,17,FALSE)*입력란!$P$4)*IF(G243="근접",입력란!$P$27,IF(MID(E243,1,1)="2",입력란!$P$27,입력란!$P$26))*입력란!$P$25/100</f>
        <v>156808.32625481935</v>
      </c>
      <c r="AO243" s="21">
        <f>(VLOOKUP(C243,$B$4:$AJ$7,18,FALSE)+VLOOKUP(C243,$B$8:$AJ$11,18,FALSE)*입력란!$P$4)*IF(G243="근접",입력란!$P$27,IF(MID(E243,1,1)="2",입력란!$P$27,입력란!$P$26))*입력란!$P$25/100</f>
        <v>199572.61017912597</v>
      </c>
      <c r="AP243" s="21"/>
      <c r="AQ243" s="22">
        <v>24</v>
      </c>
    </row>
    <row r="244" spans="2:43" ht="13.5" customHeight="1" x14ac:dyDescent="0.55000000000000004">
      <c r="B244" s="66">
        <v>229</v>
      </c>
      <c r="C244" s="29">
        <v>7</v>
      </c>
      <c r="D244" s="67" t="s">
        <v>183</v>
      </c>
      <c r="E244" s="27" t="s">
        <v>188</v>
      </c>
      <c r="F244" s="29"/>
      <c r="G244" s="29" t="s">
        <v>200</v>
      </c>
      <c r="H244" s="36">
        <f>I244/AJ244</f>
        <v>90473.565322816852</v>
      </c>
      <c r="I244" s="37">
        <f>SUM(J244:Q244)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2145260.6985105271</v>
      </c>
      <c r="J244" s="21">
        <f>S244*(1+IF($AK244+IF(입력란!$C$9=1,10,0)+IF(입력란!$C$26=1,10,0)&gt;100,100,$AK244+IF(입력란!$C$9=1,10,0)+IF(입력란!$C$26=1,10,0))/100*(($AL244+IF(입력란!$C$30=1,IF(OR(입력란!$C$9=1,입력란!$C$10=1),55,17),IF(입력란!$C$30=2,IF(OR(입력란!$C$9=1,입력란!$C$10=1),60,20),IF(입력란!$C$30=3,IF(OR(입력란!$C$9=1,입력란!$C$10=1),65,22),0))))/100-1))</f>
        <v>668450.53938581306</v>
      </c>
      <c r="K244" s="21">
        <f>T244*(1+IF($AK244+IF(입력란!$C$9=1,10,0)+IF(입력란!$C$26=1,10,0)&gt;100,100,$AK244+IF(입력란!$C$9=1,10,0)+IF(입력란!$C$26=1,10,0))/100*(($AL244+IF(입력란!$C$30=1,IF(OR(입력란!$C$9=1,입력란!$C$10=1),55,17),IF(입력란!$C$30=2,IF(OR(입력란!$C$9=1,입력란!$C$10=1),60,20),IF(입력란!$C$30=3,IF(OR(입력란!$C$9=1,입력란!$C$10=1),65,22),0))))/100-1))</f>
        <v>850748.31233186077</v>
      </c>
      <c r="L244" s="21">
        <f>U244*(1+IF($AK244+IF(입력란!$C$9=1,10,0)+IF(입력란!$C$26=1,10,0)&gt;100,100,$AK244+IF(입력란!$C$9=1,10,0)+IF(입력란!$C$26=1,10,0))/100*(($AL244+IF(입력란!$C$30=1,IF(OR(입력란!$C$9=1,입력란!$C$10=1),55,17),IF(입력란!$C$30=2,IF(OR(입력란!$C$9=1,입력란!$C$10=1),60,20),IF(입력란!$C$30=3,IF(OR(입력란!$C$9=1,입력란!$C$10=1),65,22),0))))/100-1))</f>
        <v>0</v>
      </c>
      <c r="M244" s="21"/>
      <c r="N244" s="21"/>
      <c r="O244" s="21"/>
      <c r="P244" s="21"/>
      <c r="Q244" s="20"/>
      <c r="R244" s="19">
        <f>SUM(S244:Z244)</f>
        <v>936726.41579742613</v>
      </c>
      <c r="S244" s="21">
        <f>AN244*IF(G244="근접",IF(MID(E244,1,1)="1",트라이포드!$D$17,트라이포드!$C$17),1)*IF(MID(E244,1,1)="2",트라이포드!$F$17,트라이포드!$E$17)*IF(MID(E244,3,1)="1",트라이포드!$J$17,트라이포드!$I$17)*IF(MID(E244,5,1)="2",트라이포드!$R$17,트라이포드!$Q$17)*(1+입력란!$P$17/100)*IF(입력란!$C$9=1,IF(입력란!$C$15=0,1.05,IF(입력란!$C$15=1,1.05*1.05,IF(입력란!$C$15=2,1.05*1.12,IF(입력란!$C$15=3,1.05*1.25)))),1)</f>
        <v>412161.50024650811</v>
      </c>
      <c r="T244" s="21">
        <f>AO244*IF(G244="근접",IF(MID(E244,1,1)="1",트라이포드!$D$17,트라이포드!$C$17),1)*IF(MID(E244,1,1)="2",트라이포드!$F$17,트라이포드!$E$17)*IF(MID(E244,3,1)="1",트라이포드!$J$17,트라이포드!$I$17)*IF(MID(E244,5,1)="2",트라이포드!$R$17,트라이포드!$Q$17)*(1+입력란!$P$17/100)*IF(입력란!$C$9=1,IF(입력란!$C$15=0,1.05,IF(입력란!$C$15=1,1.05*1.05,IF(입력란!$C$15=2,1.05*1.12,IF(입력란!$C$15=3,1.05*1.25)))),1)</f>
        <v>524564.91555091797</v>
      </c>
      <c r="U244" s="21">
        <f>AO244*IF(G244="근접",IF(MID(E244,1,1)="1",트라이포드!$D$17,트라이포드!$C$17),1)*IF(MID(E244,1,1)="2",트라이포드!$F$17,트라이포드!$E$17)*IF(MID(E244,3,1)="1",트라이포드!$J$17,트라이포드!$I$17)*IF(MID(E244,5,1)="1",트라이포드!P$17,트라이포드!O$17)*(1+입력란!$P$17/100)*IF(입력란!$C$9=1,IF(입력란!$C$15=0,1.05,IF(입력란!$C$15=1,1.05*1.05,IF(입력란!$C$15=2,1.05*1.12,IF(입력란!$C$15=3,1.05*1.25)))),1)</f>
        <v>0</v>
      </c>
      <c r="V244" s="21"/>
      <c r="W244" s="21"/>
      <c r="X244" s="21"/>
      <c r="Y244" s="21"/>
      <c r="Z244" s="20"/>
      <c r="AA244" s="21">
        <f>SUM(AB244:AI244)</f>
        <v>1873452.8315948523</v>
      </c>
      <c r="AB244" s="21">
        <f>S244*2</f>
        <v>824323.00049301621</v>
      </c>
      <c r="AC244" s="21">
        <f>T244*2</f>
        <v>1049129.8311018359</v>
      </c>
      <c r="AD244" s="21">
        <f>U244*2</f>
        <v>0</v>
      </c>
      <c r="AE244" s="21"/>
      <c r="AF244" s="21"/>
      <c r="AG244" s="21"/>
      <c r="AH244" s="21"/>
      <c r="AI244" s="20"/>
      <c r="AJ244" s="21">
        <f>(AQ244-IF(MID(E244,3,1)="3",트라이포드!$N$17,트라이포드!$M$17))*(1-입력란!$P$10/100)</f>
        <v>23.711464126079999</v>
      </c>
      <c r="AK24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4" s="21">
        <f>입력란!$P$24+IF(입력란!$C$18=1,10,IF(입력란!$C$18=2,25,IF(입력란!$C$18=3,50,0)))+IF(입력란!$C$23&lt;&gt;0,-12)</f>
        <v>200</v>
      </c>
      <c r="AM244" s="21">
        <f>SUM(AN244:AP244)</f>
        <v>356380.93643394532</v>
      </c>
      <c r="AN244" s="21">
        <f>(VLOOKUP(C244,$B$4:$AJ$7,17,FALSE)+VLOOKUP(C244,$B$8:$AJ$11,17,FALSE)*입력란!$P$4)*IF(G244="근접",입력란!$P$27,IF(MID(E244,1,1)="2",입력란!$P$27,입력란!$P$26))*입력란!$P$25/100</f>
        <v>156808.32625481935</v>
      </c>
      <c r="AO244" s="21">
        <f>(VLOOKUP(C244,$B$4:$AJ$7,18,FALSE)+VLOOKUP(C244,$B$8:$AJ$11,18,FALSE)*입력란!$P$4)*IF(G244="근접",입력란!$P$27,IF(MID(E244,1,1)="2",입력란!$P$27,입력란!$P$26))*입력란!$P$25/100</f>
        <v>199572.61017912597</v>
      </c>
      <c r="AP244" s="21"/>
      <c r="AQ244" s="22">
        <v>24</v>
      </c>
    </row>
    <row r="245" spans="2:43" ht="13.5" customHeight="1" x14ac:dyDescent="0.55000000000000004">
      <c r="B245" s="66">
        <v>230</v>
      </c>
      <c r="C245" s="29">
        <v>7</v>
      </c>
      <c r="D245" s="67" t="s">
        <v>46</v>
      </c>
      <c r="E245" s="27" t="s">
        <v>352</v>
      </c>
      <c r="F245" s="29"/>
      <c r="G245" s="29" t="s">
        <v>37</v>
      </c>
      <c r="H245" s="36">
        <f>I245/AJ245</f>
        <v>79616.73748407884</v>
      </c>
      <c r="I245" s="37">
        <f>SUM(J245:Q245)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1887829.414689264</v>
      </c>
      <c r="J245" s="21">
        <f>S245*(1+IF($AK245+IF(입력란!$C$9=1,10,0)+IF(입력란!$C$26=1,10,0)&gt;100,100,$AK245+IF(입력란!$C$9=1,10,0)+IF(입력란!$C$26=1,10,0))/100*(($AL245+IF(입력란!$C$30=1,IF(OR(입력란!$C$9=1,입력란!$C$10=1),55,17),IF(입력란!$C$30=2,IF(OR(입력란!$C$9=1,입력란!$C$10=1),60,20),IF(입력란!$C$30=3,IF(OR(입력란!$C$9=1,입력란!$C$10=1),65,22),0))))/100-1))</f>
        <v>588236.47465951543</v>
      </c>
      <c r="K245" s="21">
        <f>T245*(1+IF($AK245+IF(입력란!$C$9=1,10,0)+IF(입력란!$C$26=1,10,0)&gt;100,100,$AK245+IF(입력란!$C$9=1,10,0)+IF(입력란!$C$26=1,10,0))/100*(($AL245+IF(입력란!$C$30=1,IF(OR(입력란!$C$9=1,입력란!$C$10=1),55,17),IF(입력란!$C$30=2,IF(OR(입력란!$C$9=1,입력란!$C$10=1),60,20),IF(입력란!$C$30=3,IF(OR(입력란!$C$9=1,입력란!$C$10=1),65,22),0))))/100-1))</f>
        <v>748658.51485203754</v>
      </c>
      <c r="L245" s="21">
        <f>U245*(1+IF($AK245+IF(입력란!$C$9=1,10,0)+IF(입력란!$C$26=1,10,0)&gt;100,100,$AK245+IF(입력란!$C$9=1,10,0)+IF(입력란!$C$26=1,10,0))/100*(($AL245+IF(입력란!$C$30=1,IF(OR(입력란!$C$9=1,입력란!$C$10=1),55,17),IF(입력란!$C$30=2,IF(OR(입력란!$C$9=1,입력란!$C$10=1),60,20),IF(입력란!$C$30=3,IF(OR(입력란!$C$9=1,입력란!$C$10=1),65,22),0))))/100-1))</f>
        <v>0</v>
      </c>
      <c r="M245" s="21"/>
      <c r="N245" s="21"/>
      <c r="O245" s="21"/>
      <c r="P245" s="21"/>
      <c r="Q245" s="20"/>
      <c r="R245" s="19">
        <f>SUM(S245:Z245)</f>
        <v>824319.24590173503</v>
      </c>
      <c r="S245" s="21">
        <f>AN245*IF(G245="근접",IF(MID(E245,1,1)="1",트라이포드!$D$17,트라이포드!$C$17),1)*IF(MID(E245,1,1)="2",트라이포드!$F$17,트라이포드!$E$17)*IF(MID(E245,3,1)="1",트라이포드!$J$17,트라이포드!$I$17)*IF(MID(E245,5,1)="2",트라이포드!$R$17,트라이포드!$Q$17)*(1+입력란!$P$17/100)*IF(입력란!$C$9=1,IF(입력란!$C$15=0,1.05,IF(입력란!$C$15=1,1.05*1.05,IF(입력란!$C$15=2,1.05*1.12,IF(입력란!$C$15=3,1.05*1.25)))),1)</f>
        <v>362702.12021692714</v>
      </c>
      <c r="T245" s="21">
        <f>AO245*IF(G245="근접",IF(MID(E245,1,1)="1",트라이포드!$D$17,트라이포드!$C$17),1)*IF(MID(E245,1,1)="2",트라이포드!$F$17,트라이포드!$E$17)*IF(MID(E245,3,1)="1",트라이포드!$J$17,트라이포드!$I$17)*IF(MID(E245,5,1)="2",트라이포드!$R$17,트라이포드!$Q$17)*(1+입력란!$P$17/100)*IF(입력란!$C$9=1,IF(입력란!$C$15=0,1.05,IF(입력란!$C$15=1,1.05*1.05,IF(입력란!$C$15=2,1.05*1.12,IF(입력란!$C$15=3,1.05*1.25)))),1)</f>
        <v>461617.12568480789</v>
      </c>
      <c r="U245" s="21">
        <f>AO245*IF(G245="근접",IF(MID(E245,1,1)="1",트라이포드!$D$17,트라이포드!$C$17),1)*IF(MID(E245,1,1)="2",트라이포드!$F$17,트라이포드!$E$17)*IF(MID(E245,3,1)="1",트라이포드!$J$17,트라이포드!$I$17)*IF(MID(E245,5,1)="1",트라이포드!P$17,트라이포드!O$17)*(1+입력란!$P$17/100)*IF(입력란!$C$9=1,IF(입력란!$C$15=0,1.05,IF(입력란!$C$15=1,1.05*1.05,IF(입력란!$C$15=2,1.05*1.12,IF(입력란!$C$15=3,1.05*1.25)))),1)</f>
        <v>0</v>
      </c>
      <c r="V245" s="21"/>
      <c r="W245" s="21"/>
      <c r="X245" s="21"/>
      <c r="Y245" s="21"/>
      <c r="Z245" s="20"/>
      <c r="AA245" s="21">
        <f>SUM(AB245:AI245)</f>
        <v>1648638.4918034701</v>
      </c>
      <c r="AB245" s="21">
        <f>S245*2</f>
        <v>725404.24043385428</v>
      </c>
      <c r="AC245" s="21">
        <f>T245*2</f>
        <v>923234.25136961578</v>
      </c>
      <c r="AD245" s="21">
        <f>U245*2</f>
        <v>0</v>
      </c>
      <c r="AE245" s="21"/>
      <c r="AF245" s="21"/>
      <c r="AG245" s="21"/>
      <c r="AH245" s="21"/>
      <c r="AI245" s="20"/>
      <c r="AJ245" s="21">
        <f>(AQ245-IF(MID(E245,3,1)="3",트라이포드!$N$17,트라이포드!$M$17))*(1-입력란!$P$10/100)</f>
        <v>23.711464126079999</v>
      </c>
      <c r="AK2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5" s="21">
        <f>입력란!$P$24+IF(입력란!$C$18=1,10,IF(입력란!$C$18=2,25,IF(입력란!$C$18=3,50,0)))+IF(입력란!$C$23&lt;&gt;0,-12)</f>
        <v>200</v>
      </c>
      <c r="AM245" s="21">
        <f>SUM(AN245:AP245)</f>
        <v>356380.93643394532</v>
      </c>
      <c r="AN245" s="21">
        <f>(VLOOKUP(C245,$B$4:$AJ$7,17,FALSE)+VLOOKUP(C245,$B$8:$AJ$11,17,FALSE)*입력란!$P$4)*IF(G245="근접",입력란!$P$27,IF(MID(E245,1,1)="2",입력란!$P$27,입력란!$P$26))*입력란!$P$25/100</f>
        <v>156808.32625481935</v>
      </c>
      <c r="AO245" s="21">
        <f>(VLOOKUP(C245,$B$4:$AJ$7,18,FALSE)+VLOOKUP(C245,$B$8:$AJ$11,18,FALSE)*입력란!$P$4)*IF(G245="근접",입력란!$P$27,IF(MID(E245,1,1)="2",입력란!$P$27,입력란!$P$26))*입력란!$P$25/100</f>
        <v>199572.61017912597</v>
      </c>
      <c r="AP245" s="21"/>
      <c r="AQ245" s="22">
        <v>24</v>
      </c>
    </row>
    <row r="246" spans="2:43" ht="13.5" customHeight="1" x14ac:dyDescent="0.55000000000000004">
      <c r="B246" s="66">
        <v>231</v>
      </c>
      <c r="C246" s="29">
        <v>7</v>
      </c>
      <c r="D246" s="67" t="s">
        <v>183</v>
      </c>
      <c r="E246" s="27" t="s">
        <v>189</v>
      </c>
      <c r="F246" s="29"/>
      <c r="G246" s="29" t="s">
        <v>200</v>
      </c>
      <c r="H246" s="36">
        <f>I246/AJ246</f>
        <v>91425.918642004413</v>
      </c>
      <c r="I246" s="37">
        <f>SUM(J246:Q246)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1716208.5588084219</v>
      </c>
      <c r="J246" s="21">
        <f>S246*(1+IF($AK246+IF(입력란!$C$9=1,10,0)+IF(입력란!$C$26=1,10,0)&gt;100,100,$AK246+IF(입력란!$C$9=1,10,0)+IF(입력란!$C$26=1,10,0))/100*(($AL246+IF(입력란!$C$30=1,IF(OR(입력란!$C$9=1,입력란!$C$10=1),55,17),IF(입력란!$C$30=2,IF(OR(입력란!$C$9=1,입력란!$C$10=1),60,20),IF(입력란!$C$30=3,IF(OR(입력란!$C$9=1,입력란!$C$10=1),65,22),0))))/100-1))</f>
        <v>534760.43150865042</v>
      </c>
      <c r="K246" s="21">
        <f>T246*(1+IF($AK246+IF(입력란!$C$9=1,10,0)+IF(입력란!$C$26=1,10,0)&gt;100,100,$AK246+IF(입력란!$C$9=1,10,0)+IF(입력란!$C$26=1,10,0))/100*(($AL246+IF(입력란!$C$30=1,IF(OR(입력란!$C$9=1,입력란!$C$10=1),55,17),IF(입력란!$C$30=2,IF(OR(입력란!$C$9=1,입력란!$C$10=1),60,20),IF(입력란!$C$30=3,IF(OR(입력란!$C$9=1,입력란!$C$10=1),65,22),0))))/100-1))</f>
        <v>680598.64986548864</v>
      </c>
      <c r="L246" s="21">
        <f>U246*(1+IF($AK246+IF(입력란!$C$9=1,10,0)+IF(입력란!$C$26=1,10,0)&gt;100,100,$AK246+IF(입력란!$C$9=1,10,0)+IF(입력란!$C$26=1,10,0))/100*(($AL246+IF(입력란!$C$30=1,IF(OR(입력란!$C$9=1,입력란!$C$10=1),55,17),IF(입력란!$C$30=2,IF(OR(입력란!$C$9=1,입력란!$C$10=1),60,20),IF(입력란!$C$30=3,IF(OR(입력란!$C$9=1,입력란!$C$10=1),65,22),0))))/100-1))</f>
        <v>0</v>
      </c>
      <c r="M246" s="21"/>
      <c r="N246" s="21"/>
      <c r="O246" s="21"/>
      <c r="P246" s="21"/>
      <c r="Q246" s="20"/>
      <c r="R246" s="19">
        <f>SUM(S246:Z246)</f>
        <v>749381.13263794093</v>
      </c>
      <c r="S246" s="21">
        <f>AN246*IF(G246="근접",IF(MID(E246,1,1)="1",트라이포드!$D$17,트라이포드!$C$17),1)*IF(MID(E246,1,1)="2",트라이포드!$F$17,트라이포드!$E$17)*IF(MID(E246,3,1)="1",트라이포드!$J$17,트라이포드!$I$17)*IF(MID(E246,5,1)="2",트라이포드!$R$17,트라이포드!$Q$17)*(1+입력란!$P$17/100)*IF(입력란!$C$9=1,IF(입력란!$C$15=0,1.05,IF(입력란!$C$15=1,1.05*1.05,IF(입력란!$C$15=2,1.05*1.12,IF(입력란!$C$15=3,1.05*1.25)))),1)</f>
        <v>329729.20019720652</v>
      </c>
      <c r="T246" s="21">
        <f>AO246*IF(G246="근접",IF(MID(E246,1,1)="1",트라이포드!$D$17,트라이포드!$C$17),1)*IF(MID(E246,1,1)="2",트라이포드!$F$17,트라이포드!$E$17)*IF(MID(E246,3,1)="1",트라이포드!$J$17,트라이포드!$I$17)*IF(MID(E246,5,1)="2",트라이포드!$R$17,트라이포드!$Q$17)*(1+입력란!$P$17/100)*IF(입력란!$C$9=1,IF(입력란!$C$15=0,1.05,IF(입력란!$C$15=1,1.05*1.05,IF(입력란!$C$15=2,1.05*1.12,IF(입력란!$C$15=3,1.05*1.25)))),1)</f>
        <v>419651.93244073441</v>
      </c>
      <c r="U246" s="21">
        <f>AO246*IF(G246="근접",IF(MID(E246,1,1)="1",트라이포드!$D$17,트라이포드!$C$17),1)*IF(MID(E246,1,1)="2",트라이포드!$F$17,트라이포드!$E$17)*IF(MID(E246,3,1)="1",트라이포드!$J$17,트라이포드!$I$17)*IF(MID(E246,5,1)="1",트라이포드!P$17,트라이포드!O$17)*(1+입력란!$P$17/100)*IF(입력란!$C$9=1,IF(입력란!$C$15=0,1.05,IF(입력란!$C$15=1,1.05*1.05,IF(입력란!$C$15=2,1.05*1.12,IF(입력란!$C$15=3,1.05*1.25)))),1)</f>
        <v>0</v>
      </c>
      <c r="V246" s="21"/>
      <c r="W246" s="21"/>
      <c r="X246" s="21"/>
      <c r="Y246" s="21"/>
      <c r="Z246" s="20"/>
      <c r="AA246" s="21">
        <f>SUM(AB246:AI246)</f>
        <v>1498762.2652758819</v>
      </c>
      <c r="AB246" s="21">
        <f>S246*2</f>
        <v>659458.40039441304</v>
      </c>
      <c r="AC246" s="21">
        <f>T246*2</f>
        <v>839303.86488146882</v>
      </c>
      <c r="AD246" s="21">
        <f>U246*2</f>
        <v>0</v>
      </c>
      <c r="AE246" s="21"/>
      <c r="AF246" s="21"/>
      <c r="AG246" s="21"/>
      <c r="AH246" s="21"/>
      <c r="AI246" s="20"/>
      <c r="AJ246" s="21">
        <f>(AQ246-IF(MID(E246,3,1)="3",트라이포드!$N$17,트라이포드!$M$17))*(1-입력란!$P$10/100)</f>
        <v>18.771575766479998</v>
      </c>
      <c r="AK2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6" s="21">
        <f>입력란!$P$24+IF(입력란!$C$18=1,10,IF(입력란!$C$18=2,25,IF(입력란!$C$18=3,50,0)))+IF(입력란!$C$23&lt;&gt;0,-12)</f>
        <v>200</v>
      </c>
      <c r="AM246" s="21">
        <f>SUM(AN246:AP246)</f>
        <v>356380.93643394532</v>
      </c>
      <c r="AN246" s="21">
        <f>(VLOOKUP(C246,$B$4:$AJ$7,17,FALSE)+VLOOKUP(C246,$B$8:$AJ$11,17,FALSE)*입력란!$P$4)*IF(G246="근접",입력란!$P$27,IF(MID(E246,1,1)="2",입력란!$P$27,입력란!$P$26))*입력란!$P$25/100</f>
        <v>156808.32625481935</v>
      </c>
      <c r="AO246" s="21">
        <f>(VLOOKUP(C246,$B$4:$AJ$7,18,FALSE)+VLOOKUP(C246,$B$8:$AJ$11,18,FALSE)*입력란!$P$4)*IF(G246="근접",입력란!$P$27,IF(MID(E246,1,1)="2",입력란!$P$27,입력란!$P$26))*입력란!$P$25/100</f>
        <v>199572.61017912597</v>
      </c>
      <c r="AP246" s="21"/>
      <c r="AQ246" s="22">
        <v>24</v>
      </c>
    </row>
    <row r="247" spans="2:43" ht="13.5" customHeight="1" x14ac:dyDescent="0.55000000000000004">
      <c r="B247" s="66">
        <v>232</v>
      </c>
      <c r="C247" s="29">
        <v>7</v>
      </c>
      <c r="D247" s="67" t="s">
        <v>46</v>
      </c>
      <c r="E247" s="27" t="s">
        <v>348</v>
      </c>
      <c r="F247" s="29"/>
      <c r="G247" s="29" t="s">
        <v>37</v>
      </c>
      <c r="H247" s="36">
        <f>I247/AJ247</f>
        <v>80454.8084049639</v>
      </c>
      <c r="I247" s="37">
        <f>SUM(J247:Q247)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1510263.5317514115</v>
      </c>
      <c r="J247" s="21">
        <f>S247*(1+IF($AK247+IF(입력란!$C$9=1,10,0)+IF(입력란!$C$26=1,10,0)&gt;100,100,$AK247+IF(입력란!$C$9=1,10,0)+IF(입력란!$C$26=1,10,0))/100*(($AL247+IF(입력란!$C$30=1,IF(OR(입력란!$C$9=1,입력란!$C$10=1),55,17),IF(입력란!$C$30=2,IF(OR(입력란!$C$9=1,입력란!$C$10=1),60,20),IF(입력란!$C$30=3,IF(OR(입력란!$C$9=1,입력란!$C$10=1),65,22),0))))/100-1))</f>
        <v>470589.17972761235</v>
      </c>
      <c r="K247" s="21">
        <f>T247*(1+IF($AK247+IF(입력란!$C$9=1,10,0)+IF(입력란!$C$26=1,10,0)&gt;100,100,$AK247+IF(입력란!$C$9=1,10,0)+IF(입력란!$C$26=1,10,0))/100*(($AL247+IF(입력란!$C$30=1,IF(OR(입력란!$C$9=1,입력란!$C$10=1),55,17),IF(입력란!$C$30=2,IF(OR(입력란!$C$9=1,입력란!$C$10=1),60,20),IF(입력란!$C$30=3,IF(OR(입력란!$C$9=1,입력란!$C$10=1),65,22),0))))/100-1))</f>
        <v>598926.8118816301</v>
      </c>
      <c r="L247" s="21">
        <f>U247*(1+IF($AK247+IF(입력란!$C$9=1,10,0)+IF(입력란!$C$26=1,10,0)&gt;100,100,$AK247+IF(입력란!$C$9=1,10,0)+IF(입력란!$C$26=1,10,0))/100*(($AL247+IF(입력란!$C$30=1,IF(OR(입력란!$C$9=1,입력란!$C$10=1),55,17),IF(입력란!$C$30=2,IF(OR(입력란!$C$9=1,입력란!$C$10=1),60,20),IF(입력란!$C$30=3,IF(OR(입력란!$C$9=1,입력란!$C$10=1),65,22),0))))/100-1))</f>
        <v>0</v>
      </c>
      <c r="M247" s="21"/>
      <c r="N247" s="21"/>
      <c r="O247" s="21"/>
      <c r="P247" s="21"/>
      <c r="Q247" s="20"/>
      <c r="R247" s="19">
        <f>SUM(S247:Z247)</f>
        <v>659455.39672138798</v>
      </c>
      <c r="S247" s="21">
        <f>AN247*IF(G247="근접",IF(MID(E247,1,1)="1",트라이포드!$D$17,트라이포드!$C$17),1)*IF(MID(E247,1,1)="2",트라이포드!$F$17,트라이포드!$E$17)*IF(MID(E247,3,1)="1",트라이포드!$J$17,트라이포드!$I$17)*IF(MID(E247,5,1)="2",트라이포드!$R$17,트라이포드!$Q$17)*(1+입력란!$P$17/100)*IF(입력란!$C$9=1,IF(입력란!$C$15=0,1.05,IF(입력란!$C$15=1,1.05*1.05,IF(입력란!$C$15=2,1.05*1.12,IF(입력란!$C$15=3,1.05*1.25)))),1)</f>
        <v>290161.69617354171</v>
      </c>
      <c r="T247" s="21">
        <f>AO247*IF(G247="근접",IF(MID(E247,1,1)="1",트라이포드!$D$17,트라이포드!$C$17),1)*IF(MID(E247,1,1)="2",트라이포드!$F$17,트라이포드!$E$17)*IF(MID(E247,3,1)="1",트라이포드!$J$17,트라이포드!$I$17)*IF(MID(E247,5,1)="2",트라이포드!$R$17,트라이포드!$Q$17)*(1+입력란!$P$17/100)*IF(입력란!$C$9=1,IF(입력란!$C$15=0,1.05,IF(입력란!$C$15=1,1.05*1.05,IF(입력란!$C$15=2,1.05*1.12,IF(입력란!$C$15=3,1.05*1.25)))),1)</f>
        <v>369293.70054784633</v>
      </c>
      <c r="U247" s="21">
        <f>AO247*IF(G247="근접",IF(MID(E247,1,1)="1",트라이포드!$D$17,트라이포드!$C$17),1)*IF(MID(E247,1,1)="2",트라이포드!$F$17,트라이포드!$E$17)*IF(MID(E247,3,1)="1",트라이포드!$J$17,트라이포드!$I$17)*IF(MID(E247,5,1)="1",트라이포드!P$17,트라이포드!O$17)*(1+입력란!$P$17/100)*IF(입력란!$C$9=1,IF(입력란!$C$15=0,1.05,IF(입력란!$C$15=1,1.05*1.05,IF(입력란!$C$15=2,1.05*1.12,IF(입력란!$C$15=3,1.05*1.25)))),1)</f>
        <v>0</v>
      </c>
      <c r="V247" s="21"/>
      <c r="W247" s="21"/>
      <c r="X247" s="21"/>
      <c r="Y247" s="21"/>
      <c r="Z247" s="20"/>
      <c r="AA247" s="21">
        <f>SUM(AB247:AI247)</f>
        <v>1318910.793442776</v>
      </c>
      <c r="AB247" s="21">
        <f>S247*2</f>
        <v>580323.39234708343</v>
      </c>
      <c r="AC247" s="21">
        <f>T247*2</f>
        <v>738587.40109569265</v>
      </c>
      <c r="AD247" s="21">
        <f>U247*2</f>
        <v>0</v>
      </c>
      <c r="AE247" s="21"/>
      <c r="AF247" s="21"/>
      <c r="AG247" s="21"/>
      <c r="AH247" s="21"/>
      <c r="AI247" s="20"/>
      <c r="AJ247" s="21">
        <f>(AQ247-IF(MID(E247,3,1)="3",트라이포드!$N$17,트라이포드!$M$17))*(1-입력란!$P$10/100)</f>
        <v>18.771575766479998</v>
      </c>
      <c r="AK2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7" s="21">
        <f>입력란!$P$24+IF(입력란!$C$18=1,10,IF(입력란!$C$18=2,25,IF(입력란!$C$18=3,50,0)))+IF(입력란!$C$23&lt;&gt;0,-12)</f>
        <v>200</v>
      </c>
      <c r="AM247" s="21">
        <f>SUM(AN247:AP247)</f>
        <v>356380.93643394532</v>
      </c>
      <c r="AN247" s="21">
        <f>(VLOOKUP(C247,$B$4:$AJ$7,17,FALSE)+VLOOKUP(C247,$B$8:$AJ$11,17,FALSE)*입력란!$P$4)*IF(G247="근접",입력란!$P$27,IF(MID(E247,1,1)="2",입력란!$P$27,입력란!$P$26))*입력란!$P$25/100</f>
        <v>156808.32625481935</v>
      </c>
      <c r="AO247" s="21">
        <f>(VLOOKUP(C247,$B$4:$AJ$7,18,FALSE)+VLOOKUP(C247,$B$8:$AJ$11,18,FALSE)*입력란!$P$4)*IF(G247="근접",입력란!$P$27,IF(MID(E247,1,1)="2",입력란!$P$27,입력란!$P$26))*입력란!$P$25/100</f>
        <v>199572.61017912597</v>
      </c>
      <c r="AP247" s="21"/>
      <c r="AQ247" s="22">
        <v>24</v>
      </c>
    </row>
    <row r="248" spans="2:43" ht="13.5" customHeight="1" x14ac:dyDescent="0.55000000000000004">
      <c r="B248" s="66">
        <v>233</v>
      </c>
      <c r="C248" s="29">
        <v>10</v>
      </c>
      <c r="D248" s="67" t="s">
        <v>183</v>
      </c>
      <c r="E248" s="27" t="s">
        <v>184</v>
      </c>
      <c r="F248" s="29"/>
      <c r="G248" s="29" t="s">
        <v>200</v>
      </c>
      <c r="H248" s="36">
        <f>I248/AJ248</f>
        <v>57921.518230923073</v>
      </c>
      <c r="I248" s="37">
        <f>SUM(J248:Q248)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1373404.001660621</v>
      </c>
      <c r="J248" s="21">
        <f>S248*(1+IF($AK248+IF(입력란!$C$9=1,10,0)+IF(입력란!$C$26=1,10,0)&gt;100,100,$AK248+IF(입력란!$C$9=1,10,0)+IF(입력란!$C$26=1,10,0))/100*(($AL248+IF(입력란!$C$30=1,IF(OR(입력란!$C$9=1,입력란!$C$10=1),55,17),IF(입력란!$C$30=2,IF(OR(입력란!$C$9=1,입력란!$C$10=1),60,20),IF(입력란!$C$30=3,IF(OR(입력란!$C$9=1,입력란!$C$10=1),65,22),0))))/100-1))</f>
        <v>427939.125659835</v>
      </c>
      <c r="K248" s="21">
        <f>T248*(1+IF($AK248+IF(입력란!$C$9=1,10,0)+IF(입력란!$C$26=1,10,0)&gt;100,100,$AK248+IF(입력란!$C$9=1,10,0)+IF(입력란!$C$26=1,10,0))/100*(($AL248+IF(입력란!$C$30=1,IF(OR(입력란!$C$9=1,입력란!$C$10=1),55,17),IF(입력란!$C$30=2,IF(OR(입력란!$C$9=1,입력란!$C$10=1),60,20),IF(입력란!$C$30=3,IF(OR(입력란!$C$9=1,입력란!$C$10=1),65,22),0))))/100-1))</f>
        <v>544657.71709961619</v>
      </c>
      <c r="L248" s="21">
        <f>U248*(1+IF($AK248+IF(입력란!$C$9=1,10,0)+IF(입력란!$C$26=1,10,0)&gt;100,100,$AK248+IF(입력란!$C$9=1,10,0)+IF(입력란!$C$26=1,10,0))/100*(($AL248+IF(입력란!$C$30=1,IF(OR(입력란!$C$9=1,입력란!$C$10=1),55,17),IF(입력란!$C$30=2,IF(OR(입력란!$C$9=1,입력란!$C$10=1),60,20),IF(입력란!$C$30=3,IF(OR(입력란!$C$9=1,입력란!$C$10=1),65,22),0))))/100-1))</f>
        <v>0</v>
      </c>
      <c r="M248" s="21"/>
      <c r="N248" s="21"/>
      <c r="O248" s="21"/>
      <c r="P248" s="21"/>
      <c r="Q248" s="20"/>
      <c r="R248" s="19">
        <f>SUM(S248:Z248)</f>
        <v>599695.78933256282</v>
      </c>
      <c r="S248" s="21">
        <f>AN248*IF(G248="근접",IF(MID(E248,1,1)="1",트라이포드!$D$17,트라이포드!$C$17),1)*IF(MID(E248,1,1)="2",트라이포드!$F$17,트라이포드!$E$17)*IF(MID(E248,3,1)="1",트라이포드!$J$17,트라이포드!$I$17)*IF(MID(E248,5,1)="2",트라이포드!$R$17,트라이포드!$Q$17)*(1+입력란!$P$17/100)*IF(입력란!$C$9=1,IF(입력란!$C$15=0,1.05,IF(입력란!$C$15=1,1.05*1.05,IF(입력란!$C$15=2,1.05*1.12,IF(입력란!$C$15=3,1.05*1.25)))),1)</f>
        <v>263863.99838677427</v>
      </c>
      <c r="T248" s="21">
        <f>AO248*IF(G248="근접",IF(MID(E248,1,1)="1",트라이포드!$D$17,트라이포드!$C$17),1)*IF(MID(E248,1,1)="2",트라이포드!$F$17,트라이포드!$E$17)*IF(MID(E248,3,1)="1",트라이포드!$J$17,트라이포드!$I$17)*IF(MID(E248,5,1)="2",트라이포드!$R$17,트라이포드!$Q$17)*(1+입력란!$P$17/100)*IF(입력란!$C$9=1,IF(입력란!$C$15=0,1.05,IF(입력란!$C$15=1,1.05*1.05,IF(입력란!$C$15=2,1.05*1.12,IF(입력란!$C$15=3,1.05*1.25)))),1)</f>
        <v>335831.79094578861</v>
      </c>
      <c r="U248" s="21">
        <f>AO248*IF(G248="근접",IF(MID(E248,1,1)="1",트라이포드!$D$17,트라이포드!$C$17),1)*IF(MID(E248,1,1)="2",트라이포드!$F$17,트라이포드!$E$17)*IF(MID(E248,3,1)="1",트라이포드!$J$17,트라이포드!$I$17)*IF(MID(E248,5,1)="1",트라이포드!P$17,트라이포드!O$17)*(1+입력란!$P$17/100)*IF(입력란!$C$9=1,IF(입력란!$C$15=0,1.05,IF(입력란!$C$15=1,1.05*1.05,IF(입력란!$C$15=2,1.05*1.12,IF(입력란!$C$15=3,1.05*1.25)))),1)</f>
        <v>0</v>
      </c>
      <c r="V248" s="21"/>
      <c r="W248" s="21"/>
      <c r="X248" s="21"/>
      <c r="Y248" s="21"/>
      <c r="Z248" s="20"/>
      <c r="AA248" s="21">
        <f>SUM(AB248:AI248)</f>
        <v>1199391.5786651256</v>
      </c>
      <c r="AB248" s="21">
        <f>S248*2</f>
        <v>527727.99677354854</v>
      </c>
      <c r="AC248" s="21">
        <f>T248*2</f>
        <v>671663.58189157723</v>
      </c>
      <c r="AD248" s="21">
        <f>U248*2</f>
        <v>0</v>
      </c>
      <c r="AE248" s="21"/>
      <c r="AF248" s="21"/>
      <c r="AG248" s="21"/>
      <c r="AH248" s="21"/>
      <c r="AI248" s="20"/>
      <c r="AJ248" s="21">
        <f>(AQ248-IF(MID(E248,3,1)="3",트라이포드!$N$17,트라이포드!$M$17))*(1-입력란!$P$10/100)</f>
        <v>23.711464126079999</v>
      </c>
      <c r="AK2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8" s="21">
        <f>입력란!$P$24+IF(입력란!$C$18=1,10,IF(입력란!$C$18=2,25,IF(입력란!$C$18=3,50,0)))+IF(입력란!$C$23&lt;&gt;0,-12)</f>
        <v>200</v>
      </c>
      <c r="AM248" s="21">
        <f>SUM(AN248:AP248)</f>
        <v>356494.40863540256</v>
      </c>
      <c r="AN248" s="21">
        <f>(VLOOKUP(C248,$B$4:$AJ$7,17,FALSE)+VLOOKUP(C248,$B$8:$AJ$11,17,FALSE)*입력란!$P$4)*IF(G248="근접",입력란!$P$27,IF(MID(E248,1,1)="2",입력란!$P$27,입력란!$P$26))*입력란!$P$25/100</f>
        <v>156856.26235554798</v>
      </c>
      <c r="AO248" s="21">
        <f>(VLOOKUP(C248,$B$4:$AJ$7,18,FALSE)+VLOOKUP(C248,$B$8:$AJ$11,18,FALSE)*입력란!$P$4)*IF(G248="근접",입력란!$P$27,IF(MID(E248,1,1)="2",입력란!$P$27,입력란!$P$26))*입력란!$P$25/100</f>
        <v>199638.14627985461</v>
      </c>
      <c r="AP248" s="21"/>
      <c r="AQ248" s="22">
        <v>24</v>
      </c>
    </row>
    <row r="249" spans="2:43" ht="13.5" customHeight="1" x14ac:dyDescent="0.55000000000000004">
      <c r="B249" s="66">
        <v>234</v>
      </c>
      <c r="C249" s="29">
        <v>10</v>
      </c>
      <c r="D249" s="67" t="s">
        <v>183</v>
      </c>
      <c r="E249" s="27" t="s">
        <v>190</v>
      </c>
      <c r="F249" s="29"/>
      <c r="G249" s="29" t="s">
        <v>200</v>
      </c>
      <c r="H249" s="36">
        <f>I249/AJ249</f>
        <v>109819.53065069132</v>
      </c>
      <c r="I249" s="37">
        <f>SUM(J249:Q249)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2603981.8613668103</v>
      </c>
      <c r="J249" s="21">
        <f>S249*(1+IF($AK249+IF(입력란!$C$9=1,10,0)+IF(입력란!$C$26=1,10,0)&gt;100,100,$AK249+IF(입력란!$C$9=1,10,0)+IF(입력란!$C$26=1,10,0))/100*(($AL249+IF(입력란!$C$30=1,IF(OR(입력란!$C$9=1,입력란!$C$10=1),55,17),IF(입력란!$C$30=2,IF(OR(입력란!$C$9=1,입력란!$C$10=1),60,20),IF(입력란!$C$30=3,IF(OR(입력란!$C$9=1,입력란!$C$10=1),65,22),0))))/100-1))</f>
        <v>427939.125659835</v>
      </c>
      <c r="K249" s="21">
        <f>T249*(1+IF($AK249+IF(입력란!$C$9=1,10,0)+IF(입력란!$C$26=1,10,0)&gt;100,100,$AK249+IF(입력란!$C$9=1,10,0)+IF(입력란!$C$26=1,10,0))/100*(($AL249+IF(입력란!$C$30=1,IF(OR(입력란!$C$9=1,입력란!$C$10=1),55,17),IF(입력란!$C$30=2,IF(OR(입력란!$C$9=1,입력란!$C$10=1),60,20),IF(입력란!$C$30=3,IF(OR(입력란!$C$9=1,입력란!$C$10=1),65,22),0))))/100-1))</f>
        <v>544657.71709961619</v>
      </c>
      <c r="L249" s="21">
        <f>U249*(1+IF($AK249+IF(입력란!$C$9=1,10,0)+IF(입력란!$C$26=1,10,0)&gt;100,100,$AK249+IF(입력란!$C$9=1,10,0)+IF(입력란!$C$26=1,10,0))/100*(($AL249+IF(입력란!$C$30=1,IF(OR(입력란!$C$9=1,입력란!$C$10=1),55,17),IF(입력란!$C$30=2,IF(OR(입력란!$C$9=1,입력란!$C$10=1),60,20),IF(입력란!$C$30=3,IF(OR(입력란!$C$9=1,입력란!$C$10=1),65,22),0))))/100-1))</f>
        <v>871452.34735938604</v>
      </c>
      <c r="M249" s="21"/>
      <c r="N249" s="21"/>
      <c r="O249" s="21"/>
      <c r="P249" s="21"/>
      <c r="Q249" s="20"/>
      <c r="R249" s="19">
        <f>SUM(S249:Z249)</f>
        <v>1137026.6548458247</v>
      </c>
      <c r="S249" s="21">
        <f>AN249*IF(G249="근접",IF(MID(E249,1,1)="1",트라이포드!$D$17,트라이포드!$C$17),1)*IF(MID(E249,1,1)="2",트라이포드!$F$17,트라이포드!$E$17)*IF(MID(E249,3,1)="1",트라이포드!$J$17,트라이포드!$I$17)*IF(MID(E249,5,1)="2",트라이포드!$R$17,트라이포드!$Q$17)*(1+입력란!$P$17/100)*IF(입력란!$C$9=1,IF(입력란!$C$15=0,1.05,IF(입력란!$C$15=1,1.05*1.05,IF(입력란!$C$15=2,1.05*1.12,IF(입력란!$C$15=3,1.05*1.25)))),1)</f>
        <v>263863.99838677427</v>
      </c>
      <c r="T249" s="21">
        <f>AO249*IF(G249="근접",IF(MID(E249,1,1)="1",트라이포드!$D$17,트라이포드!$C$17),1)*IF(MID(E249,1,1)="2",트라이포드!$F$17,트라이포드!$E$17)*IF(MID(E249,3,1)="1",트라이포드!$J$17,트라이포드!$I$17)*IF(MID(E249,5,1)="2",트라이포드!$R$17,트라이포드!$Q$17)*(1+입력란!$P$17/100)*IF(입력란!$C$9=1,IF(입력란!$C$15=0,1.05,IF(입력란!$C$15=1,1.05*1.05,IF(입력란!$C$15=2,1.05*1.12,IF(입력란!$C$15=3,1.05*1.25)))),1)</f>
        <v>335831.79094578861</v>
      </c>
      <c r="U249" s="21">
        <f>AO249*IF(G249="근접",IF(MID(E249,1,1)="1",트라이포드!$D$17,트라이포드!$C$17),1)*IF(MID(E249,1,1)="2",트라이포드!$F$17,트라이포드!$E$17)*IF(MID(E249,3,1)="1",트라이포드!$J$17,트라이포드!$I$17)*IF(MID(E249,5,1)="1",트라이포드!P$17,트라이포드!O$17)*(1+입력란!$P$17/100)*IF(입력란!$C$9=1,IF(입력란!$C$15=0,1.05,IF(입력란!$C$15=1,1.05*1.05,IF(입력란!$C$15=2,1.05*1.12,IF(입력란!$C$15=3,1.05*1.25)))),1)</f>
        <v>537330.86551326187</v>
      </c>
      <c r="V249" s="21"/>
      <c r="W249" s="21"/>
      <c r="X249" s="21"/>
      <c r="Y249" s="21"/>
      <c r="Z249" s="20"/>
      <c r="AA249" s="21">
        <f>SUM(AB249:AI249)</f>
        <v>2274053.3096916494</v>
      </c>
      <c r="AB249" s="21">
        <f>S249*2</f>
        <v>527727.99677354854</v>
      </c>
      <c r="AC249" s="21">
        <f>T249*2</f>
        <v>671663.58189157723</v>
      </c>
      <c r="AD249" s="21">
        <f>U249*2</f>
        <v>1074661.7310265237</v>
      </c>
      <c r="AE249" s="21"/>
      <c r="AF249" s="21"/>
      <c r="AG249" s="21"/>
      <c r="AH249" s="21"/>
      <c r="AI249" s="20"/>
      <c r="AJ249" s="21">
        <f>(AQ249-IF(MID(E249,3,1)="3",트라이포드!$N$17,트라이포드!$M$17))*(1-입력란!$P$10/100)</f>
        <v>23.711464126079999</v>
      </c>
      <c r="AK2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49" s="21">
        <f>입력란!$P$24+IF(입력란!$C$18=1,10,IF(입력란!$C$18=2,25,IF(입력란!$C$18=3,50,0)))+IF(입력란!$C$23&lt;&gt;0,-12)</f>
        <v>200</v>
      </c>
      <c r="AM249" s="21">
        <f>SUM(AN249:AP249)</f>
        <v>356494.40863540256</v>
      </c>
      <c r="AN249" s="21">
        <f>(VLOOKUP(C249,$B$4:$AJ$7,17,FALSE)+VLOOKUP(C249,$B$8:$AJ$11,17,FALSE)*입력란!$P$4)*IF(G249="근접",입력란!$P$27,IF(MID(E249,1,1)="2",입력란!$P$27,입력란!$P$26))*입력란!$P$25/100</f>
        <v>156856.26235554798</v>
      </c>
      <c r="AO249" s="21">
        <f>(VLOOKUP(C249,$B$4:$AJ$7,18,FALSE)+VLOOKUP(C249,$B$8:$AJ$11,18,FALSE)*입력란!$P$4)*IF(G249="근접",입력란!$P$27,IF(MID(E249,1,1)="2",입력란!$P$27,입력란!$P$26))*입력란!$P$25/100</f>
        <v>199638.14627985461</v>
      </c>
      <c r="AP249" s="21"/>
      <c r="AQ249" s="22">
        <v>24</v>
      </c>
    </row>
    <row r="250" spans="2:43" ht="13.5" customHeight="1" x14ac:dyDescent="0.55000000000000004">
      <c r="B250" s="66">
        <v>235</v>
      </c>
      <c r="C250" s="29">
        <v>10</v>
      </c>
      <c r="D250" s="67" t="s">
        <v>183</v>
      </c>
      <c r="E250" s="27" t="s">
        <v>191</v>
      </c>
      <c r="F250" s="29" t="s">
        <v>216</v>
      </c>
      <c r="G250" s="29" t="s">
        <v>200</v>
      </c>
      <c r="H250" s="36">
        <f>I250/AJ250</f>
        <v>104258.73281566154</v>
      </c>
      <c r="I250" s="37">
        <f>SUM(J250:Q250)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2472127.2029891182</v>
      </c>
      <c r="J250" s="21">
        <f>S250*(1+IF($AK250+IF(입력란!$C$9=1,10,0)+IF(입력란!$C$26=1,10,0)&gt;100,100,$AK250+IF(입력란!$C$9=1,10,0)+IF(입력란!$C$26=1,10,0))/100*(($AL250+IF(입력란!$C$30=1,IF(OR(입력란!$C$9=1,입력란!$C$10=1),55,17),IF(입력란!$C$30=2,IF(OR(입력란!$C$9=1,입력란!$C$10=1),60,20),IF(입력란!$C$30=3,IF(OR(입력란!$C$9=1,입력란!$C$10=1),65,22),0))))/100-1))</f>
        <v>770290.42618770315</v>
      </c>
      <c r="K250" s="21">
        <f>T250*(1+IF($AK250+IF(입력란!$C$9=1,10,0)+IF(입력란!$C$26=1,10,0)&gt;100,100,$AK250+IF(입력란!$C$9=1,10,0)+IF(입력란!$C$26=1,10,0))/100*(($AL250+IF(입력란!$C$30=1,IF(OR(입력란!$C$9=1,입력란!$C$10=1),55,17),IF(입력란!$C$30=2,IF(OR(입력란!$C$9=1,입력란!$C$10=1),60,20),IF(입력란!$C$30=3,IF(OR(입력란!$C$9=1,입력란!$C$10=1),65,22),0))))/100-1))</f>
        <v>980383.89077930897</v>
      </c>
      <c r="L250" s="21">
        <f>U250*(1+IF($AK250+IF(입력란!$C$9=1,10,0)+IF(입력란!$C$26=1,10,0)&gt;100,100,$AK250+IF(입력란!$C$9=1,10,0)+IF(입력란!$C$26=1,10,0))/100*(($AL250+IF(입력란!$C$30=1,IF(OR(입력란!$C$9=1,입력란!$C$10=1),55,17),IF(입력란!$C$30=2,IF(OR(입력란!$C$9=1,입력란!$C$10=1),60,20),IF(입력란!$C$30=3,IF(OR(입력란!$C$9=1,입력란!$C$10=1),65,22),0))))/100-1))</f>
        <v>0</v>
      </c>
      <c r="M250" s="21"/>
      <c r="N250" s="21"/>
      <c r="O250" s="21"/>
      <c r="P250" s="21"/>
      <c r="Q250" s="20"/>
      <c r="R250" s="19">
        <f>SUM(S250:Z250)</f>
        <v>1079452.4207986132</v>
      </c>
      <c r="S250" s="21">
        <f>AN250*IF(G250="근접",IF(MID(E250,1,1)="1",트라이포드!$D$17,트라이포드!$C$17),1)*IF(MID(E250,1,1)="2",트라이포드!$F$17,트라이포드!$E$17)*IF(MID(E250,3,1)="1",트라이포드!$J$17,트라이포드!$I$17)*IF(MID(E250,5,1)="2",트라이포드!$R$17,트라이포드!$Q$17)*(1+입력란!$P$17/100)*IF(입력란!$C$9=1,IF(입력란!$C$15=0,1.05,IF(입력란!$C$15=1,1.05*1.05,IF(입력란!$C$15=2,1.05*1.12,IF(입력란!$C$15=3,1.05*1.25)))),1)</f>
        <v>474955.19709619373</v>
      </c>
      <c r="T250" s="21">
        <f>AO250*IF(G250="근접",IF(MID(E250,1,1)="1",트라이포드!$D$17,트라이포드!$C$17),1)*IF(MID(E250,1,1)="2",트라이포드!$F$17,트라이포드!$E$17)*IF(MID(E250,3,1)="1",트라이포드!$J$17,트라이포드!$I$17)*IF(MID(E250,5,1)="2",트라이포드!$R$17,트라이포드!$Q$17)*(1+입력란!$P$17/100)*IF(입력란!$C$9=1,IF(입력란!$C$15=0,1.05,IF(입력란!$C$15=1,1.05*1.05,IF(입력란!$C$15=2,1.05*1.12,IF(입력란!$C$15=3,1.05*1.25)))),1)</f>
        <v>604497.22370241943</v>
      </c>
      <c r="U250" s="21">
        <f>AO250*IF(G250="근접",IF(MID(E250,1,1)="1",트라이포드!$D$17,트라이포드!$C$17),1)*IF(MID(E250,1,1)="2",트라이포드!$F$17,트라이포드!$E$17)*IF(MID(E250,3,1)="1",트라이포드!$J$17,트라이포드!$I$17)*IF(MID(E250,5,1)="1",트라이포드!P$17,트라이포드!O$17)*(1+입력란!$P$17/100)*IF(입력란!$C$9=1,IF(입력란!$C$15=0,1.05,IF(입력란!$C$15=1,1.05*1.05,IF(입력란!$C$15=2,1.05*1.12,IF(입력란!$C$15=3,1.05*1.25)))),1)</f>
        <v>0</v>
      </c>
      <c r="V250" s="21"/>
      <c r="W250" s="21"/>
      <c r="X250" s="21"/>
      <c r="Y250" s="21"/>
      <c r="Z250" s="20"/>
      <c r="AA250" s="21">
        <f>SUM(AB250:AI250)</f>
        <v>2158904.8415972264</v>
      </c>
      <c r="AB250" s="21">
        <f>S250*2</f>
        <v>949910.39419238747</v>
      </c>
      <c r="AC250" s="21">
        <f>T250*2</f>
        <v>1208994.4474048389</v>
      </c>
      <c r="AD250" s="21">
        <f>U250*2</f>
        <v>0</v>
      </c>
      <c r="AE250" s="21"/>
      <c r="AF250" s="21"/>
      <c r="AG250" s="21"/>
      <c r="AH250" s="21"/>
      <c r="AI250" s="20"/>
      <c r="AJ250" s="21">
        <f>(AQ250-IF(MID(E250,3,1)="3",트라이포드!$N$17,트라이포드!$M$17))*(1-입력란!$P$10/100)</f>
        <v>23.711464126079999</v>
      </c>
      <c r="AK2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0" s="21">
        <f>입력란!$P$24+IF(입력란!$C$18=1,10,IF(입력란!$C$18=2,25,IF(입력란!$C$18=3,50,0)))+IF(입력란!$C$23&lt;&gt;0,-12)</f>
        <v>200</v>
      </c>
      <c r="AM250" s="21">
        <f>SUM(AN250:AP250)</f>
        <v>356494.40863540256</v>
      </c>
      <c r="AN250" s="21">
        <f>(VLOOKUP(C250,$B$4:$AJ$7,17,FALSE)+VLOOKUP(C250,$B$8:$AJ$11,17,FALSE)*입력란!$P$4)*IF(G250="근접",입력란!$P$27,IF(MID(E250,1,1)="2",입력란!$P$27,입력란!$P$26))*입력란!$P$25/100</f>
        <v>156856.26235554798</v>
      </c>
      <c r="AO250" s="21">
        <f>(VLOOKUP(C250,$B$4:$AJ$7,18,FALSE)+VLOOKUP(C250,$B$8:$AJ$11,18,FALSE)*입력란!$P$4)*IF(G250="근접",입력란!$P$27,IF(MID(E250,1,1)="2",입력란!$P$27,입력란!$P$26))*입력란!$P$25/100</f>
        <v>199638.14627985461</v>
      </c>
      <c r="AP250" s="21"/>
      <c r="AQ250" s="22">
        <v>24</v>
      </c>
    </row>
    <row r="251" spans="2:43" ht="13.5" customHeight="1" x14ac:dyDescent="0.55000000000000004">
      <c r="B251" s="66">
        <v>236</v>
      </c>
      <c r="C251" s="29">
        <v>10</v>
      </c>
      <c r="D251" s="67" t="s">
        <v>183</v>
      </c>
      <c r="E251" s="27" t="s">
        <v>192</v>
      </c>
      <c r="F251" s="29"/>
      <c r="G251" s="29" t="s">
        <v>200</v>
      </c>
      <c r="H251" s="36">
        <f>I251/AJ251</f>
        <v>137274.41331336417</v>
      </c>
      <c r="I251" s="37">
        <f>SUM(J251:Q251)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3254977.3267085133</v>
      </c>
      <c r="J251" s="21">
        <f>S251*(1+IF($AK251+IF(입력란!$C$9=1,10,0)+IF(입력란!$C$26=1,10,0)&gt;100,100,$AK251+IF(입력란!$C$9=1,10,0)+IF(입력란!$C$26=1,10,0))/100*(($AL251+IF(입력란!$C$30=1,IF(OR(입력란!$C$9=1,입력란!$C$10=1),55,17),IF(입력란!$C$30=2,IF(OR(입력란!$C$9=1,입력란!$C$10=1),60,20),IF(입력란!$C$30=3,IF(OR(입력란!$C$9=1,입력란!$C$10=1),65,22),0))))/100-1))</f>
        <v>534923.90707479371</v>
      </c>
      <c r="K251" s="21">
        <f>T251*(1+IF($AK251+IF(입력란!$C$9=1,10,0)+IF(입력란!$C$26=1,10,0)&gt;100,100,$AK251+IF(입력란!$C$9=1,10,0)+IF(입력란!$C$26=1,10,0))/100*(($AL251+IF(입력란!$C$30=1,IF(OR(입력란!$C$9=1,입력란!$C$10=1),55,17),IF(입력란!$C$30=2,IF(OR(입력란!$C$9=1,입력란!$C$10=1),60,20),IF(입력란!$C$30=3,IF(OR(입력란!$C$9=1,입력란!$C$10=1),65,22),0))))/100-1))</f>
        <v>680822.14637452026</v>
      </c>
      <c r="L251" s="21">
        <f>U251*(1+IF($AK251+IF(입력란!$C$9=1,10,0)+IF(입력란!$C$26=1,10,0)&gt;100,100,$AK251+IF(입력란!$C$9=1,10,0)+IF(입력란!$C$26=1,10,0))/100*(($AL251+IF(입력란!$C$30=1,IF(OR(입력란!$C$9=1,입력란!$C$10=1),55,17),IF(입력란!$C$30=2,IF(OR(입력란!$C$9=1,입력란!$C$10=1),60,20),IF(입력란!$C$30=3,IF(OR(입력란!$C$9=1,입력란!$C$10=1),65,22),0))))/100-1))</f>
        <v>1089315.4341992324</v>
      </c>
      <c r="M251" s="21"/>
      <c r="N251" s="21"/>
      <c r="O251" s="21"/>
      <c r="P251" s="21"/>
      <c r="Q251" s="20"/>
      <c r="R251" s="19">
        <f>SUM(S251:Z251)</f>
        <v>1421283.3185572808</v>
      </c>
      <c r="S251" s="21">
        <f>AN251*IF(G251="근접",IF(MID(E251,1,1)="1",트라이포드!$D$17,트라이포드!$C$17),1)*IF(MID(E251,1,1)="2",트라이포드!$F$17,트라이포드!$E$17)*IF(MID(E251,3,1)="1",트라이포드!$J$17,트라이포드!$I$17)*IF(MID(E251,5,1)="2",트라이포드!$R$17,트라이포드!$Q$17)*(1+입력란!$P$17/100)*IF(입력란!$C$9=1,IF(입력란!$C$15=0,1.05,IF(입력란!$C$15=1,1.05*1.05,IF(입력란!$C$15=2,1.05*1.12,IF(입력란!$C$15=3,1.05*1.25)))),1)</f>
        <v>329829.99798346777</v>
      </c>
      <c r="T251" s="21">
        <f>AO251*IF(G251="근접",IF(MID(E251,1,1)="1",트라이포드!$D$17,트라이포드!$C$17),1)*IF(MID(E251,1,1)="2",트라이포드!$F$17,트라이포드!$E$17)*IF(MID(E251,3,1)="1",트라이포드!$J$17,트라이포드!$I$17)*IF(MID(E251,5,1)="2",트라이포드!$R$17,트라이포드!$Q$17)*(1+입력란!$P$17/100)*IF(입력란!$C$9=1,IF(입력란!$C$15=0,1.05,IF(입력란!$C$15=1,1.05*1.05,IF(입력란!$C$15=2,1.05*1.12,IF(입력란!$C$15=3,1.05*1.25)))),1)</f>
        <v>419789.73868223577</v>
      </c>
      <c r="U251" s="21">
        <f>AO251*IF(G251="근접",IF(MID(E251,1,1)="1",트라이포드!$D$17,트라이포드!$C$17),1)*IF(MID(E251,1,1)="2",트라이포드!$F$17,트라이포드!$E$17)*IF(MID(E251,3,1)="1",트라이포드!$J$17,트라이포드!$I$17)*IF(MID(E251,5,1)="1",트라이포드!P$17,트라이포드!O$17)*(1+입력란!$P$17/100)*IF(입력란!$C$9=1,IF(입력란!$C$15=0,1.05,IF(입력란!$C$15=1,1.05*1.05,IF(입력란!$C$15=2,1.05*1.12,IF(입력란!$C$15=3,1.05*1.25)))),1)</f>
        <v>671663.58189157723</v>
      </c>
      <c r="V251" s="21"/>
      <c r="W251" s="21"/>
      <c r="X251" s="21"/>
      <c r="Y251" s="21"/>
      <c r="Z251" s="20"/>
      <c r="AA251" s="21">
        <f>SUM(AB251:AI251)</f>
        <v>2842566.6371145616</v>
      </c>
      <c r="AB251" s="21">
        <f>S251*2</f>
        <v>659659.99596693553</v>
      </c>
      <c r="AC251" s="21">
        <f>T251*2</f>
        <v>839579.47736447153</v>
      </c>
      <c r="AD251" s="21">
        <f>U251*2</f>
        <v>1343327.1637831545</v>
      </c>
      <c r="AE251" s="21"/>
      <c r="AF251" s="21"/>
      <c r="AG251" s="21"/>
      <c r="AH251" s="21"/>
      <c r="AI251" s="20"/>
      <c r="AJ251" s="21">
        <f>(AQ251-IF(MID(E251,3,1)="3",트라이포드!$N$17,트라이포드!$M$17))*(1-입력란!$P$10/100)</f>
        <v>23.711464126079999</v>
      </c>
      <c r="AK2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1" s="21">
        <f>입력란!$P$24+IF(입력란!$C$18=1,10,IF(입력란!$C$18=2,25,IF(입력란!$C$18=3,50,0)))+IF(입력란!$C$23&lt;&gt;0,-12)</f>
        <v>200</v>
      </c>
      <c r="AM251" s="21">
        <f>SUM(AN251:AP251)</f>
        <v>356494.40863540256</v>
      </c>
      <c r="AN251" s="21">
        <f>(VLOOKUP(C251,$B$4:$AJ$7,17,FALSE)+VLOOKUP(C251,$B$8:$AJ$11,17,FALSE)*입력란!$P$4)*IF(G251="근접",입력란!$P$27,IF(MID(E251,1,1)="2",입력란!$P$27,입력란!$P$26))*입력란!$P$25/100</f>
        <v>156856.26235554798</v>
      </c>
      <c r="AO251" s="21">
        <f>(VLOOKUP(C251,$B$4:$AJ$7,18,FALSE)+VLOOKUP(C251,$B$8:$AJ$11,18,FALSE)*입력란!$P$4)*IF(G251="근접",입력란!$P$27,IF(MID(E251,1,1)="2",입력란!$P$27,입력란!$P$26))*입력란!$P$25/100</f>
        <v>199638.14627985461</v>
      </c>
      <c r="AP251" s="21"/>
      <c r="AQ251" s="22">
        <v>24</v>
      </c>
    </row>
    <row r="252" spans="2:43" ht="13.5" customHeight="1" x14ac:dyDescent="0.55000000000000004">
      <c r="B252" s="66">
        <v>237</v>
      </c>
      <c r="C252" s="29">
        <v>10</v>
      </c>
      <c r="D252" s="67" t="s">
        <v>183</v>
      </c>
      <c r="E252" s="27" t="s">
        <v>193</v>
      </c>
      <c r="F252" s="29" t="s">
        <v>216</v>
      </c>
      <c r="G252" s="29" t="s">
        <v>200</v>
      </c>
      <c r="H252" s="36">
        <f>I252/AJ252</f>
        <v>130323.41601957691</v>
      </c>
      <c r="I252" s="37">
        <f>SUM(J252:Q252)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3090159.0037363973</v>
      </c>
      <c r="J252" s="21">
        <f>S252*(1+IF($AK252+IF(입력란!$C$9=1,10,0)+IF(입력란!$C$26=1,10,0)&gt;100,100,$AK252+IF(입력란!$C$9=1,10,0)+IF(입력란!$C$26=1,10,0))/100*(($AL252+IF(입력란!$C$30=1,IF(OR(입력란!$C$9=1,입력란!$C$10=1),55,17),IF(입력란!$C$30=2,IF(OR(입력란!$C$9=1,입력란!$C$10=1),60,20),IF(입력란!$C$30=3,IF(OR(입력란!$C$9=1,입력란!$C$10=1),65,22),0))))/100-1))</f>
        <v>962863.03273462877</v>
      </c>
      <c r="K252" s="21">
        <f>T252*(1+IF($AK252+IF(입력란!$C$9=1,10,0)+IF(입력란!$C$26=1,10,0)&gt;100,100,$AK252+IF(입력란!$C$9=1,10,0)+IF(입력란!$C$26=1,10,0))/100*(($AL252+IF(입력란!$C$30=1,IF(OR(입력란!$C$9=1,입력란!$C$10=1),55,17),IF(입력란!$C$30=2,IF(OR(입력란!$C$9=1,입력란!$C$10=1),60,20),IF(입력란!$C$30=3,IF(OR(입력란!$C$9=1,입력란!$C$10=1),65,22),0))))/100-1))</f>
        <v>1225479.8634741365</v>
      </c>
      <c r="L252" s="21">
        <f>U252*(1+IF($AK252+IF(입력란!$C$9=1,10,0)+IF(입력란!$C$26=1,10,0)&gt;100,100,$AK252+IF(입력란!$C$9=1,10,0)+IF(입력란!$C$26=1,10,0))/100*(($AL252+IF(입력란!$C$30=1,IF(OR(입력란!$C$9=1,입력란!$C$10=1),55,17),IF(입력란!$C$30=2,IF(OR(입력란!$C$9=1,입력란!$C$10=1),60,20),IF(입력란!$C$30=3,IF(OR(입력란!$C$9=1,입력란!$C$10=1),65,22),0))))/100-1))</f>
        <v>0</v>
      </c>
      <c r="M252" s="21"/>
      <c r="N252" s="21"/>
      <c r="O252" s="21"/>
      <c r="P252" s="21"/>
      <c r="Q252" s="20"/>
      <c r="R252" s="19">
        <f>SUM(S252:Z252)</f>
        <v>1349315.5259982664</v>
      </c>
      <c r="S252" s="21">
        <f>AN252*IF(G252="근접",IF(MID(E252,1,1)="1",트라이포드!$D$17,트라이포드!$C$17),1)*IF(MID(E252,1,1)="2",트라이포드!$F$17,트라이포드!$E$17)*IF(MID(E252,3,1)="1",트라이포드!$J$17,트라이포드!$I$17)*IF(MID(E252,5,1)="2",트라이포드!$R$17,트라이포드!$Q$17)*(1+입력란!$P$17/100)*IF(입력란!$C$9=1,IF(입력란!$C$15=0,1.05,IF(입력란!$C$15=1,1.05*1.05,IF(입력란!$C$15=2,1.05*1.12,IF(입력란!$C$15=3,1.05*1.25)))),1)</f>
        <v>593693.99637024209</v>
      </c>
      <c r="T252" s="21">
        <f>AO252*IF(G252="근접",IF(MID(E252,1,1)="1",트라이포드!$D$17,트라이포드!$C$17),1)*IF(MID(E252,1,1)="2",트라이포드!$F$17,트라이포드!$E$17)*IF(MID(E252,3,1)="1",트라이포드!$J$17,트라이포드!$I$17)*IF(MID(E252,5,1)="2",트라이포드!$R$17,트라이포드!$Q$17)*(1+입력란!$P$17/100)*IF(입력란!$C$9=1,IF(입력란!$C$15=0,1.05,IF(입력란!$C$15=1,1.05*1.05,IF(입력란!$C$15=2,1.05*1.12,IF(입력란!$C$15=3,1.05*1.25)))),1)</f>
        <v>755621.52962802444</v>
      </c>
      <c r="U252" s="21">
        <f>AO252*IF(G252="근접",IF(MID(E252,1,1)="1",트라이포드!$D$17,트라이포드!$C$17),1)*IF(MID(E252,1,1)="2",트라이포드!$F$17,트라이포드!$E$17)*IF(MID(E252,3,1)="1",트라이포드!$J$17,트라이포드!$I$17)*IF(MID(E252,5,1)="1",트라이포드!P$17,트라이포드!O$17)*(1+입력란!$P$17/100)*IF(입력란!$C$9=1,IF(입력란!$C$15=0,1.05,IF(입력란!$C$15=1,1.05*1.05,IF(입력란!$C$15=2,1.05*1.12,IF(입력란!$C$15=3,1.05*1.25)))),1)</f>
        <v>0</v>
      </c>
      <c r="V252" s="21"/>
      <c r="W252" s="21"/>
      <c r="X252" s="21"/>
      <c r="Y252" s="21"/>
      <c r="Z252" s="20"/>
      <c r="AA252" s="21">
        <f>SUM(AB252:AI252)</f>
        <v>2698631.0519965328</v>
      </c>
      <c r="AB252" s="21">
        <f>S252*2</f>
        <v>1187387.9927404842</v>
      </c>
      <c r="AC252" s="21">
        <f>T252*2</f>
        <v>1511243.0592560489</v>
      </c>
      <c r="AD252" s="21">
        <f>U252*2</f>
        <v>0</v>
      </c>
      <c r="AE252" s="21"/>
      <c r="AF252" s="21"/>
      <c r="AG252" s="21"/>
      <c r="AH252" s="21"/>
      <c r="AI252" s="20"/>
      <c r="AJ252" s="21">
        <f>(AQ252-IF(MID(E252,3,1)="3",트라이포드!$N$17,트라이포드!$M$17))*(1-입력란!$P$10/100)</f>
        <v>23.711464126079999</v>
      </c>
      <c r="AK2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2" s="21">
        <f>입력란!$P$24+IF(입력란!$C$18=1,10,IF(입력란!$C$18=2,25,IF(입력란!$C$18=3,50,0)))+IF(입력란!$C$23&lt;&gt;0,-12)</f>
        <v>200</v>
      </c>
      <c r="AM252" s="21">
        <f>SUM(AN252:AP252)</f>
        <v>356494.40863540256</v>
      </c>
      <c r="AN252" s="21">
        <f>(VLOOKUP(C252,$B$4:$AJ$7,17,FALSE)+VLOOKUP(C252,$B$8:$AJ$11,17,FALSE)*입력란!$P$4)*IF(G252="근접",입력란!$P$27,IF(MID(E252,1,1)="2",입력란!$P$27,입력란!$P$26))*입력란!$P$25/100</f>
        <v>156856.26235554798</v>
      </c>
      <c r="AO252" s="21">
        <f>(VLOOKUP(C252,$B$4:$AJ$7,18,FALSE)+VLOOKUP(C252,$B$8:$AJ$11,18,FALSE)*입력란!$P$4)*IF(G252="근접",입력란!$P$27,IF(MID(E252,1,1)="2",입력란!$P$27,입력란!$P$26))*입력란!$P$25/100</f>
        <v>199638.14627985461</v>
      </c>
      <c r="AP252" s="21"/>
      <c r="AQ252" s="22">
        <v>24</v>
      </c>
    </row>
    <row r="253" spans="2:43" ht="13.5" customHeight="1" x14ac:dyDescent="0.55000000000000004">
      <c r="B253" s="66">
        <v>238</v>
      </c>
      <c r="C253" s="29">
        <v>10</v>
      </c>
      <c r="D253" s="67" t="s">
        <v>183</v>
      </c>
      <c r="E253" s="27" t="s">
        <v>194</v>
      </c>
      <c r="F253" s="29"/>
      <c r="G253" s="29" t="s">
        <v>200</v>
      </c>
      <c r="H253" s="36">
        <f>I253/AJ253</f>
        <v>138719.40713771537</v>
      </c>
      <c r="I253" s="37">
        <f>SUM(J253:Q253)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2603981.8613668103</v>
      </c>
      <c r="J253" s="21">
        <f>S253*(1+IF($AK253+IF(입력란!$C$9=1,10,0)+IF(입력란!$C$26=1,10,0)&gt;100,100,$AK253+IF(입력란!$C$9=1,10,0)+IF(입력란!$C$26=1,10,0))/100*(($AL253+IF(입력란!$C$30=1,IF(OR(입력란!$C$9=1,입력란!$C$10=1),55,17),IF(입력란!$C$30=2,IF(OR(입력란!$C$9=1,입력란!$C$10=1),60,20),IF(입력란!$C$30=3,IF(OR(입력란!$C$9=1,입력란!$C$10=1),65,22),0))))/100-1))</f>
        <v>427939.125659835</v>
      </c>
      <c r="K253" s="21">
        <f>T253*(1+IF($AK253+IF(입력란!$C$9=1,10,0)+IF(입력란!$C$26=1,10,0)&gt;100,100,$AK253+IF(입력란!$C$9=1,10,0)+IF(입력란!$C$26=1,10,0))/100*(($AL253+IF(입력란!$C$30=1,IF(OR(입력란!$C$9=1,입력란!$C$10=1),55,17),IF(입력란!$C$30=2,IF(OR(입력란!$C$9=1,입력란!$C$10=1),60,20),IF(입력란!$C$30=3,IF(OR(입력란!$C$9=1,입력란!$C$10=1),65,22),0))))/100-1))</f>
        <v>544657.71709961619</v>
      </c>
      <c r="L253" s="21">
        <f>U253*(1+IF($AK253+IF(입력란!$C$9=1,10,0)+IF(입력란!$C$26=1,10,0)&gt;100,100,$AK253+IF(입력란!$C$9=1,10,0)+IF(입력란!$C$26=1,10,0))/100*(($AL253+IF(입력란!$C$30=1,IF(OR(입력란!$C$9=1,입력란!$C$10=1),55,17),IF(입력란!$C$30=2,IF(OR(입력란!$C$9=1,입력란!$C$10=1),60,20),IF(입력란!$C$30=3,IF(OR(입력란!$C$9=1,입력란!$C$10=1),65,22),0))))/100-1))</f>
        <v>871452.34735938604</v>
      </c>
      <c r="M253" s="21"/>
      <c r="N253" s="21"/>
      <c r="O253" s="21"/>
      <c r="P253" s="21"/>
      <c r="Q253" s="20"/>
      <c r="R253" s="19">
        <f>SUM(S253:Z253)</f>
        <v>1137026.6548458247</v>
      </c>
      <c r="S253" s="21">
        <f>AN253*IF(G253="근접",IF(MID(E253,1,1)="1",트라이포드!$D$17,트라이포드!$C$17),1)*IF(MID(E253,1,1)="2",트라이포드!$F$17,트라이포드!$E$17)*IF(MID(E253,3,1)="1",트라이포드!$J$17,트라이포드!$I$17)*IF(MID(E253,5,1)="2",트라이포드!$R$17,트라이포드!$Q$17)*(1+입력란!$P$17/100)*IF(입력란!$C$9=1,IF(입력란!$C$15=0,1.05,IF(입력란!$C$15=1,1.05*1.05,IF(입력란!$C$15=2,1.05*1.12,IF(입력란!$C$15=3,1.05*1.25)))),1)</f>
        <v>263863.99838677427</v>
      </c>
      <c r="T253" s="21">
        <f>AO253*IF(G253="근접",IF(MID(E253,1,1)="1",트라이포드!$D$17,트라이포드!$C$17),1)*IF(MID(E253,1,1)="2",트라이포드!$F$17,트라이포드!$E$17)*IF(MID(E253,3,1)="1",트라이포드!$J$17,트라이포드!$I$17)*IF(MID(E253,5,1)="2",트라이포드!$R$17,트라이포드!$Q$17)*(1+입력란!$P$17/100)*IF(입력란!$C$9=1,IF(입력란!$C$15=0,1.05,IF(입력란!$C$15=1,1.05*1.05,IF(입력란!$C$15=2,1.05*1.12,IF(입력란!$C$15=3,1.05*1.25)))),1)</f>
        <v>335831.79094578861</v>
      </c>
      <c r="U253" s="21">
        <f>AO253*IF(G253="근접",IF(MID(E253,1,1)="1",트라이포드!$D$17,트라이포드!$C$17),1)*IF(MID(E253,1,1)="2",트라이포드!$F$17,트라이포드!$E$17)*IF(MID(E253,3,1)="1",트라이포드!$J$17,트라이포드!$I$17)*IF(MID(E253,5,1)="1",트라이포드!P$17,트라이포드!O$17)*(1+입력란!$P$17/100)*IF(입력란!$C$9=1,IF(입력란!$C$15=0,1.05,IF(입력란!$C$15=1,1.05*1.05,IF(입력란!$C$15=2,1.05*1.12,IF(입력란!$C$15=3,1.05*1.25)))),1)</f>
        <v>537330.86551326187</v>
      </c>
      <c r="V253" s="21"/>
      <c r="W253" s="21"/>
      <c r="X253" s="21"/>
      <c r="Y253" s="21"/>
      <c r="Z253" s="20"/>
      <c r="AA253" s="21">
        <f>SUM(AB253:AI253)</f>
        <v>2274053.3096916494</v>
      </c>
      <c r="AB253" s="21">
        <f>S253*2</f>
        <v>527727.99677354854</v>
      </c>
      <c r="AC253" s="21">
        <f>T253*2</f>
        <v>671663.58189157723</v>
      </c>
      <c r="AD253" s="21">
        <f>U253*2</f>
        <v>1074661.7310265237</v>
      </c>
      <c r="AE253" s="21"/>
      <c r="AF253" s="21"/>
      <c r="AG253" s="21"/>
      <c r="AH253" s="21"/>
      <c r="AI253" s="20"/>
      <c r="AJ253" s="21">
        <f>(AQ253-IF(MID(E253,3,1)="3",트라이포드!$N$17,트라이포드!$M$17))*(1-입력란!$P$10/100)</f>
        <v>18.771575766479998</v>
      </c>
      <c r="AK2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3" s="21">
        <f>입력란!$P$24+IF(입력란!$C$18=1,10,IF(입력란!$C$18=2,25,IF(입력란!$C$18=3,50,0)))+IF(입력란!$C$23&lt;&gt;0,-12)</f>
        <v>200</v>
      </c>
      <c r="AM253" s="21">
        <f>SUM(AN253:AP253)</f>
        <v>356494.40863540256</v>
      </c>
      <c r="AN253" s="21">
        <f>(VLOOKUP(C253,$B$4:$AJ$7,17,FALSE)+VLOOKUP(C253,$B$8:$AJ$11,17,FALSE)*입력란!$P$4)*IF(G253="근접",입력란!$P$27,IF(MID(E253,1,1)="2",입력란!$P$27,입력란!$P$26))*입력란!$P$25/100</f>
        <v>156856.26235554798</v>
      </c>
      <c r="AO253" s="21">
        <f>(VLOOKUP(C253,$B$4:$AJ$7,18,FALSE)+VLOOKUP(C253,$B$8:$AJ$11,18,FALSE)*입력란!$P$4)*IF(G253="근접",입력란!$P$27,IF(MID(E253,1,1)="2",입력란!$P$27,입력란!$P$26))*입력란!$P$25/100</f>
        <v>199638.14627985461</v>
      </c>
      <c r="AP253" s="21"/>
      <c r="AQ253" s="22">
        <v>24</v>
      </c>
    </row>
    <row r="254" spans="2:43" ht="13.5" customHeight="1" x14ac:dyDescent="0.55000000000000004">
      <c r="B254" s="66">
        <v>239</v>
      </c>
      <c r="C254" s="29">
        <v>10</v>
      </c>
      <c r="D254" s="67" t="s">
        <v>183</v>
      </c>
      <c r="E254" s="27" t="s">
        <v>195</v>
      </c>
      <c r="F254" s="29" t="s">
        <v>216</v>
      </c>
      <c r="G254" s="29" t="s">
        <v>200</v>
      </c>
      <c r="H254" s="36">
        <f>I254/AJ254</f>
        <v>131695.24145136194</v>
      </c>
      <c r="I254" s="37">
        <f>SUM(J254:Q254)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2472127.2029891182</v>
      </c>
      <c r="J254" s="21">
        <f>S254*(1+IF($AK254+IF(입력란!$C$9=1,10,0)+IF(입력란!$C$26=1,10,0)&gt;100,100,$AK254+IF(입력란!$C$9=1,10,0)+IF(입력란!$C$26=1,10,0))/100*(($AL254+IF(입력란!$C$30=1,IF(OR(입력란!$C$9=1,입력란!$C$10=1),55,17),IF(입력란!$C$30=2,IF(OR(입력란!$C$9=1,입력란!$C$10=1),60,20),IF(입력란!$C$30=3,IF(OR(입력란!$C$9=1,입력란!$C$10=1),65,22),0))))/100-1))</f>
        <v>770290.42618770315</v>
      </c>
      <c r="K254" s="21">
        <f>T254*(1+IF($AK254+IF(입력란!$C$9=1,10,0)+IF(입력란!$C$26=1,10,0)&gt;100,100,$AK254+IF(입력란!$C$9=1,10,0)+IF(입력란!$C$26=1,10,0))/100*(($AL254+IF(입력란!$C$30=1,IF(OR(입력란!$C$9=1,입력란!$C$10=1),55,17),IF(입력란!$C$30=2,IF(OR(입력란!$C$9=1,입력란!$C$10=1),60,20),IF(입력란!$C$30=3,IF(OR(입력란!$C$9=1,입력란!$C$10=1),65,22),0))))/100-1))</f>
        <v>980383.89077930897</v>
      </c>
      <c r="L254" s="21">
        <f>U254*(1+IF($AK254+IF(입력란!$C$9=1,10,0)+IF(입력란!$C$26=1,10,0)&gt;100,100,$AK254+IF(입력란!$C$9=1,10,0)+IF(입력란!$C$26=1,10,0))/100*(($AL254+IF(입력란!$C$30=1,IF(OR(입력란!$C$9=1,입력란!$C$10=1),55,17),IF(입력란!$C$30=2,IF(OR(입력란!$C$9=1,입력란!$C$10=1),60,20),IF(입력란!$C$30=3,IF(OR(입력란!$C$9=1,입력란!$C$10=1),65,22),0))))/100-1))</f>
        <v>0</v>
      </c>
      <c r="M254" s="21"/>
      <c r="N254" s="21"/>
      <c r="O254" s="21"/>
      <c r="P254" s="21"/>
      <c r="Q254" s="20"/>
      <c r="R254" s="19">
        <f>SUM(S254:Z254)</f>
        <v>1079452.4207986132</v>
      </c>
      <c r="S254" s="21">
        <f>AN254*IF(G254="근접",IF(MID(E254,1,1)="1",트라이포드!$D$17,트라이포드!$C$17),1)*IF(MID(E254,1,1)="2",트라이포드!$F$17,트라이포드!$E$17)*IF(MID(E254,3,1)="1",트라이포드!$J$17,트라이포드!$I$17)*IF(MID(E254,5,1)="2",트라이포드!$R$17,트라이포드!$Q$17)*(1+입력란!$P$17/100)*IF(입력란!$C$9=1,IF(입력란!$C$15=0,1.05,IF(입력란!$C$15=1,1.05*1.05,IF(입력란!$C$15=2,1.05*1.12,IF(입력란!$C$15=3,1.05*1.25)))),1)</f>
        <v>474955.19709619373</v>
      </c>
      <c r="T254" s="21">
        <f>AO254*IF(G254="근접",IF(MID(E254,1,1)="1",트라이포드!$D$17,트라이포드!$C$17),1)*IF(MID(E254,1,1)="2",트라이포드!$F$17,트라이포드!$E$17)*IF(MID(E254,3,1)="1",트라이포드!$J$17,트라이포드!$I$17)*IF(MID(E254,5,1)="2",트라이포드!$R$17,트라이포드!$Q$17)*(1+입력란!$P$17/100)*IF(입력란!$C$9=1,IF(입력란!$C$15=0,1.05,IF(입력란!$C$15=1,1.05*1.05,IF(입력란!$C$15=2,1.05*1.12,IF(입력란!$C$15=3,1.05*1.25)))),1)</f>
        <v>604497.22370241943</v>
      </c>
      <c r="U254" s="21">
        <f>AO254*IF(G254="근접",IF(MID(E254,1,1)="1",트라이포드!$D$17,트라이포드!$C$17),1)*IF(MID(E254,1,1)="2",트라이포드!$F$17,트라이포드!$E$17)*IF(MID(E254,3,1)="1",트라이포드!$J$17,트라이포드!$I$17)*IF(MID(E254,5,1)="1",트라이포드!P$17,트라이포드!O$17)*(1+입력란!$P$17/100)*IF(입력란!$C$9=1,IF(입력란!$C$15=0,1.05,IF(입력란!$C$15=1,1.05*1.05,IF(입력란!$C$15=2,1.05*1.12,IF(입력란!$C$15=3,1.05*1.25)))),1)</f>
        <v>0</v>
      </c>
      <c r="V254" s="21"/>
      <c r="W254" s="21"/>
      <c r="X254" s="21"/>
      <c r="Y254" s="21"/>
      <c r="Z254" s="20"/>
      <c r="AA254" s="21">
        <f>SUM(AB254:AI254)</f>
        <v>2158904.8415972264</v>
      </c>
      <c r="AB254" s="21">
        <f>S254*2</f>
        <v>949910.39419238747</v>
      </c>
      <c r="AC254" s="21">
        <f>T254*2</f>
        <v>1208994.4474048389</v>
      </c>
      <c r="AD254" s="21">
        <f>U254*2</f>
        <v>0</v>
      </c>
      <c r="AE254" s="21"/>
      <c r="AF254" s="21"/>
      <c r="AG254" s="21"/>
      <c r="AH254" s="21"/>
      <c r="AI254" s="20"/>
      <c r="AJ254" s="21">
        <f>(AQ254-IF(MID(E254,3,1)="3",트라이포드!$N$17,트라이포드!$M$17))*(1-입력란!$P$10/100)</f>
        <v>18.771575766479998</v>
      </c>
      <c r="AK2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4" s="21">
        <f>입력란!$P$24+IF(입력란!$C$18=1,10,IF(입력란!$C$18=2,25,IF(입력란!$C$18=3,50,0)))+IF(입력란!$C$23&lt;&gt;0,-12)</f>
        <v>200</v>
      </c>
      <c r="AM254" s="21">
        <f>SUM(AN254:AP254)</f>
        <v>356494.40863540256</v>
      </c>
      <c r="AN254" s="21">
        <f>(VLOOKUP(C254,$B$4:$AJ$7,17,FALSE)+VLOOKUP(C254,$B$8:$AJ$11,17,FALSE)*입력란!$P$4)*IF(G254="근접",입력란!$P$27,IF(MID(E254,1,1)="2",입력란!$P$27,입력란!$P$26))*입력란!$P$25/100</f>
        <v>156856.26235554798</v>
      </c>
      <c r="AO254" s="21">
        <f>(VLOOKUP(C254,$B$4:$AJ$7,18,FALSE)+VLOOKUP(C254,$B$8:$AJ$11,18,FALSE)*입력란!$P$4)*IF(G254="근접",입력란!$P$27,IF(MID(E254,1,1)="2",입력란!$P$27,입력란!$P$26))*입력란!$P$25/100</f>
        <v>199638.14627985461</v>
      </c>
      <c r="AP254" s="21"/>
      <c r="AQ254" s="22">
        <v>24</v>
      </c>
    </row>
    <row r="255" spans="2:43" ht="13.5" customHeight="1" x14ac:dyDescent="0.55000000000000004">
      <c r="B255" s="66">
        <v>240</v>
      </c>
      <c r="C255" s="29">
        <v>10</v>
      </c>
      <c r="D255" s="67" t="s">
        <v>183</v>
      </c>
      <c r="E255" s="27" t="s">
        <v>196</v>
      </c>
      <c r="F255" s="29"/>
      <c r="G255" s="29" t="s">
        <v>200</v>
      </c>
      <c r="H255" s="36">
        <f>I255/AJ255</f>
        <v>171593.01664170518</v>
      </c>
      <c r="I255" s="37">
        <f>SUM(J255:Q255)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4068721.6583856409</v>
      </c>
      <c r="J255" s="21">
        <f>S255*(1+IF($AK255+IF(입력란!$C$9=1,10,0)+IF(입력란!$C$26=1,10,0)&gt;100,100,$AK255+IF(입력란!$C$9=1,10,0)+IF(입력란!$C$26=1,10,0))/100*(($AL255+IF(입력란!$C$30=1,IF(OR(입력란!$C$9=1,입력란!$C$10=1),55,17),IF(입력란!$C$30=2,IF(OR(입력란!$C$9=1,입력란!$C$10=1),60,20),IF(입력란!$C$30=3,IF(OR(입력란!$C$9=1,입력란!$C$10=1),65,22),0))))/100-1))</f>
        <v>668654.88384349213</v>
      </c>
      <c r="K255" s="21">
        <f>T255*(1+IF($AK255+IF(입력란!$C$9=1,10,0)+IF(입력란!$C$26=1,10,0)&gt;100,100,$AK255+IF(입력란!$C$9=1,10,0)+IF(입력란!$C$26=1,10,0))/100*(($AL255+IF(입력란!$C$30=1,IF(OR(입력란!$C$9=1,입력란!$C$10=1),55,17),IF(입력란!$C$30=2,IF(OR(입력란!$C$9=1,입력란!$C$10=1),60,20),IF(입력란!$C$30=3,IF(OR(입력란!$C$9=1,입력란!$C$10=1),65,22),0))))/100-1))</f>
        <v>851027.68296815024</v>
      </c>
      <c r="L255" s="21">
        <f>U255*(1+IF($AK255+IF(입력란!$C$9=1,10,0)+IF(입력란!$C$26=1,10,0)&gt;100,100,$AK255+IF(입력란!$C$9=1,10,0)+IF(입력란!$C$26=1,10,0))/100*(($AL255+IF(입력란!$C$30=1,IF(OR(입력란!$C$9=1,입력란!$C$10=1),55,17),IF(입력란!$C$30=2,IF(OR(입력란!$C$9=1,입력란!$C$10=1),60,20),IF(입력란!$C$30=3,IF(OR(입력란!$C$9=1,입력란!$C$10=1),65,22),0))))/100-1))</f>
        <v>1361644.2927490405</v>
      </c>
      <c r="M255" s="21"/>
      <c r="N255" s="21"/>
      <c r="O255" s="21"/>
      <c r="P255" s="21"/>
      <c r="Q255" s="20"/>
      <c r="R255" s="19">
        <f>SUM(S255:Z255)</f>
        <v>1776604.1481966011</v>
      </c>
      <c r="S255" s="21">
        <f>AN255*IF(G255="근접",IF(MID(E255,1,1)="1",트라이포드!$D$17,트라이포드!$C$17),1)*IF(MID(E255,1,1)="2",트라이포드!$F$17,트라이포드!$E$17)*IF(MID(E255,3,1)="1",트라이포드!$J$17,트라이포드!$I$17)*IF(MID(E255,5,1)="2",트라이포드!$R$17,트라이포드!$Q$17)*(1+입력란!$P$17/100)*IF(입력란!$C$9=1,IF(입력란!$C$15=0,1.05,IF(입력란!$C$15=1,1.05*1.05,IF(입력란!$C$15=2,1.05*1.12,IF(입력란!$C$15=3,1.05*1.25)))),1)</f>
        <v>412287.49747933476</v>
      </c>
      <c r="T255" s="21">
        <f>AO255*IF(G255="근접",IF(MID(E255,1,1)="1",트라이포드!$D$17,트라이포드!$C$17),1)*IF(MID(E255,1,1)="2",트라이포드!$F$17,트라이포드!$E$17)*IF(MID(E255,3,1)="1",트라이포드!$J$17,트라이포드!$I$17)*IF(MID(E255,5,1)="2",트라이포드!$R$17,트라이포드!$Q$17)*(1+입력란!$P$17/100)*IF(입력란!$C$9=1,IF(입력란!$C$15=0,1.05,IF(입력란!$C$15=1,1.05*1.05,IF(입력란!$C$15=2,1.05*1.12,IF(입력란!$C$15=3,1.05*1.25)))),1)</f>
        <v>524737.17335279472</v>
      </c>
      <c r="U255" s="21">
        <f>AO255*IF(G255="근접",IF(MID(E255,1,1)="1",트라이포드!$D$17,트라이포드!$C$17),1)*IF(MID(E255,1,1)="2",트라이포드!$F$17,트라이포드!$E$17)*IF(MID(E255,3,1)="1",트라이포드!$J$17,트라이포드!$I$17)*IF(MID(E255,5,1)="1",트라이포드!P$17,트라이포드!O$17)*(1+입력란!$P$17/100)*IF(입력란!$C$9=1,IF(입력란!$C$15=0,1.05,IF(입력란!$C$15=1,1.05*1.05,IF(입력란!$C$15=2,1.05*1.12,IF(입력란!$C$15=3,1.05*1.25)))),1)</f>
        <v>839579.47736447165</v>
      </c>
      <c r="V255" s="21"/>
      <c r="W255" s="21"/>
      <c r="X255" s="21"/>
      <c r="Y255" s="21"/>
      <c r="Z255" s="20"/>
      <c r="AA255" s="21">
        <f>SUM(AB255:AI255)</f>
        <v>3553208.2963932022</v>
      </c>
      <c r="AB255" s="21">
        <f>S255*2</f>
        <v>824574.99495866953</v>
      </c>
      <c r="AC255" s="21">
        <f>T255*2</f>
        <v>1049474.3467055894</v>
      </c>
      <c r="AD255" s="21">
        <f>U255*2</f>
        <v>1679158.9547289433</v>
      </c>
      <c r="AE255" s="21"/>
      <c r="AF255" s="21"/>
      <c r="AG255" s="21"/>
      <c r="AH255" s="21"/>
      <c r="AI255" s="20"/>
      <c r="AJ255" s="21">
        <f>(AQ255-IF(MID(E255,3,1)="3",트라이포드!$N$17,트라이포드!$M$17))*(1-입력란!$P$10/100)</f>
        <v>23.711464126079999</v>
      </c>
      <c r="AK2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5" s="21">
        <f>입력란!$P$24+IF(입력란!$C$18=1,10,IF(입력란!$C$18=2,25,IF(입력란!$C$18=3,50,0)))+IF(입력란!$C$23&lt;&gt;0,-12)</f>
        <v>200</v>
      </c>
      <c r="AM255" s="21">
        <f>SUM(AN255:AP255)</f>
        <v>356494.40863540256</v>
      </c>
      <c r="AN255" s="21">
        <f>(VLOOKUP(C255,$B$4:$AJ$7,17,FALSE)+VLOOKUP(C255,$B$8:$AJ$11,17,FALSE)*입력란!$P$4)*IF(G255="근접",입력란!$P$27,IF(MID(E255,1,1)="2",입력란!$P$27,입력란!$P$26))*입력란!$P$25/100</f>
        <v>156856.26235554798</v>
      </c>
      <c r="AO255" s="21">
        <f>(VLOOKUP(C255,$B$4:$AJ$7,18,FALSE)+VLOOKUP(C255,$B$8:$AJ$11,18,FALSE)*입력란!$P$4)*IF(G255="근접",입력란!$P$27,IF(MID(E255,1,1)="2",입력란!$P$27,입력란!$P$26))*입력란!$P$25/100</f>
        <v>199638.14627985461</v>
      </c>
      <c r="AP255" s="21"/>
      <c r="AQ255" s="22">
        <v>24</v>
      </c>
    </row>
    <row r="256" spans="2:43" ht="13.5" customHeight="1" x14ac:dyDescent="0.55000000000000004">
      <c r="B256" s="66">
        <v>241</v>
      </c>
      <c r="C256" s="29">
        <v>10</v>
      </c>
      <c r="D256" s="67" t="s">
        <v>46</v>
      </c>
      <c r="E256" s="27" t="s">
        <v>149</v>
      </c>
      <c r="F256" s="29"/>
      <c r="G256" s="29" t="s">
        <v>37</v>
      </c>
      <c r="H256" s="36">
        <f>I256/AJ256</f>
        <v>151001.85464470056</v>
      </c>
      <c r="I256" s="37">
        <f>SUM(J256:Q256)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3580475.0593793639</v>
      </c>
      <c r="J256" s="21">
        <f>S256*(1+IF($AK256+IF(입력란!$C$9=1,10,0)+IF(입력란!$C$26=1,10,0)&gt;100,100,$AK256+IF(입력란!$C$9=1,10,0)+IF(입력란!$C$26=1,10,0))/100*(($AL256+IF(입력란!$C$30=1,IF(OR(입력란!$C$9=1,입력란!$C$10=1),55,17),IF(입력란!$C$30=2,IF(OR(입력란!$C$9=1,입력란!$C$10=1),60,20),IF(입력란!$C$30=3,IF(OR(입력란!$C$9=1,입력란!$C$10=1),65,22),0))))/100-1))</f>
        <v>588416.29778227315</v>
      </c>
      <c r="K256" s="21">
        <f>T256*(1+IF($AK256+IF(입력란!$C$9=1,10,0)+IF(입력란!$C$26=1,10,0)&gt;100,100,$AK256+IF(입력란!$C$9=1,10,0)+IF(입력란!$C$26=1,10,0))/100*(($AL256+IF(입력란!$C$30=1,IF(OR(입력란!$C$9=1,입력란!$C$10=1),55,17),IF(입력란!$C$30=2,IF(OR(입력란!$C$9=1,입력란!$C$10=1),60,20),IF(입력란!$C$30=3,IF(OR(입력란!$C$9=1,입력란!$C$10=1),65,22),0))))/100-1))</f>
        <v>748904.3610119723</v>
      </c>
      <c r="L256" s="21">
        <f>U256*(1+IF($AK256+IF(입력란!$C$9=1,10,0)+IF(입력란!$C$26=1,10,0)&gt;100,100,$AK256+IF(입력란!$C$9=1,10,0)+IF(입력란!$C$26=1,10,0))/100*(($AL256+IF(입력란!$C$30=1,IF(OR(입력란!$C$9=1,입력란!$C$10=1),55,17),IF(입력란!$C$30=2,IF(OR(입력란!$C$9=1,입력란!$C$10=1),60,20),IF(입력란!$C$30=3,IF(OR(입력란!$C$9=1,입력란!$C$10=1),65,22),0))))/100-1))</f>
        <v>1198246.9776191555</v>
      </c>
      <c r="M256" s="21"/>
      <c r="N256" s="21"/>
      <c r="O256" s="21"/>
      <c r="P256" s="21"/>
      <c r="Q256" s="20"/>
      <c r="R256" s="19">
        <f>SUM(S256:Z256)</f>
        <v>1563411.6504130089</v>
      </c>
      <c r="S256" s="21">
        <f>AN256*IF(G256="근접",IF(MID(E256,1,1)="1",트라이포드!$D$17,트라이포드!$C$17),1)*IF(MID(E256,1,1)="2",트라이포드!$F$17,트라이포드!$E$17)*IF(MID(E256,3,1)="1",트라이포드!$J$17,트라이포드!$I$17)*IF(MID(E256,5,1)="2",트라이포드!$R$17,트라이포드!$Q$17)*(1+입력란!$P$17/100)*IF(입력란!$C$9=1,IF(입력란!$C$15=0,1.05,IF(입력란!$C$15=1,1.05*1.05,IF(입력란!$C$15=2,1.05*1.12,IF(입력란!$C$15=3,1.05*1.25)))),1)</f>
        <v>362812.9977818146</v>
      </c>
      <c r="T256" s="21">
        <f>AO256*IF(G256="근접",IF(MID(E256,1,1)="1",트라이포드!$D$17,트라이포드!$C$17),1)*IF(MID(E256,1,1)="2",트라이포드!$F$17,트라이포드!$E$17)*IF(MID(E256,3,1)="1",트라이포드!$J$17,트라이포드!$I$17)*IF(MID(E256,5,1)="2",트라이포드!$R$17,트라이포드!$Q$17)*(1+입력란!$P$17/100)*IF(입력란!$C$9=1,IF(입력란!$C$15=0,1.05,IF(입력란!$C$15=1,1.05*1.05,IF(입력란!$C$15=2,1.05*1.12,IF(입력란!$C$15=3,1.05*1.25)))),1)</f>
        <v>461768.71255045937</v>
      </c>
      <c r="U256" s="21">
        <f>AO256*IF(G256="근접",IF(MID(E256,1,1)="1",트라이포드!$D$17,트라이포드!$C$17),1)*IF(MID(E256,1,1)="2",트라이포드!$F$17,트라이포드!$E$17)*IF(MID(E256,3,1)="1",트라이포드!$J$17,트라이포드!$I$17)*IF(MID(E256,5,1)="1",트라이포드!P$17,트라이포드!O$17)*(1+입력란!$P$17/100)*IF(입력란!$C$9=1,IF(입력란!$C$15=0,1.05,IF(입력란!$C$15=1,1.05*1.05,IF(입력란!$C$15=2,1.05*1.12,IF(입력란!$C$15=3,1.05*1.25)))),1)</f>
        <v>738829.9400807349</v>
      </c>
      <c r="V256" s="21"/>
      <c r="W256" s="21"/>
      <c r="X256" s="21"/>
      <c r="Y256" s="21"/>
      <c r="Z256" s="20"/>
      <c r="AA256" s="21">
        <f>SUM(AB256:AI256)</f>
        <v>3126823.3008260177</v>
      </c>
      <c r="AB256" s="21">
        <f>S256*2</f>
        <v>725625.9955636292</v>
      </c>
      <c r="AC256" s="21">
        <f>T256*2</f>
        <v>923537.42510091874</v>
      </c>
      <c r="AD256" s="21">
        <f>U256*2</f>
        <v>1477659.8801614698</v>
      </c>
      <c r="AE256" s="21"/>
      <c r="AF256" s="21"/>
      <c r="AG256" s="21"/>
      <c r="AH256" s="21"/>
      <c r="AI256" s="20"/>
      <c r="AJ256" s="21">
        <f>(AQ256-IF(MID(E256,3,1)="3",트라이포드!$N$17,트라이포드!$M$17))*(1-입력란!$P$10/100)</f>
        <v>23.711464126079999</v>
      </c>
      <c r="AK2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6" s="21">
        <f>입력란!$P$24+IF(입력란!$C$18=1,10,IF(입력란!$C$18=2,25,IF(입력란!$C$18=3,50,0)))+IF(입력란!$C$23&lt;&gt;0,-12)</f>
        <v>200</v>
      </c>
      <c r="AM256" s="21">
        <f>SUM(AN256:AP256)</f>
        <v>356494.40863540256</v>
      </c>
      <c r="AN256" s="21">
        <f>(VLOOKUP(C256,$B$4:$AJ$7,17,FALSE)+VLOOKUP(C256,$B$8:$AJ$11,17,FALSE)*입력란!$P$4)*IF(G256="근접",입력란!$P$27,IF(MID(E256,1,1)="2",입력란!$P$27,입력란!$P$26))*입력란!$P$25/100</f>
        <v>156856.26235554798</v>
      </c>
      <c r="AO256" s="21">
        <f>(VLOOKUP(C256,$B$4:$AJ$7,18,FALSE)+VLOOKUP(C256,$B$8:$AJ$11,18,FALSE)*입력란!$P$4)*IF(G256="근접",입력란!$P$27,IF(MID(E256,1,1)="2",입력란!$P$27,입력란!$P$26))*입력란!$P$25/100</f>
        <v>199638.14627985461</v>
      </c>
      <c r="AP256" s="21"/>
      <c r="AQ256" s="22">
        <v>24</v>
      </c>
    </row>
    <row r="257" spans="2:43" ht="13.5" customHeight="1" x14ac:dyDescent="0.55000000000000004">
      <c r="B257" s="66">
        <v>242</v>
      </c>
      <c r="C257" s="29">
        <v>10</v>
      </c>
      <c r="D257" s="67" t="s">
        <v>183</v>
      </c>
      <c r="E257" s="27" t="s">
        <v>197</v>
      </c>
      <c r="F257" s="29" t="s">
        <v>216</v>
      </c>
      <c r="G257" s="29" t="s">
        <v>200</v>
      </c>
      <c r="H257" s="36">
        <f>I257/AJ257</f>
        <v>162904.27002447116</v>
      </c>
      <c r="I257" s="37">
        <f>SUM(J257:Q257)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3862698.7546704975</v>
      </c>
      <c r="J257" s="21">
        <f>S257*(1+IF($AK257+IF(입력란!$C$9=1,10,0)+IF(입력란!$C$26=1,10,0)&gt;100,100,$AK257+IF(입력란!$C$9=1,10,0)+IF(입력란!$C$26=1,10,0))/100*(($AL257+IF(입력란!$C$30=1,IF(OR(입력란!$C$9=1,입력란!$C$10=1),55,17),IF(입력란!$C$30=2,IF(OR(입력란!$C$9=1,입력란!$C$10=1),60,20),IF(입력란!$C$30=3,IF(OR(입력란!$C$9=1,입력란!$C$10=1),65,22),0))))/100-1))</f>
        <v>1203578.790918286</v>
      </c>
      <c r="K257" s="21">
        <f>T257*(1+IF($AK257+IF(입력란!$C$9=1,10,0)+IF(입력란!$C$26=1,10,0)&gt;100,100,$AK257+IF(입력란!$C$9=1,10,0)+IF(입력란!$C$26=1,10,0))/100*(($AL257+IF(입력란!$C$30=1,IF(OR(입력란!$C$9=1,입력란!$C$10=1),55,17),IF(입력란!$C$30=2,IF(OR(입력란!$C$9=1,입력란!$C$10=1),60,20),IF(입력란!$C$30=3,IF(OR(입력란!$C$9=1,입력란!$C$10=1),65,22),0))))/100-1))</f>
        <v>1531849.8293426705</v>
      </c>
      <c r="L257" s="21">
        <f>U257*(1+IF($AK257+IF(입력란!$C$9=1,10,0)+IF(입력란!$C$26=1,10,0)&gt;100,100,$AK257+IF(입력란!$C$9=1,10,0)+IF(입력란!$C$26=1,10,0))/100*(($AL257+IF(입력란!$C$30=1,IF(OR(입력란!$C$9=1,입력란!$C$10=1),55,17),IF(입력란!$C$30=2,IF(OR(입력란!$C$9=1,입력란!$C$10=1),60,20),IF(입력란!$C$30=3,IF(OR(입력란!$C$9=1,입력란!$C$10=1),65,22),0))))/100-1))</f>
        <v>0</v>
      </c>
      <c r="M257" s="21"/>
      <c r="N257" s="21"/>
      <c r="O257" s="21"/>
      <c r="P257" s="21"/>
      <c r="Q257" s="20"/>
      <c r="R257" s="19">
        <f>SUM(S257:Z257)</f>
        <v>1686644.407497833</v>
      </c>
      <c r="S257" s="21">
        <f>AN257*IF(G257="근접",IF(MID(E257,1,1)="1",트라이포드!$D$17,트라이포드!$C$17),1)*IF(MID(E257,1,1)="2",트라이포드!$F$17,트라이포드!$E$17)*IF(MID(E257,3,1)="1",트라이포드!$J$17,트라이포드!$I$17)*IF(MID(E257,5,1)="2",트라이포드!$R$17,트라이포드!$Q$17)*(1+입력란!$P$17/100)*IF(입력란!$C$9=1,IF(입력란!$C$15=0,1.05,IF(입력란!$C$15=1,1.05*1.05,IF(입력란!$C$15=2,1.05*1.12,IF(입력란!$C$15=3,1.05*1.25)))),1)</f>
        <v>742117.49546280259</v>
      </c>
      <c r="T257" s="21">
        <f>AO257*IF(G257="근접",IF(MID(E257,1,1)="1",트라이포드!$D$17,트라이포드!$C$17),1)*IF(MID(E257,1,1)="2",트라이포드!$F$17,트라이포드!$E$17)*IF(MID(E257,3,1)="1",트라이포드!$J$17,트라이포드!$I$17)*IF(MID(E257,5,1)="2",트라이포드!$R$17,트라이포드!$Q$17)*(1+입력란!$P$17/100)*IF(입력란!$C$9=1,IF(입력란!$C$15=0,1.05,IF(입력란!$C$15=1,1.05*1.05,IF(입력란!$C$15=2,1.05*1.12,IF(입력란!$C$15=3,1.05*1.25)))),1)</f>
        <v>944526.91203503043</v>
      </c>
      <c r="U257" s="21">
        <f>AO257*IF(G257="근접",IF(MID(E257,1,1)="1",트라이포드!$D$17,트라이포드!$C$17),1)*IF(MID(E257,1,1)="2",트라이포드!$F$17,트라이포드!$E$17)*IF(MID(E257,3,1)="1",트라이포드!$J$17,트라이포드!$I$17)*IF(MID(E257,5,1)="1",트라이포드!P$17,트라이포드!O$17)*(1+입력란!$P$17/100)*IF(입력란!$C$9=1,IF(입력란!$C$15=0,1.05,IF(입력란!$C$15=1,1.05*1.05,IF(입력란!$C$15=2,1.05*1.12,IF(입력란!$C$15=3,1.05*1.25)))),1)</f>
        <v>0</v>
      </c>
      <c r="V257" s="21"/>
      <c r="W257" s="21"/>
      <c r="X257" s="21"/>
      <c r="Y257" s="21"/>
      <c r="Z257" s="20"/>
      <c r="AA257" s="21">
        <f>SUM(AB257:AI257)</f>
        <v>3373288.814995666</v>
      </c>
      <c r="AB257" s="21">
        <f>S257*2</f>
        <v>1484234.9909256052</v>
      </c>
      <c r="AC257" s="21">
        <f>T257*2</f>
        <v>1889053.8240700609</v>
      </c>
      <c r="AD257" s="21">
        <f>U257*2</f>
        <v>0</v>
      </c>
      <c r="AE257" s="21"/>
      <c r="AF257" s="21"/>
      <c r="AG257" s="21"/>
      <c r="AH257" s="21"/>
      <c r="AI257" s="20"/>
      <c r="AJ257" s="21">
        <f>(AQ257-IF(MID(E257,3,1)="3",트라이포드!$N$17,트라이포드!$M$17))*(1-입력란!$P$10/100)</f>
        <v>23.711464126079999</v>
      </c>
      <c r="AK2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7" s="21">
        <f>입력란!$P$24+IF(입력란!$C$18=1,10,IF(입력란!$C$18=2,25,IF(입력란!$C$18=3,50,0)))+IF(입력란!$C$23&lt;&gt;0,-12)</f>
        <v>200</v>
      </c>
      <c r="AM257" s="21">
        <f>SUM(AN257:AP257)</f>
        <v>356494.40863540256</v>
      </c>
      <c r="AN257" s="21">
        <f>(VLOOKUP(C257,$B$4:$AJ$7,17,FALSE)+VLOOKUP(C257,$B$8:$AJ$11,17,FALSE)*입력란!$P$4)*IF(G257="근접",입력란!$P$27,IF(MID(E257,1,1)="2",입력란!$P$27,입력란!$P$26))*입력란!$P$25/100</f>
        <v>156856.26235554798</v>
      </c>
      <c r="AO257" s="21">
        <f>(VLOOKUP(C257,$B$4:$AJ$7,18,FALSE)+VLOOKUP(C257,$B$8:$AJ$11,18,FALSE)*입력란!$P$4)*IF(G257="근접",입력란!$P$27,IF(MID(E257,1,1)="2",입력란!$P$27,입력란!$P$26))*입력란!$P$25/100</f>
        <v>199638.14627985461</v>
      </c>
      <c r="AP257" s="21"/>
      <c r="AQ257" s="22">
        <v>24</v>
      </c>
    </row>
    <row r="258" spans="2:43" ht="13.5" customHeight="1" x14ac:dyDescent="0.55000000000000004">
      <c r="B258" s="66">
        <v>243</v>
      </c>
      <c r="C258" s="29">
        <v>10</v>
      </c>
      <c r="D258" s="67" t="s">
        <v>46</v>
      </c>
      <c r="E258" s="27" t="s">
        <v>150</v>
      </c>
      <c r="F258" s="29" t="s">
        <v>136</v>
      </c>
      <c r="G258" s="29" t="s">
        <v>37</v>
      </c>
      <c r="H258" s="36">
        <f>I258/AJ258</f>
        <v>143355.75762153458</v>
      </c>
      <c r="I258" s="37">
        <f>SUM(J258:Q258)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3399174.9041100368</v>
      </c>
      <c r="J258" s="21">
        <f>S258*(1+IF($AK258+IF(입력란!$C$9=1,10,0)+IF(입력란!$C$26=1,10,0)&gt;100,100,$AK258+IF(입력란!$C$9=1,10,0)+IF(입력란!$C$26=1,10,0))/100*(($AL258+IF(입력란!$C$30=1,IF(OR(입력란!$C$9=1,입력란!$C$10=1),55,17),IF(입력란!$C$30=2,IF(OR(입력란!$C$9=1,입력란!$C$10=1),60,20),IF(입력란!$C$30=3,IF(OR(입력란!$C$9=1,입력란!$C$10=1),65,22),0))))/100-1))</f>
        <v>1059149.3360080915</v>
      </c>
      <c r="K258" s="21">
        <f>T258*(1+IF($AK258+IF(입력란!$C$9=1,10,0)+IF(입력란!$C$26=1,10,0)&gt;100,100,$AK258+IF(입력란!$C$9=1,10,0)+IF(입력란!$C$26=1,10,0))/100*(($AL258+IF(입력란!$C$30=1,IF(OR(입력란!$C$9=1,입력란!$C$10=1),55,17),IF(입력란!$C$30=2,IF(OR(입력란!$C$9=1,입력란!$C$10=1),60,20),IF(입력란!$C$30=3,IF(OR(입력란!$C$9=1,입력란!$C$10=1),65,22),0))))/100-1))</f>
        <v>1348027.8498215501</v>
      </c>
      <c r="L258" s="21">
        <f>U258*(1+IF($AK258+IF(입력란!$C$9=1,10,0)+IF(입력란!$C$26=1,10,0)&gt;100,100,$AK258+IF(입력란!$C$9=1,10,0)+IF(입력란!$C$26=1,10,0))/100*(($AL258+IF(입력란!$C$30=1,IF(OR(입력란!$C$9=1,입력란!$C$10=1),55,17),IF(입력란!$C$30=2,IF(OR(입력란!$C$9=1,입력란!$C$10=1),60,20),IF(입력란!$C$30=3,IF(OR(입력란!$C$9=1,입력란!$C$10=1),65,22),0))))/100-1))</f>
        <v>0</v>
      </c>
      <c r="M258" s="21"/>
      <c r="N258" s="21"/>
      <c r="O258" s="21"/>
      <c r="P258" s="21"/>
      <c r="Q258" s="20"/>
      <c r="R258" s="19">
        <f>SUM(S258:Z258)</f>
        <v>1484247.0785980932</v>
      </c>
      <c r="S258" s="21">
        <f>AN258*IF(G258="근접",IF(MID(E258,1,1)="1",트라이포드!$D$17,트라이포드!$C$17),1)*IF(MID(E258,1,1)="2",트라이포드!$F$17,트라이포드!$E$17)*IF(MID(E258,3,1)="1",트라이포드!$J$17,트라이포드!$I$17)*IF(MID(E258,5,1)="2",트라이포드!$R$17,트라이포드!$Q$17)*(1+입력란!$P$17/100)*IF(입력란!$C$9=1,IF(입력란!$C$15=0,1.05,IF(입력란!$C$15=1,1.05*1.05,IF(입력란!$C$15=2,1.05*1.12,IF(입력란!$C$15=3,1.05*1.25)))),1)</f>
        <v>653063.39600726624</v>
      </c>
      <c r="T258" s="21">
        <f>AO258*IF(G258="근접",IF(MID(E258,1,1)="1",트라이포드!$D$17,트라이포드!$C$17),1)*IF(MID(E258,1,1)="2",트라이포드!$F$17,트라이포드!$E$17)*IF(MID(E258,3,1)="1",트라이포드!$J$17,트라이포드!$I$17)*IF(MID(E258,5,1)="2",트라이포드!$R$17,트라이포드!$Q$17)*(1+입력란!$P$17/100)*IF(입력란!$C$9=1,IF(입력란!$C$15=0,1.05,IF(입력란!$C$15=1,1.05*1.05,IF(입력란!$C$15=2,1.05*1.12,IF(입력란!$C$15=3,1.05*1.25)))),1)</f>
        <v>831183.68259082688</v>
      </c>
      <c r="U258" s="21">
        <f>AO258*IF(G258="근접",IF(MID(E258,1,1)="1",트라이포드!$D$17,트라이포드!$C$17),1)*IF(MID(E258,1,1)="2",트라이포드!$F$17,트라이포드!$E$17)*IF(MID(E258,3,1)="1",트라이포드!$J$17,트라이포드!$I$17)*IF(MID(E258,5,1)="1",트라이포드!P$17,트라이포드!O$17)*(1+입력란!$P$17/100)*IF(입력란!$C$9=1,IF(입력란!$C$15=0,1.05,IF(입력란!$C$15=1,1.05*1.05,IF(입력란!$C$15=2,1.05*1.12,IF(입력란!$C$15=3,1.05*1.25)))),1)</f>
        <v>0</v>
      </c>
      <c r="V258" s="21"/>
      <c r="W258" s="21"/>
      <c r="X258" s="21"/>
      <c r="Y258" s="21"/>
      <c r="Z258" s="20"/>
      <c r="AA258" s="21">
        <f>SUM(AB258:AI258)</f>
        <v>2968494.1571961865</v>
      </c>
      <c r="AB258" s="21">
        <f>S258*2</f>
        <v>1306126.7920145325</v>
      </c>
      <c r="AC258" s="21">
        <f>T258*2</f>
        <v>1662367.3651816538</v>
      </c>
      <c r="AD258" s="21">
        <f>U258*2</f>
        <v>0</v>
      </c>
      <c r="AE258" s="21"/>
      <c r="AF258" s="21"/>
      <c r="AG258" s="21"/>
      <c r="AH258" s="21"/>
      <c r="AI258" s="20"/>
      <c r="AJ258" s="21">
        <f>(AQ258-IF(MID(E258,3,1)="3",트라이포드!$N$17,트라이포드!$M$17))*(1-입력란!$P$10/100)</f>
        <v>23.711464126079999</v>
      </c>
      <c r="AK2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8" s="21">
        <f>입력란!$P$24+IF(입력란!$C$18=1,10,IF(입력란!$C$18=2,25,IF(입력란!$C$18=3,50,0)))+IF(입력란!$C$23&lt;&gt;0,-12)</f>
        <v>200</v>
      </c>
      <c r="AM258" s="21">
        <f>SUM(AN258:AP258)</f>
        <v>356494.40863540256</v>
      </c>
      <c r="AN258" s="21">
        <f>(VLOOKUP(C258,$B$4:$AJ$7,17,FALSE)+VLOOKUP(C258,$B$8:$AJ$11,17,FALSE)*입력란!$P$4)*IF(G258="근접",입력란!$P$27,IF(MID(E258,1,1)="2",입력란!$P$27,입력란!$P$26))*입력란!$P$25/100</f>
        <v>156856.26235554798</v>
      </c>
      <c r="AO258" s="21">
        <f>(VLOOKUP(C258,$B$4:$AJ$7,18,FALSE)+VLOOKUP(C258,$B$8:$AJ$11,18,FALSE)*입력란!$P$4)*IF(G258="근접",입력란!$P$27,IF(MID(E258,1,1)="2",입력란!$P$27,입력란!$P$26))*입력란!$P$25/100</f>
        <v>199638.14627985461</v>
      </c>
      <c r="AP258" s="21"/>
      <c r="AQ258" s="22">
        <v>24</v>
      </c>
    </row>
    <row r="259" spans="2:43" ht="13.5" customHeight="1" x14ac:dyDescent="0.55000000000000004">
      <c r="B259" s="66">
        <v>244</v>
      </c>
      <c r="C259" s="29">
        <v>10</v>
      </c>
      <c r="D259" s="67" t="s">
        <v>183</v>
      </c>
      <c r="E259" s="27" t="s">
        <v>198</v>
      </c>
      <c r="F259" s="29"/>
      <c r="G259" s="29" t="s">
        <v>200</v>
      </c>
      <c r="H259" s="36">
        <f>I259/AJ259</f>
        <v>173399.25892214425</v>
      </c>
      <c r="I259" s="37">
        <f>SUM(J259:Q259)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3254977.3267085133</v>
      </c>
      <c r="J259" s="21">
        <f>S259*(1+IF($AK259+IF(입력란!$C$9=1,10,0)+IF(입력란!$C$26=1,10,0)&gt;100,100,$AK259+IF(입력란!$C$9=1,10,0)+IF(입력란!$C$26=1,10,0))/100*(($AL259+IF(입력란!$C$30=1,IF(OR(입력란!$C$9=1,입력란!$C$10=1),55,17),IF(입력란!$C$30=2,IF(OR(입력란!$C$9=1,입력란!$C$10=1),60,20),IF(입력란!$C$30=3,IF(OR(입력란!$C$9=1,입력란!$C$10=1),65,22),0))))/100-1))</f>
        <v>534923.90707479371</v>
      </c>
      <c r="K259" s="21">
        <f>T259*(1+IF($AK259+IF(입력란!$C$9=1,10,0)+IF(입력란!$C$26=1,10,0)&gt;100,100,$AK259+IF(입력란!$C$9=1,10,0)+IF(입력란!$C$26=1,10,0))/100*(($AL259+IF(입력란!$C$30=1,IF(OR(입력란!$C$9=1,입력란!$C$10=1),55,17),IF(입력란!$C$30=2,IF(OR(입력란!$C$9=1,입력란!$C$10=1),60,20),IF(입력란!$C$30=3,IF(OR(입력란!$C$9=1,입력란!$C$10=1),65,22),0))))/100-1))</f>
        <v>680822.14637452026</v>
      </c>
      <c r="L259" s="21">
        <f>U259*(1+IF($AK259+IF(입력란!$C$9=1,10,0)+IF(입력란!$C$26=1,10,0)&gt;100,100,$AK259+IF(입력란!$C$9=1,10,0)+IF(입력란!$C$26=1,10,0))/100*(($AL259+IF(입력란!$C$30=1,IF(OR(입력란!$C$9=1,입력란!$C$10=1),55,17),IF(입력란!$C$30=2,IF(OR(입력란!$C$9=1,입력란!$C$10=1),60,20),IF(입력란!$C$30=3,IF(OR(입력란!$C$9=1,입력란!$C$10=1),65,22),0))))/100-1))</f>
        <v>1089315.4341992324</v>
      </c>
      <c r="M259" s="21"/>
      <c r="N259" s="21"/>
      <c r="O259" s="21"/>
      <c r="P259" s="21"/>
      <c r="Q259" s="20"/>
      <c r="R259" s="19">
        <f>SUM(S259:Z259)</f>
        <v>1421283.3185572808</v>
      </c>
      <c r="S259" s="21">
        <f>AN259*IF(G259="근접",IF(MID(E259,1,1)="1",트라이포드!$D$17,트라이포드!$C$17),1)*IF(MID(E259,1,1)="2",트라이포드!$F$17,트라이포드!$E$17)*IF(MID(E259,3,1)="1",트라이포드!$J$17,트라이포드!$I$17)*IF(MID(E259,5,1)="2",트라이포드!$R$17,트라이포드!$Q$17)*(1+입력란!$P$17/100)*IF(입력란!$C$9=1,IF(입력란!$C$15=0,1.05,IF(입력란!$C$15=1,1.05*1.05,IF(입력란!$C$15=2,1.05*1.12,IF(입력란!$C$15=3,1.05*1.25)))),1)</f>
        <v>329829.99798346777</v>
      </c>
      <c r="T259" s="21">
        <f>AO259*IF(G259="근접",IF(MID(E259,1,1)="1",트라이포드!$D$17,트라이포드!$C$17),1)*IF(MID(E259,1,1)="2",트라이포드!$F$17,트라이포드!$E$17)*IF(MID(E259,3,1)="1",트라이포드!$J$17,트라이포드!$I$17)*IF(MID(E259,5,1)="2",트라이포드!$R$17,트라이포드!$Q$17)*(1+입력란!$P$17/100)*IF(입력란!$C$9=1,IF(입력란!$C$15=0,1.05,IF(입력란!$C$15=1,1.05*1.05,IF(입력란!$C$15=2,1.05*1.12,IF(입력란!$C$15=3,1.05*1.25)))),1)</f>
        <v>419789.73868223577</v>
      </c>
      <c r="U259" s="21">
        <f>AO259*IF(G259="근접",IF(MID(E259,1,1)="1",트라이포드!$D$17,트라이포드!$C$17),1)*IF(MID(E259,1,1)="2",트라이포드!$F$17,트라이포드!$E$17)*IF(MID(E259,3,1)="1",트라이포드!$J$17,트라이포드!$I$17)*IF(MID(E259,5,1)="1",트라이포드!P$17,트라이포드!O$17)*(1+입력란!$P$17/100)*IF(입력란!$C$9=1,IF(입력란!$C$15=0,1.05,IF(입력란!$C$15=1,1.05*1.05,IF(입력란!$C$15=2,1.05*1.12,IF(입력란!$C$15=3,1.05*1.25)))),1)</f>
        <v>671663.58189157723</v>
      </c>
      <c r="V259" s="21"/>
      <c r="W259" s="21"/>
      <c r="X259" s="21"/>
      <c r="Y259" s="21"/>
      <c r="Z259" s="20"/>
      <c r="AA259" s="21">
        <f>SUM(AB259:AI259)</f>
        <v>2842566.6371145616</v>
      </c>
      <c r="AB259" s="21">
        <f>S259*2</f>
        <v>659659.99596693553</v>
      </c>
      <c r="AC259" s="21">
        <f>T259*2</f>
        <v>839579.47736447153</v>
      </c>
      <c r="AD259" s="21">
        <f>U259*2</f>
        <v>1343327.1637831545</v>
      </c>
      <c r="AE259" s="21"/>
      <c r="AF259" s="21"/>
      <c r="AG259" s="21"/>
      <c r="AH259" s="21"/>
      <c r="AI259" s="20"/>
      <c r="AJ259" s="21">
        <f>(AQ259-IF(MID(E259,3,1)="3",트라이포드!$N$17,트라이포드!$M$17))*(1-입력란!$P$10/100)</f>
        <v>18.771575766479998</v>
      </c>
      <c r="AK2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59" s="21">
        <f>입력란!$P$24+IF(입력란!$C$18=1,10,IF(입력란!$C$18=2,25,IF(입력란!$C$18=3,50,0)))+IF(입력란!$C$23&lt;&gt;0,-12)</f>
        <v>200</v>
      </c>
      <c r="AM259" s="21">
        <f>SUM(AN259:AP259)</f>
        <v>356494.40863540256</v>
      </c>
      <c r="AN259" s="21">
        <f>(VLOOKUP(C259,$B$4:$AJ$7,17,FALSE)+VLOOKUP(C259,$B$8:$AJ$11,17,FALSE)*입력란!$P$4)*IF(G259="근접",입력란!$P$27,IF(MID(E259,1,1)="2",입력란!$P$27,입력란!$P$26))*입력란!$P$25/100</f>
        <v>156856.26235554798</v>
      </c>
      <c r="AO259" s="21">
        <f>(VLOOKUP(C259,$B$4:$AJ$7,18,FALSE)+VLOOKUP(C259,$B$8:$AJ$11,18,FALSE)*입력란!$P$4)*IF(G259="근접",입력란!$P$27,IF(MID(E259,1,1)="2",입력란!$P$27,입력란!$P$26))*입력란!$P$25/100</f>
        <v>199638.14627985461</v>
      </c>
      <c r="AP259" s="21"/>
      <c r="AQ259" s="22">
        <v>24</v>
      </c>
    </row>
    <row r="260" spans="2:43" ht="13.5" customHeight="1" x14ac:dyDescent="0.55000000000000004">
      <c r="B260" s="66">
        <v>245</v>
      </c>
      <c r="C260" s="29">
        <v>10</v>
      </c>
      <c r="D260" s="67" t="s">
        <v>46</v>
      </c>
      <c r="E260" s="27" t="s">
        <v>103</v>
      </c>
      <c r="F260" s="29"/>
      <c r="G260" s="29" t="s">
        <v>37</v>
      </c>
      <c r="H260" s="36">
        <f>I260/AJ260</f>
        <v>152591.34785148691</v>
      </c>
      <c r="I260" s="37">
        <f>SUM(J260:Q260)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2864380.0475034914</v>
      </c>
      <c r="J260" s="21">
        <f>S260*(1+IF($AK260+IF(입력란!$C$9=1,10,0)+IF(입력란!$C$26=1,10,0)&gt;100,100,$AK260+IF(입력란!$C$9=1,10,0)+IF(입력란!$C$26=1,10,0))/100*(($AL260+IF(입력란!$C$30=1,IF(OR(입력란!$C$9=1,입력란!$C$10=1),55,17),IF(입력란!$C$30=2,IF(OR(입력란!$C$9=1,입력란!$C$10=1),60,20),IF(입력란!$C$30=3,IF(OR(입력란!$C$9=1,입력란!$C$10=1),65,22),0))))/100-1))</f>
        <v>470733.03822581854</v>
      </c>
      <c r="K260" s="21">
        <f>T260*(1+IF($AK260+IF(입력란!$C$9=1,10,0)+IF(입력란!$C$26=1,10,0)&gt;100,100,$AK260+IF(입력란!$C$9=1,10,0)+IF(입력란!$C$26=1,10,0))/100*(($AL260+IF(입력란!$C$30=1,IF(OR(입력란!$C$9=1,입력란!$C$10=1),55,17),IF(입력란!$C$30=2,IF(OR(입력란!$C$9=1,입력란!$C$10=1),60,20),IF(입력란!$C$30=3,IF(OR(입력란!$C$9=1,입력란!$C$10=1),65,22),0))))/100-1))</f>
        <v>599123.48880957777</v>
      </c>
      <c r="L260" s="21">
        <f>U260*(1+IF($AK260+IF(입력란!$C$9=1,10,0)+IF(입력란!$C$26=1,10,0)&gt;100,100,$AK260+IF(입력란!$C$9=1,10,0)+IF(입력란!$C$26=1,10,0))/100*(($AL260+IF(입력란!$C$30=1,IF(OR(입력란!$C$9=1,입력란!$C$10=1),55,17),IF(입력란!$C$30=2,IF(OR(입력란!$C$9=1,입력란!$C$10=1),60,20),IF(입력란!$C$30=3,IF(OR(입력란!$C$9=1,입력란!$C$10=1),65,22),0))))/100-1))</f>
        <v>958597.58209532464</v>
      </c>
      <c r="M260" s="21"/>
      <c r="N260" s="21"/>
      <c r="O260" s="21"/>
      <c r="P260" s="21"/>
      <c r="Q260" s="20"/>
      <c r="R260" s="19">
        <f>SUM(S260:Z260)</f>
        <v>1250729.3203304072</v>
      </c>
      <c r="S260" s="21">
        <f>AN260*IF(G260="근접",IF(MID(E260,1,1)="1",트라이포드!$D$17,트라이포드!$C$17),1)*IF(MID(E260,1,1)="2",트라이포드!$F$17,트라이포드!$E$17)*IF(MID(E260,3,1)="1",트라이포드!$J$17,트라이포드!$I$17)*IF(MID(E260,5,1)="2",트라이포드!$R$17,트라이포드!$Q$17)*(1+입력란!$P$17/100)*IF(입력란!$C$9=1,IF(입력란!$C$15=0,1.05,IF(입력란!$C$15=1,1.05*1.05,IF(입력란!$C$15=2,1.05*1.12,IF(입력란!$C$15=3,1.05*1.25)))),1)</f>
        <v>290250.3982254517</v>
      </c>
      <c r="T260" s="21">
        <f>AO260*IF(G260="근접",IF(MID(E260,1,1)="1",트라이포드!$D$17,트라이포드!$C$17),1)*IF(MID(E260,1,1)="2",트라이포드!$F$17,트라이포드!$E$17)*IF(MID(E260,3,1)="1",트라이포드!$J$17,트라이포드!$I$17)*IF(MID(E260,5,1)="2",트라이포드!$R$17,트라이포드!$Q$17)*(1+입력란!$P$17/100)*IF(입력란!$C$9=1,IF(입력란!$C$15=0,1.05,IF(입력란!$C$15=1,1.05*1.05,IF(입력란!$C$15=2,1.05*1.12,IF(입력란!$C$15=3,1.05*1.25)))),1)</f>
        <v>369414.97004036745</v>
      </c>
      <c r="U260" s="21">
        <f>AO260*IF(G260="근접",IF(MID(E260,1,1)="1",트라이포드!$D$17,트라이포드!$C$17),1)*IF(MID(E260,1,1)="2",트라이포드!$F$17,트라이포드!$E$17)*IF(MID(E260,3,1)="1",트라이포드!$J$17,트라이포드!$I$17)*IF(MID(E260,5,1)="1",트라이포드!P$17,트라이포드!O$17)*(1+입력란!$P$17/100)*IF(입력란!$C$9=1,IF(입력란!$C$15=0,1.05,IF(입력란!$C$15=1,1.05*1.05,IF(입력란!$C$15=2,1.05*1.12,IF(입력란!$C$15=3,1.05*1.25)))),1)</f>
        <v>591063.95206458808</v>
      </c>
      <c r="V260" s="21"/>
      <c r="W260" s="21"/>
      <c r="X260" s="21"/>
      <c r="Y260" s="21"/>
      <c r="Z260" s="20"/>
      <c r="AA260" s="21">
        <f>SUM(AB260:AI260)</f>
        <v>2501458.6406608145</v>
      </c>
      <c r="AB260" s="21">
        <f>S260*2</f>
        <v>580500.79645090341</v>
      </c>
      <c r="AC260" s="21">
        <f>T260*2</f>
        <v>738829.9400807349</v>
      </c>
      <c r="AD260" s="21">
        <f>U260*2</f>
        <v>1182127.9041291762</v>
      </c>
      <c r="AE260" s="21"/>
      <c r="AF260" s="21"/>
      <c r="AG260" s="21"/>
      <c r="AH260" s="21"/>
      <c r="AI260" s="20"/>
      <c r="AJ260" s="21">
        <f>(AQ260-IF(MID(E260,3,1)="3",트라이포드!$N$17,트라이포드!$M$17))*(1-입력란!$P$10/100)</f>
        <v>18.771575766479998</v>
      </c>
      <c r="AK2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0" s="21">
        <f>입력란!$P$24+IF(입력란!$C$18=1,10,IF(입력란!$C$18=2,25,IF(입력란!$C$18=3,50,0)))+IF(입력란!$C$23&lt;&gt;0,-12)</f>
        <v>200</v>
      </c>
      <c r="AM260" s="21">
        <f>SUM(AN260:AP260)</f>
        <v>356494.40863540256</v>
      </c>
      <c r="AN260" s="21">
        <f>(VLOOKUP(C260,$B$4:$AJ$7,17,FALSE)+VLOOKUP(C260,$B$8:$AJ$11,17,FALSE)*입력란!$P$4)*IF(G260="근접",입력란!$P$27,IF(MID(E260,1,1)="2",입력란!$P$27,입력란!$P$26))*입력란!$P$25/100</f>
        <v>156856.26235554798</v>
      </c>
      <c r="AO260" s="21">
        <f>(VLOOKUP(C260,$B$4:$AJ$7,18,FALSE)+VLOOKUP(C260,$B$8:$AJ$11,18,FALSE)*입력란!$P$4)*IF(G260="근접",입력란!$P$27,IF(MID(E260,1,1)="2",입력란!$P$27,입력란!$P$26))*입력란!$P$25/100</f>
        <v>199638.14627985461</v>
      </c>
      <c r="AP260" s="21"/>
      <c r="AQ260" s="22">
        <v>24</v>
      </c>
    </row>
    <row r="261" spans="2:43" ht="13.5" customHeight="1" x14ac:dyDescent="0.55000000000000004">
      <c r="B261" s="66">
        <v>246</v>
      </c>
      <c r="C261" s="29">
        <v>10</v>
      </c>
      <c r="D261" s="67" t="s">
        <v>183</v>
      </c>
      <c r="E261" s="27" t="s">
        <v>199</v>
      </c>
      <c r="F261" s="29" t="s">
        <v>216</v>
      </c>
      <c r="G261" s="29" t="s">
        <v>200</v>
      </c>
      <c r="H261" s="36">
        <f>I261/AJ261</f>
        <v>164619.05181420242</v>
      </c>
      <c r="I261" s="37">
        <f>SUM(J261:Q261)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3090159.0037363973</v>
      </c>
      <c r="J261" s="21">
        <f>S261*(1+IF($AK261+IF(입력란!$C$9=1,10,0)+IF(입력란!$C$26=1,10,0)&gt;100,100,$AK261+IF(입력란!$C$9=1,10,0)+IF(입력란!$C$26=1,10,0))/100*(($AL261+IF(입력란!$C$30=1,IF(OR(입력란!$C$9=1,입력란!$C$10=1),55,17),IF(입력란!$C$30=2,IF(OR(입력란!$C$9=1,입력란!$C$10=1),60,20),IF(입력란!$C$30=3,IF(OR(입력란!$C$9=1,입력란!$C$10=1),65,22),0))))/100-1))</f>
        <v>962863.03273462877</v>
      </c>
      <c r="K261" s="21">
        <f>T261*(1+IF($AK261+IF(입력란!$C$9=1,10,0)+IF(입력란!$C$26=1,10,0)&gt;100,100,$AK261+IF(입력란!$C$9=1,10,0)+IF(입력란!$C$26=1,10,0))/100*(($AL261+IF(입력란!$C$30=1,IF(OR(입력란!$C$9=1,입력란!$C$10=1),55,17),IF(입력란!$C$30=2,IF(OR(입력란!$C$9=1,입력란!$C$10=1),60,20),IF(입력란!$C$30=3,IF(OR(입력란!$C$9=1,입력란!$C$10=1),65,22),0))))/100-1))</f>
        <v>1225479.8634741365</v>
      </c>
      <c r="L261" s="21">
        <f>U261*(1+IF($AK261+IF(입력란!$C$9=1,10,0)+IF(입력란!$C$26=1,10,0)&gt;100,100,$AK261+IF(입력란!$C$9=1,10,0)+IF(입력란!$C$26=1,10,0))/100*(($AL261+IF(입력란!$C$30=1,IF(OR(입력란!$C$9=1,입력란!$C$10=1),55,17),IF(입력란!$C$30=2,IF(OR(입력란!$C$9=1,입력란!$C$10=1),60,20),IF(입력란!$C$30=3,IF(OR(입력란!$C$9=1,입력란!$C$10=1),65,22),0))))/100-1))</f>
        <v>0</v>
      </c>
      <c r="M261" s="21"/>
      <c r="N261" s="21"/>
      <c r="O261" s="21"/>
      <c r="P261" s="21"/>
      <c r="Q261" s="20"/>
      <c r="R261" s="19">
        <f>SUM(S261:Z261)</f>
        <v>1349315.5259982664</v>
      </c>
      <c r="S261" s="21">
        <f>AN261*IF(G261="근접",IF(MID(E261,1,1)="1",트라이포드!$D$17,트라이포드!$C$17),1)*IF(MID(E261,1,1)="2",트라이포드!$F$17,트라이포드!$E$17)*IF(MID(E261,3,1)="1",트라이포드!$J$17,트라이포드!$I$17)*IF(MID(E261,5,1)="2",트라이포드!$R$17,트라이포드!$Q$17)*(1+입력란!$P$17/100)*IF(입력란!$C$9=1,IF(입력란!$C$15=0,1.05,IF(입력란!$C$15=1,1.05*1.05,IF(입력란!$C$15=2,1.05*1.12,IF(입력란!$C$15=3,1.05*1.25)))),1)</f>
        <v>593693.99637024209</v>
      </c>
      <c r="T261" s="21">
        <f>AO261*IF(G261="근접",IF(MID(E261,1,1)="1",트라이포드!$D$17,트라이포드!$C$17),1)*IF(MID(E261,1,1)="2",트라이포드!$F$17,트라이포드!$E$17)*IF(MID(E261,3,1)="1",트라이포드!$J$17,트라이포드!$I$17)*IF(MID(E261,5,1)="2",트라이포드!$R$17,트라이포드!$Q$17)*(1+입력란!$P$17/100)*IF(입력란!$C$9=1,IF(입력란!$C$15=0,1.05,IF(입력란!$C$15=1,1.05*1.05,IF(입력란!$C$15=2,1.05*1.12,IF(입력란!$C$15=3,1.05*1.25)))),1)</f>
        <v>755621.52962802444</v>
      </c>
      <c r="U261" s="21">
        <f>AO261*IF(G261="근접",IF(MID(E261,1,1)="1",트라이포드!$D$17,트라이포드!$C$17),1)*IF(MID(E261,1,1)="2",트라이포드!$F$17,트라이포드!$E$17)*IF(MID(E261,3,1)="1",트라이포드!$J$17,트라이포드!$I$17)*IF(MID(E261,5,1)="1",트라이포드!P$17,트라이포드!O$17)*(1+입력란!$P$17/100)*IF(입력란!$C$9=1,IF(입력란!$C$15=0,1.05,IF(입력란!$C$15=1,1.05*1.05,IF(입력란!$C$15=2,1.05*1.12,IF(입력란!$C$15=3,1.05*1.25)))),1)</f>
        <v>0</v>
      </c>
      <c r="V261" s="21"/>
      <c r="W261" s="21"/>
      <c r="X261" s="21"/>
      <c r="Y261" s="21"/>
      <c r="Z261" s="20"/>
      <c r="AA261" s="21">
        <f>SUM(AB261:AI261)</f>
        <v>2698631.0519965328</v>
      </c>
      <c r="AB261" s="21">
        <f>S261*2</f>
        <v>1187387.9927404842</v>
      </c>
      <c r="AC261" s="21">
        <f>T261*2</f>
        <v>1511243.0592560489</v>
      </c>
      <c r="AD261" s="21">
        <f>U261*2</f>
        <v>0</v>
      </c>
      <c r="AE261" s="21"/>
      <c r="AF261" s="21"/>
      <c r="AG261" s="21"/>
      <c r="AH261" s="21"/>
      <c r="AI261" s="20"/>
      <c r="AJ261" s="21">
        <f>(AQ261-IF(MID(E261,3,1)="3",트라이포드!$N$17,트라이포드!$M$17))*(1-입력란!$P$10/100)</f>
        <v>18.771575766479998</v>
      </c>
      <c r="AK2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1" s="21">
        <f>입력란!$P$24+IF(입력란!$C$18=1,10,IF(입력란!$C$18=2,25,IF(입력란!$C$18=3,50,0)))+IF(입력란!$C$23&lt;&gt;0,-12)</f>
        <v>200</v>
      </c>
      <c r="AM261" s="21">
        <f>SUM(AN261:AP261)</f>
        <v>356494.40863540256</v>
      </c>
      <c r="AN261" s="21">
        <f>(VLOOKUP(C261,$B$4:$AJ$7,17,FALSE)+VLOOKUP(C261,$B$8:$AJ$11,17,FALSE)*입력란!$P$4)*IF(G261="근접",입력란!$P$27,IF(MID(E261,1,1)="2",입력란!$P$27,입력란!$P$26))*입력란!$P$25/100</f>
        <v>156856.26235554798</v>
      </c>
      <c r="AO261" s="21">
        <f>(VLOOKUP(C261,$B$4:$AJ$7,18,FALSE)+VLOOKUP(C261,$B$8:$AJ$11,18,FALSE)*입력란!$P$4)*IF(G261="근접",입력란!$P$27,IF(MID(E261,1,1)="2",입력란!$P$27,입력란!$P$26))*입력란!$P$25/100</f>
        <v>199638.14627985461</v>
      </c>
      <c r="AP261" s="21"/>
      <c r="AQ261" s="22">
        <v>24</v>
      </c>
    </row>
    <row r="262" spans="2:43" ht="13.5" customHeight="1" x14ac:dyDescent="0.55000000000000004">
      <c r="B262" s="66">
        <v>247</v>
      </c>
      <c r="C262" s="29">
        <v>10</v>
      </c>
      <c r="D262" s="67" t="s">
        <v>46</v>
      </c>
      <c r="E262" s="27" t="s">
        <v>104</v>
      </c>
      <c r="F262" s="29" t="s">
        <v>136</v>
      </c>
      <c r="G262" s="29" t="s">
        <v>37</v>
      </c>
      <c r="H262" s="36">
        <f>I262/AJ262</f>
        <v>144864.76559649815</v>
      </c>
      <c r="I262" s="37">
        <f>SUM(J262:Q262)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2719339.9232880301</v>
      </c>
      <c r="J262" s="21">
        <f>S262*(1+IF($AK262+IF(입력란!$C$9=1,10,0)+IF(입력란!$C$26=1,10,0)&gt;100,100,$AK262+IF(입력란!$C$9=1,10,0)+IF(입력란!$C$26=1,10,0))/100*(($AL262+IF(입력란!$C$30=1,IF(OR(입력란!$C$9=1,입력란!$C$10=1),55,17),IF(입력란!$C$30=2,IF(OR(입력란!$C$9=1,입력란!$C$10=1),60,20),IF(입력란!$C$30=3,IF(OR(입력란!$C$9=1,입력란!$C$10=1),65,22),0))))/100-1))</f>
        <v>847319.46880647354</v>
      </c>
      <c r="K262" s="21">
        <f>T262*(1+IF($AK262+IF(입력란!$C$9=1,10,0)+IF(입력란!$C$26=1,10,0)&gt;100,100,$AK262+IF(입력란!$C$9=1,10,0)+IF(입력란!$C$26=1,10,0))/100*(($AL262+IF(입력란!$C$30=1,IF(OR(입력란!$C$9=1,입력란!$C$10=1),55,17),IF(입력란!$C$30=2,IF(OR(입력란!$C$9=1,입력란!$C$10=1),60,20),IF(입력란!$C$30=3,IF(OR(입력란!$C$9=1,입력란!$C$10=1),65,22),0))))/100-1))</f>
        <v>1078422.2798572399</v>
      </c>
      <c r="L262" s="21">
        <f>U262*(1+IF($AK262+IF(입력란!$C$9=1,10,0)+IF(입력란!$C$26=1,10,0)&gt;100,100,$AK262+IF(입력란!$C$9=1,10,0)+IF(입력란!$C$26=1,10,0))/100*(($AL262+IF(입력란!$C$30=1,IF(OR(입력란!$C$9=1,입력란!$C$10=1),55,17),IF(입력란!$C$30=2,IF(OR(입력란!$C$9=1,입력란!$C$10=1),60,20),IF(입력란!$C$30=3,IF(OR(입력란!$C$9=1,입력란!$C$10=1),65,22),0))))/100-1))</f>
        <v>0</v>
      </c>
      <c r="M262" s="21"/>
      <c r="N262" s="21"/>
      <c r="O262" s="21"/>
      <c r="P262" s="21"/>
      <c r="Q262" s="20"/>
      <c r="R262" s="19">
        <f>SUM(S262:Z262)</f>
        <v>1187397.6628784747</v>
      </c>
      <c r="S262" s="21">
        <f>AN262*IF(G262="근접",IF(MID(E262,1,1)="1",트라이포드!$D$17,트라이포드!$C$17),1)*IF(MID(E262,1,1)="2",트라이포드!$F$17,트라이포드!$E$17)*IF(MID(E262,3,1)="1",트라이포드!$J$17,트라이포드!$I$17)*IF(MID(E262,5,1)="2",트라이포드!$R$17,트라이포드!$Q$17)*(1+입력란!$P$17/100)*IF(입력란!$C$9=1,IF(입력란!$C$15=0,1.05,IF(입력란!$C$15=1,1.05*1.05,IF(입력란!$C$15=2,1.05*1.12,IF(입력란!$C$15=3,1.05*1.25)))),1)</f>
        <v>522450.71680581314</v>
      </c>
      <c r="T262" s="21">
        <f>AO262*IF(G262="근접",IF(MID(E262,1,1)="1",트라이포드!$D$17,트라이포드!$C$17),1)*IF(MID(E262,1,1)="2",트라이포드!$F$17,트라이포드!$E$17)*IF(MID(E262,3,1)="1",트라이포드!$J$17,트라이포드!$I$17)*IF(MID(E262,5,1)="2",트라이포드!$R$17,트라이포드!$Q$17)*(1+입력란!$P$17/100)*IF(입력란!$C$9=1,IF(입력란!$C$15=0,1.05,IF(입력란!$C$15=1,1.05*1.05,IF(입력란!$C$15=2,1.05*1.12,IF(입력란!$C$15=3,1.05*1.25)))),1)</f>
        <v>664946.94607266143</v>
      </c>
      <c r="U262" s="21">
        <f>AO262*IF(G262="근접",IF(MID(E262,1,1)="1",트라이포드!$D$17,트라이포드!$C$17),1)*IF(MID(E262,1,1)="2",트라이포드!$F$17,트라이포드!$E$17)*IF(MID(E262,3,1)="1",트라이포드!$J$17,트라이포드!$I$17)*IF(MID(E262,5,1)="1",트라이포드!P$17,트라이포드!O$17)*(1+입력란!$P$17/100)*IF(입력란!$C$9=1,IF(입력란!$C$15=0,1.05,IF(입력란!$C$15=1,1.05*1.05,IF(입력란!$C$15=2,1.05*1.12,IF(입력란!$C$15=3,1.05*1.25)))),1)</f>
        <v>0</v>
      </c>
      <c r="V262" s="21"/>
      <c r="W262" s="21"/>
      <c r="X262" s="21"/>
      <c r="Y262" s="21"/>
      <c r="Z262" s="20"/>
      <c r="AA262" s="21">
        <f>SUM(AB262:AI262)</f>
        <v>2374795.3257569494</v>
      </c>
      <c r="AB262" s="21">
        <f>S262*2</f>
        <v>1044901.4336116263</v>
      </c>
      <c r="AC262" s="21">
        <f>T262*2</f>
        <v>1329893.8921453229</v>
      </c>
      <c r="AD262" s="21">
        <f>U262*2</f>
        <v>0</v>
      </c>
      <c r="AE262" s="21"/>
      <c r="AF262" s="21"/>
      <c r="AG262" s="21"/>
      <c r="AH262" s="21"/>
      <c r="AI262" s="20"/>
      <c r="AJ262" s="21">
        <f>(AQ262-IF(MID(E262,3,1)="3",트라이포드!$N$17,트라이포드!$M$17))*(1-입력란!$P$10/100)</f>
        <v>18.771575766479998</v>
      </c>
      <c r="AK2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2" s="21">
        <f>입력란!$P$24+IF(입력란!$C$18=1,10,IF(입력란!$C$18=2,25,IF(입력란!$C$18=3,50,0)))+IF(입력란!$C$23&lt;&gt;0,-12)</f>
        <v>200</v>
      </c>
      <c r="AM262" s="21">
        <f>SUM(AN262:AP262)</f>
        <v>356494.40863540256</v>
      </c>
      <c r="AN262" s="21">
        <f>(VLOOKUP(C262,$B$4:$AJ$7,17,FALSE)+VLOOKUP(C262,$B$8:$AJ$11,17,FALSE)*입력란!$P$4)*IF(G262="근접",입력란!$P$27,IF(MID(E262,1,1)="2",입력란!$P$27,입력란!$P$26))*입력란!$P$25/100</f>
        <v>156856.26235554798</v>
      </c>
      <c r="AO262" s="21">
        <f>(VLOOKUP(C262,$B$4:$AJ$7,18,FALSE)+VLOOKUP(C262,$B$8:$AJ$11,18,FALSE)*입력란!$P$4)*IF(G262="근접",입력란!$P$27,IF(MID(E262,1,1)="2",입력란!$P$27,입력란!$P$26))*입력란!$P$25/100</f>
        <v>199638.14627985461</v>
      </c>
      <c r="AP262" s="21"/>
      <c r="AQ262" s="22">
        <v>24</v>
      </c>
    </row>
    <row r="263" spans="2:43" ht="13.5" customHeight="1" x14ac:dyDescent="0.55000000000000004">
      <c r="B263" s="66">
        <v>248</v>
      </c>
      <c r="C263" s="29">
        <v>1</v>
      </c>
      <c r="D263" s="67" t="s">
        <v>183</v>
      </c>
      <c r="E263" s="27" t="s">
        <v>184</v>
      </c>
      <c r="F263" s="29"/>
      <c r="G263" s="29" t="s">
        <v>201</v>
      </c>
      <c r="H263" s="36">
        <f>I263/AJ263</f>
        <v>28895.12430541373</v>
      </c>
      <c r="I263" s="37">
        <f>SUM(J263:Q263)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685145.70338643994</v>
      </c>
      <c r="J263" s="21">
        <f>S263*(1+IF($AK263+IF(입력란!$C$9=1,10,0)+IF(입력란!$C$26=1,10,0)&gt;100,100,$AK263+IF(입력란!$C$9=1,10,0)+IF(입력란!$C$26=1,10,0))/100*(($AL263+IF(입력란!$C$30=1,IF(OR(입력란!$C$9=1,입력란!$C$10=1),55,17),IF(입력란!$C$30=2,IF(OR(입력란!$C$9=1,입력란!$C$10=1),60,20),IF(입력란!$C$30=3,IF(OR(입력란!$C$9=1,입력란!$C$10=1),65,22),0))))/100-1))</f>
        <v>213479.57367797472</v>
      </c>
      <c r="K263" s="21">
        <f>T263*(1+IF($AK263+IF(입력란!$C$9=1,10,0)+IF(입력란!$C$26=1,10,0)&gt;100,100,$AK263+IF(입력란!$C$9=1,10,0)+IF(입력란!$C$26=1,10,0))/100*(($AL263+IF(입력란!$C$30=1,IF(OR(입력란!$C$9=1,입력란!$C$10=1),55,17),IF(입력란!$C$30=2,IF(OR(입력란!$C$9=1,입력란!$C$10=1),60,20),IF(입력란!$C$30=3,IF(OR(입력란!$C$9=1,입력란!$C$10=1),65,22),0))))/100-1))</f>
        <v>271716.73209813173</v>
      </c>
      <c r="L263" s="21">
        <f>U263*(1+IF($AK263+IF(입력란!$C$9=1,10,0)+IF(입력란!$C$26=1,10,0)&gt;100,100,$AK263+IF(입력란!$C$9=1,10,0)+IF(입력란!$C$26=1,10,0))/100*(($AL263+IF(입력란!$C$30=1,IF(OR(입력란!$C$9=1,입력란!$C$10=1),55,17),IF(입력란!$C$30=2,IF(OR(입력란!$C$9=1,입력란!$C$10=1),60,20),IF(입력란!$C$30=3,IF(OR(입력란!$C$9=1,입력란!$C$10=1),65,22),0))))/100-1))</f>
        <v>0</v>
      </c>
      <c r="M263" s="21"/>
      <c r="N263" s="21"/>
      <c r="O263" s="21"/>
      <c r="P263" s="21"/>
      <c r="Q263" s="20"/>
      <c r="R263" s="19">
        <f>SUM(S263:Z263)</f>
        <v>299168.33859763033</v>
      </c>
      <c r="S263" s="21">
        <f>AN263*IF(G263="근접",IF(MID(E263,1,1)="1",트라이포드!$D$17,트라이포드!$C$17),1)*IF(MID(E263,1,1)="2",트라이포드!$F$17,트라이포드!$E$17)*IF(MID(E263,3,1)="1",트라이포드!$J$17,트라이포드!$I$17)*IF(MID(E263,5,1)="2",트라이포드!$R$17,트라이포드!$Q$17)*(1+입력란!$P$17/100)*IF(입력란!$C$9=1,IF(입력란!$C$15=0,1.05,IF(입력란!$C$15=1,1.05*1.05,IF(입력란!$C$15=2,1.05*1.12,IF(입력란!$C$15=3,1.05*1.25)))),1)</f>
        <v>131629.87562242732</v>
      </c>
      <c r="T263" s="21">
        <f>AO263*IF(G263="근접",IF(MID(E263,1,1)="1",트라이포드!$D$17,트라이포드!$C$17),1)*IF(MID(E263,1,1)="2",트라이포드!$F$17,트라이포드!$E$17)*IF(MID(E263,3,1)="1",트라이포드!$J$17,트라이포드!$I$17)*IF(MID(E263,5,1)="2",트라이포드!$R$17,트라이포드!$Q$17)*(1+입력란!$P$17/100)*IF(입력란!$C$9=1,IF(입력란!$C$15=0,1.05,IF(입력란!$C$15=1,1.05*1.05,IF(입력란!$C$15=2,1.05*1.12,IF(입력란!$C$15=3,1.05*1.25)))),1)</f>
        <v>167538.462975203</v>
      </c>
      <c r="U263" s="21">
        <f>AO263*IF(G263="근접",IF(MID(E263,1,1)="1",트라이포드!$D$17,트라이포드!$C$17),1)*IF(MID(E263,1,1)="2",트라이포드!$F$17,트라이포드!$E$17)*IF(MID(E263,3,1)="1",트라이포드!$J$17,트라이포드!$I$17)*IF(MID(E263,5,1)="1",트라이포드!P$17,트라이포드!O$17)*(1+입력란!$P$17/100)*IF(입력란!$C$9=1,IF(입력란!$C$15=0,1.05,IF(입력란!$C$15=1,1.05*1.05,IF(입력란!$C$15=2,1.05*1.12,IF(입력란!$C$15=3,1.05*1.25)))),1)</f>
        <v>0</v>
      </c>
      <c r="V263" s="21"/>
      <c r="W263" s="21"/>
      <c r="X263" s="21"/>
      <c r="Y263" s="21"/>
      <c r="Z263" s="20"/>
      <c r="AA263" s="21">
        <f>SUM(AB263:AI263)</f>
        <v>598336.67719526065</v>
      </c>
      <c r="AB263" s="21">
        <f>S263*2</f>
        <v>263259.75124485465</v>
      </c>
      <c r="AC263" s="21">
        <f>T263*2</f>
        <v>335076.925950406</v>
      </c>
      <c r="AD263" s="21">
        <f>U263*2</f>
        <v>0</v>
      </c>
      <c r="AE263" s="21"/>
      <c r="AF263" s="21"/>
      <c r="AG263" s="21"/>
      <c r="AH263" s="21"/>
      <c r="AI263" s="20"/>
      <c r="AJ263" s="21">
        <f>(AQ263-IF(MID(E263,3,1)="3",트라이포드!$N$17,트라이포드!$M$17))*(1-입력란!$P$10/100)</f>
        <v>23.711464126079999</v>
      </c>
      <c r="AK2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3" s="21">
        <f>입력란!$P$24+IF(입력란!$C$18=1,10,IF(입력란!$C$18=2,25,IF(입력란!$C$18=3,50,0)))+IF(입력란!$C$23&lt;&gt;0,-12)</f>
        <v>200</v>
      </c>
      <c r="AM263" s="21">
        <f>SUM(AN263:AP263)</f>
        <v>177843.23626733699</v>
      </c>
      <c r="AN263" s="21">
        <f>(VLOOKUP(C263,$B$4:$AJ$7,17,FALSE)+VLOOKUP(C263,$B$8:$AJ$11,17,FALSE)*입력란!$P$4)*IF(G263="근접",입력란!$P$27,IF(MID(E263,1,1)="2",입력란!$P$27,입력란!$P$26))*입력란!$P$25/100</f>
        <v>78248.531177773999</v>
      </c>
      <c r="AO263" s="21">
        <f>(VLOOKUP(C263,$B$4:$AJ$7,18,FALSE)+VLOOKUP(C263,$B$8:$AJ$11,18,FALSE)*입력란!$P$4)*IF(G263="근접",입력란!$P$27,IF(MID(E263,1,1)="2",입력란!$P$27,입력란!$P$26))*입력란!$P$25/100</f>
        <v>99594.70508956298</v>
      </c>
      <c r="AP263" s="21"/>
      <c r="AQ263" s="22">
        <v>24</v>
      </c>
    </row>
    <row r="264" spans="2:43" ht="13.5" customHeight="1" x14ac:dyDescent="0.55000000000000004">
      <c r="B264" s="66">
        <v>249</v>
      </c>
      <c r="C264" s="29">
        <v>4</v>
      </c>
      <c r="D264" s="67" t="s">
        <v>183</v>
      </c>
      <c r="E264" s="27" t="s">
        <v>184</v>
      </c>
      <c r="F264" s="29"/>
      <c r="G264" s="29" t="s">
        <v>201</v>
      </c>
      <c r="H264" s="36">
        <f>I264/AJ264</f>
        <v>28932.03349122966</v>
      </c>
      <c r="I264" s="37">
        <f>SUM(J264:Q264)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686020.87422183715</v>
      </c>
      <c r="J264" s="21">
        <f>S264*(1+IF($AK264+IF(입력란!$C$9=1,10,0)+IF(입력란!$C$26=1,10,0)&gt;100,100,$AK264+IF(입력란!$C$9=1,10,0)+IF(입력란!$C$26=1,10,0))/100*(($AL264+IF(입력란!$C$30=1,IF(OR(입력란!$C$9=1,입력란!$C$10=1),55,17),IF(입력란!$C$30=2,IF(OR(입력란!$C$9=1,입력란!$C$10=1),60,20),IF(입력란!$C$30=3,IF(OR(입력란!$C$9=1,입력란!$C$10=1),65,22),0))))/100-1))</f>
        <v>213758.94388487306</v>
      </c>
      <c r="K264" s="21">
        <f>T264*(1+IF($AK264+IF(입력란!$C$9=1,10,0)+IF(입력란!$C$26=1,10,0)&gt;100,100,$AK264+IF(입력란!$C$9=1,10,0)+IF(입력란!$C$26=1,10,0))/100*(($AL264+IF(입력란!$C$30=1,IF(OR(입력란!$C$9=1,입력란!$C$10=1),55,17),IF(입력란!$C$30=2,IF(OR(입력란!$C$9=1,입력란!$C$10=1),60,20),IF(입력란!$C$30=3,IF(OR(입력란!$C$9=1,입력란!$C$10=1),65,22),0))))/100-1))</f>
        <v>272057.12737200467</v>
      </c>
      <c r="L264" s="21">
        <f>U264*(1+IF($AK264+IF(입력란!$C$9=1,10,0)+IF(입력란!$C$26=1,10,0)&gt;100,100,$AK264+IF(입력란!$C$9=1,10,0)+IF(입력란!$C$26=1,10,0))/100*(($AL264+IF(입력란!$C$30=1,IF(OR(입력란!$C$9=1,입력란!$C$10=1),55,17),IF(입력란!$C$30=2,IF(OR(입력란!$C$9=1,입력란!$C$10=1),60,20),IF(입력란!$C$30=3,IF(OR(입력란!$C$9=1,입력란!$C$10=1),65,22),0))))/100-1))</f>
        <v>0</v>
      </c>
      <c r="M264" s="21"/>
      <c r="N264" s="21"/>
      <c r="O264" s="21"/>
      <c r="P264" s="21"/>
      <c r="Q264" s="20"/>
      <c r="R264" s="19">
        <f>SUM(S264:Z264)</f>
        <v>299550.4812623522</v>
      </c>
      <c r="S264" s="21">
        <f>AN264*IF(G264="근접",IF(MID(E264,1,1)="1",트라이포드!$D$17,트라이포드!$C$17),1)*IF(MID(E264,1,1)="2",트라이포드!$F$17,트라이포드!$E$17)*IF(MID(E264,3,1)="1",트라이포드!$J$17,트라이포드!$I$17)*IF(MID(E264,5,1)="2",트라이포드!$R$17,트라이포드!$Q$17)*(1+입력란!$P$17/100)*IF(입력란!$C$9=1,IF(입력란!$C$15=0,1.05,IF(입력란!$C$15=1,1.05*1.05,IF(입력란!$C$15=2,1.05*1.12,IF(입력란!$C$15=3,1.05*1.25)))),1)</f>
        <v>131802.13315954473</v>
      </c>
      <c r="T264" s="21">
        <f>AO264*IF(G264="근접",IF(MID(E264,1,1)="1",트라이포드!$D$17,트라이포드!$C$17),1)*IF(MID(E264,1,1)="2",트라이포드!$F$17,트라이포드!$E$17)*IF(MID(E264,3,1)="1",트라이포드!$J$17,트라이포드!$I$17)*IF(MID(E264,5,1)="2",트라이포드!$R$17,트라이포드!$Q$17)*(1+입력란!$P$17/100)*IF(입력란!$C$9=1,IF(입력란!$C$15=0,1.05,IF(입력란!$C$15=1,1.05*1.05,IF(입력란!$C$15=2,1.05*1.12,IF(입력란!$C$15=3,1.05*1.25)))),1)</f>
        <v>167748.34810280747</v>
      </c>
      <c r="U264" s="21">
        <f>AO264*IF(G264="근접",IF(MID(E264,1,1)="1",트라이포드!$D$17,트라이포드!$C$17),1)*IF(MID(E264,1,1)="2",트라이포드!$F$17,트라이포드!$E$17)*IF(MID(E264,3,1)="1",트라이포드!$J$17,트라이포드!$I$17)*IF(MID(E264,5,1)="1",트라이포드!P$17,트라이포드!O$17)*(1+입력란!$P$17/100)*IF(입력란!$C$9=1,IF(입력란!$C$15=0,1.05,IF(입력란!$C$15=1,1.05*1.05,IF(입력란!$C$15=2,1.05*1.12,IF(입력란!$C$15=3,1.05*1.25)))),1)</f>
        <v>0</v>
      </c>
      <c r="V264" s="21"/>
      <c r="W264" s="21"/>
      <c r="X264" s="21"/>
      <c r="Y264" s="21"/>
      <c r="Z264" s="20"/>
      <c r="AA264" s="21">
        <f>SUM(AB264:AI264)</f>
        <v>599100.9625247044</v>
      </c>
      <c r="AB264" s="21">
        <f>S264*2</f>
        <v>263604.26631908945</v>
      </c>
      <c r="AC264" s="21">
        <f>T264*2</f>
        <v>335496.69620561495</v>
      </c>
      <c r="AD264" s="21">
        <f>U264*2</f>
        <v>0</v>
      </c>
      <c r="AE264" s="21"/>
      <c r="AF264" s="21"/>
      <c r="AG264" s="21"/>
      <c r="AH264" s="21"/>
      <c r="AI264" s="20"/>
      <c r="AJ264" s="21">
        <f>(AQ264-IF(MID(E264,3,1)="3",트라이포드!$N$17,트라이포드!$M$17))*(1-입력란!$P$10/100)</f>
        <v>23.711464126079999</v>
      </c>
      <c r="AK2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4" s="21">
        <f>입력란!$P$24+IF(입력란!$C$18=1,10,IF(입력란!$C$18=2,25,IF(입력란!$C$18=3,50,0)))+IF(입력란!$C$23&lt;&gt;0,-12)</f>
        <v>200</v>
      </c>
      <c r="AM264" s="21">
        <f>SUM(AN264:AP264)</f>
        <v>178070.40431770129</v>
      </c>
      <c r="AN264" s="21">
        <f>(VLOOKUP(C264,$B$4:$AJ$7,17,FALSE)+VLOOKUP(C264,$B$8:$AJ$11,17,FALSE)*입력란!$P$4)*IF(G264="근접",입력란!$P$27,IF(MID(E264,1,1)="2",입력란!$P$27,입력란!$P$26))*입력란!$P$25/100</f>
        <v>78350.931177773993</v>
      </c>
      <c r="AO264" s="21">
        <f>(VLOOKUP(C264,$B$4:$AJ$7,18,FALSE)+VLOOKUP(C264,$B$8:$AJ$11,18,FALSE)*입력란!$P$4)*IF(G264="근접",입력란!$P$27,IF(MID(E264,1,1)="2",입력란!$P$27,입력란!$P$26))*입력란!$P$25/100</f>
        <v>99719.473139927315</v>
      </c>
      <c r="AP264" s="21"/>
      <c r="AQ264" s="22">
        <v>24</v>
      </c>
    </row>
    <row r="265" spans="2:43" ht="13.5" customHeight="1" x14ac:dyDescent="0.55000000000000004">
      <c r="B265" s="66">
        <v>250</v>
      </c>
      <c r="C265" s="29">
        <v>4</v>
      </c>
      <c r="D265" s="67" t="s">
        <v>46</v>
      </c>
      <c r="E265" s="27" t="s">
        <v>351</v>
      </c>
      <c r="F265" s="29"/>
      <c r="G265" s="29" t="s">
        <v>36</v>
      </c>
      <c r="H265" s="36">
        <f>I265/AJ265</f>
        <v>63650.473680705254</v>
      </c>
      <c r="I265" s="37">
        <f>SUM(J265:Q265)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1509245.9232880417</v>
      </c>
      <c r="J265" s="21">
        <f>S265*(1+IF($AK265+IF(입력란!$C$9=1,10,0)+IF(입력란!$C$26=1,10,0)&gt;100,100,$AK265+IF(입력란!$C$9=1,10,0)+IF(입력란!$C$26=1,10,0))/100*(($AL265+IF(입력란!$C$30=1,IF(OR(입력란!$C$9=1,입력란!$C$10=1),55,17),IF(입력란!$C$30=2,IF(OR(입력란!$C$9=1,입력란!$C$10=1),60,20),IF(입력란!$C$30=3,IF(OR(입력란!$C$9=1,입력란!$C$10=1),65,22),0))))/100-1))</f>
        <v>470269.67654672079</v>
      </c>
      <c r="K265" s="21">
        <f>T265*(1+IF($AK265+IF(입력란!$C$9=1,10,0)+IF(입력란!$C$26=1,10,0)&gt;100,100,$AK265+IF(입력란!$C$9=1,10,0)+IF(입력란!$C$26=1,10,0))/100*(($AL265+IF(입력란!$C$30=1,IF(OR(입력란!$C$9=1,입력란!$C$10=1),55,17),IF(입력란!$C$30=2,IF(OR(입력란!$C$9=1,입력란!$C$10=1),60,20),IF(입력란!$C$30=3,IF(OR(입력란!$C$9=1,입력란!$C$10=1),65,22),0))))/100-1))</f>
        <v>598525.68021841033</v>
      </c>
      <c r="L265" s="21">
        <f>U265*(1+IF($AK265+IF(입력란!$C$9=1,10,0)+IF(입력란!$C$26=1,10,0)&gt;100,100,$AK265+IF(입력란!$C$9=1,10,0)+IF(입력란!$C$26=1,10,0))/100*(($AL265+IF(입력란!$C$30=1,IF(OR(입력란!$C$9=1,입력란!$C$10=1),55,17),IF(입력란!$C$30=2,IF(OR(입력란!$C$9=1,입력란!$C$10=1),60,20),IF(입력란!$C$30=3,IF(OR(입력란!$C$9=1,입력란!$C$10=1),65,22),0))))/100-1))</f>
        <v>0</v>
      </c>
      <c r="M265" s="21"/>
      <c r="N265" s="21"/>
      <c r="O265" s="21"/>
      <c r="P265" s="21"/>
      <c r="Q265" s="20"/>
      <c r="R265" s="19">
        <f>SUM(S265:Z265)</f>
        <v>659011.05877717491</v>
      </c>
      <c r="S265" s="21">
        <f>AN265*IF(G265="근접",IF(MID(E265,1,1)="1",트라이포드!$D$17,트라이포드!$C$17),1)*IF(MID(E265,1,1)="2",트라이포드!$F$17,트라이포드!$E$17)*IF(MID(E265,3,1)="1",트라이포드!$J$17,트라이포드!$I$17)*IF(MID(E265,5,1)="2",트라이포드!$R$17,트라이포드!$Q$17)*(1+입력란!$P$17/100)*IF(입력란!$C$9=1,IF(입력란!$C$15=0,1.05,IF(입력란!$C$15=1,1.05*1.05,IF(입력란!$C$15=2,1.05*1.12,IF(입력란!$C$15=3,1.05*1.25)))),1)</f>
        <v>289964.69295099843</v>
      </c>
      <c r="T265" s="21">
        <f>AO265*IF(G265="근접",IF(MID(E265,1,1)="1",트라이포드!$D$17,트라이포드!$C$17),1)*IF(MID(E265,1,1)="2",트라이포드!$F$17,트라이포드!$E$17)*IF(MID(E265,3,1)="1",트라이포드!$J$17,트라이포드!$I$17)*IF(MID(E265,5,1)="2",트라이포드!$R$17,트라이포드!$Q$17)*(1+입력란!$P$17/100)*IF(입력란!$C$9=1,IF(입력란!$C$15=0,1.05,IF(입력란!$C$15=1,1.05*1.05,IF(입력란!$C$15=2,1.05*1.12,IF(입력란!$C$15=3,1.05*1.25)))),1)</f>
        <v>369046.36582617648</v>
      </c>
      <c r="U265" s="21">
        <f>AO265*IF(G265="근접",IF(MID(E265,1,1)="1",트라이포드!$D$17,트라이포드!$C$17),1)*IF(MID(E265,1,1)="2",트라이포드!$F$17,트라이포드!$E$17)*IF(MID(E265,3,1)="1",트라이포드!$J$17,트라이포드!$I$17)*IF(MID(E265,5,1)="1",트라이포드!P$17,트라이포드!O$17)*(1+입력란!$P$17/100)*IF(입력란!$C$9=1,IF(입력란!$C$15=0,1.05,IF(입력란!$C$15=1,1.05*1.05,IF(입력란!$C$15=2,1.05*1.12,IF(입력란!$C$15=3,1.05*1.25)))),1)</f>
        <v>0</v>
      </c>
      <c r="V265" s="21"/>
      <c r="W265" s="21"/>
      <c r="X265" s="21"/>
      <c r="Y265" s="21"/>
      <c r="Z265" s="20"/>
      <c r="AA265" s="21">
        <f>SUM(AB265:AI265)</f>
        <v>1318022.1175543498</v>
      </c>
      <c r="AB265" s="21">
        <f>S265*2</f>
        <v>579929.38590199687</v>
      </c>
      <c r="AC265" s="21">
        <f>T265*2</f>
        <v>738092.73165235296</v>
      </c>
      <c r="AD265" s="21">
        <f>U265*2</f>
        <v>0</v>
      </c>
      <c r="AE265" s="21"/>
      <c r="AF265" s="21"/>
      <c r="AG265" s="21"/>
      <c r="AH265" s="21"/>
      <c r="AI265" s="20"/>
      <c r="AJ265" s="21">
        <f>(AQ265-IF(MID(E265,3,1)="3",트라이포드!$N$17,트라이포드!$M$17))*(1-입력란!$P$10/100)</f>
        <v>23.711464126079999</v>
      </c>
      <c r="AK2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5" s="21">
        <f>입력란!$P$24+IF(입력란!$C$18=1,10,IF(입력란!$C$18=2,25,IF(입력란!$C$18=3,50,0)))+IF(입력란!$C$23&lt;&gt;0,-12)</f>
        <v>200</v>
      </c>
      <c r="AM265" s="21">
        <f>SUM(AN265:AP265)</f>
        <v>356140.80863540259</v>
      </c>
      <c r="AN265" s="21">
        <f>(VLOOKUP(C265,$B$4:$AJ$7,17,FALSE)+VLOOKUP(C265,$B$8:$AJ$11,17,FALSE)*입력란!$P$4)*IF(G265="근접",입력란!$P$27,IF(MID(E265,1,1)="2",입력란!$P$27,입력란!$P$26))*입력란!$P$25/100</f>
        <v>156701.86235554799</v>
      </c>
      <c r="AO265" s="21">
        <f>(VLOOKUP(C265,$B$4:$AJ$7,18,FALSE)+VLOOKUP(C265,$B$8:$AJ$11,18,FALSE)*입력란!$P$4)*IF(G265="근접",입력란!$P$27,IF(MID(E265,1,1)="2",입력란!$P$27,입력란!$P$26))*입력란!$P$25/100</f>
        <v>199438.94627985463</v>
      </c>
      <c r="AP265" s="21"/>
      <c r="AQ265" s="22">
        <v>24</v>
      </c>
    </row>
    <row r="266" spans="2:43" ht="13.5" customHeight="1" x14ac:dyDescent="0.55000000000000004">
      <c r="B266" s="66">
        <v>251</v>
      </c>
      <c r="C266" s="29">
        <v>4</v>
      </c>
      <c r="D266" s="67" t="s">
        <v>183</v>
      </c>
      <c r="E266" s="27" t="s">
        <v>185</v>
      </c>
      <c r="F266" s="29"/>
      <c r="G266" s="29" t="s">
        <v>201</v>
      </c>
      <c r="H266" s="36">
        <f>I266/AJ266</f>
        <v>28932.03349122966</v>
      </c>
      <c r="I266" s="37">
        <f>SUM(J266:Q266)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686020.87422183715</v>
      </c>
      <c r="J266" s="21">
        <f>S266*(1+IF($AK266+IF(입력란!$C$9=1,10,0)+IF(입력란!$C$26=1,10,0)&gt;100,100,$AK266+IF(입력란!$C$9=1,10,0)+IF(입력란!$C$26=1,10,0))/100*(($AL266+IF(입력란!$C$30=1,IF(OR(입력란!$C$9=1,입력란!$C$10=1),55,17),IF(입력란!$C$30=2,IF(OR(입력란!$C$9=1,입력란!$C$10=1),60,20),IF(입력란!$C$30=3,IF(OR(입력란!$C$9=1,입력란!$C$10=1),65,22),0))))/100-1))</f>
        <v>213758.94388487306</v>
      </c>
      <c r="K266" s="21">
        <f>T266*(1+IF($AK266+IF(입력란!$C$9=1,10,0)+IF(입력란!$C$26=1,10,0)&gt;100,100,$AK266+IF(입력란!$C$9=1,10,0)+IF(입력란!$C$26=1,10,0))/100*(($AL266+IF(입력란!$C$30=1,IF(OR(입력란!$C$9=1,입력란!$C$10=1),55,17),IF(입력란!$C$30=2,IF(OR(입력란!$C$9=1,입력란!$C$10=1),60,20),IF(입력란!$C$30=3,IF(OR(입력란!$C$9=1,입력란!$C$10=1),65,22),0))))/100-1))</f>
        <v>272057.12737200467</v>
      </c>
      <c r="L266" s="21">
        <f>U266*(1+IF($AK266+IF(입력란!$C$9=1,10,0)+IF(입력란!$C$26=1,10,0)&gt;100,100,$AK266+IF(입력란!$C$9=1,10,0)+IF(입력란!$C$26=1,10,0))/100*(($AL266+IF(입력란!$C$30=1,IF(OR(입력란!$C$9=1,입력란!$C$10=1),55,17),IF(입력란!$C$30=2,IF(OR(입력란!$C$9=1,입력란!$C$10=1),60,20),IF(입력란!$C$30=3,IF(OR(입력란!$C$9=1,입력란!$C$10=1),65,22),0))))/100-1))</f>
        <v>0</v>
      </c>
      <c r="M266" s="21"/>
      <c r="N266" s="21"/>
      <c r="O266" s="21"/>
      <c r="P266" s="21"/>
      <c r="Q266" s="20"/>
      <c r="R266" s="19">
        <f>SUM(S266:Z266)</f>
        <v>299550.4812623522</v>
      </c>
      <c r="S266" s="21">
        <f>AN266*IF(G266="근접",IF(MID(E266,1,1)="1",트라이포드!$D$17,트라이포드!$C$17),1)*IF(MID(E266,1,1)="2",트라이포드!$F$17,트라이포드!$E$17)*IF(MID(E266,3,1)="1",트라이포드!$J$17,트라이포드!$I$17)*IF(MID(E266,5,1)="2",트라이포드!$R$17,트라이포드!$Q$17)*(1+입력란!$P$17/100)*IF(입력란!$C$9=1,IF(입력란!$C$15=0,1.05,IF(입력란!$C$15=1,1.05*1.05,IF(입력란!$C$15=2,1.05*1.12,IF(입력란!$C$15=3,1.05*1.25)))),1)</f>
        <v>131802.13315954473</v>
      </c>
      <c r="T266" s="21">
        <f>AO266*IF(G266="근접",IF(MID(E266,1,1)="1",트라이포드!$D$17,트라이포드!$C$17),1)*IF(MID(E266,1,1)="2",트라이포드!$F$17,트라이포드!$E$17)*IF(MID(E266,3,1)="1",트라이포드!$J$17,트라이포드!$I$17)*IF(MID(E266,5,1)="2",트라이포드!$R$17,트라이포드!$Q$17)*(1+입력란!$P$17/100)*IF(입력란!$C$9=1,IF(입력란!$C$15=0,1.05,IF(입력란!$C$15=1,1.05*1.05,IF(입력란!$C$15=2,1.05*1.12,IF(입력란!$C$15=3,1.05*1.25)))),1)</f>
        <v>167748.34810280747</v>
      </c>
      <c r="U266" s="21">
        <f>AO266*IF(G266="근접",IF(MID(E266,1,1)="1",트라이포드!$D$17,트라이포드!$C$17),1)*IF(MID(E266,1,1)="2",트라이포드!$F$17,트라이포드!$E$17)*IF(MID(E266,3,1)="1",트라이포드!$J$17,트라이포드!$I$17)*IF(MID(E266,5,1)="1",트라이포드!P$17,트라이포드!O$17)*(1+입력란!$P$17/100)*IF(입력란!$C$9=1,IF(입력란!$C$15=0,1.05,IF(입력란!$C$15=1,1.05*1.05,IF(입력란!$C$15=2,1.05*1.12,IF(입력란!$C$15=3,1.05*1.25)))),1)</f>
        <v>0</v>
      </c>
      <c r="V266" s="21"/>
      <c r="W266" s="21"/>
      <c r="X266" s="21"/>
      <c r="Y266" s="21"/>
      <c r="Z266" s="20"/>
      <c r="AA266" s="21">
        <f>SUM(AB266:AI266)</f>
        <v>599100.9625247044</v>
      </c>
      <c r="AB266" s="21">
        <f>S266*2</f>
        <v>263604.26631908945</v>
      </c>
      <c r="AC266" s="21">
        <f>T266*2</f>
        <v>335496.69620561495</v>
      </c>
      <c r="AD266" s="21">
        <f>U266*2</f>
        <v>0</v>
      </c>
      <c r="AE266" s="21"/>
      <c r="AF266" s="21"/>
      <c r="AG266" s="21"/>
      <c r="AH266" s="21"/>
      <c r="AI266" s="20"/>
      <c r="AJ266" s="21">
        <f>(AQ266-IF(MID(E266,3,1)="3",트라이포드!$N$17,트라이포드!$M$17))*(1-입력란!$P$10/100)</f>
        <v>23.711464126079999</v>
      </c>
      <c r="AK2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6" s="21">
        <f>입력란!$P$24+IF(입력란!$C$18=1,10,IF(입력란!$C$18=2,25,IF(입력란!$C$18=3,50,0)))+IF(입력란!$C$23&lt;&gt;0,-12)</f>
        <v>200</v>
      </c>
      <c r="AM266" s="21">
        <f>SUM(AN266:AP266)</f>
        <v>178070.40431770129</v>
      </c>
      <c r="AN266" s="21">
        <f>(VLOOKUP(C266,$B$4:$AJ$7,17,FALSE)+VLOOKUP(C266,$B$8:$AJ$11,17,FALSE)*입력란!$P$4)*IF(G266="근접",입력란!$P$27,IF(MID(E266,1,1)="2",입력란!$P$27,입력란!$P$26))*입력란!$P$25/100</f>
        <v>78350.931177773993</v>
      </c>
      <c r="AO266" s="21">
        <f>(VLOOKUP(C266,$B$4:$AJ$7,18,FALSE)+VLOOKUP(C266,$B$8:$AJ$11,18,FALSE)*입력란!$P$4)*IF(G266="근접",입력란!$P$27,IF(MID(E266,1,1)="2",입력란!$P$27,입력란!$P$26))*입력란!$P$25/100</f>
        <v>99719.473139927315</v>
      </c>
      <c r="AP266" s="21"/>
      <c r="AQ266" s="22">
        <v>24</v>
      </c>
    </row>
    <row r="267" spans="2:43" ht="13.5" customHeight="1" x14ac:dyDescent="0.55000000000000004">
      <c r="B267" s="66">
        <v>252</v>
      </c>
      <c r="C267" s="29">
        <v>7</v>
      </c>
      <c r="D267" s="67" t="s">
        <v>183</v>
      </c>
      <c r="E267" s="27" t="s">
        <v>184</v>
      </c>
      <c r="F267" s="29"/>
      <c r="G267" s="29" t="s">
        <v>201</v>
      </c>
      <c r="H267" s="36">
        <f>I267/AJ267</f>
        <v>28951.540903301397</v>
      </c>
      <c r="I267" s="37">
        <f>SUM(J267:Q267)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686483.42352336878</v>
      </c>
      <c r="J267" s="21">
        <f>S267*(1+IF($AK267+IF(입력란!$C$9=1,10,0)+IF(입력란!$C$26=1,10,0)&gt;100,100,$AK267+IF(입력란!$C$9=1,10,0)+IF(입력란!$C$26=1,10,0))/100*(($AL267+IF(입력란!$C$30=1,IF(OR(입력란!$C$9=1,입력란!$C$10=1),55,17),IF(입력란!$C$30=2,IF(OR(입력란!$C$9=1,입력란!$C$10=1),60,20),IF(입력란!$C$30=3,IF(OR(입력란!$C$9=1,입력란!$C$10=1),65,22),0))))/100-1))</f>
        <v>213904.17260346017</v>
      </c>
      <c r="K267" s="21">
        <f>T267*(1+IF($AK267+IF(입력란!$C$9=1,10,0)+IF(입력란!$C$26=1,10,0)&gt;100,100,$AK267+IF(입력란!$C$9=1,10,0)+IF(입력란!$C$26=1,10,0))/100*(($AL267+IF(입력란!$C$30=1,IF(OR(입력란!$C$9=1,입력란!$C$10=1),55,17),IF(입력란!$C$30=2,IF(OR(입력란!$C$9=1,입력란!$C$10=1),60,20),IF(입력란!$C$30=3,IF(OR(입력란!$C$9=1,입력란!$C$10=1),65,22),0))))/100-1))</f>
        <v>272239.45994619542</v>
      </c>
      <c r="L267" s="21">
        <f>U267*(1+IF($AK267+IF(입력란!$C$9=1,10,0)+IF(입력란!$C$26=1,10,0)&gt;100,100,$AK267+IF(입력란!$C$9=1,10,0)+IF(입력란!$C$26=1,10,0))/100*(($AL267+IF(입력란!$C$30=1,IF(OR(입력란!$C$9=1,입력란!$C$10=1),55,17),IF(입력란!$C$30=2,IF(OR(입력란!$C$9=1,입력란!$C$10=1),60,20),IF(입력란!$C$30=3,IF(OR(입력란!$C$9=1,입력란!$C$10=1),65,22),0))))/100-1))</f>
        <v>0</v>
      </c>
      <c r="M267" s="21"/>
      <c r="N267" s="21"/>
      <c r="O267" s="21"/>
      <c r="P267" s="21"/>
      <c r="Q267" s="20"/>
      <c r="R267" s="19">
        <f>SUM(S267:Z267)</f>
        <v>299752.45305517636</v>
      </c>
      <c r="S267" s="21">
        <f>AN267*IF(G267="근접",IF(MID(E267,1,1)="1",트라이포드!$D$17,트라이포드!$C$17),1)*IF(MID(E267,1,1)="2",트라이포드!$F$17,트라이포드!$E$17)*IF(MID(E267,3,1)="1",트라이포드!$J$17,트라이포드!$I$17)*IF(MID(E267,5,1)="2",트라이포드!$R$17,트라이포드!$Q$17)*(1+입력란!$P$17/100)*IF(입력란!$C$9=1,IF(입력란!$C$15=0,1.05,IF(입력란!$C$15=1,1.05*1.05,IF(입력란!$C$15=2,1.05*1.12,IF(입력란!$C$15=3,1.05*1.25)))),1)</f>
        <v>131891.68007888261</v>
      </c>
      <c r="T267" s="21">
        <f>AO267*IF(G267="근접",IF(MID(E267,1,1)="1",트라이포드!$D$17,트라이포드!$C$17),1)*IF(MID(E267,1,1)="2",트라이포드!$F$17,트라이포드!$E$17)*IF(MID(E267,3,1)="1",트라이포드!$J$17,트라이포드!$I$17)*IF(MID(E267,5,1)="2",트라이포드!$R$17,트라이포드!$Q$17)*(1+입력란!$P$17/100)*IF(입력란!$C$9=1,IF(입력란!$C$15=0,1.05,IF(입력란!$C$15=1,1.05*1.05,IF(입력란!$C$15=2,1.05*1.12,IF(입력란!$C$15=3,1.05*1.25)))),1)</f>
        <v>167860.77297629375</v>
      </c>
      <c r="U267" s="21">
        <f>AO267*IF(G267="근접",IF(MID(E267,1,1)="1",트라이포드!$D$17,트라이포드!$C$17),1)*IF(MID(E267,1,1)="2",트라이포드!$F$17,트라이포드!$E$17)*IF(MID(E267,3,1)="1",트라이포드!$J$17,트라이포드!$I$17)*IF(MID(E267,5,1)="1",트라이포드!P$17,트라이포드!O$17)*(1+입력란!$P$17/100)*IF(입력란!$C$9=1,IF(입력란!$C$15=0,1.05,IF(입력란!$C$15=1,1.05*1.05,IF(입력란!$C$15=2,1.05*1.12,IF(입력란!$C$15=3,1.05*1.25)))),1)</f>
        <v>0</v>
      </c>
      <c r="V267" s="21"/>
      <c r="W267" s="21"/>
      <c r="X267" s="21"/>
      <c r="Y267" s="21"/>
      <c r="Z267" s="20"/>
      <c r="AA267" s="21">
        <f>SUM(AB267:AI267)</f>
        <v>599504.90611035272</v>
      </c>
      <c r="AB267" s="21">
        <f>S267*2</f>
        <v>263783.36015776522</v>
      </c>
      <c r="AC267" s="21">
        <f>T267*2</f>
        <v>335721.5459525875</v>
      </c>
      <c r="AD267" s="21">
        <f>U267*2</f>
        <v>0</v>
      </c>
      <c r="AE267" s="21"/>
      <c r="AF267" s="21"/>
      <c r="AG267" s="21"/>
      <c r="AH267" s="21"/>
      <c r="AI267" s="20"/>
      <c r="AJ267" s="21">
        <f>(AQ267-IF(MID(E267,3,1)="3",트라이포드!$N$17,트라이포드!$M$17))*(1-입력란!$P$10/100)</f>
        <v>23.711464126079999</v>
      </c>
      <c r="AK2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7" s="21">
        <f>입력란!$P$24+IF(입력란!$C$18=1,10,IF(입력란!$C$18=2,25,IF(입력란!$C$18=3,50,0)))+IF(입력란!$C$23&lt;&gt;0,-12)</f>
        <v>200</v>
      </c>
      <c r="AM267" s="21">
        <f>SUM(AN267:AP267)</f>
        <v>178190.46821697266</v>
      </c>
      <c r="AN267" s="21">
        <f>(VLOOKUP(C267,$B$4:$AJ$7,17,FALSE)+VLOOKUP(C267,$B$8:$AJ$11,17,FALSE)*입력란!$P$4)*IF(G267="근접",입력란!$P$27,IF(MID(E267,1,1)="2",입력란!$P$27,입력란!$P$26))*입력란!$P$25/100</f>
        <v>78404.163127409673</v>
      </c>
      <c r="AO267" s="21">
        <f>(VLOOKUP(C267,$B$4:$AJ$7,18,FALSE)+VLOOKUP(C267,$B$8:$AJ$11,18,FALSE)*입력란!$P$4)*IF(G267="근접",입력란!$P$27,IF(MID(E267,1,1)="2",입력란!$P$27,입력란!$P$26))*입력란!$P$25/100</f>
        <v>99786.305089562986</v>
      </c>
      <c r="AP267" s="21"/>
      <c r="AQ267" s="22">
        <v>24</v>
      </c>
    </row>
    <row r="268" spans="2:43" ht="13.5" customHeight="1" x14ac:dyDescent="0.55000000000000004">
      <c r="B268" s="66">
        <v>253</v>
      </c>
      <c r="C268" s="29">
        <v>7</v>
      </c>
      <c r="D268" s="67" t="s">
        <v>183</v>
      </c>
      <c r="E268" s="27" t="s">
        <v>186</v>
      </c>
      <c r="F268" s="29"/>
      <c r="G268" s="29" t="s">
        <v>201</v>
      </c>
      <c r="H268" s="36">
        <f>I268/AJ268</f>
        <v>36189.426129126747</v>
      </c>
      <c r="I268" s="37">
        <f>SUM(J268:Q268)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858104.27940421097</v>
      </c>
      <c r="J268" s="21">
        <f>S268*(1+IF($AK268+IF(입력란!$C$9=1,10,0)+IF(입력란!$C$26=1,10,0)&gt;100,100,$AK268+IF(입력란!$C$9=1,10,0)+IF(입력란!$C$26=1,10,0))/100*(($AL268+IF(입력란!$C$30=1,IF(OR(입력란!$C$9=1,입력란!$C$10=1),55,17),IF(입력란!$C$30=2,IF(OR(입력란!$C$9=1,입력란!$C$10=1),60,20),IF(입력란!$C$30=3,IF(OR(입력란!$C$9=1,입력란!$C$10=1),65,22),0))))/100-1))</f>
        <v>267380.21575432521</v>
      </c>
      <c r="K268" s="21">
        <f>T268*(1+IF($AK268+IF(입력란!$C$9=1,10,0)+IF(입력란!$C$26=1,10,0)&gt;100,100,$AK268+IF(입력란!$C$9=1,10,0)+IF(입력란!$C$26=1,10,0))/100*(($AL268+IF(입력란!$C$30=1,IF(OR(입력란!$C$9=1,입력란!$C$10=1),55,17),IF(입력란!$C$30=2,IF(OR(입력란!$C$9=1,입력란!$C$10=1),60,20),IF(입력란!$C$30=3,IF(OR(입력란!$C$9=1,입력란!$C$10=1),65,22),0))))/100-1))</f>
        <v>340299.32493274432</v>
      </c>
      <c r="L268" s="21">
        <f>U268*(1+IF($AK268+IF(입력란!$C$9=1,10,0)+IF(입력란!$C$26=1,10,0)&gt;100,100,$AK268+IF(입력란!$C$9=1,10,0)+IF(입력란!$C$26=1,10,0))/100*(($AL268+IF(입력란!$C$30=1,IF(OR(입력란!$C$9=1,입력란!$C$10=1),55,17),IF(입력란!$C$30=2,IF(OR(입력란!$C$9=1,입력란!$C$10=1),60,20),IF(입력란!$C$30=3,IF(OR(입력란!$C$9=1,입력란!$C$10=1),65,22),0))))/100-1))</f>
        <v>0</v>
      </c>
      <c r="M268" s="21"/>
      <c r="N268" s="21"/>
      <c r="O268" s="21"/>
      <c r="P268" s="21"/>
      <c r="Q268" s="20"/>
      <c r="R268" s="19">
        <f>SUM(S268:Z268)</f>
        <v>374690.56631897046</v>
      </c>
      <c r="S268" s="21">
        <f>AN268*IF(G268="근접",IF(MID(E268,1,1)="1",트라이포드!$D$17,트라이포드!$C$17),1)*IF(MID(E268,1,1)="2",트라이포드!$F$17,트라이포드!$E$17)*IF(MID(E268,3,1)="1",트라이포드!$J$17,트라이포드!$I$17)*IF(MID(E268,5,1)="2",트라이포드!$R$17,트라이포드!$Q$17)*(1+입력란!$P$17/100)*IF(입력란!$C$9=1,IF(입력란!$C$15=0,1.05,IF(입력란!$C$15=1,1.05*1.05,IF(입력란!$C$15=2,1.05*1.12,IF(입력란!$C$15=3,1.05*1.25)))),1)</f>
        <v>164864.60009860326</v>
      </c>
      <c r="T268" s="21">
        <f>AO268*IF(G268="근접",IF(MID(E268,1,1)="1",트라이포드!$D$17,트라이포드!$C$17),1)*IF(MID(E268,1,1)="2",트라이포드!$F$17,트라이포드!$E$17)*IF(MID(E268,3,1)="1",트라이포드!$J$17,트라이포드!$I$17)*IF(MID(E268,5,1)="2",트라이포드!$R$17,트라이포드!$Q$17)*(1+입력란!$P$17/100)*IF(입력란!$C$9=1,IF(입력란!$C$15=0,1.05,IF(입력란!$C$15=1,1.05*1.05,IF(입력란!$C$15=2,1.05*1.12,IF(입력란!$C$15=3,1.05*1.25)))),1)</f>
        <v>209825.96622036721</v>
      </c>
      <c r="U268" s="21">
        <f>AO268*IF(G268="근접",IF(MID(E268,1,1)="1",트라이포드!$D$17,트라이포드!$C$17),1)*IF(MID(E268,1,1)="2",트라이포드!$F$17,트라이포드!$E$17)*IF(MID(E268,3,1)="1",트라이포드!$J$17,트라이포드!$I$17)*IF(MID(E268,5,1)="1",트라이포드!P$17,트라이포드!O$17)*(1+입력란!$P$17/100)*IF(입력란!$C$9=1,IF(입력란!$C$15=0,1.05,IF(입력란!$C$15=1,1.05*1.05,IF(입력란!$C$15=2,1.05*1.12,IF(입력란!$C$15=3,1.05*1.25)))),1)</f>
        <v>0</v>
      </c>
      <c r="V268" s="21"/>
      <c r="W268" s="21"/>
      <c r="X268" s="21"/>
      <c r="Y268" s="21"/>
      <c r="Z268" s="20"/>
      <c r="AA268" s="21">
        <f>SUM(AB268:AI268)</f>
        <v>749381.13263794093</v>
      </c>
      <c r="AB268" s="21">
        <f>S268*2</f>
        <v>329729.20019720652</v>
      </c>
      <c r="AC268" s="21">
        <f>T268*2</f>
        <v>419651.93244073441</v>
      </c>
      <c r="AD268" s="21">
        <f>U268*2</f>
        <v>0</v>
      </c>
      <c r="AE268" s="21"/>
      <c r="AF268" s="21"/>
      <c r="AG268" s="21"/>
      <c r="AH268" s="21"/>
      <c r="AI268" s="20"/>
      <c r="AJ268" s="21">
        <f>(AQ268-IF(MID(E268,3,1)="3",트라이포드!$N$17,트라이포드!$M$17))*(1-입력란!$P$10/100)</f>
        <v>23.711464126079999</v>
      </c>
      <c r="AK2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8" s="21">
        <f>입력란!$P$24+IF(입력란!$C$18=1,10,IF(입력란!$C$18=2,25,IF(입력란!$C$18=3,50,0)))+IF(입력란!$C$23&lt;&gt;0,-12)</f>
        <v>200</v>
      </c>
      <c r="AM268" s="21">
        <f>SUM(AN268:AP268)</f>
        <v>178190.46821697266</v>
      </c>
      <c r="AN268" s="21">
        <f>(VLOOKUP(C268,$B$4:$AJ$7,17,FALSE)+VLOOKUP(C268,$B$8:$AJ$11,17,FALSE)*입력란!$P$4)*IF(G268="근접",입력란!$P$27,IF(MID(E268,1,1)="2",입력란!$P$27,입력란!$P$26))*입력란!$P$25/100</f>
        <v>78404.163127409673</v>
      </c>
      <c r="AO268" s="21">
        <f>(VLOOKUP(C268,$B$4:$AJ$7,18,FALSE)+VLOOKUP(C268,$B$8:$AJ$11,18,FALSE)*입력란!$P$4)*IF(G268="근접",입력란!$P$27,IF(MID(E268,1,1)="2",입력란!$P$27,입력란!$P$26))*입력란!$P$25/100</f>
        <v>99786.305089562986</v>
      </c>
      <c r="AP268" s="21"/>
      <c r="AQ268" s="22">
        <v>24</v>
      </c>
    </row>
    <row r="269" spans="2:43" ht="13.5" customHeight="1" x14ac:dyDescent="0.55000000000000004">
      <c r="B269" s="66">
        <v>254</v>
      </c>
      <c r="C269" s="29">
        <v>7</v>
      </c>
      <c r="D269" s="67" t="s">
        <v>183</v>
      </c>
      <c r="E269" s="27" t="s">
        <v>187</v>
      </c>
      <c r="F269" s="29"/>
      <c r="G269" s="29" t="s">
        <v>201</v>
      </c>
      <c r="H269" s="36">
        <f>I269/AJ269</f>
        <v>36570.367456801767</v>
      </c>
      <c r="I269" s="37">
        <f>SUM(J269:Q269)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686483.42352336878</v>
      </c>
      <c r="J269" s="21">
        <f>S269*(1+IF($AK269+IF(입력란!$C$9=1,10,0)+IF(입력란!$C$26=1,10,0)&gt;100,100,$AK269+IF(입력란!$C$9=1,10,0)+IF(입력란!$C$26=1,10,0))/100*(($AL269+IF(입력란!$C$30=1,IF(OR(입력란!$C$9=1,입력란!$C$10=1),55,17),IF(입력란!$C$30=2,IF(OR(입력란!$C$9=1,입력란!$C$10=1),60,20),IF(입력란!$C$30=3,IF(OR(입력란!$C$9=1,입력란!$C$10=1),65,22),0))))/100-1))</f>
        <v>213904.17260346017</v>
      </c>
      <c r="K269" s="21">
        <f>T269*(1+IF($AK269+IF(입력란!$C$9=1,10,0)+IF(입력란!$C$26=1,10,0)&gt;100,100,$AK269+IF(입력란!$C$9=1,10,0)+IF(입력란!$C$26=1,10,0))/100*(($AL269+IF(입력란!$C$30=1,IF(OR(입력란!$C$9=1,입력란!$C$10=1),55,17),IF(입력란!$C$30=2,IF(OR(입력란!$C$9=1,입력란!$C$10=1),60,20),IF(입력란!$C$30=3,IF(OR(입력란!$C$9=1,입력란!$C$10=1),65,22),0))))/100-1))</f>
        <v>272239.45994619542</v>
      </c>
      <c r="L269" s="21">
        <f>U269*(1+IF($AK269+IF(입력란!$C$9=1,10,0)+IF(입력란!$C$26=1,10,0)&gt;100,100,$AK269+IF(입력란!$C$9=1,10,0)+IF(입력란!$C$26=1,10,0))/100*(($AL269+IF(입력란!$C$30=1,IF(OR(입력란!$C$9=1,입력란!$C$10=1),55,17),IF(입력란!$C$30=2,IF(OR(입력란!$C$9=1,입력란!$C$10=1),60,20),IF(입력란!$C$30=3,IF(OR(입력란!$C$9=1,입력란!$C$10=1),65,22),0))))/100-1))</f>
        <v>0</v>
      </c>
      <c r="M269" s="21"/>
      <c r="N269" s="21"/>
      <c r="O269" s="21"/>
      <c r="P269" s="21"/>
      <c r="Q269" s="20"/>
      <c r="R269" s="19">
        <f>SUM(S269:Z269)</f>
        <v>299752.45305517636</v>
      </c>
      <c r="S269" s="21">
        <f>AN269*IF(G269="근접",IF(MID(E269,1,1)="1",트라이포드!$D$17,트라이포드!$C$17),1)*IF(MID(E269,1,1)="2",트라이포드!$F$17,트라이포드!$E$17)*IF(MID(E269,3,1)="1",트라이포드!$J$17,트라이포드!$I$17)*IF(MID(E269,5,1)="2",트라이포드!$R$17,트라이포드!$Q$17)*(1+입력란!$P$17/100)*IF(입력란!$C$9=1,IF(입력란!$C$15=0,1.05,IF(입력란!$C$15=1,1.05*1.05,IF(입력란!$C$15=2,1.05*1.12,IF(입력란!$C$15=3,1.05*1.25)))),1)</f>
        <v>131891.68007888261</v>
      </c>
      <c r="T269" s="21">
        <f>AO269*IF(G269="근접",IF(MID(E269,1,1)="1",트라이포드!$D$17,트라이포드!$C$17),1)*IF(MID(E269,1,1)="2",트라이포드!$F$17,트라이포드!$E$17)*IF(MID(E269,3,1)="1",트라이포드!$J$17,트라이포드!$I$17)*IF(MID(E269,5,1)="2",트라이포드!$R$17,트라이포드!$Q$17)*(1+입력란!$P$17/100)*IF(입력란!$C$9=1,IF(입력란!$C$15=0,1.05,IF(입력란!$C$15=1,1.05*1.05,IF(입력란!$C$15=2,1.05*1.12,IF(입력란!$C$15=3,1.05*1.25)))),1)</f>
        <v>167860.77297629375</v>
      </c>
      <c r="U269" s="21">
        <f>AO269*IF(G269="근접",IF(MID(E269,1,1)="1",트라이포드!$D$17,트라이포드!$C$17),1)*IF(MID(E269,1,1)="2",트라이포드!$F$17,트라이포드!$E$17)*IF(MID(E269,3,1)="1",트라이포드!$J$17,트라이포드!$I$17)*IF(MID(E269,5,1)="1",트라이포드!P$17,트라이포드!O$17)*(1+입력란!$P$17/100)*IF(입력란!$C$9=1,IF(입력란!$C$15=0,1.05,IF(입력란!$C$15=1,1.05*1.05,IF(입력란!$C$15=2,1.05*1.12,IF(입력란!$C$15=3,1.05*1.25)))),1)</f>
        <v>0</v>
      </c>
      <c r="V269" s="21"/>
      <c r="W269" s="21"/>
      <c r="X269" s="21"/>
      <c r="Y269" s="21"/>
      <c r="Z269" s="20"/>
      <c r="AA269" s="21">
        <f>SUM(AB269:AI269)</f>
        <v>599504.90611035272</v>
      </c>
      <c r="AB269" s="21">
        <f>S269*2</f>
        <v>263783.36015776522</v>
      </c>
      <c r="AC269" s="21">
        <f>T269*2</f>
        <v>335721.5459525875</v>
      </c>
      <c r="AD269" s="21">
        <f>U269*2</f>
        <v>0</v>
      </c>
      <c r="AE269" s="21"/>
      <c r="AF269" s="21"/>
      <c r="AG269" s="21"/>
      <c r="AH269" s="21"/>
      <c r="AI269" s="20"/>
      <c r="AJ269" s="21">
        <f>(AQ269-IF(MID(E269,3,1)="3",트라이포드!$N$17,트라이포드!$M$17))*(1-입력란!$P$10/100)</f>
        <v>18.771575766479998</v>
      </c>
      <c r="AK2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69" s="21">
        <f>입력란!$P$24+IF(입력란!$C$18=1,10,IF(입력란!$C$18=2,25,IF(입력란!$C$18=3,50,0)))+IF(입력란!$C$23&lt;&gt;0,-12)</f>
        <v>200</v>
      </c>
      <c r="AM269" s="21">
        <f>SUM(AN269:AP269)</f>
        <v>178190.46821697266</v>
      </c>
      <c r="AN269" s="21">
        <f>(VLOOKUP(C269,$B$4:$AJ$7,17,FALSE)+VLOOKUP(C269,$B$8:$AJ$11,17,FALSE)*입력란!$P$4)*IF(G269="근접",입력란!$P$27,IF(MID(E269,1,1)="2",입력란!$P$27,입력란!$P$26))*입력란!$P$25/100</f>
        <v>78404.163127409673</v>
      </c>
      <c r="AO269" s="21">
        <f>(VLOOKUP(C269,$B$4:$AJ$7,18,FALSE)+VLOOKUP(C269,$B$8:$AJ$11,18,FALSE)*입력란!$P$4)*IF(G269="근접",입력란!$P$27,IF(MID(E269,1,1)="2",입력란!$P$27,입력란!$P$26))*입력란!$P$25/100</f>
        <v>99786.305089562986</v>
      </c>
      <c r="AP269" s="21"/>
      <c r="AQ269" s="22">
        <v>24</v>
      </c>
    </row>
    <row r="270" spans="2:43" ht="13.5" customHeight="1" x14ac:dyDescent="0.55000000000000004">
      <c r="B270" s="66">
        <v>255</v>
      </c>
      <c r="C270" s="29">
        <v>7</v>
      </c>
      <c r="D270" s="67" t="s">
        <v>46</v>
      </c>
      <c r="E270" s="27" t="s">
        <v>352</v>
      </c>
      <c r="F270" s="29"/>
      <c r="G270" s="29" t="s">
        <v>36</v>
      </c>
      <c r="H270" s="36">
        <f>I270/AJ270</f>
        <v>79616.73748407884</v>
      </c>
      <c r="I270" s="37">
        <f>SUM(J270:Q270)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1887829.414689264</v>
      </c>
      <c r="J270" s="21">
        <f>S270*(1+IF($AK270+IF(입력란!$C$9=1,10,0)+IF(입력란!$C$26=1,10,0)&gt;100,100,$AK270+IF(입력란!$C$9=1,10,0)+IF(입력란!$C$26=1,10,0))/100*(($AL270+IF(입력란!$C$30=1,IF(OR(입력란!$C$9=1,입력란!$C$10=1),55,17),IF(입력란!$C$30=2,IF(OR(입력란!$C$9=1,입력란!$C$10=1),60,20),IF(입력란!$C$30=3,IF(OR(입력란!$C$9=1,입력란!$C$10=1),65,22),0))))/100-1))</f>
        <v>588236.47465951543</v>
      </c>
      <c r="K270" s="21">
        <f>T270*(1+IF($AK270+IF(입력란!$C$9=1,10,0)+IF(입력란!$C$26=1,10,0)&gt;100,100,$AK270+IF(입력란!$C$9=1,10,0)+IF(입력란!$C$26=1,10,0))/100*(($AL270+IF(입력란!$C$30=1,IF(OR(입력란!$C$9=1,입력란!$C$10=1),55,17),IF(입력란!$C$30=2,IF(OR(입력란!$C$9=1,입력란!$C$10=1),60,20),IF(입력란!$C$30=3,IF(OR(입력란!$C$9=1,입력란!$C$10=1),65,22),0))))/100-1))</f>
        <v>748658.51485203754</v>
      </c>
      <c r="L270" s="21">
        <f>U270*(1+IF($AK270+IF(입력란!$C$9=1,10,0)+IF(입력란!$C$26=1,10,0)&gt;100,100,$AK270+IF(입력란!$C$9=1,10,0)+IF(입력란!$C$26=1,10,0))/100*(($AL270+IF(입력란!$C$30=1,IF(OR(입력란!$C$9=1,입력란!$C$10=1),55,17),IF(입력란!$C$30=2,IF(OR(입력란!$C$9=1,입력란!$C$10=1),60,20),IF(입력란!$C$30=3,IF(OR(입력란!$C$9=1,입력란!$C$10=1),65,22),0))))/100-1))</f>
        <v>0</v>
      </c>
      <c r="M270" s="21"/>
      <c r="N270" s="21"/>
      <c r="O270" s="21"/>
      <c r="P270" s="21"/>
      <c r="Q270" s="20"/>
      <c r="R270" s="19">
        <f>SUM(S270:Z270)</f>
        <v>824319.24590173503</v>
      </c>
      <c r="S270" s="21">
        <f>AN270*IF(G270="근접",IF(MID(E270,1,1)="1",트라이포드!$D$17,트라이포드!$C$17),1)*IF(MID(E270,1,1)="2",트라이포드!$F$17,트라이포드!$E$17)*IF(MID(E270,3,1)="1",트라이포드!$J$17,트라이포드!$I$17)*IF(MID(E270,5,1)="2",트라이포드!$R$17,트라이포드!$Q$17)*(1+입력란!$P$17/100)*IF(입력란!$C$9=1,IF(입력란!$C$15=0,1.05,IF(입력란!$C$15=1,1.05*1.05,IF(입력란!$C$15=2,1.05*1.12,IF(입력란!$C$15=3,1.05*1.25)))),1)</f>
        <v>362702.12021692714</v>
      </c>
      <c r="T270" s="21">
        <f>AO270*IF(G270="근접",IF(MID(E270,1,1)="1",트라이포드!$D$17,트라이포드!$C$17),1)*IF(MID(E270,1,1)="2",트라이포드!$F$17,트라이포드!$E$17)*IF(MID(E270,3,1)="1",트라이포드!$J$17,트라이포드!$I$17)*IF(MID(E270,5,1)="2",트라이포드!$R$17,트라이포드!$Q$17)*(1+입력란!$P$17/100)*IF(입력란!$C$9=1,IF(입력란!$C$15=0,1.05,IF(입력란!$C$15=1,1.05*1.05,IF(입력란!$C$15=2,1.05*1.12,IF(입력란!$C$15=3,1.05*1.25)))),1)</f>
        <v>461617.12568480789</v>
      </c>
      <c r="U270" s="21">
        <f>AO270*IF(G270="근접",IF(MID(E270,1,1)="1",트라이포드!$D$17,트라이포드!$C$17),1)*IF(MID(E270,1,1)="2",트라이포드!$F$17,트라이포드!$E$17)*IF(MID(E270,3,1)="1",트라이포드!$J$17,트라이포드!$I$17)*IF(MID(E270,5,1)="1",트라이포드!P$17,트라이포드!O$17)*(1+입력란!$P$17/100)*IF(입력란!$C$9=1,IF(입력란!$C$15=0,1.05,IF(입력란!$C$15=1,1.05*1.05,IF(입력란!$C$15=2,1.05*1.12,IF(입력란!$C$15=3,1.05*1.25)))),1)</f>
        <v>0</v>
      </c>
      <c r="V270" s="21"/>
      <c r="W270" s="21"/>
      <c r="X270" s="21"/>
      <c r="Y270" s="21"/>
      <c r="Z270" s="20"/>
      <c r="AA270" s="21">
        <f>SUM(AB270:AI270)</f>
        <v>1648638.4918034701</v>
      </c>
      <c r="AB270" s="21">
        <f>S270*2</f>
        <v>725404.24043385428</v>
      </c>
      <c r="AC270" s="21">
        <f>T270*2</f>
        <v>923234.25136961578</v>
      </c>
      <c r="AD270" s="21">
        <f>U270*2</f>
        <v>0</v>
      </c>
      <c r="AE270" s="21"/>
      <c r="AF270" s="21"/>
      <c r="AG270" s="21"/>
      <c r="AH270" s="21"/>
      <c r="AI270" s="20"/>
      <c r="AJ270" s="21">
        <f>(AQ270-IF(MID(E270,3,1)="3",트라이포드!$N$17,트라이포드!$M$17))*(1-입력란!$P$10/100)</f>
        <v>23.711464126079999</v>
      </c>
      <c r="AK2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0" s="21">
        <f>입력란!$P$24+IF(입력란!$C$18=1,10,IF(입력란!$C$18=2,25,IF(입력란!$C$18=3,50,0)))+IF(입력란!$C$23&lt;&gt;0,-12)</f>
        <v>200</v>
      </c>
      <c r="AM270" s="21">
        <f>SUM(AN270:AP270)</f>
        <v>356380.93643394532</v>
      </c>
      <c r="AN270" s="21">
        <f>(VLOOKUP(C270,$B$4:$AJ$7,17,FALSE)+VLOOKUP(C270,$B$8:$AJ$11,17,FALSE)*입력란!$P$4)*IF(G270="근접",입력란!$P$27,IF(MID(E270,1,1)="2",입력란!$P$27,입력란!$P$26))*입력란!$P$25/100</f>
        <v>156808.32625481935</v>
      </c>
      <c r="AO270" s="21">
        <f>(VLOOKUP(C270,$B$4:$AJ$7,18,FALSE)+VLOOKUP(C270,$B$8:$AJ$11,18,FALSE)*입력란!$P$4)*IF(G270="근접",입력란!$P$27,IF(MID(E270,1,1)="2",입력란!$P$27,입력란!$P$26))*입력란!$P$25/100</f>
        <v>199572.61017912597</v>
      </c>
      <c r="AP270" s="21"/>
      <c r="AQ270" s="22">
        <v>24</v>
      </c>
    </row>
    <row r="271" spans="2:43" ht="13.5" customHeight="1" x14ac:dyDescent="0.55000000000000004">
      <c r="B271" s="66">
        <v>256</v>
      </c>
      <c r="C271" s="29">
        <v>7</v>
      </c>
      <c r="D271" s="67" t="s">
        <v>183</v>
      </c>
      <c r="E271" s="27" t="s">
        <v>188</v>
      </c>
      <c r="F271" s="29"/>
      <c r="G271" s="29" t="s">
        <v>201</v>
      </c>
      <c r="H271" s="36">
        <f>I271/AJ271</f>
        <v>36189.426129126747</v>
      </c>
      <c r="I271" s="37">
        <f>SUM(J271:Q271)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858104.27940421097</v>
      </c>
      <c r="J271" s="21">
        <f>S271*(1+IF($AK271+IF(입력란!$C$9=1,10,0)+IF(입력란!$C$26=1,10,0)&gt;100,100,$AK271+IF(입력란!$C$9=1,10,0)+IF(입력란!$C$26=1,10,0))/100*(($AL271+IF(입력란!$C$30=1,IF(OR(입력란!$C$9=1,입력란!$C$10=1),55,17),IF(입력란!$C$30=2,IF(OR(입력란!$C$9=1,입력란!$C$10=1),60,20),IF(입력란!$C$30=3,IF(OR(입력란!$C$9=1,입력란!$C$10=1),65,22),0))))/100-1))</f>
        <v>267380.21575432521</v>
      </c>
      <c r="K271" s="21">
        <f>T271*(1+IF($AK271+IF(입력란!$C$9=1,10,0)+IF(입력란!$C$26=1,10,0)&gt;100,100,$AK271+IF(입력란!$C$9=1,10,0)+IF(입력란!$C$26=1,10,0))/100*(($AL271+IF(입력란!$C$30=1,IF(OR(입력란!$C$9=1,입력란!$C$10=1),55,17),IF(입력란!$C$30=2,IF(OR(입력란!$C$9=1,입력란!$C$10=1),60,20),IF(입력란!$C$30=3,IF(OR(입력란!$C$9=1,입력란!$C$10=1),65,22),0))))/100-1))</f>
        <v>340299.32493274432</v>
      </c>
      <c r="L271" s="21">
        <f>U271*(1+IF($AK271+IF(입력란!$C$9=1,10,0)+IF(입력란!$C$26=1,10,0)&gt;100,100,$AK271+IF(입력란!$C$9=1,10,0)+IF(입력란!$C$26=1,10,0))/100*(($AL271+IF(입력란!$C$30=1,IF(OR(입력란!$C$9=1,입력란!$C$10=1),55,17),IF(입력란!$C$30=2,IF(OR(입력란!$C$9=1,입력란!$C$10=1),60,20),IF(입력란!$C$30=3,IF(OR(입력란!$C$9=1,입력란!$C$10=1),65,22),0))))/100-1))</f>
        <v>0</v>
      </c>
      <c r="M271" s="21"/>
      <c r="N271" s="21"/>
      <c r="O271" s="21"/>
      <c r="P271" s="21"/>
      <c r="Q271" s="20"/>
      <c r="R271" s="19">
        <f>SUM(S271:Z271)</f>
        <v>374690.56631897046</v>
      </c>
      <c r="S271" s="21">
        <f>AN271*IF(G271="근접",IF(MID(E271,1,1)="1",트라이포드!$D$17,트라이포드!$C$17),1)*IF(MID(E271,1,1)="2",트라이포드!$F$17,트라이포드!$E$17)*IF(MID(E271,3,1)="1",트라이포드!$J$17,트라이포드!$I$17)*IF(MID(E271,5,1)="2",트라이포드!$R$17,트라이포드!$Q$17)*(1+입력란!$P$17/100)*IF(입력란!$C$9=1,IF(입력란!$C$15=0,1.05,IF(입력란!$C$15=1,1.05*1.05,IF(입력란!$C$15=2,1.05*1.12,IF(입력란!$C$15=3,1.05*1.25)))),1)</f>
        <v>164864.60009860326</v>
      </c>
      <c r="T271" s="21">
        <f>AO271*IF(G271="근접",IF(MID(E271,1,1)="1",트라이포드!$D$17,트라이포드!$C$17),1)*IF(MID(E271,1,1)="2",트라이포드!$F$17,트라이포드!$E$17)*IF(MID(E271,3,1)="1",트라이포드!$J$17,트라이포드!$I$17)*IF(MID(E271,5,1)="2",트라이포드!$R$17,트라이포드!$Q$17)*(1+입력란!$P$17/100)*IF(입력란!$C$9=1,IF(입력란!$C$15=0,1.05,IF(입력란!$C$15=1,1.05*1.05,IF(입력란!$C$15=2,1.05*1.12,IF(입력란!$C$15=3,1.05*1.25)))),1)</f>
        <v>209825.96622036721</v>
      </c>
      <c r="U271" s="21">
        <f>AO271*IF(G271="근접",IF(MID(E271,1,1)="1",트라이포드!$D$17,트라이포드!$C$17),1)*IF(MID(E271,1,1)="2",트라이포드!$F$17,트라이포드!$E$17)*IF(MID(E271,3,1)="1",트라이포드!$J$17,트라이포드!$I$17)*IF(MID(E271,5,1)="1",트라이포드!P$17,트라이포드!O$17)*(1+입력란!$P$17/100)*IF(입력란!$C$9=1,IF(입력란!$C$15=0,1.05,IF(입력란!$C$15=1,1.05*1.05,IF(입력란!$C$15=2,1.05*1.12,IF(입력란!$C$15=3,1.05*1.25)))),1)</f>
        <v>0</v>
      </c>
      <c r="V271" s="21"/>
      <c r="W271" s="21"/>
      <c r="X271" s="21"/>
      <c r="Y271" s="21"/>
      <c r="Z271" s="20"/>
      <c r="AA271" s="21">
        <f>SUM(AB271:AI271)</f>
        <v>749381.13263794093</v>
      </c>
      <c r="AB271" s="21">
        <f>S271*2</f>
        <v>329729.20019720652</v>
      </c>
      <c r="AC271" s="21">
        <f>T271*2</f>
        <v>419651.93244073441</v>
      </c>
      <c r="AD271" s="21">
        <f>U271*2</f>
        <v>0</v>
      </c>
      <c r="AE271" s="21"/>
      <c r="AF271" s="21"/>
      <c r="AG271" s="21"/>
      <c r="AH271" s="21"/>
      <c r="AI271" s="20"/>
      <c r="AJ271" s="21">
        <f>(AQ271-IF(MID(E271,3,1)="3",트라이포드!$N$17,트라이포드!$M$17))*(1-입력란!$P$10/100)</f>
        <v>23.711464126079999</v>
      </c>
      <c r="AK2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1" s="21">
        <f>입력란!$P$24+IF(입력란!$C$18=1,10,IF(입력란!$C$18=2,25,IF(입력란!$C$18=3,50,0)))+IF(입력란!$C$23&lt;&gt;0,-12)</f>
        <v>200</v>
      </c>
      <c r="AM271" s="21">
        <f>SUM(AN271:AP271)</f>
        <v>178190.46821697266</v>
      </c>
      <c r="AN271" s="21">
        <f>(VLOOKUP(C271,$B$4:$AJ$7,17,FALSE)+VLOOKUP(C271,$B$8:$AJ$11,17,FALSE)*입력란!$P$4)*IF(G271="근접",입력란!$P$27,IF(MID(E271,1,1)="2",입력란!$P$27,입력란!$P$26))*입력란!$P$25/100</f>
        <v>78404.163127409673</v>
      </c>
      <c r="AO271" s="21">
        <f>(VLOOKUP(C271,$B$4:$AJ$7,18,FALSE)+VLOOKUP(C271,$B$8:$AJ$11,18,FALSE)*입력란!$P$4)*IF(G271="근접",입력란!$P$27,IF(MID(E271,1,1)="2",입력란!$P$27,입력란!$P$26))*입력란!$P$25/100</f>
        <v>99786.305089562986</v>
      </c>
      <c r="AP271" s="21"/>
      <c r="AQ271" s="22">
        <v>24</v>
      </c>
    </row>
    <row r="272" spans="2:43" ht="13.5" customHeight="1" x14ac:dyDescent="0.55000000000000004">
      <c r="B272" s="66">
        <v>257</v>
      </c>
      <c r="C272" s="29">
        <v>7</v>
      </c>
      <c r="D272" s="67" t="s">
        <v>46</v>
      </c>
      <c r="E272" s="27" t="s">
        <v>348</v>
      </c>
      <c r="F272" s="29"/>
      <c r="G272" s="29" t="s">
        <v>36</v>
      </c>
      <c r="H272" s="36">
        <f>I272/AJ272</f>
        <v>80454.8084049639</v>
      </c>
      <c r="I272" s="37">
        <f>SUM(J272:Q272)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1510263.5317514115</v>
      </c>
      <c r="J272" s="21">
        <f>S272*(1+IF($AK272+IF(입력란!$C$9=1,10,0)+IF(입력란!$C$26=1,10,0)&gt;100,100,$AK272+IF(입력란!$C$9=1,10,0)+IF(입력란!$C$26=1,10,0))/100*(($AL272+IF(입력란!$C$30=1,IF(OR(입력란!$C$9=1,입력란!$C$10=1),55,17),IF(입력란!$C$30=2,IF(OR(입력란!$C$9=1,입력란!$C$10=1),60,20),IF(입력란!$C$30=3,IF(OR(입력란!$C$9=1,입력란!$C$10=1),65,22),0))))/100-1))</f>
        <v>470589.17972761235</v>
      </c>
      <c r="K272" s="21">
        <f>T272*(1+IF($AK272+IF(입력란!$C$9=1,10,0)+IF(입력란!$C$26=1,10,0)&gt;100,100,$AK272+IF(입력란!$C$9=1,10,0)+IF(입력란!$C$26=1,10,0))/100*(($AL272+IF(입력란!$C$30=1,IF(OR(입력란!$C$9=1,입력란!$C$10=1),55,17),IF(입력란!$C$30=2,IF(OR(입력란!$C$9=1,입력란!$C$10=1),60,20),IF(입력란!$C$30=3,IF(OR(입력란!$C$9=1,입력란!$C$10=1),65,22),0))))/100-1))</f>
        <v>598926.8118816301</v>
      </c>
      <c r="L272" s="21">
        <f>U272*(1+IF($AK272+IF(입력란!$C$9=1,10,0)+IF(입력란!$C$26=1,10,0)&gt;100,100,$AK272+IF(입력란!$C$9=1,10,0)+IF(입력란!$C$26=1,10,0))/100*(($AL272+IF(입력란!$C$30=1,IF(OR(입력란!$C$9=1,입력란!$C$10=1),55,17),IF(입력란!$C$30=2,IF(OR(입력란!$C$9=1,입력란!$C$10=1),60,20),IF(입력란!$C$30=3,IF(OR(입력란!$C$9=1,입력란!$C$10=1),65,22),0))))/100-1))</f>
        <v>0</v>
      </c>
      <c r="M272" s="21"/>
      <c r="N272" s="21"/>
      <c r="O272" s="21"/>
      <c r="P272" s="21"/>
      <c r="Q272" s="20"/>
      <c r="R272" s="19">
        <f>SUM(S272:Z272)</f>
        <v>659455.39672138798</v>
      </c>
      <c r="S272" s="21">
        <f>AN272*IF(G272="근접",IF(MID(E272,1,1)="1",트라이포드!$D$17,트라이포드!$C$17),1)*IF(MID(E272,1,1)="2",트라이포드!$F$17,트라이포드!$E$17)*IF(MID(E272,3,1)="1",트라이포드!$J$17,트라이포드!$I$17)*IF(MID(E272,5,1)="2",트라이포드!$R$17,트라이포드!$Q$17)*(1+입력란!$P$17/100)*IF(입력란!$C$9=1,IF(입력란!$C$15=0,1.05,IF(입력란!$C$15=1,1.05*1.05,IF(입력란!$C$15=2,1.05*1.12,IF(입력란!$C$15=3,1.05*1.25)))),1)</f>
        <v>290161.69617354171</v>
      </c>
      <c r="T272" s="21">
        <f>AO272*IF(G272="근접",IF(MID(E272,1,1)="1",트라이포드!$D$17,트라이포드!$C$17),1)*IF(MID(E272,1,1)="2",트라이포드!$F$17,트라이포드!$E$17)*IF(MID(E272,3,1)="1",트라이포드!$J$17,트라이포드!$I$17)*IF(MID(E272,5,1)="2",트라이포드!$R$17,트라이포드!$Q$17)*(1+입력란!$P$17/100)*IF(입력란!$C$9=1,IF(입력란!$C$15=0,1.05,IF(입력란!$C$15=1,1.05*1.05,IF(입력란!$C$15=2,1.05*1.12,IF(입력란!$C$15=3,1.05*1.25)))),1)</f>
        <v>369293.70054784633</v>
      </c>
      <c r="U272" s="21">
        <f>AO272*IF(G272="근접",IF(MID(E272,1,1)="1",트라이포드!$D$17,트라이포드!$C$17),1)*IF(MID(E272,1,1)="2",트라이포드!$F$17,트라이포드!$E$17)*IF(MID(E272,3,1)="1",트라이포드!$J$17,트라이포드!$I$17)*IF(MID(E272,5,1)="1",트라이포드!P$17,트라이포드!O$17)*(1+입력란!$P$17/100)*IF(입력란!$C$9=1,IF(입력란!$C$15=0,1.05,IF(입력란!$C$15=1,1.05*1.05,IF(입력란!$C$15=2,1.05*1.12,IF(입력란!$C$15=3,1.05*1.25)))),1)</f>
        <v>0</v>
      </c>
      <c r="V272" s="21"/>
      <c r="W272" s="21"/>
      <c r="X272" s="21"/>
      <c r="Y272" s="21"/>
      <c r="Z272" s="20"/>
      <c r="AA272" s="21">
        <f>SUM(AB272:AI272)</f>
        <v>1318910.793442776</v>
      </c>
      <c r="AB272" s="21">
        <f>S272*2</f>
        <v>580323.39234708343</v>
      </c>
      <c r="AC272" s="21">
        <f>T272*2</f>
        <v>738587.40109569265</v>
      </c>
      <c r="AD272" s="21">
        <f>U272*2</f>
        <v>0</v>
      </c>
      <c r="AE272" s="21"/>
      <c r="AF272" s="21"/>
      <c r="AG272" s="21"/>
      <c r="AH272" s="21"/>
      <c r="AI272" s="20"/>
      <c r="AJ272" s="21">
        <f>(AQ272-IF(MID(E272,3,1)="3",트라이포드!$N$17,트라이포드!$M$17))*(1-입력란!$P$10/100)</f>
        <v>18.771575766479998</v>
      </c>
      <c r="AK2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2" s="21">
        <f>입력란!$P$24+IF(입력란!$C$18=1,10,IF(입력란!$C$18=2,25,IF(입력란!$C$18=3,50,0)))+IF(입력란!$C$23&lt;&gt;0,-12)</f>
        <v>200</v>
      </c>
      <c r="AM272" s="21">
        <f>SUM(AN272:AP272)</f>
        <v>356380.93643394532</v>
      </c>
      <c r="AN272" s="21">
        <f>(VLOOKUP(C272,$B$4:$AJ$7,17,FALSE)+VLOOKUP(C272,$B$8:$AJ$11,17,FALSE)*입력란!$P$4)*IF(G272="근접",입력란!$P$27,IF(MID(E272,1,1)="2",입력란!$P$27,입력란!$P$26))*입력란!$P$25/100</f>
        <v>156808.32625481935</v>
      </c>
      <c r="AO272" s="21">
        <f>(VLOOKUP(C272,$B$4:$AJ$7,18,FALSE)+VLOOKUP(C272,$B$8:$AJ$11,18,FALSE)*입력란!$P$4)*IF(G272="근접",입력란!$P$27,IF(MID(E272,1,1)="2",입력란!$P$27,입력란!$P$26))*입력란!$P$25/100</f>
        <v>199572.61017912597</v>
      </c>
      <c r="AP272" s="21"/>
      <c r="AQ272" s="22">
        <v>24</v>
      </c>
    </row>
    <row r="273" spans="2:43" ht="13.5" customHeight="1" x14ac:dyDescent="0.55000000000000004">
      <c r="B273" s="66">
        <v>258</v>
      </c>
      <c r="C273" s="29">
        <v>7</v>
      </c>
      <c r="D273" s="67" t="s">
        <v>183</v>
      </c>
      <c r="E273" s="27" t="s">
        <v>189</v>
      </c>
      <c r="F273" s="29"/>
      <c r="G273" s="29" t="s">
        <v>201</v>
      </c>
      <c r="H273" s="36">
        <f>I273/AJ273</f>
        <v>36570.367456801767</v>
      </c>
      <c r="I273" s="37">
        <f>SUM(J273:Q273)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686483.42352336878</v>
      </c>
      <c r="J273" s="21">
        <f>S273*(1+IF($AK273+IF(입력란!$C$9=1,10,0)+IF(입력란!$C$26=1,10,0)&gt;100,100,$AK273+IF(입력란!$C$9=1,10,0)+IF(입력란!$C$26=1,10,0))/100*(($AL273+IF(입력란!$C$30=1,IF(OR(입력란!$C$9=1,입력란!$C$10=1),55,17),IF(입력란!$C$30=2,IF(OR(입력란!$C$9=1,입력란!$C$10=1),60,20),IF(입력란!$C$30=3,IF(OR(입력란!$C$9=1,입력란!$C$10=1),65,22),0))))/100-1))</f>
        <v>213904.17260346017</v>
      </c>
      <c r="K273" s="21">
        <f>T273*(1+IF($AK273+IF(입력란!$C$9=1,10,0)+IF(입력란!$C$26=1,10,0)&gt;100,100,$AK273+IF(입력란!$C$9=1,10,0)+IF(입력란!$C$26=1,10,0))/100*(($AL273+IF(입력란!$C$30=1,IF(OR(입력란!$C$9=1,입력란!$C$10=1),55,17),IF(입력란!$C$30=2,IF(OR(입력란!$C$9=1,입력란!$C$10=1),60,20),IF(입력란!$C$30=3,IF(OR(입력란!$C$9=1,입력란!$C$10=1),65,22),0))))/100-1))</f>
        <v>272239.45994619542</v>
      </c>
      <c r="L273" s="21">
        <f>U273*(1+IF($AK273+IF(입력란!$C$9=1,10,0)+IF(입력란!$C$26=1,10,0)&gt;100,100,$AK273+IF(입력란!$C$9=1,10,0)+IF(입력란!$C$26=1,10,0))/100*(($AL273+IF(입력란!$C$30=1,IF(OR(입력란!$C$9=1,입력란!$C$10=1),55,17),IF(입력란!$C$30=2,IF(OR(입력란!$C$9=1,입력란!$C$10=1),60,20),IF(입력란!$C$30=3,IF(OR(입력란!$C$9=1,입력란!$C$10=1),65,22),0))))/100-1))</f>
        <v>0</v>
      </c>
      <c r="M273" s="21"/>
      <c r="N273" s="21"/>
      <c r="O273" s="21"/>
      <c r="P273" s="21"/>
      <c r="Q273" s="20"/>
      <c r="R273" s="19">
        <f>SUM(S273:Z273)</f>
        <v>299752.45305517636</v>
      </c>
      <c r="S273" s="21">
        <f>AN273*IF(G273="근접",IF(MID(E273,1,1)="1",트라이포드!$D$17,트라이포드!$C$17),1)*IF(MID(E273,1,1)="2",트라이포드!$F$17,트라이포드!$E$17)*IF(MID(E273,3,1)="1",트라이포드!$J$17,트라이포드!$I$17)*IF(MID(E273,5,1)="2",트라이포드!$R$17,트라이포드!$Q$17)*(1+입력란!$P$17/100)*IF(입력란!$C$9=1,IF(입력란!$C$15=0,1.05,IF(입력란!$C$15=1,1.05*1.05,IF(입력란!$C$15=2,1.05*1.12,IF(입력란!$C$15=3,1.05*1.25)))),1)</f>
        <v>131891.68007888261</v>
      </c>
      <c r="T273" s="21">
        <f>AO273*IF(G273="근접",IF(MID(E273,1,1)="1",트라이포드!$D$17,트라이포드!$C$17),1)*IF(MID(E273,1,1)="2",트라이포드!$F$17,트라이포드!$E$17)*IF(MID(E273,3,1)="1",트라이포드!$J$17,트라이포드!$I$17)*IF(MID(E273,5,1)="2",트라이포드!$R$17,트라이포드!$Q$17)*(1+입력란!$P$17/100)*IF(입력란!$C$9=1,IF(입력란!$C$15=0,1.05,IF(입력란!$C$15=1,1.05*1.05,IF(입력란!$C$15=2,1.05*1.12,IF(입력란!$C$15=3,1.05*1.25)))),1)</f>
        <v>167860.77297629375</v>
      </c>
      <c r="U273" s="21">
        <f>AO273*IF(G273="근접",IF(MID(E273,1,1)="1",트라이포드!$D$17,트라이포드!$C$17),1)*IF(MID(E273,1,1)="2",트라이포드!$F$17,트라이포드!$E$17)*IF(MID(E273,3,1)="1",트라이포드!$J$17,트라이포드!$I$17)*IF(MID(E273,5,1)="1",트라이포드!P$17,트라이포드!O$17)*(1+입력란!$P$17/100)*IF(입력란!$C$9=1,IF(입력란!$C$15=0,1.05,IF(입력란!$C$15=1,1.05*1.05,IF(입력란!$C$15=2,1.05*1.12,IF(입력란!$C$15=3,1.05*1.25)))),1)</f>
        <v>0</v>
      </c>
      <c r="V273" s="21"/>
      <c r="W273" s="21"/>
      <c r="X273" s="21"/>
      <c r="Y273" s="21"/>
      <c r="Z273" s="20"/>
      <c r="AA273" s="21">
        <f>SUM(AB273:AI273)</f>
        <v>599504.90611035272</v>
      </c>
      <c r="AB273" s="21">
        <f>S273*2</f>
        <v>263783.36015776522</v>
      </c>
      <c r="AC273" s="21">
        <f>T273*2</f>
        <v>335721.5459525875</v>
      </c>
      <c r="AD273" s="21">
        <f>U273*2</f>
        <v>0</v>
      </c>
      <c r="AE273" s="21"/>
      <c r="AF273" s="21"/>
      <c r="AG273" s="21"/>
      <c r="AH273" s="21"/>
      <c r="AI273" s="20"/>
      <c r="AJ273" s="21">
        <f>(AQ273-IF(MID(E273,3,1)="3",트라이포드!$N$17,트라이포드!$M$17))*(1-입력란!$P$10/100)</f>
        <v>18.771575766479998</v>
      </c>
      <c r="AK2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3" s="21">
        <f>입력란!$P$24+IF(입력란!$C$18=1,10,IF(입력란!$C$18=2,25,IF(입력란!$C$18=3,50,0)))+IF(입력란!$C$23&lt;&gt;0,-12)</f>
        <v>200</v>
      </c>
      <c r="AM273" s="21">
        <f>SUM(AN273:AP273)</f>
        <v>178190.46821697266</v>
      </c>
      <c r="AN273" s="21">
        <f>(VLOOKUP(C273,$B$4:$AJ$7,17,FALSE)+VLOOKUP(C273,$B$8:$AJ$11,17,FALSE)*입력란!$P$4)*IF(G273="근접",입력란!$P$27,IF(MID(E273,1,1)="2",입력란!$P$27,입력란!$P$26))*입력란!$P$25/100</f>
        <v>78404.163127409673</v>
      </c>
      <c r="AO273" s="21">
        <f>(VLOOKUP(C273,$B$4:$AJ$7,18,FALSE)+VLOOKUP(C273,$B$8:$AJ$11,18,FALSE)*입력란!$P$4)*IF(G273="근접",입력란!$P$27,IF(MID(E273,1,1)="2",입력란!$P$27,입력란!$P$26))*입력란!$P$25/100</f>
        <v>99786.305089562986</v>
      </c>
      <c r="AP273" s="21"/>
      <c r="AQ273" s="22">
        <v>24</v>
      </c>
    </row>
    <row r="274" spans="2:43" ht="13.5" customHeight="1" x14ac:dyDescent="0.55000000000000004">
      <c r="B274" s="66">
        <v>259</v>
      </c>
      <c r="C274" s="29">
        <v>10</v>
      </c>
      <c r="D274" s="67" t="s">
        <v>183</v>
      </c>
      <c r="E274" s="27" t="s">
        <v>184</v>
      </c>
      <c r="F274" s="29"/>
      <c r="G274" s="29" t="s">
        <v>201</v>
      </c>
      <c r="H274" s="36">
        <f>I274/AJ274</f>
        <v>28960.759115461537</v>
      </c>
      <c r="I274" s="37">
        <f>SUM(J274:Q274)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686702.00083031051</v>
      </c>
      <c r="J274" s="21">
        <f>S274*(1+IF($AK274+IF(입력란!$C$9=1,10,0)+IF(입력란!$C$26=1,10,0)&gt;100,100,$AK274+IF(입력란!$C$9=1,10,0)+IF(입력란!$C$26=1,10,0))/100*(($AL274+IF(입력란!$C$30=1,IF(OR(입력란!$C$9=1,입력란!$C$10=1),55,17),IF(입력란!$C$30=2,IF(OR(입력란!$C$9=1,입력란!$C$10=1),60,20),IF(입력란!$C$30=3,IF(OR(입력란!$C$9=1,입력란!$C$10=1),65,22),0))))/100-1))</f>
        <v>213969.5628299175</v>
      </c>
      <c r="K274" s="21">
        <f>T274*(1+IF($AK274+IF(입력란!$C$9=1,10,0)+IF(입력란!$C$26=1,10,0)&gt;100,100,$AK274+IF(입력란!$C$9=1,10,0)+IF(입력란!$C$26=1,10,0))/100*(($AL274+IF(입력란!$C$30=1,IF(OR(입력란!$C$9=1,입력란!$C$10=1),55,17),IF(입력란!$C$30=2,IF(OR(입력란!$C$9=1,입력란!$C$10=1),60,20),IF(입력란!$C$30=3,IF(OR(입력란!$C$9=1,입력란!$C$10=1),65,22),0))))/100-1))</f>
        <v>272328.85854980809</v>
      </c>
      <c r="L274" s="21">
        <f>U274*(1+IF($AK274+IF(입력란!$C$9=1,10,0)+IF(입력란!$C$26=1,10,0)&gt;100,100,$AK274+IF(입력란!$C$9=1,10,0)+IF(입력란!$C$26=1,10,0))/100*(($AL274+IF(입력란!$C$30=1,IF(OR(입력란!$C$9=1,입력란!$C$10=1),55,17),IF(입력란!$C$30=2,IF(OR(입력란!$C$9=1,입력란!$C$10=1),60,20),IF(입력란!$C$30=3,IF(OR(입력란!$C$9=1,입력란!$C$10=1),65,22),0))))/100-1))</f>
        <v>0</v>
      </c>
      <c r="M274" s="21"/>
      <c r="N274" s="21"/>
      <c r="O274" s="21"/>
      <c r="P274" s="21"/>
      <c r="Q274" s="20"/>
      <c r="R274" s="19">
        <f>SUM(S274:Z274)</f>
        <v>299847.89466628141</v>
      </c>
      <c r="S274" s="21">
        <f>AN274*IF(G274="근접",IF(MID(E274,1,1)="1",트라이포드!$D$17,트라이포드!$C$17),1)*IF(MID(E274,1,1)="2",트라이포드!$F$17,트라이포드!$E$17)*IF(MID(E274,3,1)="1",트라이포드!$J$17,트라이포드!$I$17)*IF(MID(E274,5,1)="2",트라이포드!$R$17,트라이포드!$Q$17)*(1+입력란!$P$17/100)*IF(입력란!$C$9=1,IF(입력란!$C$15=0,1.05,IF(입력란!$C$15=1,1.05*1.05,IF(입력란!$C$15=2,1.05*1.12,IF(입력란!$C$15=3,1.05*1.25)))),1)</f>
        <v>131931.99919338714</v>
      </c>
      <c r="T274" s="21">
        <f>AO274*IF(G274="근접",IF(MID(E274,1,1)="1",트라이포드!$D$17,트라이포드!$C$17),1)*IF(MID(E274,1,1)="2",트라이포드!$F$17,트라이포드!$E$17)*IF(MID(E274,3,1)="1",트라이포드!$J$17,트라이포드!$I$17)*IF(MID(E274,5,1)="2",트라이포드!$R$17,트라이포드!$Q$17)*(1+입력란!$P$17/100)*IF(입력란!$C$9=1,IF(입력란!$C$15=0,1.05,IF(입력란!$C$15=1,1.05*1.05,IF(입력란!$C$15=2,1.05*1.12,IF(입력란!$C$15=3,1.05*1.25)))),1)</f>
        <v>167915.89547289431</v>
      </c>
      <c r="U274" s="21">
        <f>AO274*IF(G274="근접",IF(MID(E274,1,1)="1",트라이포드!$D$17,트라이포드!$C$17),1)*IF(MID(E274,1,1)="2",트라이포드!$F$17,트라이포드!$E$17)*IF(MID(E274,3,1)="1",트라이포드!$J$17,트라이포드!$I$17)*IF(MID(E274,5,1)="1",트라이포드!P$17,트라이포드!O$17)*(1+입력란!$P$17/100)*IF(입력란!$C$9=1,IF(입력란!$C$15=0,1.05,IF(입력란!$C$15=1,1.05*1.05,IF(입력란!$C$15=2,1.05*1.12,IF(입력란!$C$15=3,1.05*1.25)))),1)</f>
        <v>0</v>
      </c>
      <c r="V274" s="21"/>
      <c r="W274" s="21"/>
      <c r="X274" s="21"/>
      <c r="Y274" s="21"/>
      <c r="Z274" s="20"/>
      <c r="AA274" s="21">
        <f>SUM(AB274:AI274)</f>
        <v>599695.78933256282</v>
      </c>
      <c r="AB274" s="21">
        <f>S274*2</f>
        <v>263863.99838677427</v>
      </c>
      <c r="AC274" s="21">
        <f>T274*2</f>
        <v>335831.79094578861</v>
      </c>
      <c r="AD274" s="21">
        <f>U274*2</f>
        <v>0</v>
      </c>
      <c r="AE274" s="21"/>
      <c r="AF274" s="21"/>
      <c r="AG274" s="21"/>
      <c r="AH274" s="21"/>
      <c r="AI274" s="20"/>
      <c r="AJ274" s="21">
        <f>(AQ274-IF(MID(E274,3,1)="3",트라이포드!$N$17,트라이포드!$M$17))*(1-입력란!$P$10/100)</f>
        <v>23.711464126079999</v>
      </c>
      <c r="AK2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4" s="21">
        <f>입력란!$P$24+IF(입력란!$C$18=1,10,IF(입력란!$C$18=2,25,IF(입력란!$C$18=3,50,0)))+IF(입력란!$C$23&lt;&gt;0,-12)</f>
        <v>200</v>
      </c>
      <c r="AM274" s="21">
        <f>SUM(AN274:AP274)</f>
        <v>178247.20431770128</v>
      </c>
      <c r="AN274" s="21">
        <f>(VLOOKUP(C274,$B$4:$AJ$7,17,FALSE)+VLOOKUP(C274,$B$8:$AJ$11,17,FALSE)*입력란!$P$4)*IF(G274="근접",입력란!$P$27,IF(MID(E274,1,1)="2",입력란!$P$27,입력란!$P$26))*입력란!$P$25/100</f>
        <v>78428.13117777399</v>
      </c>
      <c r="AO274" s="21">
        <f>(VLOOKUP(C274,$B$4:$AJ$7,18,FALSE)+VLOOKUP(C274,$B$8:$AJ$11,18,FALSE)*입력란!$P$4)*IF(G274="근접",입력란!$P$27,IF(MID(E274,1,1)="2",입력란!$P$27,입력란!$P$26))*입력란!$P$25/100</f>
        <v>99819.073139927306</v>
      </c>
      <c r="AP274" s="21"/>
      <c r="AQ274" s="22">
        <v>24</v>
      </c>
    </row>
    <row r="275" spans="2:43" ht="13.5" customHeight="1" x14ac:dyDescent="0.55000000000000004">
      <c r="B275" s="66">
        <v>260</v>
      </c>
      <c r="C275" s="29">
        <v>10</v>
      </c>
      <c r="D275" s="67" t="s">
        <v>183</v>
      </c>
      <c r="E275" s="27" t="s">
        <v>190</v>
      </c>
      <c r="F275" s="29"/>
      <c r="G275" s="29" t="s">
        <v>201</v>
      </c>
      <c r="H275" s="36">
        <f>I275/AJ275</f>
        <v>54909.765325345659</v>
      </c>
      <c r="I275" s="37">
        <f>SUM(J275:Q275)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1301990.9306834051</v>
      </c>
      <c r="J275" s="21">
        <f>S275*(1+IF($AK275+IF(입력란!$C$9=1,10,0)+IF(입력란!$C$26=1,10,0)&gt;100,100,$AK275+IF(입력란!$C$9=1,10,0)+IF(입력란!$C$26=1,10,0))/100*(($AL275+IF(입력란!$C$30=1,IF(OR(입력란!$C$9=1,입력란!$C$10=1),55,17),IF(입력란!$C$30=2,IF(OR(입력란!$C$9=1,입력란!$C$10=1),60,20),IF(입력란!$C$30=3,IF(OR(입력란!$C$9=1,입력란!$C$10=1),65,22),0))))/100-1))</f>
        <v>213969.5628299175</v>
      </c>
      <c r="K275" s="21">
        <f>T275*(1+IF($AK275+IF(입력란!$C$9=1,10,0)+IF(입력란!$C$26=1,10,0)&gt;100,100,$AK275+IF(입력란!$C$9=1,10,0)+IF(입력란!$C$26=1,10,0))/100*(($AL275+IF(입력란!$C$30=1,IF(OR(입력란!$C$9=1,입력란!$C$10=1),55,17),IF(입력란!$C$30=2,IF(OR(입력란!$C$9=1,입력란!$C$10=1),60,20),IF(입력란!$C$30=3,IF(OR(입력란!$C$9=1,입력란!$C$10=1),65,22),0))))/100-1))</f>
        <v>272328.85854980809</v>
      </c>
      <c r="L275" s="21">
        <f>U275*(1+IF($AK275+IF(입력란!$C$9=1,10,0)+IF(입력란!$C$26=1,10,0)&gt;100,100,$AK275+IF(입력란!$C$9=1,10,0)+IF(입력란!$C$26=1,10,0))/100*(($AL275+IF(입력란!$C$30=1,IF(OR(입력란!$C$9=1,입력란!$C$10=1),55,17),IF(입력란!$C$30=2,IF(OR(입력란!$C$9=1,입력란!$C$10=1),60,20),IF(입력란!$C$30=3,IF(OR(입력란!$C$9=1,입력란!$C$10=1),65,22),0))))/100-1))</f>
        <v>435726.17367969302</v>
      </c>
      <c r="M275" s="21"/>
      <c r="N275" s="21"/>
      <c r="O275" s="21"/>
      <c r="P275" s="21"/>
      <c r="Q275" s="20"/>
      <c r="R275" s="19">
        <f>SUM(S275:Z275)</f>
        <v>568513.32742291235</v>
      </c>
      <c r="S275" s="21">
        <f>AN275*IF(G275="근접",IF(MID(E275,1,1)="1",트라이포드!$D$17,트라이포드!$C$17),1)*IF(MID(E275,1,1)="2",트라이포드!$F$17,트라이포드!$E$17)*IF(MID(E275,3,1)="1",트라이포드!$J$17,트라이포드!$I$17)*IF(MID(E275,5,1)="2",트라이포드!$R$17,트라이포드!$Q$17)*(1+입력란!$P$17/100)*IF(입력란!$C$9=1,IF(입력란!$C$15=0,1.05,IF(입력란!$C$15=1,1.05*1.05,IF(입력란!$C$15=2,1.05*1.12,IF(입력란!$C$15=3,1.05*1.25)))),1)</f>
        <v>131931.99919338714</v>
      </c>
      <c r="T275" s="21">
        <f>AO275*IF(G275="근접",IF(MID(E275,1,1)="1",트라이포드!$D$17,트라이포드!$C$17),1)*IF(MID(E275,1,1)="2",트라이포드!$F$17,트라이포드!$E$17)*IF(MID(E275,3,1)="1",트라이포드!$J$17,트라이포드!$I$17)*IF(MID(E275,5,1)="2",트라이포드!$R$17,트라이포드!$Q$17)*(1+입력란!$P$17/100)*IF(입력란!$C$9=1,IF(입력란!$C$15=0,1.05,IF(입력란!$C$15=1,1.05*1.05,IF(입력란!$C$15=2,1.05*1.12,IF(입력란!$C$15=3,1.05*1.25)))),1)</f>
        <v>167915.89547289431</v>
      </c>
      <c r="U275" s="21">
        <f>AO275*IF(G275="근접",IF(MID(E275,1,1)="1",트라이포드!$D$17,트라이포드!$C$17),1)*IF(MID(E275,1,1)="2",트라이포드!$F$17,트라이포드!$E$17)*IF(MID(E275,3,1)="1",트라이포드!$J$17,트라이포드!$I$17)*IF(MID(E275,5,1)="1",트라이포드!P$17,트라이포드!O$17)*(1+입력란!$P$17/100)*IF(입력란!$C$9=1,IF(입력란!$C$15=0,1.05,IF(입력란!$C$15=1,1.05*1.05,IF(입력란!$C$15=2,1.05*1.12,IF(입력란!$C$15=3,1.05*1.25)))),1)</f>
        <v>268665.43275663094</v>
      </c>
      <c r="V275" s="21"/>
      <c r="W275" s="21"/>
      <c r="X275" s="21"/>
      <c r="Y275" s="21"/>
      <c r="Z275" s="20"/>
      <c r="AA275" s="21">
        <f>SUM(AB275:AI275)</f>
        <v>1137026.6548458247</v>
      </c>
      <c r="AB275" s="21">
        <f>S275*2</f>
        <v>263863.99838677427</v>
      </c>
      <c r="AC275" s="21">
        <f>T275*2</f>
        <v>335831.79094578861</v>
      </c>
      <c r="AD275" s="21">
        <f>U275*2</f>
        <v>537330.86551326187</v>
      </c>
      <c r="AE275" s="21"/>
      <c r="AF275" s="21"/>
      <c r="AG275" s="21"/>
      <c r="AH275" s="21"/>
      <c r="AI275" s="20"/>
      <c r="AJ275" s="21">
        <f>(AQ275-IF(MID(E275,3,1)="3",트라이포드!$N$17,트라이포드!$M$17))*(1-입력란!$P$10/100)</f>
        <v>23.711464126079999</v>
      </c>
      <c r="AK2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5" s="21">
        <f>입력란!$P$24+IF(입력란!$C$18=1,10,IF(입력란!$C$18=2,25,IF(입력란!$C$18=3,50,0)))+IF(입력란!$C$23&lt;&gt;0,-12)</f>
        <v>200</v>
      </c>
      <c r="AM275" s="21">
        <f>SUM(AN275:AP275)</f>
        <v>178247.20431770128</v>
      </c>
      <c r="AN275" s="21">
        <f>(VLOOKUP(C275,$B$4:$AJ$7,17,FALSE)+VLOOKUP(C275,$B$8:$AJ$11,17,FALSE)*입력란!$P$4)*IF(G275="근접",입력란!$P$27,IF(MID(E275,1,1)="2",입력란!$P$27,입력란!$P$26))*입력란!$P$25/100</f>
        <v>78428.13117777399</v>
      </c>
      <c r="AO275" s="21">
        <f>(VLOOKUP(C275,$B$4:$AJ$7,18,FALSE)+VLOOKUP(C275,$B$8:$AJ$11,18,FALSE)*입력란!$P$4)*IF(G275="근접",입력란!$P$27,IF(MID(E275,1,1)="2",입력란!$P$27,입력란!$P$26))*입력란!$P$25/100</f>
        <v>99819.073139927306</v>
      </c>
      <c r="AP275" s="21"/>
      <c r="AQ275" s="22">
        <v>24</v>
      </c>
    </row>
    <row r="276" spans="2:43" ht="13.5" customHeight="1" x14ac:dyDescent="0.55000000000000004">
      <c r="B276" s="66">
        <v>261</v>
      </c>
      <c r="C276" s="29">
        <v>10</v>
      </c>
      <c r="D276" s="67" t="s">
        <v>183</v>
      </c>
      <c r="E276" s="27" t="s">
        <v>191</v>
      </c>
      <c r="F276" s="29" t="s">
        <v>216</v>
      </c>
      <c r="G276" s="29" t="s">
        <v>201</v>
      </c>
      <c r="H276" s="36">
        <f>I276/AJ276</f>
        <v>52129.36640783077</v>
      </c>
      <c r="I276" s="37">
        <f>SUM(J276:Q276)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1236063.6014945591</v>
      </c>
      <c r="J276" s="21">
        <f>S276*(1+IF($AK276+IF(입력란!$C$9=1,10,0)+IF(입력란!$C$26=1,10,0)&gt;100,100,$AK276+IF(입력란!$C$9=1,10,0)+IF(입력란!$C$26=1,10,0))/100*(($AL276+IF(입력란!$C$30=1,IF(OR(입력란!$C$9=1,입력란!$C$10=1),55,17),IF(입력란!$C$30=2,IF(OR(입력란!$C$9=1,입력란!$C$10=1),60,20),IF(입력란!$C$30=3,IF(OR(입력란!$C$9=1,입력란!$C$10=1),65,22),0))))/100-1))</f>
        <v>385145.21309385158</v>
      </c>
      <c r="K276" s="21">
        <f>T276*(1+IF($AK276+IF(입력란!$C$9=1,10,0)+IF(입력란!$C$26=1,10,0)&gt;100,100,$AK276+IF(입력란!$C$9=1,10,0)+IF(입력란!$C$26=1,10,0))/100*(($AL276+IF(입력란!$C$30=1,IF(OR(입력란!$C$9=1,입력란!$C$10=1),55,17),IF(입력란!$C$30=2,IF(OR(입력란!$C$9=1,입력란!$C$10=1),60,20),IF(입력란!$C$30=3,IF(OR(입력란!$C$9=1,입력란!$C$10=1),65,22),0))))/100-1))</f>
        <v>490191.94538965449</v>
      </c>
      <c r="L276" s="21">
        <f>U276*(1+IF($AK276+IF(입력란!$C$9=1,10,0)+IF(입력란!$C$26=1,10,0)&gt;100,100,$AK276+IF(입력란!$C$9=1,10,0)+IF(입력란!$C$26=1,10,0))/100*(($AL276+IF(입력란!$C$30=1,IF(OR(입력란!$C$9=1,입력란!$C$10=1),55,17),IF(입력란!$C$30=2,IF(OR(입력란!$C$9=1,입력란!$C$10=1),60,20),IF(입력란!$C$30=3,IF(OR(입력란!$C$9=1,입력란!$C$10=1),65,22),0))))/100-1))</f>
        <v>0</v>
      </c>
      <c r="M276" s="21"/>
      <c r="N276" s="21"/>
      <c r="O276" s="21"/>
      <c r="P276" s="21"/>
      <c r="Q276" s="20"/>
      <c r="R276" s="19">
        <f>SUM(S276:Z276)</f>
        <v>539726.21039930661</v>
      </c>
      <c r="S276" s="21">
        <f>AN276*IF(G276="근접",IF(MID(E276,1,1)="1",트라이포드!$D$17,트라이포드!$C$17),1)*IF(MID(E276,1,1)="2",트라이포드!$F$17,트라이포드!$E$17)*IF(MID(E276,3,1)="1",트라이포드!$J$17,트라이포드!$I$17)*IF(MID(E276,5,1)="2",트라이포드!$R$17,트라이포드!$Q$17)*(1+입력란!$P$17/100)*IF(입력란!$C$9=1,IF(입력란!$C$15=0,1.05,IF(입력란!$C$15=1,1.05*1.05,IF(입력란!$C$15=2,1.05*1.12,IF(입력란!$C$15=3,1.05*1.25)))),1)</f>
        <v>237477.59854809687</v>
      </c>
      <c r="T276" s="21">
        <f>AO276*IF(G276="근접",IF(MID(E276,1,1)="1",트라이포드!$D$17,트라이포드!$C$17),1)*IF(MID(E276,1,1)="2",트라이포드!$F$17,트라이포드!$E$17)*IF(MID(E276,3,1)="1",트라이포드!$J$17,트라이포드!$I$17)*IF(MID(E276,5,1)="2",트라이포드!$R$17,트라이포드!$Q$17)*(1+입력란!$P$17/100)*IF(입력란!$C$9=1,IF(입력란!$C$15=0,1.05,IF(입력란!$C$15=1,1.05*1.05,IF(입력란!$C$15=2,1.05*1.12,IF(입력란!$C$15=3,1.05*1.25)))),1)</f>
        <v>302248.61185120972</v>
      </c>
      <c r="U276" s="21">
        <f>AO276*IF(G276="근접",IF(MID(E276,1,1)="1",트라이포드!$D$17,트라이포드!$C$17),1)*IF(MID(E276,1,1)="2",트라이포드!$F$17,트라이포드!$E$17)*IF(MID(E276,3,1)="1",트라이포드!$J$17,트라이포드!$I$17)*IF(MID(E276,5,1)="1",트라이포드!P$17,트라이포드!O$17)*(1+입력란!$P$17/100)*IF(입력란!$C$9=1,IF(입력란!$C$15=0,1.05,IF(입력란!$C$15=1,1.05*1.05,IF(입력란!$C$15=2,1.05*1.12,IF(입력란!$C$15=3,1.05*1.25)))),1)</f>
        <v>0</v>
      </c>
      <c r="V276" s="21"/>
      <c r="W276" s="21"/>
      <c r="X276" s="21"/>
      <c r="Y276" s="21"/>
      <c r="Z276" s="20"/>
      <c r="AA276" s="21">
        <f>SUM(AB276:AI276)</f>
        <v>1079452.4207986132</v>
      </c>
      <c r="AB276" s="21">
        <f>S276*2</f>
        <v>474955.19709619373</v>
      </c>
      <c r="AC276" s="21">
        <f>T276*2</f>
        <v>604497.22370241943</v>
      </c>
      <c r="AD276" s="21">
        <f>U276*2</f>
        <v>0</v>
      </c>
      <c r="AE276" s="21"/>
      <c r="AF276" s="21"/>
      <c r="AG276" s="21"/>
      <c r="AH276" s="21"/>
      <c r="AI276" s="20"/>
      <c r="AJ276" s="21">
        <f>(AQ276-IF(MID(E276,3,1)="3",트라이포드!$N$17,트라이포드!$M$17))*(1-입력란!$P$10/100)</f>
        <v>23.711464126079999</v>
      </c>
      <c r="AK2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6" s="21">
        <f>입력란!$P$24+IF(입력란!$C$18=1,10,IF(입력란!$C$18=2,25,IF(입력란!$C$18=3,50,0)))+IF(입력란!$C$23&lt;&gt;0,-12)</f>
        <v>200</v>
      </c>
      <c r="AM276" s="21">
        <f>SUM(AN276:AP276)</f>
        <v>178247.20431770128</v>
      </c>
      <c r="AN276" s="21">
        <f>(VLOOKUP(C276,$B$4:$AJ$7,17,FALSE)+VLOOKUP(C276,$B$8:$AJ$11,17,FALSE)*입력란!$P$4)*IF(G276="근접",입력란!$P$27,IF(MID(E276,1,1)="2",입력란!$P$27,입력란!$P$26))*입력란!$P$25/100</f>
        <v>78428.13117777399</v>
      </c>
      <c r="AO276" s="21">
        <f>(VLOOKUP(C276,$B$4:$AJ$7,18,FALSE)+VLOOKUP(C276,$B$8:$AJ$11,18,FALSE)*입력란!$P$4)*IF(G276="근접",입력란!$P$27,IF(MID(E276,1,1)="2",입력란!$P$27,입력란!$P$26))*입력란!$P$25/100</f>
        <v>99819.073139927306</v>
      </c>
      <c r="AP276" s="21"/>
      <c r="AQ276" s="22">
        <v>24</v>
      </c>
    </row>
    <row r="277" spans="2:43" ht="13.5" customHeight="1" x14ac:dyDescent="0.55000000000000004">
      <c r="B277" s="66">
        <v>262</v>
      </c>
      <c r="C277" s="29">
        <v>10</v>
      </c>
      <c r="D277" s="67" t="s">
        <v>183</v>
      </c>
      <c r="E277" s="27" t="s">
        <v>192</v>
      </c>
      <c r="F277" s="29"/>
      <c r="G277" s="29" t="s">
        <v>201</v>
      </c>
      <c r="H277" s="36">
        <f>I277/AJ277</f>
        <v>68637.206656682087</v>
      </c>
      <c r="I277" s="37">
        <f>SUM(J277:Q277)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1627488.6633542567</v>
      </c>
      <c r="J277" s="21">
        <f>S277*(1+IF($AK277+IF(입력란!$C$9=1,10,0)+IF(입력란!$C$26=1,10,0)&gt;100,100,$AK277+IF(입력란!$C$9=1,10,0)+IF(입력란!$C$26=1,10,0))/100*(($AL277+IF(입력란!$C$30=1,IF(OR(입력란!$C$9=1,입력란!$C$10=1),55,17),IF(입력란!$C$30=2,IF(OR(입력란!$C$9=1,입력란!$C$10=1),60,20),IF(입력란!$C$30=3,IF(OR(입력란!$C$9=1,입력란!$C$10=1),65,22),0))))/100-1))</f>
        <v>267461.95353739685</v>
      </c>
      <c r="K277" s="21">
        <f>T277*(1+IF($AK277+IF(입력란!$C$9=1,10,0)+IF(입력란!$C$26=1,10,0)&gt;100,100,$AK277+IF(입력란!$C$9=1,10,0)+IF(입력란!$C$26=1,10,0))/100*(($AL277+IF(입력란!$C$30=1,IF(OR(입력란!$C$9=1,입력란!$C$10=1),55,17),IF(입력란!$C$30=2,IF(OR(입력란!$C$9=1,입력란!$C$10=1),60,20),IF(입력란!$C$30=3,IF(OR(입력란!$C$9=1,입력란!$C$10=1),65,22),0))))/100-1))</f>
        <v>340411.07318726013</v>
      </c>
      <c r="L277" s="21">
        <f>U277*(1+IF($AK277+IF(입력란!$C$9=1,10,0)+IF(입력란!$C$26=1,10,0)&gt;100,100,$AK277+IF(입력란!$C$9=1,10,0)+IF(입력란!$C$26=1,10,0))/100*(($AL277+IF(입력란!$C$30=1,IF(OR(입력란!$C$9=1,입력란!$C$10=1),55,17),IF(입력란!$C$30=2,IF(OR(입력란!$C$9=1,입력란!$C$10=1),60,20),IF(입력란!$C$30=3,IF(OR(입력란!$C$9=1,입력란!$C$10=1),65,22),0))))/100-1))</f>
        <v>544657.71709961619</v>
      </c>
      <c r="M277" s="21"/>
      <c r="N277" s="21"/>
      <c r="O277" s="21"/>
      <c r="P277" s="21"/>
      <c r="Q277" s="20"/>
      <c r="R277" s="19">
        <f>SUM(S277:Z277)</f>
        <v>710641.65927864041</v>
      </c>
      <c r="S277" s="21">
        <f>AN277*IF(G277="근접",IF(MID(E277,1,1)="1",트라이포드!$D$17,트라이포드!$C$17),1)*IF(MID(E277,1,1)="2",트라이포드!$F$17,트라이포드!$E$17)*IF(MID(E277,3,1)="1",트라이포드!$J$17,트라이포드!$I$17)*IF(MID(E277,5,1)="2",트라이포드!$R$17,트라이포드!$Q$17)*(1+입력란!$P$17/100)*IF(입력란!$C$9=1,IF(입력란!$C$15=0,1.05,IF(입력란!$C$15=1,1.05*1.05,IF(입력란!$C$15=2,1.05*1.12,IF(입력란!$C$15=3,1.05*1.25)))),1)</f>
        <v>164914.99899173388</v>
      </c>
      <c r="T277" s="21">
        <f>AO277*IF(G277="근접",IF(MID(E277,1,1)="1",트라이포드!$D$17,트라이포드!$C$17),1)*IF(MID(E277,1,1)="2",트라이포드!$F$17,트라이포드!$E$17)*IF(MID(E277,3,1)="1",트라이포드!$J$17,트라이포드!$I$17)*IF(MID(E277,5,1)="2",트라이포드!$R$17,트라이포드!$Q$17)*(1+입력란!$P$17/100)*IF(입력란!$C$9=1,IF(입력란!$C$15=0,1.05,IF(입력란!$C$15=1,1.05*1.05,IF(입력란!$C$15=2,1.05*1.12,IF(입력란!$C$15=3,1.05*1.25)))),1)</f>
        <v>209894.86934111788</v>
      </c>
      <c r="U277" s="21">
        <f>AO277*IF(G277="근접",IF(MID(E277,1,1)="1",트라이포드!$D$17,트라이포드!$C$17),1)*IF(MID(E277,1,1)="2",트라이포드!$F$17,트라이포드!$E$17)*IF(MID(E277,3,1)="1",트라이포드!$J$17,트라이포드!$I$17)*IF(MID(E277,5,1)="1",트라이포드!P$17,트라이포드!O$17)*(1+입력란!$P$17/100)*IF(입력란!$C$9=1,IF(입력란!$C$15=0,1.05,IF(입력란!$C$15=1,1.05*1.05,IF(입력란!$C$15=2,1.05*1.12,IF(입력란!$C$15=3,1.05*1.25)))),1)</f>
        <v>335831.79094578861</v>
      </c>
      <c r="V277" s="21"/>
      <c r="W277" s="21"/>
      <c r="X277" s="21"/>
      <c r="Y277" s="21"/>
      <c r="Z277" s="20"/>
      <c r="AA277" s="21">
        <f>SUM(AB277:AI277)</f>
        <v>1421283.3185572808</v>
      </c>
      <c r="AB277" s="21">
        <f>S277*2</f>
        <v>329829.99798346777</v>
      </c>
      <c r="AC277" s="21">
        <f>T277*2</f>
        <v>419789.73868223577</v>
      </c>
      <c r="AD277" s="21">
        <f>U277*2</f>
        <v>671663.58189157723</v>
      </c>
      <c r="AE277" s="21"/>
      <c r="AF277" s="21"/>
      <c r="AG277" s="21"/>
      <c r="AH277" s="21"/>
      <c r="AI277" s="20"/>
      <c r="AJ277" s="21">
        <f>(AQ277-IF(MID(E277,3,1)="3",트라이포드!$N$17,트라이포드!$M$17))*(1-입력란!$P$10/100)</f>
        <v>23.711464126079999</v>
      </c>
      <c r="AK2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7" s="21">
        <f>입력란!$P$24+IF(입력란!$C$18=1,10,IF(입력란!$C$18=2,25,IF(입력란!$C$18=3,50,0)))+IF(입력란!$C$23&lt;&gt;0,-12)</f>
        <v>200</v>
      </c>
      <c r="AM277" s="21">
        <f>SUM(AN277:AP277)</f>
        <v>178247.20431770128</v>
      </c>
      <c r="AN277" s="21">
        <f>(VLOOKUP(C277,$B$4:$AJ$7,17,FALSE)+VLOOKUP(C277,$B$8:$AJ$11,17,FALSE)*입력란!$P$4)*IF(G277="근접",입력란!$P$27,IF(MID(E277,1,1)="2",입력란!$P$27,입력란!$P$26))*입력란!$P$25/100</f>
        <v>78428.13117777399</v>
      </c>
      <c r="AO277" s="21">
        <f>(VLOOKUP(C277,$B$4:$AJ$7,18,FALSE)+VLOOKUP(C277,$B$8:$AJ$11,18,FALSE)*입력란!$P$4)*IF(G277="근접",입력란!$P$27,IF(MID(E277,1,1)="2",입력란!$P$27,입력란!$P$26))*입력란!$P$25/100</f>
        <v>99819.073139927306</v>
      </c>
      <c r="AP277" s="21"/>
      <c r="AQ277" s="22">
        <v>24</v>
      </c>
    </row>
    <row r="278" spans="2:43" ht="13.5" customHeight="1" x14ac:dyDescent="0.55000000000000004">
      <c r="B278" s="66">
        <v>263</v>
      </c>
      <c r="C278" s="29">
        <v>10</v>
      </c>
      <c r="D278" s="67" t="s">
        <v>183</v>
      </c>
      <c r="E278" s="27" t="s">
        <v>193</v>
      </c>
      <c r="F278" s="29" t="s">
        <v>216</v>
      </c>
      <c r="G278" s="29" t="s">
        <v>201</v>
      </c>
      <c r="H278" s="36">
        <f>I278/AJ278</f>
        <v>65161.708009788454</v>
      </c>
      <c r="I278" s="37">
        <f>SUM(J278:Q278)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1545079.5018681986</v>
      </c>
      <c r="J278" s="21">
        <f>S278*(1+IF($AK278+IF(입력란!$C$9=1,10,0)+IF(입력란!$C$26=1,10,0)&gt;100,100,$AK278+IF(입력란!$C$9=1,10,0)+IF(입력란!$C$26=1,10,0))/100*(($AL278+IF(입력란!$C$30=1,IF(OR(입력란!$C$9=1,입력란!$C$10=1),55,17),IF(입력란!$C$30=2,IF(OR(입력란!$C$9=1,입력란!$C$10=1),60,20),IF(입력란!$C$30=3,IF(OR(입력란!$C$9=1,입력란!$C$10=1),65,22),0))))/100-1))</f>
        <v>481431.51636731438</v>
      </c>
      <c r="K278" s="21">
        <f>T278*(1+IF($AK278+IF(입력란!$C$9=1,10,0)+IF(입력란!$C$26=1,10,0)&gt;100,100,$AK278+IF(입력란!$C$9=1,10,0)+IF(입력란!$C$26=1,10,0))/100*(($AL278+IF(입력란!$C$30=1,IF(OR(입력란!$C$9=1,입력란!$C$10=1),55,17),IF(입력란!$C$30=2,IF(OR(입력란!$C$9=1,입력란!$C$10=1),60,20),IF(입력란!$C$30=3,IF(OR(입력란!$C$9=1,입력란!$C$10=1),65,22),0))))/100-1))</f>
        <v>612739.93173706823</v>
      </c>
      <c r="L278" s="21">
        <f>U278*(1+IF($AK278+IF(입력란!$C$9=1,10,0)+IF(입력란!$C$26=1,10,0)&gt;100,100,$AK278+IF(입력란!$C$9=1,10,0)+IF(입력란!$C$26=1,10,0))/100*(($AL278+IF(입력란!$C$30=1,IF(OR(입력란!$C$9=1,입력란!$C$10=1),55,17),IF(입력란!$C$30=2,IF(OR(입력란!$C$9=1,입력란!$C$10=1),60,20),IF(입력란!$C$30=3,IF(OR(입력란!$C$9=1,입력란!$C$10=1),65,22),0))))/100-1))</f>
        <v>0</v>
      </c>
      <c r="M278" s="21"/>
      <c r="N278" s="21"/>
      <c r="O278" s="21"/>
      <c r="P278" s="21"/>
      <c r="Q278" s="20"/>
      <c r="R278" s="19">
        <f>SUM(S278:Z278)</f>
        <v>674657.76299913321</v>
      </c>
      <c r="S278" s="21">
        <f>AN278*IF(G278="근접",IF(MID(E278,1,1)="1",트라이포드!$D$17,트라이포드!$C$17),1)*IF(MID(E278,1,1)="2",트라이포드!$F$17,트라이포드!$E$17)*IF(MID(E278,3,1)="1",트라이포드!$J$17,트라이포드!$I$17)*IF(MID(E278,5,1)="2",트라이포드!$R$17,트라이포드!$Q$17)*(1+입력란!$P$17/100)*IF(입력란!$C$9=1,IF(입력란!$C$15=0,1.05,IF(입력란!$C$15=1,1.05*1.05,IF(입력란!$C$15=2,1.05*1.12,IF(입력란!$C$15=3,1.05*1.25)))),1)</f>
        <v>296846.99818512105</v>
      </c>
      <c r="T278" s="21">
        <f>AO278*IF(G278="근접",IF(MID(E278,1,1)="1",트라이포드!$D$17,트라이포드!$C$17),1)*IF(MID(E278,1,1)="2",트라이포드!$F$17,트라이포드!$E$17)*IF(MID(E278,3,1)="1",트라이포드!$J$17,트라이포드!$I$17)*IF(MID(E278,5,1)="2",트라이포드!$R$17,트라이포드!$Q$17)*(1+입력란!$P$17/100)*IF(입력란!$C$9=1,IF(입력란!$C$15=0,1.05,IF(입력란!$C$15=1,1.05*1.05,IF(입력란!$C$15=2,1.05*1.12,IF(입력란!$C$15=3,1.05*1.25)))),1)</f>
        <v>377810.76481401222</v>
      </c>
      <c r="U278" s="21">
        <f>AO278*IF(G278="근접",IF(MID(E278,1,1)="1",트라이포드!$D$17,트라이포드!$C$17),1)*IF(MID(E278,1,1)="2",트라이포드!$F$17,트라이포드!$E$17)*IF(MID(E278,3,1)="1",트라이포드!$J$17,트라이포드!$I$17)*IF(MID(E278,5,1)="1",트라이포드!P$17,트라이포드!O$17)*(1+입력란!$P$17/100)*IF(입력란!$C$9=1,IF(입력란!$C$15=0,1.05,IF(입력란!$C$15=1,1.05*1.05,IF(입력란!$C$15=2,1.05*1.12,IF(입력란!$C$15=3,1.05*1.25)))),1)</f>
        <v>0</v>
      </c>
      <c r="V278" s="21"/>
      <c r="W278" s="21"/>
      <c r="X278" s="21"/>
      <c r="Y278" s="21"/>
      <c r="Z278" s="20"/>
      <c r="AA278" s="21">
        <f>SUM(AB278:AI278)</f>
        <v>1349315.5259982664</v>
      </c>
      <c r="AB278" s="21">
        <f>S278*2</f>
        <v>593693.99637024209</v>
      </c>
      <c r="AC278" s="21">
        <f>T278*2</f>
        <v>755621.52962802444</v>
      </c>
      <c r="AD278" s="21">
        <f>U278*2</f>
        <v>0</v>
      </c>
      <c r="AE278" s="21"/>
      <c r="AF278" s="21"/>
      <c r="AG278" s="21"/>
      <c r="AH278" s="21"/>
      <c r="AI278" s="20"/>
      <c r="AJ278" s="21">
        <f>(AQ278-IF(MID(E278,3,1)="3",트라이포드!$N$17,트라이포드!$M$17))*(1-입력란!$P$10/100)</f>
        <v>23.711464126079999</v>
      </c>
      <c r="AK2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8" s="21">
        <f>입력란!$P$24+IF(입력란!$C$18=1,10,IF(입력란!$C$18=2,25,IF(입력란!$C$18=3,50,0)))+IF(입력란!$C$23&lt;&gt;0,-12)</f>
        <v>200</v>
      </c>
      <c r="AM278" s="21">
        <f>SUM(AN278:AP278)</f>
        <v>178247.20431770128</v>
      </c>
      <c r="AN278" s="21">
        <f>(VLOOKUP(C278,$B$4:$AJ$7,17,FALSE)+VLOOKUP(C278,$B$8:$AJ$11,17,FALSE)*입력란!$P$4)*IF(G278="근접",입력란!$P$27,IF(MID(E278,1,1)="2",입력란!$P$27,입력란!$P$26))*입력란!$P$25/100</f>
        <v>78428.13117777399</v>
      </c>
      <c r="AO278" s="21">
        <f>(VLOOKUP(C278,$B$4:$AJ$7,18,FALSE)+VLOOKUP(C278,$B$8:$AJ$11,18,FALSE)*입력란!$P$4)*IF(G278="근접",입력란!$P$27,IF(MID(E278,1,1)="2",입력란!$P$27,입력란!$P$26))*입력란!$P$25/100</f>
        <v>99819.073139927306</v>
      </c>
      <c r="AP278" s="21"/>
      <c r="AQ278" s="22">
        <v>24</v>
      </c>
    </row>
    <row r="279" spans="2:43" ht="13.5" customHeight="1" x14ac:dyDescent="0.55000000000000004">
      <c r="B279" s="66">
        <v>264</v>
      </c>
      <c r="C279" s="29">
        <v>10</v>
      </c>
      <c r="D279" s="67" t="s">
        <v>183</v>
      </c>
      <c r="E279" s="27" t="s">
        <v>194</v>
      </c>
      <c r="F279" s="29"/>
      <c r="G279" s="29" t="s">
        <v>201</v>
      </c>
      <c r="H279" s="36">
        <f>I279/AJ279</f>
        <v>69359.703568857687</v>
      </c>
      <c r="I279" s="37">
        <f>SUM(J279:Q279)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1301990.9306834051</v>
      </c>
      <c r="J279" s="21">
        <f>S279*(1+IF($AK279+IF(입력란!$C$9=1,10,0)+IF(입력란!$C$26=1,10,0)&gt;100,100,$AK279+IF(입력란!$C$9=1,10,0)+IF(입력란!$C$26=1,10,0))/100*(($AL279+IF(입력란!$C$30=1,IF(OR(입력란!$C$9=1,입력란!$C$10=1),55,17),IF(입력란!$C$30=2,IF(OR(입력란!$C$9=1,입력란!$C$10=1),60,20),IF(입력란!$C$30=3,IF(OR(입력란!$C$9=1,입력란!$C$10=1),65,22),0))))/100-1))</f>
        <v>213969.5628299175</v>
      </c>
      <c r="K279" s="21">
        <f>T279*(1+IF($AK279+IF(입력란!$C$9=1,10,0)+IF(입력란!$C$26=1,10,0)&gt;100,100,$AK279+IF(입력란!$C$9=1,10,0)+IF(입력란!$C$26=1,10,0))/100*(($AL279+IF(입력란!$C$30=1,IF(OR(입력란!$C$9=1,입력란!$C$10=1),55,17),IF(입력란!$C$30=2,IF(OR(입력란!$C$9=1,입력란!$C$10=1),60,20),IF(입력란!$C$30=3,IF(OR(입력란!$C$9=1,입력란!$C$10=1),65,22),0))))/100-1))</f>
        <v>272328.85854980809</v>
      </c>
      <c r="L279" s="21">
        <f>U279*(1+IF($AK279+IF(입력란!$C$9=1,10,0)+IF(입력란!$C$26=1,10,0)&gt;100,100,$AK279+IF(입력란!$C$9=1,10,0)+IF(입력란!$C$26=1,10,0))/100*(($AL279+IF(입력란!$C$30=1,IF(OR(입력란!$C$9=1,입력란!$C$10=1),55,17),IF(입력란!$C$30=2,IF(OR(입력란!$C$9=1,입력란!$C$10=1),60,20),IF(입력란!$C$30=3,IF(OR(입력란!$C$9=1,입력란!$C$10=1),65,22),0))))/100-1))</f>
        <v>435726.17367969302</v>
      </c>
      <c r="M279" s="21"/>
      <c r="N279" s="21"/>
      <c r="O279" s="21"/>
      <c r="P279" s="21"/>
      <c r="Q279" s="20"/>
      <c r="R279" s="19">
        <f>SUM(S279:Z279)</f>
        <v>568513.32742291235</v>
      </c>
      <c r="S279" s="21">
        <f>AN279*IF(G279="근접",IF(MID(E279,1,1)="1",트라이포드!$D$17,트라이포드!$C$17),1)*IF(MID(E279,1,1)="2",트라이포드!$F$17,트라이포드!$E$17)*IF(MID(E279,3,1)="1",트라이포드!$J$17,트라이포드!$I$17)*IF(MID(E279,5,1)="2",트라이포드!$R$17,트라이포드!$Q$17)*(1+입력란!$P$17/100)*IF(입력란!$C$9=1,IF(입력란!$C$15=0,1.05,IF(입력란!$C$15=1,1.05*1.05,IF(입력란!$C$15=2,1.05*1.12,IF(입력란!$C$15=3,1.05*1.25)))),1)</f>
        <v>131931.99919338714</v>
      </c>
      <c r="T279" s="21">
        <f>AO279*IF(G279="근접",IF(MID(E279,1,1)="1",트라이포드!$D$17,트라이포드!$C$17),1)*IF(MID(E279,1,1)="2",트라이포드!$F$17,트라이포드!$E$17)*IF(MID(E279,3,1)="1",트라이포드!$J$17,트라이포드!$I$17)*IF(MID(E279,5,1)="2",트라이포드!$R$17,트라이포드!$Q$17)*(1+입력란!$P$17/100)*IF(입력란!$C$9=1,IF(입력란!$C$15=0,1.05,IF(입력란!$C$15=1,1.05*1.05,IF(입력란!$C$15=2,1.05*1.12,IF(입력란!$C$15=3,1.05*1.25)))),1)</f>
        <v>167915.89547289431</v>
      </c>
      <c r="U279" s="21">
        <f>AO279*IF(G279="근접",IF(MID(E279,1,1)="1",트라이포드!$D$17,트라이포드!$C$17),1)*IF(MID(E279,1,1)="2",트라이포드!$F$17,트라이포드!$E$17)*IF(MID(E279,3,1)="1",트라이포드!$J$17,트라이포드!$I$17)*IF(MID(E279,5,1)="1",트라이포드!P$17,트라이포드!O$17)*(1+입력란!$P$17/100)*IF(입력란!$C$9=1,IF(입력란!$C$15=0,1.05,IF(입력란!$C$15=1,1.05*1.05,IF(입력란!$C$15=2,1.05*1.12,IF(입력란!$C$15=3,1.05*1.25)))),1)</f>
        <v>268665.43275663094</v>
      </c>
      <c r="V279" s="21"/>
      <c r="W279" s="21"/>
      <c r="X279" s="21"/>
      <c r="Y279" s="21"/>
      <c r="Z279" s="20"/>
      <c r="AA279" s="21">
        <f>SUM(AB279:AI279)</f>
        <v>1137026.6548458247</v>
      </c>
      <c r="AB279" s="21">
        <f>S279*2</f>
        <v>263863.99838677427</v>
      </c>
      <c r="AC279" s="21">
        <f>T279*2</f>
        <v>335831.79094578861</v>
      </c>
      <c r="AD279" s="21">
        <f>U279*2</f>
        <v>537330.86551326187</v>
      </c>
      <c r="AE279" s="21"/>
      <c r="AF279" s="21"/>
      <c r="AG279" s="21"/>
      <c r="AH279" s="21"/>
      <c r="AI279" s="20"/>
      <c r="AJ279" s="21">
        <f>(AQ279-IF(MID(E279,3,1)="3",트라이포드!$N$17,트라이포드!$M$17))*(1-입력란!$P$10/100)</f>
        <v>18.771575766479998</v>
      </c>
      <c r="AK2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79" s="21">
        <f>입력란!$P$24+IF(입력란!$C$18=1,10,IF(입력란!$C$18=2,25,IF(입력란!$C$18=3,50,0)))+IF(입력란!$C$23&lt;&gt;0,-12)</f>
        <v>200</v>
      </c>
      <c r="AM279" s="21">
        <f>SUM(AN279:AP279)</f>
        <v>178247.20431770128</v>
      </c>
      <c r="AN279" s="21">
        <f>(VLOOKUP(C279,$B$4:$AJ$7,17,FALSE)+VLOOKUP(C279,$B$8:$AJ$11,17,FALSE)*입력란!$P$4)*IF(G279="근접",입력란!$P$27,IF(MID(E279,1,1)="2",입력란!$P$27,입력란!$P$26))*입력란!$P$25/100</f>
        <v>78428.13117777399</v>
      </c>
      <c r="AO279" s="21">
        <f>(VLOOKUP(C279,$B$4:$AJ$7,18,FALSE)+VLOOKUP(C279,$B$8:$AJ$11,18,FALSE)*입력란!$P$4)*IF(G279="근접",입력란!$P$27,IF(MID(E279,1,1)="2",입력란!$P$27,입력란!$P$26))*입력란!$P$25/100</f>
        <v>99819.073139927306</v>
      </c>
      <c r="AP279" s="21"/>
      <c r="AQ279" s="22">
        <v>24</v>
      </c>
    </row>
    <row r="280" spans="2:43" ht="13.5" customHeight="1" x14ac:dyDescent="0.55000000000000004">
      <c r="B280" s="66">
        <v>265</v>
      </c>
      <c r="C280" s="29">
        <v>10</v>
      </c>
      <c r="D280" s="67" t="s">
        <v>183</v>
      </c>
      <c r="E280" s="27" t="s">
        <v>195</v>
      </c>
      <c r="F280" s="29" t="s">
        <v>216</v>
      </c>
      <c r="G280" s="29" t="s">
        <v>201</v>
      </c>
      <c r="H280" s="36">
        <f>I280/AJ280</f>
        <v>65847.620725680972</v>
      </c>
      <c r="I280" s="37">
        <f>SUM(J280:Q280)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1236063.6014945591</v>
      </c>
      <c r="J280" s="21">
        <f>S280*(1+IF($AK280+IF(입력란!$C$9=1,10,0)+IF(입력란!$C$26=1,10,0)&gt;100,100,$AK280+IF(입력란!$C$9=1,10,0)+IF(입력란!$C$26=1,10,0))/100*(($AL280+IF(입력란!$C$30=1,IF(OR(입력란!$C$9=1,입력란!$C$10=1),55,17),IF(입력란!$C$30=2,IF(OR(입력란!$C$9=1,입력란!$C$10=1),60,20),IF(입력란!$C$30=3,IF(OR(입력란!$C$9=1,입력란!$C$10=1),65,22),0))))/100-1))</f>
        <v>385145.21309385158</v>
      </c>
      <c r="K280" s="21">
        <f>T280*(1+IF($AK280+IF(입력란!$C$9=1,10,0)+IF(입력란!$C$26=1,10,0)&gt;100,100,$AK280+IF(입력란!$C$9=1,10,0)+IF(입력란!$C$26=1,10,0))/100*(($AL280+IF(입력란!$C$30=1,IF(OR(입력란!$C$9=1,입력란!$C$10=1),55,17),IF(입력란!$C$30=2,IF(OR(입력란!$C$9=1,입력란!$C$10=1),60,20),IF(입력란!$C$30=3,IF(OR(입력란!$C$9=1,입력란!$C$10=1),65,22),0))))/100-1))</f>
        <v>490191.94538965449</v>
      </c>
      <c r="L280" s="21">
        <f>U280*(1+IF($AK280+IF(입력란!$C$9=1,10,0)+IF(입력란!$C$26=1,10,0)&gt;100,100,$AK280+IF(입력란!$C$9=1,10,0)+IF(입력란!$C$26=1,10,0))/100*(($AL280+IF(입력란!$C$30=1,IF(OR(입력란!$C$9=1,입력란!$C$10=1),55,17),IF(입력란!$C$30=2,IF(OR(입력란!$C$9=1,입력란!$C$10=1),60,20),IF(입력란!$C$30=3,IF(OR(입력란!$C$9=1,입력란!$C$10=1),65,22),0))))/100-1))</f>
        <v>0</v>
      </c>
      <c r="M280" s="21"/>
      <c r="N280" s="21"/>
      <c r="O280" s="21"/>
      <c r="P280" s="21"/>
      <c r="Q280" s="20"/>
      <c r="R280" s="19">
        <f>SUM(S280:Z280)</f>
        <v>539726.21039930661</v>
      </c>
      <c r="S280" s="21">
        <f>AN280*IF(G280="근접",IF(MID(E280,1,1)="1",트라이포드!$D$17,트라이포드!$C$17),1)*IF(MID(E280,1,1)="2",트라이포드!$F$17,트라이포드!$E$17)*IF(MID(E280,3,1)="1",트라이포드!$J$17,트라이포드!$I$17)*IF(MID(E280,5,1)="2",트라이포드!$R$17,트라이포드!$Q$17)*(1+입력란!$P$17/100)*IF(입력란!$C$9=1,IF(입력란!$C$15=0,1.05,IF(입력란!$C$15=1,1.05*1.05,IF(입력란!$C$15=2,1.05*1.12,IF(입력란!$C$15=3,1.05*1.25)))),1)</f>
        <v>237477.59854809687</v>
      </c>
      <c r="T280" s="21">
        <f>AO280*IF(G280="근접",IF(MID(E280,1,1)="1",트라이포드!$D$17,트라이포드!$C$17),1)*IF(MID(E280,1,1)="2",트라이포드!$F$17,트라이포드!$E$17)*IF(MID(E280,3,1)="1",트라이포드!$J$17,트라이포드!$I$17)*IF(MID(E280,5,1)="2",트라이포드!$R$17,트라이포드!$Q$17)*(1+입력란!$P$17/100)*IF(입력란!$C$9=1,IF(입력란!$C$15=0,1.05,IF(입력란!$C$15=1,1.05*1.05,IF(입력란!$C$15=2,1.05*1.12,IF(입력란!$C$15=3,1.05*1.25)))),1)</f>
        <v>302248.61185120972</v>
      </c>
      <c r="U280" s="21">
        <f>AO280*IF(G280="근접",IF(MID(E280,1,1)="1",트라이포드!$D$17,트라이포드!$C$17),1)*IF(MID(E280,1,1)="2",트라이포드!$F$17,트라이포드!$E$17)*IF(MID(E280,3,1)="1",트라이포드!$J$17,트라이포드!$I$17)*IF(MID(E280,5,1)="1",트라이포드!P$17,트라이포드!O$17)*(1+입력란!$P$17/100)*IF(입력란!$C$9=1,IF(입력란!$C$15=0,1.05,IF(입력란!$C$15=1,1.05*1.05,IF(입력란!$C$15=2,1.05*1.12,IF(입력란!$C$15=3,1.05*1.25)))),1)</f>
        <v>0</v>
      </c>
      <c r="V280" s="21"/>
      <c r="W280" s="21"/>
      <c r="X280" s="21"/>
      <c r="Y280" s="21"/>
      <c r="Z280" s="20"/>
      <c r="AA280" s="21">
        <f>SUM(AB280:AI280)</f>
        <v>1079452.4207986132</v>
      </c>
      <c r="AB280" s="21">
        <f>S280*2</f>
        <v>474955.19709619373</v>
      </c>
      <c r="AC280" s="21">
        <f>T280*2</f>
        <v>604497.22370241943</v>
      </c>
      <c r="AD280" s="21">
        <f>U280*2</f>
        <v>0</v>
      </c>
      <c r="AE280" s="21"/>
      <c r="AF280" s="21"/>
      <c r="AG280" s="21"/>
      <c r="AH280" s="21"/>
      <c r="AI280" s="20"/>
      <c r="AJ280" s="21">
        <f>(AQ280-IF(MID(E280,3,1)="3",트라이포드!$N$17,트라이포드!$M$17))*(1-입력란!$P$10/100)</f>
        <v>18.771575766479998</v>
      </c>
      <c r="AK2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0" s="21">
        <f>입력란!$P$24+IF(입력란!$C$18=1,10,IF(입력란!$C$18=2,25,IF(입력란!$C$18=3,50,0)))+IF(입력란!$C$23&lt;&gt;0,-12)</f>
        <v>200</v>
      </c>
      <c r="AM280" s="21">
        <f>SUM(AN280:AP280)</f>
        <v>178247.20431770128</v>
      </c>
      <c r="AN280" s="21">
        <f>(VLOOKUP(C280,$B$4:$AJ$7,17,FALSE)+VLOOKUP(C280,$B$8:$AJ$11,17,FALSE)*입력란!$P$4)*IF(G280="근접",입력란!$P$27,IF(MID(E280,1,1)="2",입력란!$P$27,입력란!$P$26))*입력란!$P$25/100</f>
        <v>78428.13117777399</v>
      </c>
      <c r="AO280" s="21">
        <f>(VLOOKUP(C280,$B$4:$AJ$7,18,FALSE)+VLOOKUP(C280,$B$8:$AJ$11,18,FALSE)*입력란!$P$4)*IF(G280="근접",입력란!$P$27,IF(MID(E280,1,1)="2",입력란!$P$27,입력란!$P$26))*입력란!$P$25/100</f>
        <v>99819.073139927306</v>
      </c>
      <c r="AP280" s="21"/>
      <c r="AQ280" s="22">
        <v>24</v>
      </c>
    </row>
    <row r="281" spans="2:43" ht="13.5" customHeight="1" x14ac:dyDescent="0.55000000000000004">
      <c r="B281" s="66">
        <v>266</v>
      </c>
      <c r="C281" s="29">
        <v>10</v>
      </c>
      <c r="D281" s="67" t="s">
        <v>46</v>
      </c>
      <c r="E281" s="27" t="s">
        <v>149</v>
      </c>
      <c r="F281" s="29"/>
      <c r="G281" s="29" t="s">
        <v>36</v>
      </c>
      <c r="H281" s="36">
        <f>I281/AJ281</f>
        <v>151001.85464470056</v>
      </c>
      <c r="I281" s="37">
        <f>SUM(J281:Q281)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3580475.0593793639</v>
      </c>
      <c r="J281" s="21">
        <f>S281*(1+IF($AK281+IF(입력란!$C$9=1,10,0)+IF(입력란!$C$26=1,10,0)&gt;100,100,$AK281+IF(입력란!$C$9=1,10,0)+IF(입력란!$C$26=1,10,0))/100*(($AL281+IF(입력란!$C$30=1,IF(OR(입력란!$C$9=1,입력란!$C$10=1),55,17),IF(입력란!$C$30=2,IF(OR(입력란!$C$9=1,입력란!$C$10=1),60,20),IF(입력란!$C$30=3,IF(OR(입력란!$C$9=1,입력란!$C$10=1),65,22),0))))/100-1))</f>
        <v>588416.29778227315</v>
      </c>
      <c r="K281" s="21">
        <f>T281*(1+IF($AK281+IF(입력란!$C$9=1,10,0)+IF(입력란!$C$26=1,10,0)&gt;100,100,$AK281+IF(입력란!$C$9=1,10,0)+IF(입력란!$C$26=1,10,0))/100*(($AL281+IF(입력란!$C$30=1,IF(OR(입력란!$C$9=1,입력란!$C$10=1),55,17),IF(입력란!$C$30=2,IF(OR(입력란!$C$9=1,입력란!$C$10=1),60,20),IF(입력란!$C$30=3,IF(OR(입력란!$C$9=1,입력란!$C$10=1),65,22),0))))/100-1))</f>
        <v>748904.3610119723</v>
      </c>
      <c r="L281" s="21">
        <f>U281*(1+IF($AK281+IF(입력란!$C$9=1,10,0)+IF(입력란!$C$26=1,10,0)&gt;100,100,$AK281+IF(입력란!$C$9=1,10,0)+IF(입력란!$C$26=1,10,0))/100*(($AL281+IF(입력란!$C$30=1,IF(OR(입력란!$C$9=1,입력란!$C$10=1),55,17),IF(입력란!$C$30=2,IF(OR(입력란!$C$9=1,입력란!$C$10=1),60,20),IF(입력란!$C$30=3,IF(OR(입력란!$C$9=1,입력란!$C$10=1),65,22),0))))/100-1))</f>
        <v>1198246.9776191555</v>
      </c>
      <c r="M281" s="21"/>
      <c r="N281" s="21"/>
      <c r="O281" s="21"/>
      <c r="P281" s="21"/>
      <c r="Q281" s="20"/>
      <c r="R281" s="19">
        <f>SUM(S281:Z281)</f>
        <v>1563411.6504130089</v>
      </c>
      <c r="S281" s="21">
        <f>AN281*IF(G281="근접",IF(MID(E281,1,1)="1",트라이포드!$D$17,트라이포드!$C$17),1)*IF(MID(E281,1,1)="2",트라이포드!$F$17,트라이포드!$E$17)*IF(MID(E281,3,1)="1",트라이포드!$J$17,트라이포드!$I$17)*IF(MID(E281,5,1)="2",트라이포드!$R$17,트라이포드!$Q$17)*(1+입력란!$P$17/100)*IF(입력란!$C$9=1,IF(입력란!$C$15=0,1.05,IF(입력란!$C$15=1,1.05*1.05,IF(입력란!$C$15=2,1.05*1.12,IF(입력란!$C$15=3,1.05*1.25)))),1)</f>
        <v>362812.9977818146</v>
      </c>
      <c r="T281" s="21">
        <f>AO281*IF(G281="근접",IF(MID(E281,1,1)="1",트라이포드!$D$17,트라이포드!$C$17),1)*IF(MID(E281,1,1)="2",트라이포드!$F$17,트라이포드!$E$17)*IF(MID(E281,3,1)="1",트라이포드!$J$17,트라이포드!$I$17)*IF(MID(E281,5,1)="2",트라이포드!$R$17,트라이포드!$Q$17)*(1+입력란!$P$17/100)*IF(입력란!$C$9=1,IF(입력란!$C$15=0,1.05,IF(입력란!$C$15=1,1.05*1.05,IF(입력란!$C$15=2,1.05*1.12,IF(입력란!$C$15=3,1.05*1.25)))),1)</f>
        <v>461768.71255045937</v>
      </c>
      <c r="U281" s="21">
        <f>AO281*IF(G281="근접",IF(MID(E281,1,1)="1",트라이포드!$D$17,트라이포드!$C$17),1)*IF(MID(E281,1,1)="2",트라이포드!$F$17,트라이포드!$E$17)*IF(MID(E281,3,1)="1",트라이포드!$J$17,트라이포드!$I$17)*IF(MID(E281,5,1)="1",트라이포드!P$17,트라이포드!O$17)*(1+입력란!$P$17/100)*IF(입력란!$C$9=1,IF(입력란!$C$15=0,1.05,IF(입력란!$C$15=1,1.05*1.05,IF(입력란!$C$15=2,1.05*1.12,IF(입력란!$C$15=3,1.05*1.25)))),1)</f>
        <v>738829.9400807349</v>
      </c>
      <c r="V281" s="21"/>
      <c r="W281" s="21"/>
      <c r="X281" s="21"/>
      <c r="Y281" s="21"/>
      <c r="Z281" s="20"/>
      <c r="AA281" s="21">
        <f>SUM(AB281:AI281)</f>
        <v>3126823.3008260177</v>
      </c>
      <c r="AB281" s="21">
        <f>S281*2</f>
        <v>725625.9955636292</v>
      </c>
      <c r="AC281" s="21">
        <f>T281*2</f>
        <v>923537.42510091874</v>
      </c>
      <c r="AD281" s="21">
        <f>U281*2</f>
        <v>1477659.8801614698</v>
      </c>
      <c r="AE281" s="21"/>
      <c r="AF281" s="21"/>
      <c r="AG281" s="21"/>
      <c r="AH281" s="21"/>
      <c r="AI281" s="20"/>
      <c r="AJ281" s="21">
        <f>(AQ281-IF(MID(E281,3,1)="3",트라이포드!$N$17,트라이포드!$M$17))*(1-입력란!$P$10/100)</f>
        <v>23.711464126079999</v>
      </c>
      <c r="AK2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1" s="21">
        <f>입력란!$P$24+IF(입력란!$C$18=1,10,IF(입력란!$C$18=2,25,IF(입력란!$C$18=3,50,0)))+IF(입력란!$C$23&lt;&gt;0,-12)</f>
        <v>200</v>
      </c>
      <c r="AM281" s="21">
        <f>SUM(AN281:AP281)</f>
        <v>356494.40863540256</v>
      </c>
      <c r="AN281" s="21">
        <f>(VLOOKUP(C281,$B$4:$AJ$7,17,FALSE)+VLOOKUP(C281,$B$8:$AJ$11,17,FALSE)*입력란!$P$4)*IF(G281="근접",입력란!$P$27,IF(MID(E281,1,1)="2",입력란!$P$27,입력란!$P$26))*입력란!$P$25/100</f>
        <v>156856.26235554798</v>
      </c>
      <c r="AO281" s="21">
        <f>(VLOOKUP(C281,$B$4:$AJ$7,18,FALSE)+VLOOKUP(C281,$B$8:$AJ$11,18,FALSE)*입력란!$P$4)*IF(G281="근접",입력란!$P$27,IF(MID(E281,1,1)="2",입력란!$P$27,입력란!$P$26))*입력란!$P$25/100</f>
        <v>199638.14627985461</v>
      </c>
      <c r="AP281" s="21"/>
      <c r="AQ281" s="22">
        <v>24</v>
      </c>
    </row>
    <row r="282" spans="2:43" ht="13.5" customHeight="1" x14ac:dyDescent="0.55000000000000004">
      <c r="B282" s="66">
        <v>267</v>
      </c>
      <c r="C282" s="29">
        <v>10</v>
      </c>
      <c r="D282" s="67" t="s">
        <v>183</v>
      </c>
      <c r="E282" s="27" t="s">
        <v>196</v>
      </c>
      <c r="F282" s="29"/>
      <c r="G282" s="29" t="s">
        <v>201</v>
      </c>
      <c r="H282" s="36">
        <f>I282/AJ282</f>
        <v>68637.206656682087</v>
      </c>
      <c r="I282" s="37">
        <f>SUM(J282:Q282)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1627488.6633542567</v>
      </c>
      <c r="J282" s="21">
        <f>S282*(1+IF($AK282+IF(입력란!$C$9=1,10,0)+IF(입력란!$C$26=1,10,0)&gt;100,100,$AK282+IF(입력란!$C$9=1,10,0)+IF(입력란!$C$26=1,10,0))/100*(($AL282+IF(입력란!$C$30=1,IF(OR(입력란!$C$9=1,입력란!$C$10=1),55,17),IF(입력란!$C$30=2,IF(OR(입력란!$C$9=1,입력란!$C$10=1),60,20),IF(입력란!$C$30=3,IF(OR(입력란!$C$9=1,입력란!$C$10=1),65,22),0))))/100-1))</f>
        <v>267461.95353739685</v>
      </c>
      <c r="K282" s="21">
        <f>T282*(1+IF($AK282+IF(입력란!$C$9=1,10,0)+IF(입력란!$C$26=1,10,0)&gt;100,100,$AK282+IF(입력란!$C$9=1,10,0)+IF(입력란!$C$26=1,10,0))/100*(($AL282+IF(입력란!$C$30=1,IF(OR(입력란!$C$9=1,입력란!$C$10=1),55,17),IF(입력란!$C$30=2,IF(OR(입력란!$C$9=1,입력란!$C$10=1),60,20),IF(입력란!$C$30=3,IF(OR(입력란!$C$9=1,입력란!$C$10=1),65,22),0))))/100-1))</f>
        <v>340411.07318726013</v>
      </c>
      <c r="L282" s="21">
        <f>U282*(1+IF($AK282+IF(입력란!$C$9=1,10,0)+IF(입력란!$C$26=1,10,0)&gt;100,100,$AK282+IF(입력란!$C$9=1,10,0)+IF(입력란!$C$26=1,10,0))/100*(($AL282+IF(입력란!$C$30=1,IF(OR(입력란!$C$9=1,입력란!$C$10=1),55,17),IF(입력란!$C$30=2,IF(OR(입력란!$C$9=1,입력란!$C$10=1),60,20),IF(입력란!$C$30=3,IF(OR(입력란!$C$9=1,입력란!$C$10=1),65,22),0))))/100-1))</f>
        <v>544657.71709961619</v>
      </c>
      <c r="M282" s="21"/>
      <c r="N282" s="21"/>
      <c r="O282" s="21"/>
      <c r="P282" s="21"/>
      <c r="Q282" s="20"/>
      <c r="R282" s="19">
        <f>SUM(S282:Z282)</f>
        <v>710641.65927864041</v>
      </c>
      <c r="S282" s="21">
        <f>AN282*IF(G282="근접",IF(MID(E282,1,1)="1",트라이포드!$D$17,트라이포드!$C$17),1)*IF(MID(E282,1,1)="2",트라이포드!$F$17,트라이포드!$E$17)*IF(MID(E282,3,1)="1",트라이포드!$J$17,트라이포드!$I$17)*IF(MID(E282,5,1)="2",트라이포드!$R$17,트라이포드!$Q$17)*(1+입력란!$P$17/100)*IF(입력란!$C$9=1,IF(입력란!$C$15=0,1.05,IF(입력란!$C$15=1,1.05*1.05,IF(입력란!$C$15=2,1.05*1.12,IF(입력란!$C$15=3,1.05*1.25)))),1)</f>
        <v>164914.99899173388</v>
      </c>
      <c r="T282" s="21">
        <f>AO282*IF(G282="근접",IF(MID(E282,1,1)="1",트라이포드!$D$17,트라이포드!$C$17),1)*IF(MID(E282,1,1)="2",트라이포드!$F$17,트라이포드!$E$17)*IF(MID(E282,3,1)="1",트라이포드!$J$17,트라이포드!$I$17)*IF(MID(E282,5,1)="2",트라이포드!$R$17,트라이포드!$Q$17)*(1+입력란!$P$17/100)*IF(입력란!$C$9=1,IF(입력란!$C$15=0,1.05,IF(입력란!$C$15=1,1.05*1.05,IF(입력란!$C$15=2,1.05*1.12,IF(입력란!$C$15=3,1.05*1.25)))),1)</f>
        <v>209894.86934111788</v>
      </c>
      <c r="U282" s="21">
        <f>AO282*IF(G282="근접",IF(MID(E282,1,1)="1",트라이포드!$D$17,트라이포드!$C$17),1)*IF(MID(E282,1,1)="2",트라이포드!$F$17,트라이포드!$E$17)*IF(MID(E282,3,1)="1",트라이포드!$J$17,트라이포드!$I$17)*IF(MID(E282,5,1)="1",트라이포드!P$17,트라이포드!O$17)*(1+입력란!$P$17/100)*IF(입력란!$C$9=1,IF(입력란!$C$15=0,1.05,IF(입력란!$C$15=1,1.05*1.05,IF(입력란!$C$15=2,1.05*1.12,IF(입력란!$C$15=3,1.05*1.25)))),1)</f>
        <v>335831.79094578861</v>
      </c>
      <c r="V282" s="21"/>
      <c r="W282" s="21"/>
      <c r="X282" s="21"/>
      <c r="Y282" s="21"/>
      <c r="Z282" s="20"/>
      <c r="AA282" s="21">
        <f>SUM(AB282:AI282)</f>
        <v>1421283.3185572808</v>
      </c>
      <c r="AB282" s="21">
        <f>S282*2</f>
        <v>329829.99798346777</v>
      </c>
      <c r="AC282" s="21">
        <f>T282*2</f>
        <v>419789.73868223577</v>
      </c>
      <c r="AD282" s="21">
        <f>U282*2</f>
        <v>671663.58189157723</v>
      </c>
      <c r="AE282" s="21"/>
      <c r="AF282" s="21"/>
      <c r="AG282" s="21"/>
      <c r="AH282" s="21"/>
      <c r="AI282" s="20"/>
      <c r="AJ282" s="21">
        <f>(AQ282-IF(MID(E282,3,1)="3",트라이포드!$N$17,트라이포드!$M$17))*(1-입력란!$P$10/100)</f>
        <v>23.711464126079999</v>
      </c>
      <c r="AK2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2" s="21">
        <f>입력란!$P$24+IF(입력란!$C$18=1,10,IF(입력란!$C$18=2,25,IF(입력란!$C$18=3,50,0)))+IF(입력란!$C$23&lt;&gt;0,-12)</f>
        <v>200</v>
      </c>
      <c r="AM282" s="21">
        <f>SUM(AN282:AP282)</f>
        <v>178247.20431770128</v>
      </c>
      <c r="AN282" s="21">
        <f>(VLOOKUP(C282,$B$4:$AJ$7,17,FALSE)+VLOOKUP(C282,$B$8:$AJ$11,17,FALSE)*입력란!$P$4)*IF(G282="근접",입력란!$P$27,IF(MID(E282,1,1)="2",입력란!$P$27,입력란!$P$26))*입력란!$P$25/100</f>
        <v>78428.13117777399</v>
      </c>
      <c r="AO282" s="21">
        <f>(VLOOKUP(C282,$B$4:$AJ$7,18,FALSE)+VLOOKUP(C282,$B$8:$AJ$11,18,FALSE)*입력란!$P$4)*IF(G282="근접",입력란!$P$27,IF(MID(E282,1,1)="2",입력란!$P$27,입력란!$P$26))*입력란!$P$25/100</f>
        <v>99819.073139927306</v>
      </c>
      <c r="AP282" s="21"/>
      <c r="AQ282" s="22">
        <v>24</v>
      </c>
    </row>
    <row r="283" spans="2:43" ht="13.5" customHeight="1" x14ac:dyDescent="0.55000000000000004">
      <c r="B283" s="66">
        <v>268</v>
      </c>
      <c r="C283" s="29">
        <v>10</v>
      </c>
      <c r="D283" s="67" t="s">
        <v>46</v>
      </c>
      <c r="E283" s="27" t="s">
        <v>150</v>
      </c>
      <c r="F283" s="29" t="s">
        <v>136</v>
      </c>
      <c r="G283" s="29" t="s">
        <v>36</v>
      </c>
      <c r="H283" s="36">
        <f>I283/AJ283</f>
        <v>143355.75762153458</v>
      </c>
      <c r="I283" s="37">
        <f>SUM(J283:Q283)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3399174.9041100368</v>
      </c>
      <c r="J283" s="21">
        <f>S283*(1+IF($AK283+IF(입력란!$C$9=1,10,0)+IF(입력란!$C$26=1,10,0)&gt;100,100,$AK283+IF(입력란!$C$9=1,10,0)+IF(입력란!$C$26=1,10,0))/100*(($AL283+IF(입력란!$C$30=1,IF(OR(입력란!$C$9=1,입력란!$C$10=1),55,17),IF(입력란!$C$30=2,IF(OR(입력란!$C$9=1,입력란!$C$10=1),60,20),IF(입력란!$C$30=3,IF(OR(입력란!$C$9=1,입력란!$C$10=1),65,22),0))))/100-1))</f>
        <v>1059149.3360080915</v>
      </c>
      <c r="K283" s="21">
        <f>T283*(1+IF($AK283+IF(입력란!$C$9=1,10,0)+IF(입력란!$C$26=1,10,0)&gt;100,100,$AK283+IF(입력란!$C$9=1,10,0)+IF(입력란!$C$26=1,10,0))/100*(($AL283+IF(입력란!$C$30=1,IF(OR(입력란!$C$9=1,입력란!$C$10=1),55,17),IF(입력란!$C$30=2,IF(OR(입력란!$C$9=1,입력란!$C$10=1),60,20),IF(입력란!$C$30=3,IF(OR(입력란!$C$9=1,입력란!$C$10=1),65,22),0))))/100-1))</f>
        <v>1348027.8498215501</v>
      </c>
      <c r="L283" s="21">
        <f>U283*(1+IF($AK283+IF(입력란!$C$9=1,10,0)+IF(입력란!$C$26=1,10,0)&gt;100,100,$AK283+IF(입력란!$C$9=1,10,0)+IF(입력란!$C$26=1,10,0))/100*(($AL283+IF(입력란!$C$30=1,IF(OR(입력란!$C$9=1,입력란!$C$10=1),55,17),IF(입력란!$C$30=2,IF(OR(입력란!$C$9=1,입력란!$C$10=1),60,20),IF(입력란!$C$30=3,IF(OR(입력란!$C$9=1,입력란!$C$10=1),65,22),0))))/100-1))</f>
        <v>0</v>
      </c>
      <c r="M283" s="21"/>
      <c r="N283" s="21"/>
      <c r="O283" s="21"/>
      <c r="P283" s="21"/>
      <c r="Q283" s="20"/>
      <c r="R283" s="19">
        <f>SUM(S283:Z283)</f>
        <v>1484247.0785980932</v>
      </c>
      <c r="S283" s="21">
        <f>AN283*IF(G283="근접",IF(MID(E283,1,1)="1",트라이포드!$D$17,트라이포드!$C$17),1)*IF(MID(E283,1,1)="2",트라이포드!$F$17,트라이포드!$E$17)*IF(MID(E283,3,1)="1",트라이포드!$J$17,트라이포드!$I$17)*IF(MID(E283,5,1)="2",트라이포드!$R$17,트라이포드!$Q$17)*(1+입력란!$P$17/100)*IF(입력란!$C$9=1,IF(입력란!$C$15=0,1.05,IF(입력란!$C$15=1,1.05*1.05,IF(입력란!$C$15=2,1.05*1.12,IF(입력란!$C$15=3,1.05*1.25)))),1)</f>
        <v>653063.39600726624</v>
      </c>
      <c r="T283" s="21">
        <f>AO283*IF(G283="근접",IF(MID(E283,1,1)="1",트라이포드!$D$17,트라이포드!$C$17),1)*IF(MID(E283,1,1)="2",트라이포드!$F$17,트라이포드!$E$17)*IF(MID(E283,3,1)="1",트라이포드!$J$17,트라이포드!$I$17)*IF(MID(E283,5,1)="2",트라이포드!$R$17,트라이포드!$Q$17)*(1+입력란!$P$17/100)*IF(입력란!$C$9=1,IF(입력란!$C$15=0,1.05,IF(입력란!$C$15=1,1.05*1.05,IF(입력란!$C$15=2,1.05*1.12,IF(입력란!$C$15=3,1.05*1.25)))),1)</f>
        <v>831183.68259082688</v>
      </c>
      <c r="U283" s="21">
        <f>AO283*IF(G283="근접",IF(MID(E283,1,1)="1",트라이포드!$D$17,트라이포드!$C$17),1)*IF(MID(E283,1,1)="2",트라이포드!$F$17,트라이포드!$E$17)*IF(MID(E283,3,1)="1",트라이포드!$J$17,트라이포드!$I$17)*IF(MID(E283,5,1)="1",트라이포드!P$17,트라이포드!O$17)*(1+입력란!$P$17/100)*IF(입력란!$C$9=1,IF(입력란!$C$15=0,1.05,IF(입력란!$C$15=1,1.05*1.05,IF(입력란!$C$15=2,1.05*1.12,IF(입력란!$C$15=3,1.05*1.25)))),1)</f>
        <v>0</v>
      </c>
      <c r="V283" s="21"/>
      <c r="W283" s="21"/>
      <c r="X283" s="21"/>
      <c r="Y283" s="21"/>
      <c r="Z283" s="20"/>
      <c r="AA283" s="21">
        <f>SUM(AB283:AI283)</f>
        <v>2968494.1571961865</v>
      </c>
      <c r="AB283" s="21">
        <f>S283*2</f>
        <v>1306126.7920145325</v>
      </c>
      <c r="AC283" s="21">
        <f>T283*2</f>
        <v>1662367.3651816538</v>
      </c>
      <c r="AD283" s="21">
        <f>U283*2</f>
        <v>0</v>
      </c>
      <c r="AE283" s="21"/>
      <c r="AF283" s="21"/>
      <c r="AG283" s="21"/>
      <c r="AH283" s="21"/>
      <c r="AI283" s="20"/>
      <c r="AJ283" s="21">
        <f>(AQ283-IF(MID(E283,3,1)="3",트라이포드!$N$17,트라이포드!$M$17))*(1-입력란!$P$10/100)</f>
        <v>23.711464126079999</v>
      </c>
      <c r="AK2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3" s="21">
        <f>입력란!$P$24+IF(입력란!$C$18=1,10,IF(입력란!$C$18=2,25,IF(입력란!$C$18=3,50,0)))+IF(입력란!$C$23&lt;&gt;0,-12)</f>
        <v>200</v>
      </c>
      <c r="AM283" s="21">
        <f>SUM(AN283:AP283)</f>
        <v>356494.40863540256</v>
      </c>
      <c r="AN283" s="21">
        <f>(VLOOKUP(C283,$B$4:$AJ$7,17,FALSE)+VLOOKUP(C283,$B$8:$AJ$11,17,FALSE)*입력란!$P$4)*IF(G283="근접",입력란!$P$27,IF(MID(E283,1,1)="2",입력란!$P$27,입력란!$P$26))*입력란!$P$25/100</f>
        <v>156856.26235554798</v>
      </c>
      <c r="AO283" s="21">
        <f>(VLOOKUP(C283,$B$4:$AJ$7,18,FALSE)+VLOOKUP(C283,$B$8:$AJ$11,18,FALSE)*입력란!$P$4)*IF(G283="근접",입력란!$P$27,IF(MID(E283,1,1)="2",입력란!$P$27,입력란!$P$26))*입력란!$P$25/100</f>
        <v>199638.14627985461</v>
      </c>
      <c r="AP283" s="21"/>
      <c r="AQ283" s="22">
        <v>24</v>
      </c>
    </row>
    <row r="284" spans="2:43" ht="13.5" customHeight="1" x14ac:dyDescent="0.55000000000000004">
      <c r="B284" s="66">
        <v>269</v>
      </c>
      <c r="C284" s="29">
        <v>10</v>
      </c>
      <c r="D284" s="67" t="s">
        <v>183</v>
      </c>
      <c r="E284" s="27" t="s">
        <v>197</v>
      </c>
      <c r="F284" s="29" t="s">
        <v>216</v>
      </c>
      <c r="G284" s="29" t="s">
        <v>201</v>
      </c>
      <c r="H284" s="36">
        <f>I284/AJ284</f>
        <v>65161.708009788454</v>
      </c>
      <c r="I284" s="37">
        <f>SUM(J284:Q284)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1545079.5018681986</v>
      </c>
      <c r="J284" s="21">
        <f>S284*(1+IF($AK284+IF(입력란!$C$9=1,10,0)+IF(입력란!$C$26=1,10,0)&gt;100,100,$AK284+IF(입력란!$C$9=1,10,0)+IF(입력란!$C$26=1,10,0))/100*(($AL284+IF(입력란!$C$30=1,IF(OR(입력란!$C$9=1,입력란!$C$10=1),55,17),IF(입력란!$C$30=2,IF(OR(입력란!$C$9=1,입력란!$C$10=1),60,20),IF(입력란!$C$30=3,IF(OR(입력란!$C$9=1,입력란!$C$10=1),65,22),0))))/100-1))</f>
        <v>481431.51636731438</v>
      </c>
      <c r="K284" s="21">
        <f>T284*(1+IF($AK284+IF(입력란!$C$9=1,10,0)+IF(입력란!$C$26=1,10,0)&gt;100,100,$AK284+IF(입력란!$C$9=1,10,0)+IF(입력란!$C$26=1,10,0))/100*(($AL284+IF(입력란!$C$30=1,IF(OR(입력란!$C$9=1,입력란!$C$10=1),55,17),IF(입력란!$C$30=2,IF(OR(입력란!$C$9=1,입력란!$C$10=1),60,20),IF(입력란!$C$30=3,IF(OR(입력란!$C$9=1,입력란!$C$10=1),65,22),0))))/100-1))</f>
        <v>612739.93173706823</v>
      </c>
      <c r="L284" s="21">
        <f>U284*(1+IF($AK284+IF(입력란!$C$9=1,10,0)+IF(입력란!$C$26=1,10,0)&gt;100,100,$AK284+IF(입력란!$C$9=1,10,0)+IF(입력란!$C$26=1,10,0))/100*(($AL284+IF(입력란!$C$30=1,IF(OR(입력란!$C$9=1,입력란!$C$10=1),55,17),IF(입력란!$C$30=2,IF(OR(입력란!$C$9=1,입력란!$C$10=1),60,20),IF(입력란!$C$30=3,IF(OR(입력란!$C$9=1,입력란!$C$10=1),65,22),0))))/100-1))</f>
        <v>0</v>
      </c>
      <c r="M284" s="21"/>
      <c r="N284" s="21"/>
      <c r="O284" s="21"/>
      <c r="P284" s="21"/>
      <c r="Q284" s="20"/>
      <c r="R284" s="19">
        <f>SUM(S284:Z284)</f>
        <v>674657.76299913321</v>
      </c>
      <c r="S284" s="21">
        <f>AN284*IF(G284="근접",IF(MID(E284,1,1)="1",트라이포드!$D$17,트라이포드!$C$17),1)*IF(MID(E284,1,1)="2",트라이포드!$F$17,트라이포드!$E$17)*IF(MID(E284,3,1)="1",트라이포드!$J$17,트라이포드!$I$17)*IF(MID(E284,5,1)="2",트라이포드!$R$17,트라이포드!$Q$17)*(1+입력란!$P$17/100)*IF(입력란!$C$9=1,IF(입력란!$C$15=0,1.05,IF(입력란!$C$15=1,1.05*1.05,IF(입력란!$C$15=2,1.05*1.12,IF(입력란!$C$15=3,1.05*1.25)))),1)</f>
        <v>296846.99818512105</v>
      </c>
      <c r="T284" s="21">
        <f>AO284*IF(G284="근접",IF(MID(E284,1,1)="1",트라이포드!$D$17,트라이포드!$C$17),1)*IF(MID(E284,1,1)="2",트라이포드!$F$17,트라이포드!$E$17)*IF(MID(E284,3,1)="1",트라이포드!$J$17,트라이포드!$I$17)*IF(MID(E284,5,1)="2",트라이포드!$R$17,트라이포드!$Q$17)*(1+입력란!$P$17/100)*IF(입력란!$C$9=1,IF(입력란!$C$15=0,1.05,IF(입력란!$C$15=1,1.05*1.05,IF(입력란!$C$15=2,1.05*1.12,IF(입력란!$C$15=3,1.05*1.25)))),1)</f>
        <v>377810.76481401222</v>
      </c>
      <c r="U284" s="21">
        <f>AO284*IF(G284="근접",IF(MID(E284,1,1)="1",트라이포드!$D$17,트라이포드!$C$17),1)*IF(MID(E284,1,1)="2",트라이포드!$F$17,트라이포드!$E$17)*IF(MID(E284,3,1)="1",트라이포드!$J$17,트라이포드!$I$17)*IF(MID(E284,5,1)="1",트라이포드!P$17,트라이포드!O$17)*(1+입력란!$P$17/100)*IF(입력란!$C$9=1,IF(입력란!$C$15=0,1.05,IF(입력란!$C$15=1,1.05*1.05,IF(입력란!$C$15=2,1.05*1.12,IF(입력란!$C$15=3,1.05*1.25)))),1)</f>
        <v>0</v>
      </c>
      <c r="V284" s="21"/>
      <c r="W284" s="21"/>
      <c r="X284" s="21"/>
      <c r="Y284" s="21"/>
      <c r="Z284" s="20"/>
      <c r="AA284" s="21">
        <f>SUM(AB284:AI284)</f>
        <v>1349315.5259982664</v>
      </c>
      <c r="AB284" s="21">
        <f>S284*2</f>
        <v>593693.99637024209</v>
      </c>
      <c r="AC284" s="21">
        <f>T284*2</f>
        <v>755621.52962802444</v>
      </c>
      <c r="AD284" s="21">
        <f>U284*2</f>
        <v>0</v>
      </c>
      <c r="AE284" s="21"/>
      <c r="AF284" s="21"/>
      <c r="AG284" s="21"/>
      <c r="AH284" s="21"/>
      <c r="AI284" s="20"/>
      <c r="AJ284" s="21">
        <f>(AQ284-IF(MID(E284,3,1)="3",트라이포드!$N$17,트라이포드!$M$17))*(1-입력란!$P$10/100)</f>
        <v>23.711464126079999</v>
      </c>
      <c r="AK2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4" s="21">
        <f>입력란!$P$24+IF(입력란!$C$18=1,10,IF(입력란!$C$18=2,25,IF(입력란!$C$18=3,50,0)))+IF(입력란!$C$23&lt;&gt;0,-12)</f>
        <v>200</v>
      </c>
      <c r="AM284" s="21">
        <f>SUM(AN284:AP284)</f>
        <v>178247.20431770128</v>
      </c>
      <c r="AN284" s="21">
        <f>(VLOOKUP(C284,$B$4:$AJ$7,17,FALSE)+VLOOKUP(C284,$B$8:$AJ$11,17,FALSE)*입력란!$P$4)*IF(G284="근접",입력란!$P$27,IF(MID(E284,1,1)="2",입력란!$P$27,입력란!$P$26))*입력란!$P$25/100</f>
        <v>78428.13117777399</v>
      </c>
      <c r="AO284" s="21">
        <f>(VLOOKUP(C284,$B$4:$AJ$7,18,FALSE)+VLOOKUP(C284,$B$8:$AJ$11,18,FALSE)*입력란!$P$4)*IF(G284="근접",입력란!$P$27,IF(MID(E284,1,1)="2",입력란!$P$27,입력란!$P$26))*입력란!$P$25/100</f>
        <v>99819.073139927306</v>
      </c>
      <c r="AP284" s="21"/>
      <c r="AQ284" s="22">
        <v>24</v>
      </c>
    </row>
    <row r="285" spans="2:43" ht="13.5" customHeight="1" x14ac:dyDescent="0.55000000000000004">
      <c r="B285" s="66">
        <v>270</v>
      </c>
      <c r="C285" s="29">
        <v>10</v>
      </c>
      <c r="D285" s="67" t="s">
        <v>46</v>
      </c>
      <c r="E285" s="27" t="s">
        <v>103</v>
      </c>
      <c r="F285" s="29"/>
      <c r="G285" s="29" t="s">
        <v>36</v>
      </c>
      <c r="H285" s="36">
        <f>I285/AJ285</f>
        <v>152591.34785148691</v>
      </c>
      <c r="I285" s="37">
        <f>SUM(J285:Q285)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2864380.0475034914</v>
      </c>
      <c r="J285" s="21">
        <f>S285*(1+IF($AK285+IF(입력란!$C$9=1,10,0)+IF(입력란!$C$26=1,10,0)&gt;100,100,$AK285+IF(입력란!$C$9=1,10,0)+IF(입력란!$C$26=1,10,0))/100*(($AL285+IF(입력란!$C$30=1,IF(OR(입력란!$C$9=1,입력란!$C$10=1),55,17),IF(입력란!$C$30=2,IF(OR(입력란!$C$9=1,입력란!$C$10=1),60,20),IF(입력란!$C$30=3,IF(OR(입력란!$C$9=1,입력란!$C$10=1),65,22),0))))/100-1))</f>
        <v>470733.03822581854</v>
      </c>
      <c r="K285" s="21">
        <f>T285*(1+IF($AK285+IF(입력란!$C$9=1,10,0)+IF(입력란!$C$26=1,10,0)&gt;100,100,$AK285+IF(입력란!$C$9=1,10,0)+IF(입력란!$C$26=1,10,0))/100*(($AL285+IF(입력란!$C$30=1,IF(OR(입력란!$C$9=1,입력란!$C$10=1),55,17),IF(입력란!$C$30=2,IF(OR(입력란!$C$9=1,입력란!$C$10=1),60,20),IF(입력란!$C$30=3,IF(OR(입력란!$C$9=1,입력란!$C$10=1),65,22),0))))/100-1))</f>
        <v>599123.48880957777</v>
      </c>
      <c r="L285" s="21">
        <f>U285*(1+IF($AK285+IF(입력란!$C$9=1,10,0)+IF(입력란!$C$26=1,10,0)&gt;100,100,$AK285+IF(입력란!$C$9=1,10,0)+IF(입력란!$C$26=1,10,0))/100*(($AL285+IF(입력란!$C$30=1,IF(OR(입력란!$C$9=1,입력란!$C$10=1),55,17),IF(입력란!$C$30=2,IF(OR(입력란!$C$9=1,입력란!$C$10=1),60,20),IF(입력란!$C$30=3,IF(OR(입력란!$C$9=1,입력란!$C$10=1),65,22),0))))/100-1))</f>
        <v>958597.58209532464</v>
      </c>
      <c r="M285" s="21"/>
      <c r="N285" s="21"/>
      <c r="O285" s="21"/>
      <c r="P285" s="21"/>
      <c r="Q285" s="20"/>
      <c r="R285" s="19">
        <f>SUM(S285:Z285)</f>
        <v>1250729.3203304072</v>
      </c>
      <c r="S285" s="21">
        <f>AN285*IF(G285="근접",IF(MID(E285,1,1)="1",트라이포드!$D$17,트라이포드!$C$17),1)*IF(MID(E285,1,1)="2",트라이포드!$F$17,트라이포드!$E$17)*IF(MID(E285,3,1)="1",트라이포드!$J$17,트라이포드!$I$17)*IF(MID(E285,5,1)="2",트라이포드!$R$17,트라이포드!$Q$17)*(1+입력란!$P$17/100)*IF(입력란!$C$9=1,IF(입력란!$C$15=0,1.05,IF(입력란!$C$15=1,1.05*1.05,IF(입력란!$C$15=2,1.05*1.12,IF(입력란!$C$15=3,1.05*1.25)))),1)</f>
        <v>290250.3982254517</v>
      </c>
      <c r="T285" s="21">
        <f>AO285*IF(G285="근접",IF(MID(E285,1,1)="1",트라이포드!$D$17,트라이포드!$C$17),1)*IF(MID(E285,1,1)="2",트라이포드!$F$17,트라이포드!$E$17)*IF(MID(E285,3,1)="1",트라이포드!$J$17,트라이포드!$I$17)*IF(MID(E285,5,1)="2",트라이포드!$R$17,트라이포드!$Q$17)*(1+입력란!$P$17/100)*IF(입력란!$C$9=1,IF(입력란!$C$15=0,1.05,IF(입력란!$C$15=1,1.05*1.05,IF(입력란!$C$15=2,1.05*1.12,IF(입력란!$C$15=3,1.05*1.25)))),1)</f>
        <v>369414.97004036745</v>
      </c>
      <c r="U285" s="21">
        <f>AO285*IF(G285="근접",IF(MID(E285,1,1)="1",트라이포드!$D$17,트라이포드!$C$17),1)*IF(MID(E285,1,1)="2",트라이포드!$F$17,트라이포드!$E$17)*IF(MID(E285,3,1)="1",트라이포드!$J$17,트라이포드!$I$17)*IF(MID(E285,5,1)="1",트라이포드!P$17,트라이포드!O$17)*(1+입력란!$P$17/100)*IF(입력란!$C$9=1,IF(입력란!$C$15=0,1.05,IF(입력란!$C$15=1,1.05*1.05,IF(입력란!$C$15=2,1.05*1.12,IF(입력란!$C$15=3,1.05*1.25)))),1)</f>
        <v>591063.95206458808</v>
      </c>
      <c r="V285" s="21"/>
      <c r="W285" s="21"/>
      <c r="X285" s="21"/>
      <c r="Y285" s="21"/>
      <c r="Z285" s="20"/>
      <c r="AA285" s="21">
        <f>SUM(AB285:AI285)</f>
        <v>2501458.6406608145</v>
      </c>
      <c r="AB285" s="21">
        <f>S285*2</f>
        <v>580500.79645090341</v>
      </c>
      <c r="AC285" s="21">
        <f>T285*2</f>
        <v>738829.9400807349</v>
      </c>
      <c r="AD285" s="21">
        <f>U285*2</f>
        <v>1182127.9041291762</v>
      </c>
      <c r="AE285" s="21"/>
      <c r="AF285" s="21"/>
      <c r="AG285" s="21"/>
      <c r="AH285" s="21"/>
      <c r="AI285" s="20"/>
      <c r="AJ285" s="21">
        <f>(AQ285-IF(MID(E285,3,1)="3",트라이포드!$N$17,트라이포드!$M$17))*(1-입력란!$P$10/100)</f>
        <v>18.771575766479998</v>
      </c>
      <c r="AK2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5" s="21">
        <f>입력란!$P$24+IF(입력란!$C$18=1,10,IF(입력란!$C$18=2,25,IF(입력란!$C$18=3,50,0)))+IF(입력란!$C$23&lt;&gt;0,-12)</f>
        <v>200</v>
      </c>
      <c r="AM285" s="21">
        <f>SUM(AN285:AP285)</f>
        <v>356494.40863540256</v>
      </c>
      <c r="AN285" s="21">
        <f>(VLOOKUP(C285,$B$4:$AJ$7,17,FALSE)+VLOOKUP(C285,$B$8:$AJ$11,17,FALSE)*입력란!$P$4)*IF(G285="근접",입력란!$P$27,IF(MID(E285,1,1)="2",입력란!$P$27,입력란!$P$26))*입력란!$P$25/100</f>
        <v>156856.26235554798</v>
      </c>
      <c r="AO285" s="21">
        <f>(VLOOKUP(C285,$B$4:$AJ$7,18,FALSE)+VLOOKUP(C285,$B$8:$AJ$11,18,FALSE)*입력란!$P$4)*IF(G285="근접",입력란!$P$27,IF(MID(E285,1,1)="2",입력란!$P$27,입력란!$P$26))*입력란!$P$25/100</f>
        <v>199638.14627985461</v>
      </c>
      <c r="AP285" s="21"/>
      <c r="AQ285" s="22">
        <v>24</v>
      </c>
    </row>
    <row r="286" spans="2:43" ht="13.5" customHeight="1" x14ac:dyDescent="0.55000000000000004">
      <c r="B286" s="66">
        <v>271</v>
      </c>
      <c r="C286" s="29">
        <v>10</v>
      </c>
      <c r="D286" s="67" t="s">
        <v>183</v>
      </c>
      <c r="E286" s="27" t="s">
        <v>198</v>
      </c>
      <c r="F286" s="29"/>
      <c r="G286" s="29" t="s">
        <v>201</v>
      </c>
      <c r="H286" s="36">
        <f>I286/AJ286</f>
        <v>69359.703568857687</v>
      </c>
      <c r="I286" s="37">
        <f>SUM(J286:Q286)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1301990.9306834051</v>
      </c>
      <c r="J286" s="21">
        <f>S286*(1+IF($AK286+IF(입력란!$C$9=1,10,0)+IF(입력란!$C$26=1,10,0)&gt;100,100,$AK286+IF(입력란!$C$9=1,10,0)+IF(입력란!$C$26=1,10,0))/100*(($AL286+IF(입력란!$C$30=1,IF(OR(입력란!$C$9=1,입력란!$C$10=1),55,17),IF(입력란!$C$30=2,IF(OR(입력란!$C$9=1,입력란!$C$10=1),60,20),IF(입력란!$C$30=3,IF(OR(입력란!$C$9=1,입력란!$C$10=1),65,22),0))))/100-1))</f>
        <v>213969.5628299175</v>
      </c>
      <c r="K286" s="21">
        <f>T286*(1+IF($AK286+IF(입력란!$C$9=1,10,0)+IF(입력란!$C$26=1,10,0)&gt;100,100,$AK286+IF(입력란!$C$9=1,10,0)+IF(입력란!$C$26=1,10,0))/100*(($AL286+IF(입력란!$C$30=1,IF(OR(입력란!$C$9=1,입력란!$C$10=1),55,17),IF(입력란!$C$30=2,IF(OR(입력란!$C$9=1,입력란!$C$10=1),60,20),IF(입력란!$C$30=3,IF(OR(입력란!$C$9=1,입력란!$C$10=1),65,22),0))))/100-1))</f>
        <v>272328.85854980809</v>
      </c>
      <c r="L286" s="21">
        <f>U286*(1+IF($AK286+IF(입력란!$C$9=1,10,0)+IF(입력란!$C$26=1,10,0)&gt;100,100,$AK286+IF(입력란!$C$9=1,10,0)+IF(입력란!$C$26=1,10,0))/100*(($AL286+IF(입력란!$C$30=1,IF(OR(입력란!$C$9=1,입력란!$C$10=1),55,17),IF(입력란!$C$30=2,IF(OR(입력란!$C$9=1,입력란!$C$10=1),60,20),IF(입력란!$C$30=3,IF(OR(입력란!$C$9=1,입력란!$C$10=1),65,22),0))))/100-1))</f>
        <v>435726.17367969302</v>
      </c>
      <c r="M286" s="21"/>
      <c r="N286" s="21"/>
      <c r="O286" s="21"/>
      <c r="P286" s="21"/>
      <c r="Q286" s="20"/>
      <c r="R286" s="19">
        <f>SUM(S286:Z286)</f>
        <v>568513.32742291235</v>
      </c>
      <c r="S286" s="21">
        <f>AN286*IF(G286="근접",IF(MID(E286,1,1)="1",트라이포드!$D$17,트라이포드!$C$17),1)*IF(MID(E286,1,1)="2",트라이포드!$F$17,트라이포드!$E$17)*IF(MID(E286,3,1)="1",트라이포드!$J$17,트라이포드!$I$17)*IF(MID(E286,5,1)="2",트라이포드!$R$17,트라이포드!$Q$17)*(1+입력란!$P$17/100)*IF(입력란!$C$9=1,IF(입력란!$C$15=0,1.05,IF(입력란!$C$15=1,1.05*1.05,IF(입력란!$C$15=2,1.05*1.12,IF(입력란!$C$15=3,1.05*1.25)))),1)</f>
        <v>131931.99919338714</v>
      </c>
      <c r="T286" s="21">
        <f>AO286*IF(G286="근접",IF(MID(E286,1,1)="1",트라이포드!$D$17,트라이포드!$C$17),1)*IF(MID(E286,1,1)="2",트라이포드!$F$17,트라이포드!$E$17)*IF(MID(E286,3,1)="1",트라이포드!$J$17,트라이포드!$I$17)*IF(MID(E286,5,1)="2",트라이포드!$R$17,트라이포드!$Q$17)*(1+입력란!$P$17/100)*IF(입력란!$C$9=1,IF(입력란!$C$15=0,1.05,IF(입력란!$C$15=1,1.05*1.05,IF(입력란!$C$15=2,1.05*1.12,IF(입력란!$C$15=3,1.05*1.25)))),1)</f>
        <v>167915.89547289431</v>
      </c>
      <c r="U286" s="21">
        <f>AO286*IF(G286="근접",IF(MID(E286,1,1)="1",트라이포드!$D$17,트라이포드!$C$17),1)*IF(MID(E286,1,1)="2",트라이포드!$F$17,트라이포드!$E$17)*IF(MID(E286,3,1)="1",트라이포드!$J$17,트라이포드!$I$17)*IF(MID(E286,5,1)="1",트라이포드!P$17,트라이포드!O$17)*(1+입력란!$P$17/100)*IF(입력란!$C$9=1,IF(입력란!$C$15=0,1.05,IF(입력란!$C$15=1,1.05*1.05,IF(입력란!$C$15=2,1.05*1.12,IF(입력란!$C$15=3,1.05*1.25)))),1)</f>
        <v>268665.43275663094</v>
      </c>
      <c r="V286" s="21"/>
      <c r="W286" s="21"/>
      <c r="X286" s="21"/>
      <c r="Y286" s="21"/>
      <c r="Z286" s="20"/>
      <c r="AA286" s="21">
        <f>SUM(AB286:AI286)</f>
        <v>1137026.6548458247</v>
      </c>
      <c r="AB286" s="21">
        <f>S286*2</f>
        <v>263863.99838677427</v>
      </c>
      <c r="AC286" s="21">
        <f>T286*2</f>
        <v>335831.79094578861</v>
      </c>
      <c r="AD286" s="21">
        <f>U286*2</f>
        <v>537330.86551326187</v>
      </c>
      <c r="AE286" s="21"/>
      <c r="AF286" s="21"/>
      <c r="AG286" s="21"/>
      <c r="AH286" s="21"/>
      <c r="AI286" s="20"/>
      <c r="AJ286" s="21">
        <f>(AQ286-IF(MID(E286,3,1)="3",트라이포드!$N$17,트라이포드!$M$17))*(1-입력란!$P$10/100)</f>
        <v>18.771575766479998</v>
      </c>
      <c r="AK2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6" s="21">
        <f>입력란!$P$24+IF(입력란!$C$18=1,10,IF(입력란!$C$18=2,25,IF(입력란!$C$18=3,50,0)))+IF(입력란!$C$23&lt;&gt;0,-12)</f>
        <v>200</v>
      </c>
      <c r="AM286" s="21">
        <f>SUM(AN286:AP286)</f>
        <v>178247.20431770128</v>
      </c>
      <c r="AN286" s="21">
        <f>(VLOOKUP(C286,$B$4:$AJ$7,17,FALSE)+VLOOKUP(C286,$B$8:$AJ$11,17,FALSE)*입력란!$P$4)*IF(G286="근접",입력란!$P$27,IF(MID(E286,1,1)="2",입력란!$P$27,입력란!$P$26))*입력란!$P$25/100</f>
        <v>78428.13117777399</v>
      </c>
      <c r="AO286" s="21">
        <f>(VLOOKUP(C286,$B$4:$AJ$7,18,FALSE)+VLOOKUP(C286,$B$8:$AJ$11,18,FALSE)*입력란!$P$4)*IF(G286="근접",입력란!$P$27,IF(MID(E286,1,1)="2",입력란!$P$27,입력란!$P$26))*입력란!$P$25/100</f>
        <v>99819.073139927306</v>
      </c>
      <c r="AP286" s="21"/>
      <c r="AQ286" s="22">
        <v>24</v>
      </c>
    </row>
    <row r="287" spans="2:43" ht="13.5" customHeight="1" x14ac:dyDescent="0.55000000000000004">
      <c r="B287" s="66">
        <v>272</v>
      </c>
      <c r="C287" s="29">
        <v>10</v>
      </c>
      <c r="D287" s="67" t="s">
        <v>46</v>
      </c>
      <c r="E287" s="27" t="s">
        <v>104</v>
      </c>
      <c r="F287" s="29" t="s">
        <v>136</v>
      </c>
      <c r="G287" s="29" t="s">
        <v>36</v>
      </c>
      <c r="H287" s="36">
        <f>I287/AJ287</f>
        <v>144864.76559649815</v>
      </c>
      <c r="I287" s="37">
        <f>SUM(J287:Q287)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2719339.9232880301</v>
      </c>
      <c r="J287" s="21">
        <f>S287*(1+IF($AK287+IF(입력란!$C$9=1,10,0)+IF(입력란!$C$26=1,10,0)&gt;100,100,$AK287+IF(입력란!$C$9=1,10,0)+IF(입력란!$C$26=1,10,0))/100*(($AL287+IF(입력란!$C$30=1,IF(OR(입력란!$C$9=1,입력란!$C$10=1),55,17),IF(입력란!$C$30=2,IF(OR(입력란!$C$9=1,입력란!$C$10=1),60,20),IF(입력란!$C$30=3,IF(OR(입력란!$C$9=1,입력란!$C$10=1),65,22),0))))/100-1))</f>
        <v>847319.46880647354</v>
      </c>
      <c r="K287" s="21">
        <f>T287*(1+IF($AK287+IF(입력란!$C$9=1,10,0)+IF(입력란!$C$26=1,10,0)&gt;100,100,$AK287+IF(입력란!$C$9=1,10,0)+IF(입력란!$C$26=1,10,0))/100*(($AL287+IF(입력란!$C$30=1,IF(OR(입력란!$C$9=1,입력란!$C$10=1),55,17),IF(입력란!$C$30=2,IF(OR(입력란!$C$9=1,입력란!$C$10=1),60,20),IF(입력란!$C$30=3,IF(OR(입력란!$C$9=1,입력란!$C$10=1),65,22),0))))/100-1))</f>
        <v>1078422.2798572399</v>
      </c>
      <c r="L287" s="21">
        <f>U287*(1+IF($AK287+IF(입력란!$C$9=1,10,0)+IF(입력란!$C$26=1,10,0)&gt;100,100,$AK287+IF(입력란!$C$9=1,10,0)+IF(입력란!$C$26=1,10,0))/100*(($AL287+IF(입력란!$C$30=1,IF(OR(입력란!$C$9=1,입력란!$C$10=1),55,17),IF(입력란!$C$30=2,IF(OR(입력란!$C$9=1,입력란!$C$10=1),60,20),IF(입력란!$C$30=3,IF(OR(입력란!$C$9=1,입력란!$C$10=1),65,22),0))))/100-1))</f>
        <v>0</v>
      </c>
      <c r="M287" s="21"/>
      <c r="N287" s="21"/>
      <c r="O287" s="21"/>
      <c r="P287" s="21"/>
      <c r="Q287" s="20"/>
      <c r="R287" s="19">
        <f>SUM(S287:Z287)</f>
        <v>1187397.6628784747</v>
      </c>
      <c r="S287" s="21">
        <f>AN287*IF(G287="근접",IF(MID(E287,1,1)="1",트라이포드!$D$17,트라이포드!$C$17),1)*IF(MID(E287,1,1)="2",트라이포드!$F$17,트라이포드!$E$17)*IF(MID(E287,3,1)="1",트라이포드!$J$17,트라이포드!$I$17)*IF(MID(E287,5,1)="2",트라이포드!$R$17,트라이포드!$Q$17)*(1+입력란!$P$17/100)*IF(입력란!$C$9=1,IF(입력란!$C$15=0,1.05,IF(입력란!$C$15=1,1.05*1.05,IF(입력란!$C$15=2,1.05*1.12,IF(입력란!$C$15=3,1.05*1.25)))),1)</f>
        <v>522450.71680581314</v>
      </c>
      <c r="T287" s="21">
        <f>AO287*IF(G287="근접",IF(MID(E287,1,1)="1",트라이포드!$D$17,트라이포드!$C$17),1)*IF(MID(E287,1,1)="2",트라이포드!$F$17,트라이포드!$E$17)*IF(MID(E287,3,1)="1",트라이포드!$J$17,트라이포드!$I$17)*IF(MID(E287,5,1)="2",트라이포드!$R$17,트라이포드!$Q$17)*(1+입력란!$P$17/100)*IF(입력란!$C$9=1,IF(입력란!$C$15=0,1.05,IF(입력란!$C$15=1,1.05*1.05,IF(입력란!$C$15=2,1.05*1.12,IF(입력란!$C$15=3,1.05*1.25)))),1)</f>
        <v>664946.94607266143</v>
      </c>
      <c r="U287" s="21">
        <f>AO287*IF(G287="근접",IF(MID(E287,1,1)="1",트라이포드!$D$17,트라이포드!$C$17),1)*IF(MID(E287,1,1)="2",트라이포드!$F$17,트라이포드!$E$17)*IF(MID(E287,3,1)="1",트라이포드!$J$17,트라이포드!$I$17)*IF(MID(E287,5,1)="1",트라이포드!P$17,트라이포드!O$17)*(1+입력란!$P$17/100)*IF(입력란!$C$9=1,IF(입력란!$C$15=0,1.05,IF(입력란!$C$15=1,1.05*1.05,IF(입력란!$C$15=2,1.05*1.12,IF(입력란!$C$15=3,1.05*1.25)))),1)</f>
        <v>0</v>
      </c>
      <c r="V287" s="21"/>
      <c r="W287" s="21"/>
      <c r="X287" s="21"/>
      <c r="Y287" s="21"/>
      <c r="Z287" s="20"/>
      <c r="AA287" s="21">
        <f>SUM(AB287:AI287)</f>
        <v>2374795.3257569494</v>
      </c>
      <c r="AB287" s="21">
        <f>S287*2</f>
        <v>1044901.4336116263</v>
      </c>
      <c r="AC287" s="21">
        <f>T287*2</f>
        <v>1329893.8921453229</v>
      </c>
      <c r="AD287" s="21">
        <f>U287*2</f>
        <v>0</v>
      </c>
      <c r="AE287" s="21"/>
      <c r="AF287" s="21"/>
      <c r="AG287" s="21"/>
      <c r="AH287" s="21"/>
      <c r="AI287" s="20"/>
      <c r="AJ287" s="21">
        <f>(AQ287-IF(MID(E287,3,1)="3",트라이포드!$N$17,트라이포드!$M$17))*(1-입력란!$P$10/100)</f>
        <v>18.771575766479998</v>
      </c>
      <c r="AK2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7" s="21">
        <f>입력란!$P$24+IF(입력란!$C$18=1,10,IF(입력란!$C$18=2,25,IF(입력란!$C$18=3,50,0)))+IF(입력란!$C$23&lt;&gt;0,-12)</f>
        <v>200</v>
      </c>
      <c r="AM287" s="21">
        <f>SUM(AN287:AP287)</f>
        <v>356494.40863540256</v>
      </c>
      <c r="AN287" s="21">
        <f>(VLOOKUP(C287,$B$4:$AJ$7,17,FALSE)+VLOOKUP(C287,$B$8:$AJ$11,17,FALSE)*입력란!$P$4)*IF(G287="근접",입력란!$P$27,IF(MID(E287,1,1)="2",입력란!$P$27,입력란!$P$26))*입력란!$P$25/100</f>
        <v>156856.26235554798</v>
      </c>
      <c r="AO287" s="21">
        <f>(VLOOKUP(C287,$B$4:$AJ$7,18,FALSE)+VLOOKUP(C287,$B$8:$AJ$11,18,FALSE)*입력란!$P$4)*IF(G287="근접",입력란!$P$27,IF(MID(E287,1,1)="2",입력란!$P$27,입력란!$P$26))*입력란!$P$25/100</f>
        <v>199638.14627985461</v>
      </c>
      <c r="AP287" s="21"/>
      <c r="AQ287" s="22">
        <v>24</v>
      </c>
    </row>
    <row r="288" spans="2:43" ht="13.5" customHeight="1" x14ac:dyDescent="0.55000000000000004">
      <c r="B288" s="66">
        <v>273</v>
      </c>
      <c r="C288" s="29">
        <v>10</v>
      </c>
      <c r="D288" s="67" t="s">
        <v>183</v>
      </c>
      <c r="E288" s="27" t="s">
        <v>199</v>
      </c>
      <c r="F288" s="29" t="s">
        <v>216</v>
      </c>
      <c r="G288" s="29" t="s">
        <v>201</v>
      </c>
      <c r="H288" s="36">
        <f>I288/AJ288</f>
        <v>65847.620725680972</v>
      </c>
      <c r="I288" s="37">
        <f>SUM(J288:Q288)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1236063.6014945591</v>
      </c>
      <c r="J288" s="21">
        <f>S288*(1+IF($AK288+IF(입력란!$C$9=1,10,0)+IF(입력란!$C$26=1,10,0)&gt;100,100,$AK288+IF(입력란!$C$9=1,10,0)+IF(입력란!$C$26=1,10,0))/100*(($AL288+IF(입력란!$C$30=1,IF(OR(입력란!$C$9=1,입력란!$C$10=1),55,17),IF(입력란!$C$30=2,IF(OR(입력란!$C$9=1,입력란!$C$10=1),60,20),IF(입력란!$C$30=3,IF(OR(입력란!$C$9=1,입력란!$C$10=1),65,22),0))))/100-1))</f>
        <v>385145.21309385158</v>
      </c>
      <c r="K288" s="21">
        <f>T288*(1+IF($AK288+IF(입력란!$C$9=1,10,0)+IF(입력란!$C$26=1,10,0)&gt;100,100,$AK288+IF(입력란!$C$9=1,10,0)+IF(입력란!$C$26=1,10,0))/100*(($AL288+IF(입력란!$C$30=1,IF(OR(입력란!$C$9=1,입력란!$C$10=1),55,17),IF(입력란!$C$30=2,IF(OR(입력란!$C$9=1,입력란!$C$10=1),60,20),IF(입력란!$C$30=3,IF(OR(입력란!$C$9=1,입력란!$C$10=1),65,22),0))))/100-1))</f>
        <v>490191.94538965449</v>
      </c>
      <c r="L288" s="21">
        <f>U288*(1+IF($AK288+IF(입력란!$C$9=1,10,0)+IF(입력란!$C$26=1,10,0)&gt;100,100,$AK288+IF(입력란!$C$9=1,10,0)+IF(입력란!$C$26=1,10,0))/100*(($AL288+IF(입력란!$C$30=1,IF(OR(입력란!$C$9=1,입력란!$C$10=1),55,17),IF(입력란!$C$30=2,IF(OR(입력란!$C$9=1,입력란!$C$10=1),60,20),IF(입력란!$C$30=3,IF(OR(입력란!$C$9=1,입력란!$C$10=1),65,22),0))))/100-1))</f>
        <v>0</v>
      </c>
      <c r="M288" s="21"/>
      <c r="N288" s="21"/>
      <c r="O288" s="21"/>
      <c r="P288" s="21"/>
      <c r="Q288" s="20"/>
      <c r="R288" s="19">
        <f>SUM(S288:Z288)</f>
        <v>539726.21039930661</v>
      </c>
      <c r="S288" s="21">
        <f>AN288*IF(G288="근접",IF(MID(E288,1,1)="1",트라이포드!$D$17,트라이포드!$C$17),1)*IF(MID(E288,1,1)="2",트라이포드!$F$17,트라이포드!$E$17)*IF(MID(E288,3,1)="1",트라이포드!$J$17,트라이포드!$I$17)*IF(MID(E288,5,1)="2",트라이포드!$R$17,트라이포드!$Q$17)*(1+입력란!$P$17/100)*IF(입력란!$C$9=1,IF(입력란!$C$15=0,1.05,IF(입력란!$C$15=1,1.05*1.05,IF(입력란!$C$15=2,1.05*1.12,IF(입력란!$C$15=3,1.05*1.25)))),1)</f>
        <v>237477.59854809687</v>
      </c>
      <c r="T288" s="21">
        <f>AO288*IF(G288="근접",IF(MID(E288,1,1)="1",트라이포드!$D$17,트라이포드!$C$17),1)*IF(MID(E288,1,1)="2",트라이포드!$F$17,트라이포드!$E$17)*IF(MID(E288,3,1)="1",트라이포드!$J$17,트라이포드!$I$17)*IF(MID(E288,5,1)="2",트라이포드!$R$17,트라이포드!$Q$17)*(1+입력란!$P$17/100)*IF(입력란!$C$9=1,IF(입력란!$C$15=0,1.05,IF(입력란!$C$15=1,1.05*1.05,IF(입력란!$C$15=2,1.05*1.12,IF(입력란!$C$15=3,1.05*1.25)))),1)</f>
        <v>302248.61185120972</v>
      </c>
      <c r="U288" s="21">
        <f>AO288*IF(G288="근접",IF(MID(E288,1,1)="1",트라이포드!$D$17,트라이포드!$C$17),1)*IF(MID(E288,1,1)="2",트라이포드!$F$17,트라이포드!$E$17)*IF(MID(E288,3,1)="1",트라이포드!$J$17,트라이포드!$I$17)*IF(MID(E288,5,1)="1",트라이포드!P$17,트라이포드!O$17)*(1+입력란!$P$17/100)*IF(입력란!$C$9=1,IF(입력란!$C$15=0,1.05,IF(입력란!$C$15=1,1.05*1.05,IF(입력란!$C$15=2,1.05*1.12,IF(입력란!$C$15=3,1.05*1.25)))),1)</f>
        <v>0</v>
      </c>
      <c r="V288" s="21"/>
      <c r="W288" s="21"/>
      <c r="X288" s="21"/>
      <c r="Y288" s="21"/>
      <c r="Z288" s="20"/>
      <c r="AA288" s="21">
        <f>SUM(AB288:AI288)</f>
        <v>1079452.4207986132</v>
      </c>
      <c r="AB288" s="21">
        <f>S288*2</f>
        <v>474955.19709619373</v>
      </c>
      <c r="AC288" s="21">
        <f>T288*2</f>
        <v>604497.22370241943</v>
      </c>
      <c r="AD288" s="21">
        <f>U288*2</f>
        <v>0</v>
      </c>
      <c r="AE288" s="21"/>
      <c r="AF288" s="21"/>
      <c r="AG288" s="21"/>
      <c r="AH288" s="21"/>
      <c r="AI288" s="20"/>
      <c r="AJ288" s="21">
        <f>(AQ288-IF(MID(E288,3,1)="3",트라이포드!$N$17,트라이포드!$M$17))*(1-입력란!$P$10/100)</f>
        <v>18.771575766479998</v>
      </c>
      <c r="AK2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8" s="21">
        <f>입력란!$P$24+IF(입력란!$C$18=1,10,IF(입력란!$C$18=2,25,IF(입력란!$C$18=3,50,0)))+IF(입력란!$C$23&lt;&gt;0,-12)</f>
        <v>200</v>
      </c>
      <c r="AM288" s="21">
        <f>SUM(AN288:AP288)</f>
        <v>178247.20431770128</v>
      </c>
      <c r="AN288" s="21">
        <f>(VLOOKUP(C288,$B$4:$AJ$7,17,FALSE)+VLOOKUP(C288,$B$8:$AJ$11,17,FALSE)*입력란!$P$4)*IF(G288="근접",입력란!$P$27,IF(MID(E288,1,1)="2",입력란!$P$27,입력란!$P$26))*입력란!$P$25/100</f>
        <v>78428.13117777399</v>
      </c>
      <c r="AO288" s="21">
        <f>(VLOOKUP(C288,$B$4:$AJ$7,18,FALSE)+VLOOKUP(C288,$B$8:$AJ$11,18,FALSE)*입력란!$P$4)*IF(G288="근접",입력란!$P$27,IF(MID(E288,1,1)="2",입력란!$P$27,입력란!$P$26))*입력란!$P$25/100</f>
        <v>99819.073139927306</v>
      </c>
      <c r="AP288" s="21"/>
      <c r="AQ288" s="22">
        <v>24</v>
      </c>
    </row>
    <row r="289" spans="2:43" ht="13.5" customHeight="1" x14ac:dyDescent="0.55000000000000004">
      <c r="B289" s="66">
        <v>274</v>
      </c>
      <c r="C289" s="29">
        <v>1</v>
      </c>
      <c r="D289" s="67" t="s">
        <v>454</v>
      </c>
      <c r="E289" s="27" t="s">
        <v>184</v>
      </c>
      <c r="F289" s="29"/>
      <c r="G289" s="29" t="s">
        <v>458</v>
      </c>
      <c r="H289" s="36">
        <f>I289/AJ289</f>
        <v>109217.80713620104</v>
      </c>
      <c r="I289" s="37">
        <f>SUM(J289:Q289)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289,5,1)&lt;&gt;"1"),1.21,1.07),IF(입력란!$C$30=2,IF(AND(OR(입력란!$C$9=1,입력란!$C$10=1),MID($E289,5,1)&lt;&gt;"1"),1.24,1.08),IF(입력란!$C$30=3,IF(AND(OR(입력란!$C$9=1,입력란!$C$10=1),MID($E289,5,1)&lt;&gt;"1"),1.26,1.09),1)))*(1+입력란!$P$22/100)*IF(입력란!$C$31=1,1.12*1.15,IF(입력란!$C$31=2,1.15*1.18,IF(입력란!$C$31=3,1.17*1.2,1)))*IF(입력란!$C$32=1,1.12,IF(입력란!$C$32=2,1.14,IF(입력란!$C$32=3,1.15,1)))</f>
        <v>3884571.1737587326</v>
      </c>
      <c r="J289" s="21">
        <f>S289*(1+IF($AK289+IF(AND(입력란!$C$9=1,MID($E289,5,1)&lt;&gt;"1"),10,0)+IF(입력란!$C$26=1,10,0)&gt;100,100,$AK289+IF(AND(입력란!$C$9=1,MID($E289,5,1)&lt;&gt;"1"),10,0)+IF(입력란!$C$26=1,10,0))/100*(($AL289+IF(입력란!$C$30=1,IF(AND(OR(입력란!$C$9=1,입력란!$C$10=1),MID($E289,5,1)&lt;&gt;"1"),55,17),IF(입력란!$C$30=2,IF(AND(OR(입력란!$C$9=1,입력란!$C$10=1),MID($E289,5,1)&lt;&gt;"1"),60,20),IF(입력란!$C$30=3,IF(AND(OR(입력란!$C$9=1,입력란!$C$10=1),MID($E289,5,1)&lt;&gt;"1"),65,22),0))))/100-1))</f>
        <v>687729.47626916156</v>
      </c>
      <c r="K289" s="21">
        <f>T289*(1+IF($AK289+IF(AND(입력란!$C$9=1,MID($E289,5,1)&lt;&gt;"1"),10,0)+IF(입력란!$C$26=1,10,0)&gt;100,100,$AK289+IF(AND(입력란!$C$9=1,MID($E289,5,1)&lt;&gt;"1"),10,0)+IF(입력란!$C$26=1,10,0))/100*(($AL289+IF(입력란!$C$30=1,IF(AND(OR(입력란!$C$9=1,입력란!$C$10=1),MID($E289,5,1)&lt;&gt;"1"),55,17),IF(입력란!$C$30=2,IF(AND(OR(입력란!$C$9=1,입력란!$C$10=1),MID($E289,5,1)&lt;&gt;"1"),60,20),IF(입력란!$C$30=3,IF(AND(OR(입력란!$C$9=1,입력란!$C$10=1),MID($E289,5,1)&lt;&gt;"1"),65,22),0))))/100-1))</f>
        <v>687729.47626916156</v>
      </c>
      <c r="L289" s="21">
        <f>U289*(1+IF($AK289+IF(AND(입력란!$C$9=1,MID($E289,5,1)&lt;&gt;"1"),10,0)+IF(입력란!$C$26=1,10,0)&gt;100,100,$AK289+IF(AND(입력란!$C$9=1,MID($E289,5,1)&lt;&gt;"1"),10,0)+IF(입력란!$C$26=1,10,0))/100*(($AL289+IF(입력란!$C$30=1,IF(AND(OR(입력란!$C$9=1,입력란!$C$10=1),MID($E289,5,1)&lt;&gt;"1"),55,17),IF(입력란!$C$30=2,IF(AND(OR(입력란!$C$9=1,입력란!$C$10=1),MID($E289,5,1)&lt;&gt;"1"),60,20),IF(입력란!$C$30=3,IF(AND(OR(입력란!$C$9=1,입력란!$C$10=1),MID($E289,5,1)&lt;&gt;"1"),65,22),0))))/100-1))</f>
        <v>687729.47626916156</v>
      </c>
      <c r="M289" s="21">
        <f>V289*(1+IF($AK289+IF(AND(입력란!$C$9=1,MID($E289,5,1)&lt;&gt;"1"),10,0)+IF(입력란!$C$26=1,10,0)&gt;100,100,$AK289+IF(AND(입력란!$C$9=1,MID($E289,5,1)&lt;&gt;"1"),10,0)+IF(입력란!$C$26=1,10,0))/100*(($AL289+IF(입력란!$C$30=1,IF(AND(OR(입력란!$C$9=1,입력란!$C$10=1),MID($E289,5,1)&lt;&gt;"1"),55,17),IF(입력란!$C$30=2,IF(AND(OR(입력란!$C$9=1,입력란!$C$10=1),MID($E289,5,1)&lt;&gt;"1"),60,20),IF(입력란!$C$30=3,IF(AND(OR(입력란!$C$9=1,입력란!$C$10=1),MID($E289,5,1)&lt;&gt;"1"),65,22),0))))/100-1))</f>
        <v>687729.47626916156</v>
      </c>
      <c r="N289" s="21">
        <f>W289*(1+IF($AK289+IF(AND(입력란!$C$9=1,MID($E289,5,1)&lt;&gt;"1"),10,0)+IF(입력란!$C$26=1,10,0)&gt;100,100,$AK289+IF(AND(입력란!$C$9=1,MID($E289,5,1)&lt;&gt;"1"),10,0)+IF(입력란!$C$26=1,10,0))/100*(($AL289+IF(입력란!$C$30=1,IF(AND(OR(입력란!$C$9=1,입력란!$C$10=1),MID($E289,5,1)&lt;&gt;"1"),55,17),IF(입력란!$C$30=2,IF(AND(OR(입력란!$C$9=1,입력란!$C$10=1),MID($E289,5,1)&lt;&gt;"1"),60,20),IF(입력란!$C$30=3,IF(AND(OR(입력란!$C$9=1,입력란!$C$10=1),MID($E289,5,1)&lt;&gt;"1"),65,22),0))))/100-1))</f>
        <v>0</v>
      </c>
      <c r="O289" s="21"/>
      <c r="P289" s="21"/>
      <c r="Q289" s="105">
        <f>Z289*(1+IF($AK289+IF(입력란!$C$26=1,10,0)&gt;100,100,$AK289+IF(입력란!$C$26=1,10,0))/100*(($AL289+IF(입력란!$C$30=1,17,IF(입력란!$C$30=2,20,IF(입력란!$C$30=3,22,0))))/100-1))</f>
        <v>0</v>
      </c>
      <c r="R289" s="19">
        <f>SUM(S289:Z289)</f>
        <v>1696194.9822841829</v>
      </c>
      <c r="S289" s="21">
        <f>IF(MID($E289,5,1)="1",IF(MID($E289,3,1)="1",$AN289*트라이포드!$P$18*5,IF(MID($E289,3,1)="2",$AN289*트라이포드!$P$18*4,IF(MID($E289,3,1)="3",$AN289*트라이포드!$P$18*4,$AN289))),$AN289)*IF(MID($E289,3,1)="1",IF(MID($E289,5,1)="1",트라이포드!$J$18,트라이포드!$I$18),1)*IF(MID($E289,3,1)="2",트라이포드!$K$18,1)*IF(MID($E289,3,1)="3",트라이포드!$M$18,1)*IF(MID($E289,5,1)="2",트라이포드!$R$18,1)*(1+입력란!$P$17/100)*IF(AND(입력란!$C$9=1,MID($E289,5,1)&lt;&gt;"1"),IF(입력란!$C$15=0,1.05,IF(입력란!$C$15=1,1.05*1.05,IF(입력란!$C$15=2,1.05*1.12,IF(입력란!$C$15=3,1.05*1.25)))),1)</f>
        <v>424048.74557104573</v>
      </c>
      <c r="T289" s="21">
        <f>IF(MID($E289,5,1)="1",IF(MID($E289,3,1)="1",$AN289*트라이포드!$P$18*5,IF(MID($E289,3,1)="2",$AN289*트라이포드!$P$18*4,IF(MID($E289,3,1)="3",$AN289*트라이포드!$P$18*4,$AN289))),$AN289)*IF(MID($E289,3,1)="1",IF(MID($E289,5,1)="1",트라이포드!$J$18,트라이포드!$I$18),1)*IF(MID($E289,3,1)="2",트라이포드!$K$18,1)*IF(MID($E289,3,1)="3",트라이포드!$M$18,1)*IF(MID($E289,5,1)="2",트라이포드!$R$18,1)*(1+입력란!$P$17/100)*IF(AND(입력란!$C$9=1,MID($E289,5,1)&lt;&gt;"1"),IF(입력란!$C$15=0,1.05,IF(입력란!$C$15=1,1.05*1.05,IF(입력란!$C$15=2,1.05*1.12,IF(입력란!$C$15=3,1.05*1.25)))),1)</f>
        <v>424048.74557104573</v>
      </c>
      <c r="U289" s="21">
        <f>IF(MID($E289,5,1)="1",IF(MID($E289,3,1)="1",$AN289*트라이포드!$P$18*5,IF(MID($E289,3,1)="2",$AN289*트라이포드!$P$18*4,IF(MID($E289,3,1)="3",$AN289*트라이포드!$P$18*4,$AN289))),$AN289)*IF(MID($E289,3,1)="1",IF(MID($E289,5,1)="1",트라이포드!$J$18,트라이포드!$I$18),1)*IF(MID($E289,3,1)="2",트라이포드!$K$18,1)*IF(MID($E289,3,1)="3",트라이포드!$M$18,1)*IF(MID($E289,5,1)="2",트라이포드!$R$18,1)*(1+입력란!$P$17/100)*IF(AND(입력란!$C$9=1,MID($E289,5,1)&lt;&gt;"1"),IF(입력란!$C$15=0,1.05,IF(입력란!$C$15=1,1.05*1.05,IF(입력란!$C$15=2,1.05*1.12,IF(입력란!$C$15=3,1.05*1.25)))),1)</f>
        <v>424048.74557104573</v>
      </c>
      <c r="V289" s="21">
        <f>IF(MID($E289,5,1)="1",IF(MID($E289,3,1)="1",$AN289*트라이포드!$P$18*5,IF(MID($E289,3,1)="2",$AN289*트라이포드!$P$18*4,IF(MID($E289,3,1)="3",$AN289*트라이포드!$P$18*4,$AN289))),$AN289)*IF(MID($E289,3,1)="1",IF(MID($E289,5,1)="1",트라이포드!$J$18,트라이포드!$I$18),1)*IF(MID($E289,3,1)="2",트라이포드!$K$18,1)*IF(MID($E289,3,1)="3",트라이포드!$M$18,1)*IF(MID($E289,5,1)="2",트라이포드!$R$18,1)*(1+입력란!$P$17/100)*IF(AND(입력란!$C$9=1,MID($E289,5,1)&lt;&gt;"1"),IF(입력란!$C$15=0,1.05,IF(입력란!$C$15=1,1.05*1.05,IF(입력란!$C$15=2,1.05*1.12,IF(입력란!$C$15=3,1.05*1.25)))),1)</f>
        <v>424048.74557104573</v>
      </c>
      <c r="W289" s="21">
        <f>IF(MID($E289,5,1)="1",IF(MID($E289,3,1)="1",$AN289*트라이포드!$P$18*5,IF(MID($E289,3,1)="2",$AN289*트라이포드!$P$18*4,IF(MID($E289,3,1)="3",$AN289*트라이포드!$P$18*4,$AN289))),$AN289)*IF(MID($E289,3,1)="1",IF(MID($E289,5,1)="1",트라이포드!$J$18,트라이포드!$I$18),1)*IF(MID($E289,3,1)="2",트라이포드!$K$18,1)*IF(MID($E289,3,1)="3",트라이포드!$M$18,1)*IF(MID($E289,5,1)="2",트라이포드!$R$18,0)*(1+입력란!$P$17/100)*IF(AND(입력란!$C$9=1,MID($E289,5,1)&lt;&gt;"1"),IF(입력란!$C$15=0,1.05,IF(입력란!$C$15=1,1.05*1.05,IF(입력란!$C$15=2,1.05*1.12,IF(입력란!$C$15=3,1.05*1.25)))),1)</f>
        <v>0</v>
      </c>
      <c r="Y289" s="21"/>
      <c r="Z289" s="20">
        <f>AN289*IF(MID(E289,3,1)="2",트라이포드!$L$18,IF(MID(E289,3,1)="3",트라이포드!$N$18*12*5,0))*IF(입력란!$C$30=1,1.07,IF(입력란!$C$30=2,1.08,IF(입력란!$C$30=3,1.09,1)))</f>
        <v>0</v>
      </c>
      <c r="AA289" s="21">
        <f>SUM(AB289:AI289)</f>
        <v>1696194.9822841829</v>
      </c>
      <c r="AB289" s="21">
        <f>S289*2</f>
        <v>848097.49114209146</v>
      </c>
      <c r="AC289" s="21">
        <f>T289*2</f>
        <v>848097.49114209146</v>
      </c>
      <c r="AD289" s="21"/>
      <c r="AE289" s="21"/>
      <c r="AF289" s="21"/>
      <c r="AG289" s="21"/>
      <c r="AH289" s="21"/>
      <c r="AI289" s="20"/>
      <c r="AJ289" s="21">
        <f>AQ289*(1-입력란!$P$10/100)</f>
        <v>35.567196189119997</v>
      </c>
      <c r="AK2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89" s="21">
        <f>입력란!$P$24+IF(입력란!$C$18=1,10,IF(입력란!$C$18=2,25,IF(입력란!$C$18=3,50,0)))+IF(입력란!$C$23&lt;&gt;0,-12)</f>
        <v>200</v>
      </c>
      <c r="AM289" s="21">
        <f>SUM(AN289:AP289)</f>
        <v>252079.48675641272</v>
      </c>
      <c r="AN289" s="21">
        <f>(VLOOKUP(C289,$B$4:$AJ$7,19,FALSE)+VLOOKUP(C289,$B$8:$AJ$11,19,FALSE)*입력란!$P$4)*IF(G289="근접",IF(MID($E289,5,1)="1",입력란!$P$26,입력란!$P$27),입력란!$P$26)*입력란!$P$25/100</f>
        <v>252079.48675641272</v>
      </c>
      <c r="AO289" s="21"/>
      <c r="AP289" s="21"/>
      <c r="AQ289" s="22">
        <v>36</v>
      </c>
    </row>
    <row r="290" spans="2:43" ht="13.5" customHeight="1" x14ac:dyDescent="0.55000000000000004">
      <c r="B290" s="66">
        <v>275</v>
      </c>
      <c r="C290" s="29">
        <v>4</v>
      </c>
      <c r="D290" s="67" t="s">
        <v>454</v>
      </c>
      <c r="E290" s="27" t="s">
        <v>184</v>
      </c>
      <c r="F290" s="29"/>
      <c r="G290" s="29" t="s">
        <v>458</v>
      </c>
      <c r="H290" s="36">
        <f>I290/AJ290</f>
        <v>109360.95866329325</v>
      </c>
      <c r="I290" s="37">
        <f>SUM(J290:Q290)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290,5,1)&lt;&gt;"1"),1.21,1.07),IF(입력란!$C$30=2,IF(AND(OR(입력란!$C$9=1,입력란!$C$10=1),MID($E290,5,1)&lt;&gt;"1"),1.24,1.08),IF(입력란!$C$30=3,IF(AND(OR(입력란!$C$9=1,입력란!$C$10=1),MID($E290,5,1)&lt;&gt;"1"),1.26,1.09),1)))*(1+입력란!$P$22/100)*IF(입력란!$C$31=1,1.12*1.15,IF(입력란!$C$31=2,1.15*1.18,IF(입력란!$C$31=3,1.17*1.2,1)))*IF(입력란!$C$32=1,1.12,IF(입력란!$C$32=2,1.14,IF(입력란!$C$32=3,1.15,1)))</f>
        <v>3889662.672207593</v>
      </c>
      <c r="J290" s="21">
        <f>S290*(1+IF($AK290+IF(AND(입력란!$C$9=1,MID($E290,5,1)&lt;&gt;"1"),10,0)+IF(입력란!$C$26=1,10,0)&gt;100,100,$AK290+IF(AND(입력란!$C$9=1,MID($E290,5,1)&lt;&gt;"1"),10,0)+IF(입력란!$C$26=1,10,0))/100*(($AL290+IF(입력란!$C$30=1,IF(AND(OR(입력란!$C$9=1,입력란!$C$10=1),MID($E290,5,1)&lt;&gt;"1"),55,17),IF(입력란!$C$30=2,IF(AND(OR(입력란!$C$9=1,입력란!$C$10=1),MID($E290,5,1)&lt;&gt;"1"),60,20),IF(입력란!$C$30=3,IF(AND(OR(입력란!$C$9=1,입력란!$C$10=1),MID($E290,5,1)&lt;&gt;"1"),65,22),0))))/100-1))</f>
        <v>688630.88170235686</v>
      </c>
      <c r="K290" s="21">
        <f>T290*(1+IF($AK290+IF(AND(입력란!$C$9=1,MID($E290,5,1)&lt;&gt;"1"),10,0)+IF(입력란!$C$26=1,10,0)&gt;100,100,$AK290+IF(AND(입력란!$C$9=1,MID($E290,5,1)&lt;&gt;"1"),10,0)+IF(입력란!$C$26=1,10,0))/100*(($AL290+IF(입력란!$C$30=1,IF(AND(OR(입력란!$C$9=1,입력란!$C$10=1),MID($E290,5,1)&lt;&gt;"1"),55,17),IF(입력란!$C$30=2,IF(AND(OR(입력란!$C$9=1,입력란!$C$10=1),MID($E290,5,1)&lt;&gt;"1"),60,20),IF(입력란!$C$30=3,IF(AND(OR(입력란!$C$9=1,입력란!$C$10=1),MID($E290,5,1)&lt;&gt;"1"),65,22),0))))/100-1))</f>
        <v>688630.88170235686</v>
      </c>
      <c r="L290" s="21">
        <f>U290*(1+IF($AK290+IF(AND(입력란!$C$9=1,MID($E290,5,1)&lt;&gt;"1"),10,0)+IF(입력란!$C$26=1,10,0)&gt;100,100,$AK290+IF(AND(입력란!$C$9=1,MID($E290,5,1)&lt;&gt;"1"),10,0)+IF(입력란!$C$26=1,10,0))/100*(($AL290+IF(입력란!$C$30=1,IF(AND(OR(입력란!$C$9=1,입력란!$C$10=1),MID($E290,5,1)&lt;&gt;"1"),55,17),IF(입력란!$C$30=2,IF(AND(OR(입력란!$C$9=1,입력란!$C$10=1),MID($E290,5,1)&lt;&gt;"1"),60,20),IF(입력란!$C$30=3,IF(AND(OR(입력란!$C$9=1,입력란!$C$10=1),MID($E290,5,1)&lt;&gt;"1"),65,22),0))))/100-1))</f>
        <v>688630.88170235686</v>
      </c>
      <c r="M290" s="21">
        <f>V290*(1+IF($AK290+IF(AND(입력란!$C$9=1,MID($E290,5,1)&lt;&gt;"1"),10,0)+IF(입력란!$C$26=1,10,0)&gt;100,100,$AK290+IF(AND(입력란!$C$9=1,MID($E290,5,1)&lt;&gt;"1"),10,0)+IF(입력란!$C$26=1,10,0))/100*(($AL290+IF(입력란!$C$30=1,IF(AND(OR(입력란!$C$9=1,입력란!$C$10=1),MID($E290,5,1)&lt;&gt;"1"),55,17),IF(입력란!$C$30=2,IF(AND(OR(입력란!$C$9=1,입력란!$C$10=1),MID($E290,5,1)&lt;&gt;"1"),60,20),IF(입력란!$C$30=3,IF(AND(OR(입력란!$C$9=1,입력란!$C$10=1),MID($E290,5,1)&lt;&gt;"1"),65,22),0))))/100-1))</f>
        <v>688630.88170235686</v>
      </c>
      <c r="N290" s="21">
        <f>W290*(1+IF($AK290+IF(AND(입력란!$C$9=1,MID($E290,5,1)&lt;&gt;"1"),10,0)+IF(입력란!$C$26=1,10,0)&gt;100,100,$AK290+IF(AND(입력란!$C$9=1,MID($E290,5,1)&lt;&gt;"1"),10,0)+IF(입력란!$C$26=1,10,0))/100*(($AL290+IF(입력란!$C$30=1,IF(AND(OR(입력란!$C$9=1,입력란!$C$10=1),MID($E290,5,1)&lt;&gt;"1"),55,17),IF(입력란!$C$30=2,IF(AND(OR(입력란!$C$9=1,입력란!$C$10=1),MID($E290,5,1)&lt;&gt;"1"),60,20),IF(입력란!$C$30=3,IF(AND(OR(입력란!$C$9=1,입력란!$C$10=1),MID($E290,5,1)&lt;&gt;"1"),65,22),0))))/100-1))</f>
        <v>0</v>
      </c>
      <c r="O290" s="21"/>
      <c r="P290" s="21"/>
      <c r="Q290" s="105">
        <f>Z290*(1+IF($AK290+IF(입력란!$C$26=1,10,0)&gt;100,100,$AK290+IF(입력란!$C$26=1,10,0))/100*(($AL290+IF(입력란!$C$30=1,17,IF(입력란!$C$30=2,20,IF(입력란!$C$30=3,22,0))))/100-1))</f>
        <v>0</v>
      </c>
      <c r="R290" s="19">
        <f>SUM(S290:Z290)</f>
        <v>1698418.1811226041</v>
      </c>
      <c r="S290" s="21">
        <f>IF(MID($E290,5,1)="1",IF(MID($E290,3,1)="1",$AN290*트라이포드!$P$18*5,IF(MID($E290,3,1)="2",$AN290*트라이포드!$P$18*4,IF(MID($E290,3,1)="3",$AN290*트라이포드!$P$18*4,$AN290))),$AN290)*IF(MID($E290,3,1)="1",IF(MID($E290,5,1)="1",트라이포드!$J$18,트라이포드!$I$18),1)*IF(MID($E290,3,1)="2",트라이포드!$K$18,1)*IF(MID($E290,3,1)="3",트라이포드!$M$18,1)*IF(MID($E290,5,1)="2",트라이포드!$R$18,1)*(1+입력란!$P$17/100)*IF(AND(입력란!$C$9=1,MID($E290,5,1)&lt;&gt;"1"),IF(입력란!$C$15=0,1.05,IF(입력란!$C$15=1,1.05*1.05,IF(입력란!$C$15=2,1.05*1.12,IF(입력란!$C$15=3,1.05*1.25)))),1)</f>
        <v>424604.54528065101</v>
      </c>
      <c r="T290" s="21">
        <f>IF(MID($E290,5,1)="1",IF(MID($E290,3,1)="1",$AN290*트라이포드!$P$18*5,IF(MID($E290,3,1)="2",$AN290*트라이포드!$P$18*4,IF(MID($E290,3,1)="3",$AN290*트라이포드!$P$18*4,$AN290))),$AN290)*IF(MID($E290,3,1)="1",IF(MID($E290,5,1)="1",트라이포드!$J$18,트라이포드!$I$18),1)*IF(MID($E290,3,1)="2",트라이포드!$K$18,1)*IF(MID($E290,3,1)="3",트라이포드!$M$18,1)*IF(MID($E290,5,1)="2",트라이포드!$R$18,1)*(1+입력란!$P$17/100)*IF(AND(입력란!$C$9=1,MID($E290,5,1)&lt;&gt;"1"),IF(입력란!$C$15=0,1.05,IF(입력란!$C$15=1,1.05*1.05,IF(입력란!$C$15=2,1.05*1.12,IF(입력란!$C$15=3,1.05*1.25)))),1)</f>
        <v>424604.54528065101</v>
      </c>
      <c r="U290" s="21">
        <f>IF(MID($E290,5,1)="1",IF(MID($E290,3,1)="1",$AN290*트라이포드!$P$18*5,IF(MID($E290,3,1)="2",$AN290*트라이포드!$P$18*4,IF(MID($E290,3,1)="3",$AN290*트라이포드!$P$18*4,$AN290))),$AN290)*IF(MID($E290,3,1)="1",IF(MID($E290,5,1)="1",트라이포드!$J$18,트라이포드!$I$18),1)*IF(MID($E290,3,1)="2",트라이포드!$K$18,1)*IF(MID($E290,3,1)="3",트라이포드!$M$18,1)*IF(MID($E290,5,1)="2",트라이포드!$R$18,1)*(1+입력란!$P$17/100)*IF(AND(입력란!$C$9=1,MID($E290,5,1)&lt;&gt;"1"),IF(입력란!$C$15=0,1.05,IF(입력란!$C$15=1,1.05*1.05,IF(입력란!$C$15=2,1.05*1.12,IF(입력란!$C$15=3,1.05*1.25)))),1)</f>
        <v>424604.54528065101</v>
      </c>
      <c r="V290" s="21">
        <f>IF(MID($E290,5,1)="1",IF(MID($E290,3,1)="1",$AN290*트라이포드!$P$18*5,IF(MID($E290,3,1)="2",$AN290*트라이포드!$P$18*4,IF(MID($E290,3,1)="3",$AN290*트라이포드!$P$18*4,$AN290))),$AN290)*IF(MID($E290,3,1)="1",IF(MID($E290,5,1)="1",트라이포드!$J$18,트라이포드!$I$18),1)*IF(MID($E290,3,1)="2",트라이포드!$K$18,1)*IF(MID($E290,3,1)="3",트라이포드!$M$18,1)*IF(MID($E290,5,1)="2",트라이포드!$R$18,1)*(1+입력란!$P$17/100)*IF(AND(입력란!$C$9=1,MID($E290,5,1)&lt;&gt;"1"),IF(입력란!$C$15=0,1.05,IF(입력란!$C$15=1,1.05*1.05,IF(입력란!$C$15=2,1.05*1.12,IF(입력란!$C$15=3,1.05*1.25)))),1)</f>
        <v>424604.54528065101</v>
      </c>
      <c r="W290" s="21">
        <f>IF(MID($E290,5,1)="1",IF(MID($E290,3,1)="1",$AN290*트라이포드!$P$18*5,IF(MID($E290,3,1)="2",$AN290*트라이포드!$P$18*4,IF(MID($E290,3,1)="3",$AN290*트라이포드!$P$18*4,$AN290))),$AN290)*IF(MID($E290,3,1)="1",IF(MID($E290,5,1)="1",트라이포드!$J$18,트라이포드!$I$18),1)*IF(MID($E290,3,1)="2",트라이포드!$K$18,1)*IF(MID($E290,3,1)="3",트라이포드!$M$18,1)*IF(MID($E290,5,1)="2",트라이포드!$R$18,0)*(1+입력란!$P$17/100)*IF(AND(입력란!$C$9=1,MID($E290,5,1)&lt;&gt;"1"),IF(입력란!$C$15=0,1.05,IF(입력란!$C$15=1,1.05*1.05,IF(입력란!$C$15=2,1.05*1.12,IF(입력란!$C$15=3,1.05*1.25)))),1)</f>
        <v>0</v>
      </c>
      <c r="X290" s="21"/>
      <c r="Y290" s="21"/>
      <c r="Z290" s="20">
        <f>AN290*IF(MID(E290,3,1)="2",트라이포드!$L$18,IF(MID(E290,3,1)="3",트라이포드!$N$18*12*5,0))*IF(입력란!$C$30=1,1.07,IF(입력란!$C$30=2,1.08,IF(입력란!$C$30=3,1.09,1)))</f>
        <v>0</v>
      </c>
      <c r="AA290" s="21">
        <f>SUM(AB290:AI290)</f>
        <v>1698418.1811226041</v>
      </c>
      <c r="AB290" s="21">
        <f>S290*2</f>
        <v>849209.09056130203</v>
      </c>
      <c r="AC290" s="21">
        <f>T290*2</f>
        <v>849209.09056130203</v>
      </c>
      <c r="AD290" s="21"/>
      <c r="AE290" s="21"/>
      <c r="AF290" s="21"/>
      <c r="AG290" s="21"/>
      <c r="AH290" s="21"/>
      <c r="AI290" s="20"/>
      <c r="AJ290" s="21">
        <f>AQ290*(1-입력란!$P$10/100)</f>
        <v>35.567196189119997</v>
      </c>
      <c r="AK2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0" s="21">
        <f>입력란!$P$24+IF(입력란!$C$18=1,10,IF(입력란!$C$18=2,25,IF(입력란!$C$18=3,50,0)))+IF(입력란!$C$23&lt;&gt;0,-12)</f>
        <v>200</v>
      </c>
      <c r="AM290" s="21">
        <f>SUM(AN290:AP290)</f>
        <v>252409.88675641271</v>
      </c>
      <c r="AN290" s="21">
        <f>(VLOOKUP(C290,$B$4:$AJ$7,19,FALSE)+VLOOKUP(C290,$B$8:$AJ$11,19,FALSE)*입력란!$P$4)*IF(G290="근접",IF(MID($E290,5,1)="1",입력란!$P$26,입력란!$P$27),입력란!$P$26)*입력란!$P$25/100</f>
        <v>252409.88675641271</v>
      </c>
      <c r="AO290" s="21"/>
      <c r="AP290" s="21"/>
      <c r="AQ290" s="22">
        <v>36</v>
      </c>
    </row>
    <row r="291" spans="2:43" ht="13.5" customHeight="1" x14ac:dyDescent="0.55000000000000004">
      <c r="B291" s="66">
        <v>276</v>
      </c>
      <c r="C291" s="29">
        <v>7</v>
      </c>
      <c r="D291" s="67" t="s">
        <v>454</v>
      </c>
      <c r="E291" s="27" t="s">
        <v>76</v>
      </c>
      <c r="F291" s="29"/>
      <c r="G291" s="29" t="s">
        <v>458</v>
      </c>
      <c r="H291" s="36">
        <f>I291/AJ291</f>
        <v>109427.5085257671</v>
      </c>
      <c r="I291" s="37">
        <f>SUM(J291:Q291)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291,5,1)&lt;&gt;"1"),1.21,1.07),IF(입력란!$C$30=2,IF(AND(OR(입력란!$C$9=1,입력란!$C$10=1),MID($E291,5,1)&lt;&gt;"1"),1.24,1.08),IF(입력란!$C$30=3,IF(AND(OR(입력란!$C$9=1,입력란!$C$10=1),MID($E291,5,1)&lt;&gt;"1"),1.26,1.09),1)))*(1+입력란!$P$22/100)*IF(입력란!$C$31=1,1.12*1.15,IF(입력란!$C$31=2,1.15*1.18,IF(입력란!$C$31=3,1.17*1.2,1)))*IF(입력란!$C$32=1,1.12,IF(입력란!$C$32=2,1.14,IF(입력란!$C$32=3,1.15,1)))</f>
        <v>3892029.6642225599</v>
      </c>
      <c r="J291" s="21">
        <f>S291*(1+IF($AK291+IF(AND(입력란!$C$9=1,MID($E291,5,1)&lt;&gt;"1"),10,0)+IF(입력란!$C$26=1,10,0)&gt;100,100,$AK291+IF(AND(입력란!$C$9=1,MID($E291,5,1)&lt;&gt;"1"),10,0)+IF(입력란!$C$26=1,10,0))/100*(($AL291+IF(입력란!$C$30=1,IF(AND(OR(입력란!$C$9=1,입력란!$C$10=1),MID($E291,5,1)&lt;&gt;"1"),55,17),IF(입력란!$C$30=2,IF(AND(OR(입력란!$C$9=1,입력란!$C$10=1),MID($E291,5,1)&lt;&gt;"1"),60,20),IF(입력란!$C$30=3,IF(AND(OR(입력란!$C$9=1,입력란!$C$10=1),MID($E291,5,1)&lt;&gt;"1"),65,22),0))))/100-1))</f>
        <v>689049.93701270444</v>
      </c>
      <c r="K291" s="21">
        <f>T291*(1+IF($AK291+IF(AND(입력란!$C$9=1,MID($E291,5,1)&lt;&gt;"1"),10,0)+IF(입력란!$C$26=1,10,0)&gt;100,100,$AK291+IF(AND(입력란!$C$9=1,MID($E291,5,1)&lt;&gt;"1"),10,0)+IF(입력란!$C$26=1,10,0))/100*(($AL291+IF(입력란!$C$30=1,IF(AND(OR(입력란!$C$9=1,입력란!$C$10=1),MID($E291,5,1)&lt;&gt;"1"),55,17),IF(입력란!$C$30=2,IF(AND(OR(입력란!$C$9=1,입력란!$C$10=1),MID($E291,5,1)&lt;&gt;"1"),60,20),IF(입력란!$C$30=3,IF(AND(OR(입력란!$C$9=1,입력란!$C$10=1),MID($E291,5,1)&lt;&gt;"1"),65,22),0))))/100-1))</f>
        <v>689049.93701270444</v>
      </c>
      <c r="L291" s="21">
        <f>U291*(1+IF($AK291+IF(AND(입력란!$C$9=1,MID($E291,5,1)&lt;&gt;"1"),10,0)+IF(입력란!$C$26=1,10,0)&gt;100,100,$AK291+IF(AND(입력란!$C$9=1,MID($E291,5,1)&lt;&gt;"1"),10,0)+IF(입력란!$C$26=1,10,0))/100*(($AL291+IF(입력란!$C$30=1,IF(AND(OR(입력란!$C$9=1,입력란!$C$10=1),MID($E291,5,1)&lt;&gt;"1"),55,17),IF(입력란!$C$30=2,IF(AND(OR(입력란!$C$9=1,입력란!$C$10=1),MID($E291,5,1)&lt;&gt;"1"),60,20),IF(입력란!$C$30=3,IF(AND(OR(입력란!$C$9=1,입력란!$C$10=1),MID($E291,5,1)&lt;&gt;"1"),65,22),0))))/100-1))</f>
        <v>689049.93701270444</v>
      </c>
      <c r="M291" s="21">
        <f>V291*(1+IF($AK291+IF(AND(입력란!$C$9=1,MID($E291,5,1)&lt;&gt;"1"),10,0)+IF(입력란!$C$26=1,10,0)&gt;100,100,$AK291+IF(AND(입력란!$C$9=1,MID($E291,5,1)&lt;&gt;"1"),10,0)+IF(입력란!$C$26=1,10,0))/100*(($AL291+IF(입력란!$C$30=1,IF(AND(OR(입력란!$C$9=1,입력란!$C$10=1),MID($E291,5,1)&lt;&gt;"1"),55,17),IF(입력란!$C$30=2,IF(AND(OR(입력란!$C$9=1,입력란!$C$10=1),MID($E291,5,1)&lt;&gt;"1"),60,20),IF(입력란!$C$30=3,IF(AND(OR(입력란!$C$9=1,입력란!$C$10=1),MID($E291,5,1)&lt;&gt;"1"),65,22),0))))/100-1))</f>
        <v>689049.93701270444</v>
      </c>
      <c r="N291" s="21">
        <f>W291*(1+IF($AK291+IF(AND(입력란!$C$9=1,MID($E291,5,1)&lt;&gt;"1"),10,0)+IF(입력란!$C$26=1,10,0)&gt;100,100,$AK291+IF(AND(입력란!$C$9=1,MID($E291,5,1)&lt;&gt;"1"),10,0)+IF(입력란!$C$26=1,10,0))/100*(($AL291+IF(입력란!$C$30=1,IF(AND(OR(입력란!$C$9=1,입력란!$C$10=1),MID($E291,5,1)&lt;&gt;"1"),55,17),IF(입력란!$C$30=2,IF(AND(OR(입력란!$C$9=1,입력란!$C$10=1),MID($E291,5,1)&lt;&gt;"1"),60,20),IF(입력란!$C$30=3,IF(AND(OR(입력란!$C$9=1,입력란!$C$10=1),MID($E291,5,1)&lt;&gt;"1"),65,22),0))))/100-1))</f>
        <v>0</v>
      </c>
      <c r="O291" s="21"/>
      <c r="P291" s="21"/>
      <c r="Q291" s="105">
        <f>Z291*(1+IF($AK291+IF(입력란!$C$26=1,10,0)&gt;100,100,$AK291+IF(입력란!$C$26=1,10,0))/100*(($AL291+IF(입력란!$C$30=1,17,IF(입력란!$C$30=2,20,IF(입력란!$C$30=3,22,0))))/100-1))</f>
        <v>0</v>
      </c>
      <c r="R291" s="19">
        <f>SUM(S291:Z291)</f>
        <v>1699451.7263453086</v>
      </c>
      <c r="S291" s="21">
        <f>IF(MID($E291,5,1)="1",IF(MID($E291,3,1)="1",$AN291*트라이포드!$P$18*5,IF(MID($E291,3,1)="2",$AN291*트라이포드!$P$18*4,IF(MID($E291,3,1)="3",$AN291*트라이포드!$P$18*4,$AN291))),$AN291)*IF(MID($E291,3,1)="1",IF(MID($E291,5,1)="1",트라이포드!$J$18,트라이포드!$I$18),1)*IF(MID($E291,3,1)="2",트라이포드!$K$18,1)*IF(MID($E291,3,1)="3",트라이포드!$M$18,1)*IF(MID($E291,5,1)="2",트라이포드!$R$18,1)*(1+입력란!$P$17/100)*IF(AND(입력란!$C$9=1,MID($E291,5,1)&lt;&gt;"1"),IF(입력란!$C$15=0,1.05,IF(입력란!$C$15=1,1.05*1.05,IF(입력란!$C$15=2,1.05*1.12,IF(입력란!$C$15=3,1.05*1.25)))),1)</f>
        <v>424862.93158632715</v>
      </c>
      <c r="T291" s="21">
        <f>IF(MID($E291,5,1)="1",IF(MID($E291,3,1)="1",$AN291*트라이포드!$P$18*5,IF(MID($E291,3,1)="2",$AN291*트라이포드!$P$18*4,IF(MID($E291,3,1)="3",$AN291*트라이포드!$P$18*4,$AN291))),$AN291)*IF(MID($E291,3,1)="1",IF(MID($E291,5,1)="1",트라이포드!$J$18,트라이포드!$I$18),1)*IF(MID($E291,3,1)="2",트라이포드!$K$18,1)*IF(MID($E291,3,1)="3",트라이포드!$M$18,1)*IF(MID($E291,5,1)="2",트라이포드!$R$18,1)*(1+입력란!$P$17/100)*IF(AND(입력란!$C$9=1,MID($E291,5,1)&lt;&gt;"1"),IF(입력란!$C$15=0,1.05,IF(입력란!$C$15=1,1.05*1.05,IF(입력란!$C$15=2,1.05*1.12,IF(입력란!$C$15=3,1.05*1.25)))),1)</f>
        <v>424862.93158632715</v>
      </c>
      <c r="U291" s="21">
        <f>IF(MID($E291,5,1)="1",IF(MID($E291,3,1)="1",$AN291*트라이포드!$P$18*5,IF(MID($E291,3,1)="2",$AN291*트라이포드!$P$18*4,IF(MID($E291,3,1)="3",$AN291*트라이포드!$P$18*4,$AN291))),$AN291)*IF(MID($E291,3,1)="1",IF(MID($E291,5,1)="1",트라이포드!$J$18,트라이포드!$I$18),1)*IF(MID($E291,3,1)="2",트라이포드!$K$18,1)*IF(MID($E291,3,1)="3",트라이포드!$M$18,1)*IF(MID($E291,5,1)="2",트라이포드!$R$18,1)*(1+입력란!$P$17/100)*IF(AND(입력란!$C$9=1,MID($E291,5,1)&lt;&gt;"1"),IF(입력란!$C$15=0,1.05,IF(입력란!$C$15=1,1.05*1.05,IF(입력란!$C$15=2,1.05*1.12,IF(입력란!$C$15=3,1.05*1.25)))),1)</f>
        <v>424862.93158632715</v>
      </c>
      <c r="V291" s="21">
        <f>IF(MID($E291,5,1)="1",IF(MID($E291,3,1)="1",$AN291*트라이포드!$P$18*5,IF(MID($E291,3,1)="2",$AN291*트라이포드!$P$18*4,IF(MID($E291,3,1)="3",$AN291*트라이포드!$P$18*4,$AN291))),$AN291)*IF(MID($E291,3,1)="1",IF(MID($E291,5,1)="1",트라이포드!$J$18,트라이포드!$I$18),1)*IF(MID($E291,3,1)="2",트라이포드!$K$18,1)*IF(MID($E291,3,1)="3",트라이포드!$M$18,1)*IF(MID($E291,5,1)="2",트라이포드!$R$18,1)*(1+입력란!$P$17/100)*IF(AND(입력란!$C$9=1,MID($E291,5,1)&lt;&gt;"1"),IF(입력란!$C$15=0,1.05,IF(입력란!$C$15=1,1.05*1.05,IF(입력란!$C$15=2,1.05*1.12,IF(입력란!$C$15=3,1.05*1.25)))),1)</f>
        <v>424862.93158632715</v>
      </c>
      <c r="W291" s="21">
        <f>IF(MID($E291,5,1)="1",IF(MID($E291,3,1)="1",$AN291*트라이포드!$P$18*5,IF(MID($E291,3,1)="2",$AN291*트라이포드!$P$18*4,IF(MID($E291,3,1)="3",$AN291*트라이포드!$P$18*4,$AN291))),$AN291)*IF(MID($E291,3,1)="1",IF(MID($E291,5,1)="1",트라이포드!$J$18,트라이포드!$I$18),1)*IF(MID($E291,3,1)="2",트라이포드!$K$18,1)*IF(MID($E291,3,1)="3",트라이포드!$M$18,1)*IF(MID($E291,5,1)="2",트라이포드!$R$18,0)*(1+입력란!$P$17/100)*IF(AND(입력란!$C$9=1,MID($E291,5,1)&lt;&gt;"1"),IF(입력란!$C$15=0,1.05,IF(입력란!$C$15=1,1.05*1.05,IF(입력란!$C$15=2,1.05*1.12,IF(입력란!$C$15=3,1.05*1.25)))),1)</f>
        <v>0</v>
      </c>
      <c r="X291" s="21"/>
      <c r="Y291" s="21"/>
      <c r="Z291" s="20">
        <f>AN291*IF(MID(E291,3,1)="2",트라이포드!$L$18,IF(MID(E291,3,1)="3",트라이포드!$N$18*12*5,0))*IF(입력란!$C$30=1,1.07,IF(입력란!$C$30=2,1.08,IF(입력란!$C$30=3,1.09,1)))</f>
        <v>0</v>
      </c>
      <c r="AA291" s="21">
        <f>SUM(AB291:AI291)</f>
        <v>1699451.7263453086</v>
      </c>
      <c r="AB291" s="21">
        <f>S291*2</f>
        <v>849725.8631726543</v>
      </c>
      <c r="AC291" s="21">
        <f>T291*2</f>
        <v>849725.8631726543</v>
      </c>
      <c r="AD291" s="21"/>
      <c r="AE291" s="21"/>
      <c r="AF291" s="21"/>
      <c r="AG291" s="21"/>
      <c r="AH291" s="21"/>
      <c r="AI291" s="20"/>
      <c r="AJ291" s="21">
        <f>AQ291*(1-입력란!$P$10/100)</f>
        <v>35.567196189119997</v>
      </c>
      <c r="AK29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1" s="21">
        <f>입력란!$P$24+IF(입력란!$C$18=1,10,IF(입력란!$C$18=2,25,IF(입력란!$C$18=3,50,0)))+IF(입력란!$C$23&lt;&gt;0,-12)</f>
        <v>200</v>
      </c>
      <c r="AM291" s="21">
        <f>SUM(AN291:AP291)</f>
        <v>252563.48675641272</v>
      </c>
      <c r="AN291" s="21">
        <f>(VLOOKUP(C291,$B$4:$AJ$7,19,FALSE)+VLOOKUP(C291,$B$8:$AJ$11,19,FALSE)*입력란!$P$4)*IF(G291="근접",IF(MID($E291,5,1)="1",입력란!$P$26,입력란!$P$27),입력란!$P$26)*입력란!$P$25/100</f>
        <v>252563.48675641272</v>
      </c>
      <c r="AO291" s="21"/>
      <c r="AP291" s="21"/>
      <c r="AQ291" s="22">
        <v>36</v>
      </c>
    </row>
    <row r="292" spans="2:43" ht="13.5" customHeight="1" x14ac:dyDescent="0.55000000000000004">
      <c r="B292" s="66">
        <v>277</v>
      </c>
      <c r="C292" s="29">
        <v>7</v>
      </c>
      <c r="D292" s="67" t="s">
        <v>454</v>
      </c>
      <c r="E292" s="27" t="s">
        <v>96</v>
      </c>
      <c r="F292" s="29"/>
      <c r="G292" s="29" t="s">
        <v>458</v>
      </c>
      <c r="H292" s="36">
        <f>I292/AJ292</f>
        <v>147727.1365097856</v>
      </c>
      <c r="I292" s="37">
        <f>SUM(J292:Q292)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292,5,1)&lt;&gt;"1"),1.21,1.07),IF(입력란!$C$30=2,IF(AND(OR(입력란!$C$9=1,입력란!$C$10=1),MID($E292,5,1)&lt;&gt;"1"),1.24,1.08),IF(입력란!$C$30=3,IF(AND(OR(입력란!$C$9=1,입력란!$C$10=1),MID($E292,5,1)&lt;&gt;"1"),1.26,1.09),1)))*(1+입력란!$P$22/100)*IF(입력란!$C$31=1,1.12*1.15,IF(입력란!$C$31=2,1.15*1.18,IF(입력란!$C$31=3,1.17*1.2,1)))*IF(입력란!$C$32=1,1.12,IF(입력란!$C$32=2,1.14,IF(입력란!$C$32=3,1.15,1)))</f>
        <v>5254240.0467004562</v>
      </c>
      <c r="J292" s="21">
        <f>S292*(1+IF($AK292+IF(AND(입력란!$C$9=1,MID($E292,5,1)&lt;&gt;"1"),10,0)+IF(입력란!$C$26=1,10,0)&gt;100,100,$AK292+IF(AND(입력란!$C$9=1,MID($E292,5,1)&lt;&gt;"1"),10,0)+IF(입력란!$C$26=1,10,0))/100*(($AL292+IF(입력란!$C$30=1,IF(AND(OR(입력란!$C$9=1,입력란!$C$10=1),MID($E292,5,1)&lt;&gt;"1"),55,17),IF(입력란!$C$30=2,IF(AND(OR(입력란!$C$9=1,입력란!$C$10=1),MID($E292,5,1)&lt;&gt;"1"),60,20),IF(입력란!$C$30=3,IF(AND(OR(입력란!$C$9=1,입력란!$C$10=1),MID($E292,5,1)&lt;&gt;"1"),65,22),0))))/100-1))</f>
        <v>930217.41496715101</v>
      </c>
      <c r="K292" s="21">
        <f>T292*(1+IF($AK292+IF(AND(입력란!$C$9=1,MID($E292,5,1)&lt;&gt;"1"),10,0)+IF(입력란!$C$26=1,10,0)&gt;100,100,$AK292+IF(AND(입력란!$C$9=1,MID($E292,5,1)&lt;&gt;"1"),10,0)+IF(입력란!$C$26=1,10,0))/100*(($AL292+IF(입력란!$C$30=1,IF(AND(OR(입력란!$C$9=1,입력란!$C$10=1),MID($E292,5,1)&lt;&gt;"1"),55,17),IF(입력란!$C$30=2,IF(AND(OR(입력란!$C$9=1,입력란!$C$10=1),MID($E292,5,1)&lt;&gt;"1"),60,20),IF(입력란!$C$30=3,IF(AND(OR(입력란!$C$9=1,입력란!$C$10=1),MID($E292,5,1)&lt;&gt;"1"),65,22),0))))/100-1))</f>
        <v>930217.41496715101</v>
      </c>
      <c r="L292" s="21">
        <f>U292*(1+IF($AK292+IF(AND(입력란!$C$9=1,MID($E292,5,1)&lt;&gt;"1"),10,0)+IF(입력란!$C$26=1,10,0)&gt;100,100,$AK292+IF(AND(입력란!$C$9=1,MID($E292,5,1)&lt;&gt;"1"),10,0)+IF(입력란!$C$26=1,10,0))/100*(($AL292+IF(입력란!$C$30=1,IF(AND(OR(입력란!$C$9=1,입력란!$C$10=1),MID($E292,5,1)&lt;&gt;"1"),55,17),IF(입력란!$C$30=2,IF(AND(OR(입력란!$C$9=1,입력란!$C$10=1),MID($E292,5,1)&lt;&gt;"1"),60,20),IF(입력란!$C$30=3,IF(AND(OR(입력란!$C$9=1,입력란!$C$10=1),MID($E292,5,1)&lt;&gt;"1"),65,22),0))))/100-1))</f>
        <v>930217.41496715101</v>
      </c>
      <c r="M292" s="21">
        <f>V292*(1+IF($AK292+IF(AND(입력란!$C$9=1,MID($E292,5,1)&lt;&gt;"1"),10,0)+IF(입력란!$C$26=1,10,0)&gt;100,100,$AK292+IF(AND(입력란!$C$9=1,MID($E292,5,1)&lt;&gt;"1"),10,0)+IF(입력란!$C$26=1,10,0))/100*(($AL292+IF(입력란!$C$30=1,IF(AND(OR(입력란!$C$9=1,입력란!$C$10=1),MID($E292,5,1)&lt;&gt;"1"),55,17),IF(입력란!$C$30=2,IF(AND(OR(입력란!$C$9=1,입력란!$C$10=1),MID($E292,5,1)&lt;&gt;"1"),60,20),IF(입력란!$C$30=3,IF(AND(OR(입력란!$C$9=1,입력란!$C$10=1),MID($E292,5,1)&lt;&gt;"1"),65,22),0))))/100-1))</f>
        <v>930217.41496715101</v>
      </c>
      <c r="N292" s="21">
        <f>W292*(1+IF($AK292+IF(AND(입력란!$C$9=1,MID($E292,5,1)&lt;&gt;"1"),10,0)+IF(입력란!$C$26=1,10,0)&gt;100,100,$AK292+IF(AND(입력란!$C$9=1,MID($E292,5,1)&lt;&gt;"1"),10,0)+IF(입력란!$C$26=1,10,0))/100*(($AL292+IF(입력란!$C$30=1,IF(AND(OR(입력란!$C$9=1,입력란!$C$10=1),MID($E292,5,1)&lt;&gt;"1"),55,17),IF(입력란!$C$30=2,IF(AND(OR(입력란!$C$9=1,입력란!$C$10=1),MID($E292,5,1)&lt;&gt;"1"),60,20),IF(입력란!$C$30=3,IF(AND(OR(입력란!$C$9=1,입력란!$C$10=1),MID($E292,5,1)&lt;&gt;"1"),65,22),0))))/100-1))</f>
        <v>0</v>
      </c>
      <c r="O292" s="21"/>
      <c r="P292" s="21"/>
      <c r="Q292" s="105">
        <f>Z292*(1+IF($AK292+IF(입력란!$C$26=1,10,0)&gt;100,100,$AK292+IF(입력란!$C$26=1,10,0))/100*(($AL292+IF(입력란!$C$30=1,17,IF(입력란!$C$30=2,20,IF(입력란!$C$30=3,22,0))))/100-1))</f>
        <v>0</v>
      </c>
      <c r="R292" s="19">
        <f>SUM(S292:Z292)</f>
        <v>2294259.8305661669</v>
      </c>
      <c r="S292" s="21">
        <f>IF(MID($E292,5,1)="1",IF(MID($E292,3,1)="1",$AN292*트라이포드!$P$18*5,IF(MID($E292,3,1)="2",$AN292*트라이포드!$P$18*4,IF(MID($E292,3,1)="3",$AN292*트라이포드!$P$18*4,$AN292))),$AN292)*IF(MID($E292,3,1)="1",IF(MID($E292,5,1)="1",트라이포드!$J$18,트라이포드!$I$18),1)*IF(MID($E292,3,1)="2",트라이포드!$K$18,1)*IF(MID($E292,3,1)="3",트라이포드!$M$18,1)*IF(MID($E292,5,1)="2",트라이포드!$R$18,1)*(1+입력란!$P$17/100)*IF(AND(입력란!$C$9=1,MID($E292,5,1)&lt;&gt;"1"),IF(입력란!$C$15=0,1.05,IF(입력란!$C$15=1,1.05*1.05,IF(입력란!$C$15=2,1.05*1.12,IF(입력란!$C$15=3,1.05*1.25)))),1)</f>
        <v>573564.95764154173</v>
      </c>
      <c r="T292" s="21">
        <f>IF(MID($E292,5,1)="1",IF(MID($E292,3,1)="1",$AN292*트라이포드!$P$18*5,IF(MID($E292,3,1)="2",$AN292*트라이포드!$P$18*4,IF(MID($E292,3,1)="3",$AN292*트라이포드!$P$18*4,$AN292))),$AN292)*IF(MID($E292,3,1)="1",IF(MID($E292,5,1)="1",트라이포드!$J$18,트라이포드!$I$18),1)*IF(MID($E292,3,1)="2",트라이포드!$K$18,1)*IF(MID($E292,3,1)="3",트라이포드!$M$18,1)*IF(MID($E292,5,1)="2",트라이포드!$R$18,1)*(1+입력란!$P$17/100)*IF(AND(입력란!$C$9=1,MID($E292,5,1)&lt;&gt;"1"),IF(입력란!$C$15=0,1.05,IF(입력란!$C$15=1,1.05*1.05,IF(입력란!$C$15=2,1.05*1.12,IF(입력란!$C$15=3,1.05*1.25)))),1)</f>
        <v>573564.95764154173</v>
      </c>
      <c r="U292" s="21">
        <f>IF(MID($E292,5,1)="1",IF(MID($E292,3,1)="1",$AN292*트라이포드!$P$18*5,IF(MID($E292,3,1)="2",$AN292*트라이포드!$P$18*4,IF(MID($E292,3,1)="3",$AN292*트라이포드!$P$18*4,$AN292))),$AN292)*IF(MID($E292,3,1)="1",IF(MID($E292,5,1)="1",트라이포드!$J$18,트라이포드!$I$18),1)*IF(MID($E292,3,1)="2",트라이포드!$K$18,1)*IF(MID($E292,3,1)="3",트라이포드!$M$18,1)*IF(MID($E292,5,1)="2",트라이포드!$R$18,1)*(1+입력란!$P$17/100)*IF(AND(입력란!$C$9=1,MID($E292,5,1)&lt;&gt;"1"),IF(입력란!$C$15=0,1.05,IF(입력란!$C$15=1,1.05*1.05,IF(입력란!$C$15=2,1.05*1.12,IF(입력란!$C$15=3,1.05*1.25)))),1)</f>
        <v>573564.95764154173</v>
      </c>
      <c r="V292" s="21">
        <f>IF(MID($E292,5,1)="1",IF(MID($E292,3,1)="1",$AN292*트라이포드!$P$18*5,IF(MID($E292,3,1)="2",$AN292*트라이포드!$P$18*4,IF(MID($E292,3,1)="3",$AN292*트라이포드!$P$18*4,$AN292))),$AN292)*IF(MID($E292,3,1)="1",IF(MID($E292,5,1)="1",트라이포드!$J$18,트라이포드!$I$18),1)*IF(MID($E292,3,1)="2",트라이포드!$K$18,1)*IF(MID($E292,3,1)="3",트라이포드!$M$18,1)*IF(MID($E292,5,1)="2",트라이포드!$R$18,1)*(1+입력란!$P$17/100)*IF(AND(입력란!$C$9=1,MID($E292,5,1)&lt;&gt;"1"),IF(입력란!$C$15=0,1.05,IF(입력란!$C$15=1,1.05*1.05,IF(입력란!$C$15=2,1.05*1.12,IF(입력란!$C$15=3,1.05*1.25)))),1)</f>
        <v>573564.95764154173</v>
      </c>
      <c r="W292" s="21">
        <f>IF(MID($E292,5,1)="1",IF(MID($E292,3,1)="1",$AN292*트라이포드!$P$18*5,IF(MID($E292,3,1)="2",$AN292*트라이포드!$P$18*4,IF(MID($E292,3,1)="3",$AN292*트라이포드!$P$18*4,$AN292))),$AN292)*IF(MID($E292,3,1)="1",IF(MID($E292,5,1)="1",트라이포드!$J$18,트라이포드!$I$18),1)*IF(MID($E292,3,1)="2",트라이포드!$K$18,1)*IF(MID($E292,3,1)="3",트라이포드!$M$18,1)*IF(MID($E292,5,1)="2",트라이포드!$R$18,0)*(1+입력란!$P$17/100)*IF(AND(입력란!$C$9=1,MID($E292,5,1)&lt;&gt;"1"),IF(입력란!$C$15=0,1.05,IF(입력란!$C$15=1,1.05*1.05,IF(입력란!$C$15=2,1.05*1.12,IF(입력란!$C$15=3,1.05*1.25)))),1)</f>
        <v>0</v>
      </c>
      <c r="X292" s="21"/>
      <c r="Y292" s="21"/>
      <c r="Z292" s="20">
        <f>AN292*IF(MID(E292,3,1)="2",트라이포드!$L$18,IF(MID(E292,3,1)="3",트라이포드!$N$18*12*5,0))*IF(입력란!$C$30=1,1.07,IF(입력란!$C$30=2,1.08,IF(입력란!$C$30=3,1.09,1)))</f>
        <v>0</v>
      </c>
      <c r="AA292" s="21">
        <f>SUM(AB292:AI292)</f>
        <v>2294259.8305661669</v>
      </c>
      <c r="AB292" s="21">
        <f>S292*2</f>
        <v>1147129.9152830835</v>
      </c>
      <c r="AC292" s="21">
        <f>T292*2</f>
        <v>1147129.9152830835</v>
      </c>
      <c r="AD292" s="21"/>
      <c r="AE292" s="21"/>
      <c r="AF292" s="21"/>
      <c r="AG292" s="21"/>
      <c r="AH292" s="21"/>
      <c r="AI292" s="20"/>
      <c r="AJ292" s="21">
        <f>AQ292*(1-입력란!$P$10/100)</f>
        <v>35.567196189119997</v>
      </c>
      <c r="AK29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2" s="21">
        <f>입력란!$P$24+IF(입력란!$C$18=1,10,IF(입력란!$C$18=2,25,IF(입력란!$C$18=3,50,0)))+IF(입력란!$C$23&lt;&gt;0,-12)</f>
        <v>200</v>
      </c>
      <c r="AM292" s="21">
        <f>SUM(AN292:AP292)</f>
        <v>252563.48675641272</v>
      </c>
      <c r="AN292" s="21">
        <f>(VLOOKUP(C292,$B$4:$AJ$7,19,FALSE)+VLOOKUP(C292,$B$8:$AJ$11,19,FALSE)*입력란!$P$4)*IF(G292="근접",IF(MID($E292,5,1)="1",입력란!$P$26,입력란!$P$27),입력란!$P$26)*입력란!$P$25/100</f>
        <v>252563.48675641272</v>
      </c>
      <c r="AO292" s="21"/>
      <c r="AP292" s="21"/>
      <c r="AQ292" s="22">
        <v>36</v>
      </c>
    </row>
    <row r="293" spans="2:43" ht="13.5" customHeight="1" x14ac:dyDescent="0.55000000000000004">
      <c r="B293" s="66">
        <v>278</v>
      </c>
      <c r="C293" s="29">
        <v>7</v>
      </c>
      <c r="D293" s="67" t="s">
        <v>454</v>
      </c>
      <c r="E293" s="27" t="s">
        <v>78</v>
      </c>
      <c r="F293" s="29"/>
      <c r="G293" s="29" t="s">
        <v>458</v>
      </c>
      <c r="H293" s="36">
        <f>I293/AJ293</f>
        <v>147812.59138676702</v>
      </c>
      <c r="I293" s="37">
        <f>SUM(J293:Q293)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293,5,1)&lt;&gt;"1"),1.21,1.07),IF(입력란!$C$30=2,IF(AND(OR(입력란!$C$9=1,입력란!$C$10=1),MID($E293,5,1)&lt;&gt;"1"),1.24,1.08),IF(입력란!$C$30=3,IF(AND(OR(입력란!$C$9=1,입력란!$C$10=1),MID($E293,5,1)&lt;&gt;"1"),1.26,1.09),1)))*(1+입력란!$P$22/100)*IF(입력란!$C$31=1,1.12*1.15,IF(입력란!$C$31=2,1.15*1.18,IF(입력란!$C$31=3,1.17*1.2,1)))*IF(입력란!$C$32=1,1.12,IF(입력란!$C$32=2,1.14,IF(입력란!$C$32=3,1.15,1)))</f>
        <v>5257279.4370753709</v>
      </c>
      <c r="J293" s="21">
        <f>S293*(1+IF($AK293+IF(AND(입력란!$C$9=1,MID($E293,5,1)&lt;&gt;"1"),10,0)+IF(입력란!$C$26=1,10,0)&gt;100,100,$AK293+IF(AND(입력란!$C$9=1,MID($E293,5,1)&lt;&gt;"1"),10,0)+IF(입력란!$C$26=1,10,0))/100*(($AL293+IF(입력란!$C$30=1,IF(AND(OR(입력란!$C$9=1,입력란!$C$10=1),MID($E293,5,1)&lt;&gt;"1"),55,17),IF(입력란!$C$30=2,IF(AND(OR(입력란!$C$9=1,입력란!$C$10=1),MID($E293,5,1)&lt;&gt;"1"),60,20),IF(입력란!$C$30=3,IF(AND(OR(입력란!$C$9=1,입력란!$C$10=1),MID($E293,5,1)&lt;&gt;"1"),65,22),0))))/100-1))</f>
        <v>930217.41496715101</v>
      </c>
      <c r="K293" s="21">
        <f>T293*(1+IF($AK293+IF(AND(입력란!$C$9=1,MID($E293,5,1)&lt;&gt;"1"),10,0)+IF(입력란!$C$26=1,10,0)&gt;100,100,$AK293+IF(AND(입력란!$C$9=1,MID($E293,5,1)&lt;&gt;"1"),10,0)+IF(입력란!$C$26=1,10,0))/100*(($AL293+IF(입력란!$C$30=1,IF(AND(OR(입력란!$C$9=1,입력란!$C$10=1),MID($E293,5,1)&lt;&gt;"1"),55,17),IF(입력란!$C$30=2,IF(AND(OR(입력란!$C$9=1,입력란!$C$10=1),MID($E293,5,1)&lt;&gt;"1"),60,20),IF(입력란!$C$30=3,IF(AND(OR(입력란!$C$9=1,입력란!$C$10=1),MID($E293,5,1)&lt;&gt;"1"),65,22),0))))/100-1))</f>
        <v>930217.41496715101</v>
      </c>
      <c r="L293" s="21">
        <f>U293*(1+IF($AK293+IF(AND(입력란!$C$9=1,MID($E293,5,1)&lt;&gt;"1"),10,0)+IF(입력란!$C$26=1,10,0)&gt;100,100,$AK293+IF(AND(입력란!$C$9=1,MID($E293,5,1)&lt;&gt;"1"),10,0)+IF(입력란!$C$26=1,10,0))/100*(($AL293+IF(입력란!$C$30=1,IF(AND(OR(입력란!$C$9=1,입력란!$C$10=1),MID($E293,5,1)&lt;&gt;"1"),55,17),IF(입력란!$C$30=2,IF(AND(OR(입력란!$C$9=1,입력란!$C$10=1),MID($E293,5,1)&lt;&gt;"1"),60,20),IF(입력란!$C$30=3,IF(AND(OR(입력란!$C$9=1,입력란!$C$10=1),MID($E293,5,1)&lt;&gt;"1"),65,22),0))))/100-1))</f>
        <v>930217.41496715101</v>
      </c>
      <c r="M293" s="21">
        <f>V293*(1+IF($AK293+IF(AND(입력란!$C$9=1,MID($E293,5,1)&lt;&gt;"1"),10,0)+IF(입력란!$C$26=1,10,0)&gt;100,100,$AK293+IF(AND(입력란!$C$9=1,MID($E293,5,1)&lt;&gt;"1"),10,0)+IF(입력란!$C$26=1,10,0))/100*(($AL293+IF(입력란!$C$30=1,IF(AND(OR(입력란!$C$9=1,입력란!$C$10=1),MID($E293,5,1)&lt;&gt;"1"),55,17),IF(입력란!$C$30=2,IF(AND(OR(입력란!$C$9=1,입력란!$C$10=1),MID($E293,5,1)&lt;&gt;"1"),60,20),IF(입력란!$C$30=3,IF(AND(OR(입력란!$C$9=1,입력란!$C$10=1),MID($E293,5,1)&lt;&gt;"1"),65,22),0))))/100-1))</f>
        <v>930217.41496715101</v>
      </c>
      <c r="N293" s="21">
        <f>W293*(1+IF($AK293+IF(AND(입력란!$C$9=1,MID($E293,5,1)&lt;&gt;"1"),10,0)+IF(입력란!$C$26=1,10,0)&gt;100,100,$AK293+IF(AND(입력란!$C$9=1,MID($E293,5,1)&lt;&gt;"1"),10,0)+IF(입력란!$C$26=1,10,0))/100*(($AL293+IF(입력란!$C$30=1,IF(AND(OR(입력란!$C$9=1,입력란!$C$10=1),MID($E293,5,1)&lt;&gt;"1"),55,17),IF(입력란!$C$30=2,IF(AND(OR(입력란!$C$9=1,입력란!$C$10=1),MID($E293,5,1)&lt;&gt;"1"),60,20),IF(입력란!$C$30=3,IF(AND(OR(입력란!$C$9=1,입력란!$C$10=1),MID($E293,5,1)&lt;&gt;"1"),65,22),0))))/100-1))</f>
        <v>0</v>
      </c>
      <c r="O293" s="21"/>
      <c r="P293" s="21"/>
      <c r="Q293" s="105">
        <f>Z293*(1+IF($AK293+IF(입력란!$C$26=1,10,0)&gt;100,100,$AK293+IF(입력란!$C$26=1,10,0))/100*(($AL293+IF(입력란!$C$30=1,17,IF(입력란!$C$30=2,20,IF(입력란!$C$30=3,22,0))))/100-1))</f>
        <v>2152.3903228629838</v>
      </c>
      <c r="R293" s="19">
        <f>SUM(S293:Z293)</f>
        <v>2295674.1860920028</v>
      </c>
      <c r="S293" s="21">
        <f>IF(MID($E293,5,1)="1",IF(MID($E293,3,1)="1",$AN293*트라이포드!$P$18*5,IF(MID($E293,3,1)="2",$AN293*트라이포드!$P$18*4,IF(MID($E293,3,1)="3",$AN293*트라이포드!$P$18*4,$AN293))),$AN293)*IF(MID($E293,3,1)="1",IF(MID($E293,5,1)="1",트라이포드!$J$18,트라이포드!$I$18),1)*IF(MID($E293,3,1)="2",트라이포드!$K$18,1)*IF(MID($E293,3,1)="3",트라이포드!$M$18,1)*IF(MID($E293,5,1)="2",트라이포드!$R$18,1)*(1+입력란!$P$17/100)*IF(AND(입력란!$C$9=1,MID($E293,5,1)&lt;&gt;"1"),IF(입력란!$C$15=0,1.05,IF(입력란!$C$15=1,1.05*1.05,IF(입력란!$C$15=2,1.05*1.12,IF(입력란!$C$15=3,1.05*1.25)))),1)</f>
        <v>573564.95764154173</v>
      </c>
      <c r="T293" s="21">
        <f>IF(MID($E293,5,1)="1",IF(MID($E293,3,1)="1",$AN293*트라이포드!$P$18*5,IF(MID($E293,3,1)="2",$AN293*트라이포드!$P$18*4,IF(MID($E293,3,1)="3",$AN293*트라이포드!$P$18*4,$AN293))),$AN293)*IF(MID($E293,3,1)="1",IF(MID($E293,5,1)="1",트라이포드!$J$18,트라이포드!$I$18),1)*IF(MID($E293,3,1)="2",트라이포드!$K$18,1)*IF(MID($E293,3,1)="3",트라이포드!$M$18,1)*IF(MID($E293,5,1)="2",트라이포드!$R$18,1)*(1+입력란!$P$17/100)*IF(AND(입력란!$C$9=1,MID($E293,5,1)&lt;&gt;"1"),IF(입력란!$C$15=0,1.05,IF(입력란!$C$15=1,1.05*1.05,IF(입력란!$C$15=2,1.05*1.12,IF(입력란!$C$15=3,1.05*1.25)))),1)</f>
        <v>573564.95764154173</v>
      </c>
      <c r="U293" s="21">
        <f>IF(MID($E293,5,1)="1",IF(MID($E293,3,1)="1",$AN293*트라이포드!$P$18*5,IF(MID($E293,3,1)="2",$AN293*트라이포드!$P$18*4,IF(MID($E293,3,1)="3",$AN293*트라이포드!$P$18*4,$AN293))),$AN293)*IF(MID($E293,3,1)="1",IF(MID($E293,5,1)="1",트라이포드!$J$18,트라이포드!$I$18),1)*IF(MID($E293,3,1)="2",트라이포드!$K$18,1)*IF(MID($E293,3,1)="3",트라이포드!$M$18,1)*IF(MID($E293,5,1)="2",트라이포드!$R$18,1)*(1+입력란!$P$17/100)*IF(AND(입력란!$C$9=1,MID($E293,5,1)&lt;&gt;"1"),IF(입력란!$C$15=0,1.05,IF(입력란!$C$15=1,1.05*1.05,IF(입력란!$C$15=2,1.05*1.12,IF(입력란!$C$15=3,1.05*1.25)))),1)</f>
        <v>573564.95764154173</v>
      </c>
      <c r="V293" s="21">
        <f>IF(MID($E293,5,1)="1",IF(MID($E293,3,1)="1",$AN293*트라이포드!$P$18*5,IF(MID($E293,3,1)="2",$AN293*트라이포드!$P$18*4,IF(MID($E293,3,1)="3",$AN293*트라이포드!$P$18*4,$AN293))),$AN293)*IF(MID($E293,3,1)="1",IF(MID($E293,5,1)="1",트라이포드!$J$18,트라이포드!$I$18),1)*IF(MID($E293,3,1)="2",트라이포드!$K$18,1)*IF(MID($E293,3,1)="3",트라이포드!$M$18,1)*IF(MID($E293,5,1)="2",트라이포드!$R$18,1)*(1+입력란!$P$17/100)*IF(AND(입력란!$C$9=1,MID($E293,5,1)&lt;&gt;"1"),IF(입력란!$C$15=0,1.05,IF(입력란!$C$15=1,1.05*1.05,IF(입력란!$C$15=2,1.05*1.12,IF(입력란!$C$15=3,1.05*1.25)))),1)</f>
        <v>573564.95764154173</v>
      </c>
      <c r="W293" s="21">
        <f>IF(MID($E293,5,1)="1",IF(MID($E293,3,1)="1",$AN293*트라이포드!$P$18*5,IF(MID($E293,3,1)="2",$AN293*트라이포드!$P$18*4,IF(MID($E293,3,1)="3",$AN293*트라이포드!$P$18*4,$AN293))),$AN293)*IF(MID($E293,3,1)="1",IF(MID($E293,5,1)="1",트라이포드!$J$18,트라이포드!$I$18),1)*IF(MID($E293,3,1)="2",트라이포드!$K$18,1)*IF(MID($E293,3,1)="3",트라이포드!$M$18,1)*IF(MID($E293,5,1)="2",트라이포드!$R$18,0)*(1+입력란!$P$17/100)*IF(AND(입력란!$C$9=1,MID($E293,5,1)&lt;&gt;"1"),IF(입력란!$C$15=0,1.05,IF(입력란!$C$15=1,1.05*1.05,IF(입력란!$C$15=2,1.05*1.12,IF(입력란!$C$15=3,1.05*1.25)))),1)</f>
        <v>0</v>
      </c>
      <c r="X293" s="21"/>
      <c r="Y293" s="21"/>
      <c r="Z293" s="20">
        <f>AN293*IF(MID(E293,3,1)="2",트라이포드!$L$18,IF(MID(E293,3,1)="3",트라이포드!$N$18*12*5,0))*IF(입력란!$C$30=1,1.07,IF(입력란!$C$30=2,1.08,IF(입력란!$C$30=3,1.09,1)))</f>
        <v>1414.3555258359113</v>
      </c>
      <c r="AA293" s="21">
        <f>SUM(AB293:AI293)</f>
        <v>2294259.8305661669</v>
      </c>
      <c r="AB293" s="21">
        <f>S293*2</f>
        <v>1147129.9152830835</v>
      </c>
      <c r="AC293" s="21">
        <f>T293*2</f>
        <v>1147129.9152830835</v>
      </c>
      <c r="AD293" s="21"/>
      <c r="AE293" s="21"/>
      <c r="AF293" s="21"/>
      <c r="AG293" s="21"/>
      <c r="AH293" s="21"/>
      <c r="AI293" s="20"/>
      <c r="AJ293" s="21">
        <f>AQ293*(1-입력란!$P$10/100)</f>
        <v>35.567196189119997</v>
      </c>
      <c r="AK29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3" s="21">
        <f>입력란!$P$24+IF(입력란!$C$18=1,10,IF(입력란!$C$18=2,25,IF(입력란!$C$18=3,50,0)))+IF(입력란!$C$23&lt;&gt;0,-12)</f>
        <v>200</v>
      </c>
      <c r="AM293" s="21">
        <f>SUM(AN293:AP293)</f>
        <v>252563.48675641272</v>
      </c>
      <c r="AN293" s="21">
        <f>(VLOOKUP(C293,$B$4:$AJ$7,19,FALSE)+VLOOKUP(C293,$B$8:$AJ$11,19,FALSE)*입력란!$P$4)*IF(G293="근접",IF(MID($E293,5,1)="1",입력란!$P$26,입력란!$P$27),입력란!$P$26)*입력란!$P$25/100</f>
        <v>252563.48675641272</v>
      </c>
      <c r="AO293" s="21"/>
      <c r="AP293" s="21"/>
      <c r="AQ293" s="22">
        <v>36</v>
      </c>
    </row>
    <row r="294" spans="2:43" ht="13.5" customHeight="1" x14ac:dyDescent="0.55000000000000004">
      <c r="B294" s="66">
        <v>279</v>
      </c>
      <c r="C294" s="29">
        <v>7</v>
      </c>
      <c r="D294" s="67" t="s">
        <v>454</v>
      </c>
      <c r="E294" s="27" t="s">
        <v>79</v>
      </c>
      <c r="F294" s="29"/>
      <c r="G294" s="29" t="s">
        <v>458</v>
      </c>
      <c r="H294" s="36">
        <f>I294/AJ294</f>
        <v>111325.1416000607</v>
      </c>
      <c r="I294" s="37">
        <f>SUM(J294:Q294)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294,5,1)&lt;&gt;"1"),1.21,1.07),IF(입력란!$C$30=2,IF(AND(OR(입력란!$C$9=1,입력란!$C$10=1),MID($E294,5,1)&lt;&gt;"1"),1.24,1.08),IF(입력란!$C$30=3,IF(AND(OR(입력란!$C$9=1,입력란!$C$10=1),MID($E294,5,1)&lt;&gt;"1"),1.26,1.09),1)))*(1+입력란!$P$22/100)*IF(입력란!$C$31=1,1.12*1.15,IF(입력란!$C$31=2,1.15*1.18,IF(입력란!$C$31=3,1.17*1.2,1)))*IF(입력란!$C$32=1,1.12,IF(입력란!$C$32=2,1.14,IF(입력란!$C$32=3,1.15,1)))</f>
        <v>3959523.1520709228</v>
      </c>
      <c r="J294" s="21">
        <f>S294*(1+IF($AK294+IF(AND(입력란!$C$9=1,MID($E294,5,1)&lt;&gt;"1"),10,0)+IF(입력란!$C$26=1,10,0)&gt;100,100,$AK294+IF(AND(입력란!$C$9=1,MID($E294,5,1)&lt;&gt;"1"),10,0)+IF(입력란!$C$26=1,10,0))/100*(($AL294+IF(입력란!$C$30=1,IF(AND(OR(입력란!$C$9=1,입력란!$C$10=1),MID($E294,5,1)&lt;&gt;"1"),55,17),IF(입력란!$C$30=2,IF(AND(OR(입력란!$C$9=1,입력란!$C$10=1),MID($E294,5,1)&lt;&gt;"1"),60,20),IF(입력란!$C$30=3,IF(AND(OR(입력란!$C$9=1,입력란!$C$10=1),MID($E294,5,1)&lt;&gt;"1"),65,22),0))))/100-1))</f>
        <v>585692.44646079873</v>
      </c>
      <c r="K294" s="21">
        <f>T294*(1+IF($AK294+IF(AND(입력란!$C$9=1,MID($E294,5,1)&lt;&gt;"1"),10,0)+IF(입력란!$C$26=1,10,0)&gt;100,100,$AK294+IF(AND(입력란!$C$9=1,MID($E294,5,1)&lt;&gt;"1"),10,0)+IF(입력란!$C$26=1,10,0))/100*(($AL294+IF(입력란!$C$30=1,IF(AND(OR(입력란!$C$9=1,입력란!$C$10=1),MID($E294,5,1)&lt;&gt;"1"),55,17),IF(입력란!$C$30=2,IF(AND(OR(입력란!$C$9=1,입력란!$C$10=1),MID($E294,5,1)&lt;&gt;"1"),60,20),IF(입력란!$C$30=3,IF(AND(OR(입력란!$C$9=1,입력란!$C$10=1),MID($E294,5,1)&lt;&gt;"1"),65,22),0))))/100-1))</f>
        <v>585692.44646079873</v>
      </c>
      <c r="L294" s="21">
        <f>U294*(1+IF($AK294+IF(AND(입력란!$C$9=1,MID($E294,5,1)&lt;&gt;"1"),10,0)+IF(입력란!$C$26=1,10,0)&gt;100,100,$AK294+IF(AND(입력란!$C$9=1,MID($E294,5,1)&lt;&gt;"1"),10,0)+IF(입력란!$C$26=1,10,0))/100*(($AL294+IF(입력란!$C$30=1,IF(AND(OR(입력란!$C$9=1,입력란!$C$10=1),MID($E294,5,1)&lt;&gt;"1"),55,17),IF(입력란!$C$30=2,IF(AND(OR(입력란!$C$9=1,입력란!$C$10=1),MID($E294,5,1)&lt;&gt;"1"),60,20),IF(입력란!$C$30=3,IF(AND(OR(입력란!$C$9=1,입력란!$C$10=1),MID($E294,5,1)&lt;&gt;"1"),65,22),0))))/100-1))</f>
        <v>585692.44646079873</v>
      </c>
      <c r="M294" s="21">
        <f>V294*(1+IF($AK294+IF(AND(입력란!$C$9=1,MID($E294,5,1)&lt;&gt;"1"),10,0)+IF(입력란!$C$26=1,10,0)&gt;100,100,$AK294+IF(AND(입력란!$C$9=1,MID($E294,5,1)&lt;&gt;"1"),10,0)+IF(입력란!$C$26=1,10,0))/100*(($AL294+IF(입력란!$C$30=1,IF(AND(OR(입력란!$C$9=1,입력란!$C$10=1),MID($E294,5,1)&lt;&gt;"1"),55,17),IF(입력란!$C$30=2,IF(AND(OR(입력란!$C$9=1,입력란!$C$10=1),MID($E294,5,1)&lt;&gt;"1"),60,20),IF(입력란!$C$30=3,IF(AND(OR(입력란!$C$9=1,입력란!$C$10=1),MID($E294,5,1)&lt;&gt;"1"),65,22),0))))/100-1))</f>
        <v>585692.44646079873</v>
      </c>
      <c r="N294" s="21">
        <f>W294*(1+IF($AK294+IF(AND(입력란!$C$9=1,MID($E294,5,1)&lt;&gt;"1"),10,0)+IF(입력란!$C$26=1,10,0)&gt;100,100,$AK294+IF(AND(입력란!$C$9=1,MID($E294,5,1)&lt;&gt;"1"),10,0)+IF(입력란!$C$26=1,10,0))/100*(($AL294+IF(입력란!$C$30=1,IF(AND(OR(입력란!$C$9=1,입력란!$C$10=1),MID($E294,5,1)&lt;&gt;"1"),55,17),IF(입력란!$C$30=2,IF(AND(OR(입력란!$C$9=1,입력란!$C$10=1),MID($E294,5,1)&lt;&gt;"1"),60,20),IF(입력란!$C$30=3,IF(AND(OR(입력란!$C$9=1,입력란!$C$10=1),MID($E294,5,1)&lt;&gt;"1"),65,22),0))))/100-1))</f>
        <v>0</v>
      </c>
      <c r="O294" s="21"/>
      <c r="P294" s="21"/>
      <c r="Q294" s="105">
        <f>Z294*(1+IF($AK294+IF(입력란!$C$26=1,10,0)&gt;100,100,$AK294+IF(입력란!$C$26=1,10,0))/100*(($AL294+IF(입력란!$C$30=1,17,IF(입력란!$C$30=2,20,IF(입력란!$C$30=3,22,0))))/100-1))</f>
        <v>461226.49775635364</v>
      </c>
      <c r="R294" s="19">
        <f>SUM(S294:Z294)</f>
        <v>1747610.1515012076</v>
      </c>
      <c r="S294" s="21">
        <f>IF(MID($E294,5,1)="1",IF(MID($E294,3,1)="1",$AN294*트라이포드!$P$18*5,IF(MID($E294,3,1)="2",$AN294*트라이포드!$P$18*4,IF(MID($E294,3,1)="3",$AN294*트라이포드!$P$18*4,$AN294))),$AN294)*IF(MID($E294,3,1)="1",IF(MID($E294,5,1)="1",트라이포드!$J$18,트라이포드!$I$18),1)*IF(MID($E294,3,1)="2",트라이포드!$K$18,1)*IF(MID($E294,3,1)="3",트라이포드!$M$18,1)*IF(MID($E294,5,1)="2",트라이포드!$R$18,1)*(1+입력란!$P$17/100)*IF(AND(입력란!$C$9=1,MID($E294,5,1)&lt;&gt;"1"),IF(입력란!$C$15=0,1.05,IF(입력란!$C$15=1,1.05*1.05,IF(입력란!$C$15=2,1.05*1.12,IF(입력란!$C$15=3,1.05*1.25)))),1)</f>
        <v>361133.49184837809</v>
      </c>
      <c r="T294" s="21">
        <f>IF(MID($E294,5,1)="1",IF(MID($E294,3,1)="1",$AN294*트라이포드!$P$18*5,IF(MID($E294,3,1)="2",$AN294*트라이포드!$P$18*4,IF(MID($E294,3,1)="3",$AN294*트라이포드!$P$18*4,$AN294))),$AN294)*IF(MID($E294,3,1)="1",IF(MID($E294,5,1)="1",트라이포드!$J$18,트라이포드!$I$18),1)*IF(MID($E294,3,1)="2",트라이포드!$K$18,1)*IF(MID($E294,3,1)="3",트라이포드!$M$18,1)*IF(MID($E294,5,1)="2",트라이포드!$R$18,1)*(1+입력란!$P$17/100)*IF(AND(입력란!$C$9=1,MID($E294,5,1)&lt;&gt;"1"),IF(입력란!$C$15=0,1.05,IF(입력란!$C$15=1,1.05*1.05,IF(입력란!$C$15=2,1.05*1.12,IF(입력란!$C$15=3,1.05*1.25)))),1)</f>
        <v>361133.49184837809</v>
      </c>
      <c r="U294" s="21">
        <f>IF(MID($E294,5,1)="1",IF(MID($E294,3,1)="1",$AN294*트라이포드!$P$18*5,IF(MID($E294,3,1)="2",$AN294*트라이포드!$P$18*4,IF(MID($E294,3,1)="3",$AN294*트라이포드!$P$18*4,$AN294))),$AN294)*IF(MID($E294,3,1)="1",IF(MID($E294,5,1)="1",트라이포드!$J$18,트라이포드!$I$18),1)*IF(MID($E294,3,1)="2",트라이포드!$K$18,1)*IF(MID($E294,3,1)="3",트라이포드!$M$18,1)*IF(MID($E294,5,1)="2",트라이포드!$R$18,1)*(1+입력란!$P$17/100)*IF(AND(입력란!$C$9=1,MID($E294,5,1)&lt;&gt;"1"),IF(입력란!$C$15=0,1.05,IF(입력란!$C$15=1,1.05*1.05,IF(입력란!$C$15=2,1.05*1.12,IF(입력란!$C$15=3,1.05*1.25)))),1)</f>
        <v>361133.49184837809</v>
      </c>
      <c r="V294" s="21">
        <f>IF(MID($E294,5,1)="1",IF(MID($E294,3,1)="1",$AN294*트라이포드!$P$18*5,IF(MID($E294,3,1)="2",$AN294*트라이포드!$P$18*4,IF(MID($E294,3,1)="3",$AN294*트라이포드!$P$18*4,$AN294))),$AN294)*IF(MID($E294,3,1)="1",IF(MID($E294,5,1)="1",트라이포드!$J$18,트라이포드!$I$18),1)*IF(MID($E294,3,1)="2",트라이포드!$K$18,1)*IF(MID($E294,3,1)="3",트라이포드!$M$18,1)*IF(MID($E294,5,1)="2",트라이포드!$R$18,1)*(1+입력란!$P$17/100)*IF(AND(입력란!$C$9=1,MID($E294,5,1)&lt;&gt;"1"),IF(입력란!$C$15=0,1.05,IF(입력란!$C$15=1,1.05*1.05,IF(입력란!$C$15=2,1.05*1.12,IF(입력란!$C$15=3,1.05*1.25)))),1)</f>
        <v>361133.49184837809</v>
      </c>
      <c r="W294" s="21">
        <f>IF(MID($E294,5,1)="1",IF(MID($E294,3,1)="1",$AN294*트라이포드!$P$18*5,IF(MID($E294,3,1)="2",$AN294*트라이포드!$P$18*4,IF(MID($E294,3,1)="3",$AN294*트라이포드!$P$18*4,$AN294))),$AN294)*IF(MID($E294,3,1)="1",IF(MID($E294,5,1)="1",트라이포드!$J$18,트라이포드!$I$18),1)*IF(MID($E294,3,1)="2",트라이포드!$K$18,1)*IF(MID($E294,3,1)="3",트라이포드!$M$18,1)*IF(MID($E294,5,1)="2",트라이포드!$R$18,0)*(1+입력란!$P$17/100)*IF(AND(입력란!$C$9=1,MID($E294,5,1)&lt;&gt;"1"),IF(입력란!$C$15=0,1.05,IF(입력란!$C$15=1,1.05*1.05,IF(입력란!$C$15=2,1.05*1.12,IF(입력란!$C$15=3,1.05*1.25)))),1)</f>
        <v>0</v>
      </c>
      <c r="X294" s="21"/>
      <c r="Y294" s="21"/>
      <c r="Z294" s="20">
        <f>AN294*IF(MID(E294,3,1)="2",트라이포드!$L$18,IF(MID(E294,3,1)="3",트라이포드!$N$18*12*5,0))*IF(입력란!$C$30=1,1.07,IF(입력란!$C$30=2,1.08,IF(입력란!$C$30=3,1.09,1)))</f>
        <v>303076.18410769524</v>
      </c>
      <c r="AA294" s="21">
        <f>SUM(AB294:AI294)</f>
        <v>1444533.9673935124</v>
      </c>
      <c r="AB294" s="21">
        <f>S294*2</f>
        <v>722266.98369675619</v>
      </c>
      <c r="AC294" s="21">
        <f>T294*2</f>
        <v>722266.98369675619</v>
      </c>
      <c r="AD294" s="21"/>
      <c r="AE294" s="21"/>
      <c r="AF294" s="21"/>
      <c r="AG294" s="21"/>
      <c r="AH294" s="21"/>
      <c r="AI294" s="20"/>
      <c r="AJ294" s="21">
        <f>AQ294*(1-입력란!$P$10/100)</f>
        <v>35.567196189119997</v>
      </c>
      <c r="AK29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4" s="21">
        <f>입력란!$P$24+IF(입력란!$C$18=1,10,IF(입력란!$C$18=2,25,IF(입력란!$C$18=3,50,0)))+IF(입력란!$C$23&lt;&gt;0,-12)</f>
        <v>200</v>
      </c>
      <c r="AM294" s="21">
        <f>SUM(AN294:AP294)</f>
        <v>252563.48675641272</v>
      </c>
      <c r="AN294" s="21">
        <f>(VLOOKUP(C294,$B$4:$AJ$7,19,FALSE)+VLOOKUP(C294,$B$8:$AJ$11,19,FALSE)*입력란!$P$4)*IF(G294="근접",IF(MID($E294,5,1)="1",입력란!$P$26,입력란!$P$27),입력란!$P$26)*입력란!$P$25/100</f>
        <v>252563.48675641272</v>
      </c>
      <c r="AO294" s="21"/>
      <c r="AP294" s="21"/>
      <c r="AQ294" s="22">
        <v>36</v>
      </c>
    </row>
    <row r="295" spans="2:43" ht="13.5" customHeight="1" x14ac:dyDescent="0.55000000000000004">
      <c r="B295" s="66">
        <v>280</v>
      </c>
      <c r="C295" s="29">
        <v>10</v>
      </c>
      <c r="D295" s="67" t="s">
        <v>454</v>
      </c>
      <c r="E295" s="27" t="s">
        <v>76</v>
      </c>
      <c r="F295" s="29"/>
      <c r="G295" s="29" t="s">
        <v>458</v>
      </c>
      <c r="H295" s="36">
        <f>I295/AJ295</f>
        <v>109469.79541754737</v>
      </c>
      <c r="I295" s="37">
        <f>SUM(J295:Q295)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295,5,1)&lt;&gt;"1"),1.21,1.07),IF(입력란!$C$30=2,IF(AND(OR(입력란!$C$9=1,입력란!$C$10=1),MID($E295,5,1)&lt;&gt;"1"),1.24,1.08),IF(입력란!$C$30=3,IF(AND(OR(입력란!$C$9=1,입력란!$C$10=1),MID($E295,5,1)&lt;&gt;"1"),1.26,1.09),1)))*(1+입력란!$P$22/100)*IF(입력란!$C$31=1,1.12*1.15,IF(입력란!$C$31=2,1.15*1.18,IF(입력란!$C$31=3,1.17*1.2,1)))*IF(입력란!$C$32=1,1.12,IF(입력란!$C$32=2,1.14,IF(입력란!$C$32=3,1.15,1)))</f>
        <v>3893533.6903987364</v>
      </c>
      <c r="J295" s="21">
        <f>S295*(1+IF($AK295+IF(AND(입력란!$C$9=1,MID($E295,5,1)&lt;&gt;"1"),10,0)+IF(입력란!$C$26=1,10,0)&gt;100,100,$AK295+IF(AND(입력란!$C$9=1,MID($E295,5,1)&lt;&gt;"1"),10,0)+IF(입력란!$C$26=1,10,0))/100*(($AL295+IF(입력란!$C$30=1,IF(AND(OR(입력란!$C$9=1,입력란!$C$10=1),MID($E295,5,1)&lt;&gt;"1"),55,17),IF(입력란!$C$30=2,IF(AND(OR(입력란!$C$9=1,입력란!$C$10=1),MID($E295,5,1)&lt;&gt;"1"),60,20),IF(입력란!$C$30=3,IF(AND(OR(입력란!$C$9=1,입력란!$C$10=1),MID($E295,5,1)&lt;&gt;"1"),65,22),0))))/100-1))</f>
        <v>689316.21174115431</v>
      </c>
      <c r="K295" s="21">
        <f>T295*(1+IF($AK295+IF(AND(입력란!$C$9=1,MID($E295,5,1)&lt;&gt;"1"),10,0)+IF(입력란!$C$26=1,10,0)&gt;100,100,$AK295+IF(AND(입력란!$C$9=1,MID($E295,5,1)&lt;&gt;"1"),10,0)+IF(입력란!$C$26=1,10,0))/100*(($AL295+IF(입력란!$C$30=1,IF(AND(OR(입력란!$C$9=1,입력란!$C$10=1),MID($E295,5,1)&lt;&gt;"1"),55,17),IF(입력란!$C$30=2,IF(AND(OR(입력란!$C$9=1,입력란!$C$10=1),MID($E295,5,1)&lt;&gt;"1"),60,20),IF(입력란!$C$30=3,IF(AND(OR(입력란!$C$9=1,입력란!$C$10=1),MID($E295,5,1)&lt;&gt;"1"),65,22),0))))/100-1))</f>
        <v>689316.21174115431</v>
      </c>
      <c r="L295" s="21">
        <f>U295*(1+IF($AK295+IF(AND(입력란!$C$9=1,MID($E295,5,1)&lt;&gt;"1"),10,0)+IF(입력란!$C$26=1,10,0)&gt;100,100,$AK295+IF(AND(입력란!$C$9=1,MID($E295,5,1)&lt;&gt;"1"),10,0)+IF(입력란!$C$26=1,10,0))/100*(($AL295+IF(입력란!$C$30=1,IF(AND(OR(입력란!$C$9=1,입력란!$C$10=1),MID($E295,5,1)&lt;&gt;"1"),55,17),IF(입력란!$C$30=2,IF(AND(OR(입력란!$C$9=1,입력란!$C$10=1),MID($E295,5,1)&lt;&gt;"1"),60,20),IF(입력란!$C$30=3,IF(AND(OR(입력란!$C$9=1,입력란!$C$10=1),MID($E295,5,1)&lt;&gt;"1"),65,22),0))))/100-1))</f>
        <v>689316.21174115431</v>
      </c>
      <c r="M295" s="21">
        <f>V295*(1+IF($AK295+IF(AND(입력란!$C$9=1,MID($E295,5,1)&lt;&gt;"1"),10,0)+IF(입력란!$C$26=1,10,0)&gt;100,100,$AK295+IF(AND(입력란!$C$9=1,MID($E295,5,1)&lt;&gt;"1"),10,0)+IF(입력란!$C$26=1,10,0))/100*(($AL295+IF(입력란!$C$30=1,IF(AND(OR(입력란!$C$9=1,입력란!$C$10=1),MID($E295,5,1)&lt;&gt;"1"),55,17),IF(입력란!$C$30=2,IF(AND(OR(입력란!$C$9=1,입력란!$C$10=1),MID($E295,5,1)&lt;&gt;"1"),60,20),IF(입력란!$C$30=3,IF(AND(OR(입력란!$C$9=1,입력란!$C$10=1),MID($E295,5,1)&lt;&gt;"1"),65,22),0))))/100-1))</f>
        <v>689316.21174115431</v>
      </c>
      <c r="N295" s="21">
        <f>W295*(1+IF($AK295+IF(AND(입력란!$C$9=1,MID($E295,5,1)&lt;&gt;"1"),10,0)+IF(입력란!$C$26=1,10,0)&gt;100,100,$AK295+IF(AND(입력란!$C$9=1,MID($E295,5,1)&lt;&gt;"1"),10,0)+IF(입력란!$C$26=1,10,0))/100*(($AL295+IF(입력란!$C$30=1,IF(AND(OR(입력란!$C$9=1,입력란!$C$10=1),MID($E295,5,1)&lt;&gt;"1"),55,17),IF(입력란!$C$30=2,IF(AND(OR(입력란!$C$9=1,입력란!$C$10=1),MID($E295,5,1)&lt;&gt;"1"),60,20),IF(입력란!$C$30=3,IF(AND(OR(입력란!$C$9=1,입력란!$C$10=1),MID($E295,5,1)&lt;&gt;"1"),65,22),0))))/100-1))</f>
        <v>0</v>
      </c>
      <c r="O295" s="21"/>
      <c r="P295" s="21"/>
      <c r="Q295" s="105">
        <f>Z295*(1+IF($AK295+IF(입력란!$C$26=1,10,0)&gt;100,100,$AK295+IF(입력란!$C$26=1,10,0))/100*(($AL295+IF(입력란!$C$30=1,17,IF(입력란!$C$30=2,20,IF(입력란!$C$30=3,22,0))))/100-1))</f>
        <v>0</v>
      </c>
      <c r="R295" s="19">
        <f>SUM(S295:Z295)</f>
        <v>1700108.4582055686</v>
      </c>
      <c r="S295" s="21">
        <f>IF(MID($E295,5,1)="1",IF(MID($E295,3,1)="1",$AN295*트라이포드!$P$18*5,IF(MID($E295,3,1)="2",$AN295*트라이포드!$P$18*4,IF(MID($E295,3,1)="3",$AN295*트라이포드!$P$18*4,$AN295))),$AN295)*IF(MID($E295,3,1)="1",IF(MID($E295,5,1)="1",트라이포드!$J$18,트라이포드!$I$18),1)*IF(MID($E295,3,1)="2",트라이포드!$K$18,1)*IF(MID($E295,3,1)="3",트라이포드!$M$18,1)*IF(MID($E295,5,1)="2",트라이포드!$R$18,1)*(1+입력란!$P$17/100)*IF(AND(입력란!$C$9=1,MID($E295,5,1)&lt;&gt;"1"),IF(입력란!$C$15=0,1.05,IF(입력란!$C$15=1,1.05*1.05,IF(입력란!$C$15=2,1.05*1.12,IF(입력란!$C$15=3,1.05*1.25)))),1)</f>
        <v>425027.11455139215</v>
      </c>
      <c r="T295" s="21">
        <f>IF(MID($E295,5,1)="1",IF(MID($E295,3,1)="1",$AN295*트라이포드!$P$18*5,IF(MID($E295,3,1)="2",$AN295*트라이포드!$P$18*4,IF(MID($E295,3,1)="3",$AN295*트라이포드!$P$18*4,$AN295))),$AN295)*IF(MID($E295,3,1)="1",IF(MID($E295,5,1)="1",트라이포드!$J$18,트라이포드!$I$18),1)*IF(MID($E295,3,1)="2",트라이포드!$K$18,1)*IF(MID($E295,3,1)="3",트라이포드!$M$18,1)*IF(MID($E295,5,1)="2",트라이포드!$R$18,1)*(1+입력란!$P$17/100)*IF(AND(입력란!$C$9=1,MID($E295,5,1)&lt;&gt;"1"),IF(입력란!$C$15=0,1.05,IF(입력란!$C$15=1,1.05*1.05,IF(입력란!$C$15=2,1.05*1.12,IF(입력란!$C$15=3,1.05*1.25)))),1)</f>
        <v>425027.11455139215</v>
      </c>
      <c r="U295" s="21">
        <f>IF(MID($E295,5,1)="1",IF(MID($E295,3,1)="1",$AN295*트라이포드!$P$18*5,IF(MID($E295,3,1)="2",$AN295*트라이포드!$P$18*4,IF(MID($E295,3,1)="3",$AN295*트라이포드!$P$18*4,$AN295))),$AN295)*IF(MID($E295,3,1)="1",IF(MID($E295,5,1)="1",트라이포드!$J$18,트라이포드!$I$18),1)*IF(MID($E295,3,1)="2",트라이포드!$K$18,1)*IF(MID($E295,3,1)="3",트라이포드!$M$18,1)*IF(MID($E295,5,1)="2",트라이포드!$R$18,1)*(1+입력란!$P$17/100)*IF(AND(입력란!$C$9=1,MID($E295,5,1)&lt;&gt;"1"),IF(입력란!$C$15=0,1.05,IF(입력란!$C$15=1,1.05*1.05,IF(입력란!$C$15=2,1.05*1.12,IF(입력란!$C$15=3,1.05*1.25)))),1)</f>
        <v>425027.11455139215</v>
      </c>
      <c r="V295" s="21">
        <f>IF(MID($E295,5,1)="1",IF(MID($E295,3,1)="1",$AN295*트라이포드!$P$18*5,IF(MID($E295,3,1)="2",$AN295*트라이포드!$P$18*4,IF(MID($E295,3,1)="3",$AN295*트라이포드!$P$18*4,$AN295))),$AN295)*IF(MID($E295,3,1)="1",IF(MID($E295,5,1)="1",트라이포드!$J$18,트라이포드!$I$18),1)*IF(MID($E295,3,1)="2",트라이포드!$K$18,1)*IF(MID($E295,3,1)="3",트라이포드!$M$18,1)*IF(MID($E295,5,1)="2",트라이포드!$R$18,1)*(1+입력란!$P$17/100)*IF(AND(입력란!$C$9=1,MID($E295,5,1)&lt;&gt;"1"),IF(입력란!$C$15=0,1.05,IF(입력란!$C$15=1,1.05*1.05,IF(입력란!$C$15=2,1.05*1.12,IF(입력란!$C$15=3,1.05*1.25)))),1)</f>
        <v>425027.11455139215</v>
      </c>
      <c r="W295" s="21">
        <f>IF(MID($E295,5,1)="1",IF(MID($E295,3,1)="1",$AN295*트라이포드!$P$18*5,IF(MID($E295,3,1)="2",$AN295*트라이포드!$P$18*4,IF(MID($E295,3,1)="3",$AN295*트라이포드!$P$18*4,$AN295))),$AN295)*IF(MID($E295,3,1)="1",IF(MID($E295,5,1)="1",트라이포드!$J$18,트라이포드!$I$18),1)*IF(MID($E295,3,1)="2",트라이포드!$K$18,1)*IF(MID($E295,3,1)="3",트라이포드!$M$18,1)*IF(MID($E295,5,1)="2",트라이포드!$R$18,0)*(1+입력란!$P$17/100)*IF(AND(입력란!$C$9=1,MID($E295,5,1)&lt;&gt;"1"),IF(입력란!$C$15=0,1.05,IF(입력란!$C$15=1,1.05*1.05,IF(입력란!$C$15=2,1.05*1.12,IF(입력란!$C$15=3,1.05*1.25)))),1)</f>
        <v>0</v>
      </c>
      <c r="X295" s="21"/>
      <c r="Y295" s="21"/>
      <c r="Z295" s="20">
        <f>AN295*IF(MID(E295,3,1)="2",트라이포드!$L$18,IF(MID(E295,3,1)="3",트라이포드!$N$18*12*5,0))*IF(입력란!$C$30=1,1.07,IF(입력란!$C$30=2,1.08,IF(입력란!$C$30=3,1.09,1)))</f>
        <v>0</v>
      </c>
      <c r="AA295" s="21">
        <f>SUM(AB295:AI295)</f>
        <v>1700108.4582055686</v>
      </c>
      <c r="AB295" s="21">
        <f>S295*2</f>
        <v>850054.2291027843</v>
      </c>
      <c r="AC295" s="21">
        <f>T295*2</f>
        <v>850054.2291027843</v>
      </c>
      <c r="AD295" s="21"/>
      <c r="AE295" s="21"/>
      <c r="AF295" s="21"/>
      <c r="AG295" s="21"/>
      <c r="AH295" s="21"/>
      <c r="AI295" s="20"/>
      <c r="AJ295" s="21">
        <f>AQ295*(1-입력란!$P$10/100)</f>
        <v>35.567196189119997</v>
      </c>
      <c r="AK29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5" s="21">
        <f>입력란!$P$24+IF(입력란!$C$18=1,10,IF(입력란!$C$18=2,25,IF(입력란!$C$18=3,50,0)))+IF(입력란!$C$23&lt;&gt;0,-12)</f>
        <v>200</v>
      </c>
      <c r="AM295" s="21">
        <f>SUM(AN295:AP295)</f>
        <v>252661.08675641273</v>
      </c>
      <c r="AN295" s="21">
        <f>(VLOOKUP(C295,$B$4:$AJ$7,19,FALSE)+VLOOKUP(C295,$B$8:$AJ$11,19,FALSE)*입력란!$P$4)*IF(G295="근접",IF(MID($E295,5,1)="1",입력란!$P$26,입력란!$P$27),입력란!$P$26)*입력란!$P$25/100</f>
        <v>252661.08675641273</v>
      </c>
      <c r="AO295" s="21"/>
      <c r="AP295" s="21"/>
      <c r="AQ295" s="22">
        <v>36</v>
      </c>
    </row>
    <row r="296" spans="2:43" ht="13.5" customHeight="1" x14ac:dyDescent="0.55000000000000004">
      <c r="B296" s="66">
        <v>281</v>
      </c>
      <c r="C296" s="29">
        <v>10</v>
      </c>
      <c r="D296" s="67" t="s">
        <v>454</v>
      </c>
      <c r="E296" s="27" t="s">
        <v>121</v>
      </c>
      <c r="F296" s="29"/>
      <c r="G296" s="29" t="s">
        <v>458</v>
      </c>
      <c r="H296" s="36">
        <f>I296/AJ296</f>
        <v>48914.272091100167</v>
      </c>
      <c r="I296" s="37">
        <f>SUM(J296:Q296)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296,5,1)&lt;&gt;"1"),1.21,1.07),IF(입력란!$C$30=2,IF(AND(OR(입력란!$C$9=1,입력란!$C$10=1),MID($E296,5,1)&lt;&gt;"1"),1.24,1.08),IF(입력란!$C$30=3,IF(AND(OR(입력란!$C$9=1,입력란!$C$10=1),MID($E296,5,1)&lt;&gt;"1"),1.26,1.09),1)))*(1+입력란!$P$22/100)*IF(입력란!$C$31=1,1.12*1.15,IF(입력란!$C$31=2,1.15*1.18,IF(입력란!$C$31=3,1.17*1.2,1)))*IF(입력란!$C$32=1,1.12,IF(입력란!$C$32=2,1.14,IF(입력란!$C$32=3,1.15,1)))</f>
        <v>1739743.5119121566</v>
      </c>
      <c r="J296" s="21">
        <f>S296*(1+IF($AK296+IF(AND(입력란!$C$9=1,MID($E296,5,1)&lt;&gt;"1"),10,0)+IF(입력란!$C$26=1,10,0)&gt;100,100,$AK296+IF(AND(입력란!$C$9=1,MID($E296,5,1)&lt;&gt;"1"),10,0)+IF(입력란!$C$26=1,10,0))/100*(($AL296+IF(입력란!$C$30=1,IF(AND(OR(입력란!$C$9=1,입력란!$C$10=1),MID($E296,5,1)&lt;&gt;"1"),55,17),IF(입력란!$C$30=2,IF(AND(OR(입력란!$C$9=1,입력란!$C$10=1),MID($E296,5,1)&lt;&gt;"1"),60,20),IF(입력란!$C$30=3,IF(AND(OR(입력란!$C$9=1,입력란!$C$10=1),MID($E296,5,1)&lt;&gt;"1"),65,22),0))))/100-1))</f>
        <v>308006.4287076263</v>
      </c>
      <c r="K296" s="21">
        <f>T296*(1+IF($AK296+IF(AND(입력란!$C$9=1,MID($E296,5,1)&lt;&gt;"1"),10,0)+IF(입력란!$C$26=1,10,0)&gt;100,100,$AK296+IF(AND(입력란!$C$9=1,MID($E296,5,1)&lt;&gt;"1"),10,0)+IF(입력란!$C$26=1,10,0))/100*(($AL296+IF(입력란!$C$30=1,IF(AND(OR(입력란!$C$9=1,입력란!$C$10=1),MID($E296,5,1)&lt;&gt;"1"),55,17),IF(입력란!$C$30=2,IF(AND(OR(입력란!$C$9=1,입력란!$C$10=1),MID($E296,5,1)&lt;&gt;"1"),60,20),IF(입력란!$C$30=3,IF(AND(OR(입력란!$C$9=1,입력란!$C$10=1),MID($E296,5,1)&lt;&gt;"1"),65,22),0))))/100-1))</f>
        <v>308006.4287076263</v>
      </c>
      <c r="L296" s="21">
        <f>U296*(1+IF($AK296+IF(AND(입력란!$C$9=1,MID($E296,5,1)&lt;&gt;"1"),10,0)+IF(입력란!$C$26=1,10,0)&gt;100,100,$AK296+IF(AND(입력란!$C$9=1,MID($E296,5,1)&lt;&gt;"1"),10,0)+IF(입력란!$C$26=1,10,0))/100*(($AL296+IF(입력란!$C$30=1,IF(AND(OR(입력란!$C$9=1,입력란!$C$10=1),MID($E296,5,1)&lt;&gt;"1"),55,17),IF(입력란!$C$30=2,IF(AND(OR(입력란!$C$9=1,입력란!$C$10=1),MID($E296,5,1)&lt;&gt;"1"),60,20),IF(입력란!$C$30=3,IF(AND(OR(입력란!$C$9=1,입력란!$C$10=1),MID($E296,5,1)&lt;&gt;"1"),65,22),0))))/100-1))</f>
        <v>308006.4287076263</v>
      </c>
      <c r="M296" s="21">
        <f>V296*(1+IF($AK296+IF(AND(입력란!$C$9=1,MID($E296,5,1)&lt;&gt;"1"),10,0)+IF(입력란!$C$26=1,10,0)&gt;100,100,$AK296+IF(AND(입력란!$C$9=1,MID($E296,5,1)&lt;&gt;"1"),10,0)+IF(입력란!$C$26=1,10,0))/100*(($AL296+IF(입력란!$C$30=1,IF(AND(OR(입력란!$C$9=1,입력란!$C$10=1),MID($E296,5,1)&lt;&gt;"1"),55,17),IF(입력란!$C$30=2,IF(AND(OR(입력란!$C$9=1,입력란!$C$10=1),MID($E296,5,1)&lt;&gt;"1"),60,20),IF(입력란!$C$30=3,IF(AND(OR(입력란!$C$9=1,입력란!$C$10=1),MID($E296,5,1)&lt;&gt;"1"),65,22),0))))/100-1))</f>
        <v>308006.4287076263</v>
      </c>
      <c r="N296" s="21">
        <f>W296*(1+IF($AK296+IF(AND(입력란!$C$9=1,MID($E296,5,1)&lt;&gt;"1"),10,0)+IF(입력란!$C$26=1,10,0)&gt;100,100,$AK296+IF(AND(입력란!$C$9=1,MID($E296,5,1)&lt;&gt;"1"),10,0)+IF(입력란!$C$26=1,10,0))/100*(($AL296+IF(입력란!$C$30=1,IF(AND(OR(입력란!$C$9=1,입력란!$C$10=1),MID($E296,5,1)&lt;&gt;"1"),55,17),IF(입력란!$C$30=2,IF(AND(OR(입력란!$C$9=1,입력란!$C$10=1),MID($E296,5,1)&lt;&gt;"1"),60,20),IF(입력란!$C$30=3,IF(AND(OR(입력란!$C$9=1,입력란!$C$10=1),MID($E296,5,1)&lt;&gt;"1"),65,22),0))))/100-1))</f>
        <v>0</v>
      </c>
      <c r="O296" s="21"/>
      <c r="P296" s="21"/>
      <c r="Q296" s="105">
        <f>Z296*(1+IF($AK296+IF(입력란!$C$26=1,10,0)&gt;100,100,$AK296+IF(입력란!$C$26=1,10,0))/100*(($AL296+IF(입력란!$C$30=1,17,IF(입력란!$C$30=2,20,IF(입력란!$C$30=3,22,0))))/100-1))</f>
        <v>0</v>
      </c>
      <c r="R296" s="19">
        <f>SUM(S296:Z296)</f>
        <v>809575.456288366</v>
      </c>
      <c r="S296" s="21">
        <f>IF(MID($E296,5,1)="1",IF(MID($E296,3,1)="1",$AN296*트라이포드!$P$18*5,IF(MID($E296,3,1)="2",$AN296*트라이포드!$P$18*4,IF(MID($E296,3,1)="3",$AN296*트라이포드!$P$18*4,$AN296))),$AN296)*IF(MID($E296,3,1)="1",IF(MID($E296,5,1)="1",트라이포드!$J$18,트라이포드!$I$18),1)*IF(MID($E296,3,1)="2",트라이포드!$K$18,1)*IF(MID($E296,3,1)="3",트라이포드!$M$18,1)*IF(MID($E296,5,1)="2",트라이포드!$R$18,1)*(1+입력란!$P$17/100)*IF(AND(입력란!$C$9=1,MID($E296,5,1)&lt;&gt;"1"),IF(입력란!$C$15=0,1.05,IF(입력란!$C$15=1,1.05*1.05,IF(입력란!$C$15=2,1.05*1.12,IF(입력란!$C$15=3,1.05*1.25)))),1)</f>
        <v>202393.8640720915</v>
      </c>
      <c r="T296" s="21">
        <f>IF(MID($E296,5,1)="1",IF(MID($E296,3,1)="1",$AN296*트라이포드!$P$18*5,IF(MID($E296,3,1)="2",$AN296*트라이포드!$P$18*4,IF(MID($E296,3,1)="3",$AN296*트라이포드!$P$18*4,$AN296))),$AN296)*IF(MID($E296,3,1)="1",IF(MID($E296,5,1)="1",트라이포드!$J$18,트라이포드!$I$18),1)*IF(MID($E296,3,1)="2",트라이포드!$K$18,1)*IF(MID($E296,3,1)="3",트라이포드!$M$18,1)*IF(MID($E296,5,1)="2",트라이포드!$R$18,1)*(1+입력란!$P$17/100)*IF(AND(입력란!$C$9=1,MID($E296,5,1)&lt;&gt;"1"),IF(입력란!$C$15=0,1.05,IF(입력란!$C$15=1,1.05*1.05,IF(입력란!$C$15=2,1.05*1.12,IF(입력란!$C$15=3,1.05*1.25)))),1)</f>
        <v>202393.8640720915</v>
      </c>
      <c r="U296" s="21">
        <f>IF(MID($E296,5,1)="1",IF(MID($E296,3,1)="1",$AN296*트라이포드!$P$18*5,IF(MID($E296,3,1)="2",$AN296*트라이포드!$P$18*4,IF(MID($E296,3,1)="3",$AN296*트라이포드!$P$18*4,$AN296))),$AN296)*IF(MID($E296,3,1)="1",IF(MID($E296,5,1)="1",트라이포드!$J$18,트라이포드!$I$18),1)*IF(MID($E296,3,1)="2",트라이포드!$K$18,1)*IF(MID($E296,3,1)="3",트라이포드!$M$18,1)*IF(MID($E296,5,1)="2",트라이포드!$R$18,1)*(1+입력란!$P$17/100)*IF(AND(입력란!$C$9=1,MID($E296,5,1)&lt;&gt;"1"),IF(입력란!$C$15=0,1.05,IF(입력란!$C$15=1,1.05*1.05,IF(입력란!$C$15=2,1.05*1.12,IF(입력란!$C$15=3,1.05*1.25)))),1)</f>
        <v>202393.8640720915</v>
      </c>
      <c r="V296" s="21">
        <f>IF(MID($E296,5,1)="1",IF(MID($E296,3,1)="1",$AN296*트라이포드!$P$18*5,IF(MID($E296,3,1)="2",$AN296*트라이포드!$P$18*4,IF(MID($E296,3,1)="3",$AN296*트라이포드!$P$18*4,$AN296))),$AN296)*IF(MID($E296,3,1)="1",IF(MID($E296,5,1)="1",트라이포드!$J$18,트라이포드!$I$18),1)*IF(MID($E296,3,1)="2",트라이포드!$K$18,1)*IF(MID($E296,3,1)="3",트라이포드!$M$18,1)*IF(MID($E296,5,1)="2",트라이포드!$R$18,1)*(1+입력란!$P$17/100)*IF(AND(입력란!$C$9=1,MID($E296,5,1)&lt;&gt;"1"),IF(입력란!$C$15=0,1.05,IF(입력란!$C$15=1,1.05*1.05,IF(입력란!$C$15=2,1.05*1.12,IF(입력란!$C$15=3,1.05*1.25)))),1)</f>
        <v>202393.8640720915</v>
      </c>
      <c r="W296" s="21">
        <f>IF(MID($E296,5,1)="1",IF(MID($E296,3,1)="1",$AN296*트라이포드!$P$18*5,IF(MID($E296,3,1)="2",$AN296*트라이포드!$P$18*4,IF(MID($E296,3,1)="3",$AN296*트라이포드!$P$18*4,$AN296))),$AN296)*IF(MID($E296,3,1)="1",IF(MID($E296,5,1)="1",트라이포드!$J$18,트라이포드!$I$18),1)*IF(MID($E296,3,1)="2",트라이포드!$K$18,1)*IF(MID($E296,3,1)="3",트라이포드!$M$18,1)*IF(MID($E296,5,1)="2",트라이포드!$R$18,0)*(1+입력란!$P$17/100)*IF(AND(입력란!$C$9=1,MID($E296,5,1)&lt;&gt;"1"),IF(입력란!$C$15=0,1.05,IF(입력란!$C$15=1,1.05*1.05,IF(입력란!$C$15=2,1.05*1.12,IF(입력란!$C$15=3,1.05*1.25)))),1)</f>
        <v>0</v>
      </c>
      <c r="X296" s="21"/>
      <c r="Y296" s="21"/>
      <c r="Z296" s="20">
        <f>AN296*IF(MID(E296,3,1)="2",트라이포드!$L$18,IF(MID(E296,3,1)="3",트라이포드!$N$18*12*5,0))*IF(입력란!$C$30=1,1.07,IF(입력란!$C$30=2,1.08,IF(입력란!$C$30=3,1.09,1)))</f>
        <v>0</v>
      </c>
      <c r="AA296" s="21">
        <f>SUM(AB296:AI296)</f>
        <v>809575.456288366</v>
      </c>
      <c r="AB296" s="21">
        <f>S296*2</f>
        <v>404787.728144183</v>
      </c>
      <c r="AC296" s="21">
        <f>T296*2</f>
        <v>404787.728144183</v>
      </c>
      <c r="AD296" s="21"/>
      <c r="AE296" s="21"/>
      <c r="AF296" s="21"/>
      <c r="AG296" s="21"/>
      <c r="AH296" s="21"/>
      <c r="AI296" s="20"/>
      <c r="AJ296" s="21">
        <f>AQ296*(1-입력란!$P$10/100)</f>
        <v>35.567196189119997</v>
      </c>
      <c r="AK29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6" s="21">
        <f>입력란!$P$24+IF(입력란!$C$18=1,10,IF(입력란!$C$18=2,25,IF(입력란!$C$18=3,50,0)))+IF(입력란!$C$23&lt;&gt;0,-12)</f>
        <v>200</v>
      </c>
      <c r="AM296" s="21">
        <f>SUM(AN296:AP296)</f>
        <v>126330.54337820636</v>
      </c>
      <c r="AN296" s="21">
        <f>(VLOOKUP(C296,$B$4:$AJ$7,19,FALSE)+VLOOKUP(C296,$B$8:$AJ$11,19,FALSE)*입력란!$P$4)*IF(G296="근접",IF(MID($E296,5,1)="1",입력란!$P$26,입력란!$P$27),입력란!$P$26)*입력란!$P$25/100</f>
        <v>126330.54337820636</v>
      </c>
      <c r="AO296" s="21"/>
      <c r="AP296" s="21"/>
      <c r="AQ296" s="22">
        <v>36</v>
      </c>
    </row>
    <row r="297" spans="2:43" ht="13.5" customHeight="1" x14ac:dyDescent="0.55000000000000004">
      <c r="B297" s="66">
        <v>282</v>
      </c>
      <c r="C297" s="29">
        <v>10</v>
      </c>
      <c r="D297" s="67" t="s">
        <v>454</v>
      </c>
      <c r="E297" s="27" t="s">
        <v>122</v>
      </c>
      <c r="F297" s="29"/>
      <c r="G297" s="29" t="s">
        <v>458</v>
      </c>
      <c r="H297" s="36">
        <f>I297/AJ297</f>
        <v>184730.27976711121</v>
      </c>
      <c r="I297" s="37">
        <f>SUM(J297:Q297)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297,5,1)&lt;&gt;"1"),1.21,1.07),IF(입력란!$C$30=2,IF(AND(OR(입력란!$C$9=1,입력란!$C$10=1),MID($E297,5,1)&lt;&gt;"1"),1.24,1.08),IF(입력란!$C$30=3,IF(AND(OR(입력란!$C$9=1,입력란!$C$10=1),MID($E297,5,1)&lt;&gt;"1"),1.26,1.09),1)))*(1+입력란!$P$22/100)*IF(입력란!$C$31=1,1.12*1.15,IF(입력란!$C$31=2,1.15*1.18,IF(입력란!$C$31=3,1.17*1.2,1)))*IF(입력란!$C$32=1,1.12,IF(입력란!$C$32=2,1.14,IF(입력란!$C$32=3,1.15,1)))</f>
        <v>6570338.1025478682</v>
      </c>
      <c r="J297" s="21">
        <f>S297*(1+IF($AK297+IF(AND(입력란!$C$9=1,MID($E297,5,1)&lt;&gt;"1"),10,0)+IF(입력란!$C$26=1,10,0)&gt;100,100,$AK297+IF(AND(입력란!$C$9=1,MID($E297,5,1)&lt;&gt;"1"),10,0)+IF(입력란!$C$26=1,10,0))/100*(($AL297+IF(입력란!$C$30=1,IF(AND(OR(입력란!$C$9=1,입력란!$C$10=1),MID($E297,5,1)&lt;&gt;"1"),55,17),IF(입력란!$C$30=2,IF(AND(OR(입력란!$C$9=1,입력란!$C$10=1),MID($E297,5,1)&lt;&gt;"1"),60,20),IF(입력란!$C$30=3,IF(AND(OR(입력란!$C$9=1,입력란!$C$10=1),MID($E297,5,1)&lt;&gt;"1"),65,22),0))))/100-1))</f>
        <v>930576.88585055841</v>
      </c>
      <c r="K297" s="21">
        <f>T297*(1+IF($AK297+IF(AND(입력란!$C$9=1,MID($E297,5,1)&lt;&gt;"1"),10,0)+IF(입력란!$C$26=1,10,0)&gt;100,100,$AK297+IF(AND(입력란!$C$9=1,MID($E297,5,1)&lt;&gt;"1"),10,0)+IF(입력란!$C$26=1,10,0))/100*(($AL297+IF(입력란!$C$30=1,IF(AND(OR(입력란!$C$9=1,입력란!$C$10=1),MID($E297,5,1)&lt;&gt;"1"),55,17),IF(입력란!$C$30=2,IF(AND(OR(입력란!$C$9=1,입력란!$C$10=1),MID($E297,5,1)&lt;&gt;"1"),60,20),IF(입력란!$C$30=3,IF(AND(OR(입력란!$C$9=1,입력란!$C$10=1),MID($E297,5,1)&lt;&gt;"1"),65,22),0))))/100-1))</f>
        <v>930576.88585055841</v>
      </c>
      <c r="L297" s="21">
        <f>U297*(1+IF($AK297+IF(AND(입력란!$C$9=1,MID($E297,5,1)&lt;&gt;"1"),10,0)+IF(입력란!$C$26=1,10,0)&gt;100,100,$AK297+IF(AND(입력란!$C$9=1,MID($E297,5,1)&lt;&gt;"1"),10,0)+IF(입력란!$C$26=1,10,0))/100*(($AL297+IF(입력란!$C$30=1,IF(AND(OR(입력란!$C$9=1,입력란!$C$10=1),MID($E297,5,1)&lt;&gt;"1"),55,17),IF(입력란!$C$30=2,IF(AND(OR(입력란!$C$9=1,입력란!$C$10=1),MID($E297,5,1)&lt;&gt;"1"),60,20),IF(입력란!$C$30=3,IF(AND(OR(입력란!$C$9=1,입력란!$C$10=1),MID($E297,5,1)&lt;&gt;"1"),65,22),0))))/100-1))</f>
        <v>930576.88585055841</v>
      </c>
      <c r="M297" s="21">
        <f>V297*(1+IF($AK297+IF(AND(입력란!$C$9=1,MID($E297,5,1)&lt;&gt;"1"),10,0)+IF(입력란!$C$26=1,10,0)&gt;100,100,$AK297+IF(AND(입력란!$C$9=1,MID($E297,5,1)&lt;&gt;"1"),10,0)+IF(입력란!$C$26=1,10,0))/100*(($AL297+IF(입력란!$C$30=1,IF(AND(OR(입력란!$C$9=1,입력란!$C$10=1),MID($E297,5,1)&lt;&gt;"1"),55,17),IF(입력란!$C$30=2,IF(AND(OR(입력란!$C$9=1,입력란!$C$10=1),MID($E297,5,1)&lt;&gt;"1"),60,20),IF(입력란!$C$30=3,IF(AND(OR(입력란!$C$9=1,입력란!$C$10=1),MID($E297,5,1)&lt;&gt;"1"),65,22),0))))/100-1))</f>
        <v>930576.88585055841</v>
      </c>
      <c r="N297" s="21">
        <f>W297*(1+IF($AK297+IF(AND(입력란!$C$9=1,MID($E297,5,1)&lt;&gt;"1"),10,0)+IF(입력란!$C$26=1,10,0)&gt;100,100,$AK297+IF(AND(입력란!$C$9=1,MID($E297,5,1)&lt;&gt;"1"),10,0)+IF(입력란!$C$26=1,10,0))/100*(($AL297+IF(입력란!$C$30=1,IF(AND(OR(입력란!$C$9=1,입력란!$C$10=1),MID($E297,5,1)&lt;&gt;"1"),55,17),IF(입력란!$C$30=2,IF(AND(OR(입력란!$C$9=1,입력란!$C$10=1),MID($E297,5,1)&lt;&gt;"1"),60,20),IF(입력란!$C$30=3,IF(AND(OR(입력란!$C$9=1,입력란!$C$10=1),MID($E297,5,1)&lt;&gt;"1"),65,22),0))))/100-1))</f>
        <v>930576.88585055841</v>
      </c>
      <c r="O297" s="21"/>
      <c r="P297" s="21"/>
      <c r="Q297" s="105">
        <f>Z297*(1+IF($AK297+IF(입력란!$C$26=1,10,0)&gt;100,100,$AK297+IF(입력란!$C$26=1,10,0))/100*(($AL297+IF(입력란!$C$30=1,17,IF(입력란!$C$30=2,20,IF(입력란!$C$30=3,22,0))))/100-1))</f>
        <v>0</v>
      </c>
      <c r="R297" s="19">
        <f>SUM(S297:Z297)</f>
        <v>2868933.0232218974</v>
      </c>
      <c r="S297" s="21">
        <f>IF(MID($E297,5,1)="1",IF(MID($E297,3,1)="1",$AN297*트라이포드!$P$18*5,IF(MID($E297,3,1)="2",$AN297*트라이포드!$P$18*4,IF(MID($E297,3,1)="3",$AN297*트라이포드!$P$18*4,$AN297))),$AN297)*IF(MID($E297,3,1)="1",IF(MID($E297,5,1)="1",트라이포드!$J$18,트라이포드!$I$18),1)*IF(MID($E297,3,1)="2",트라이포드!$K$18,1)*IF(MID($E297,3,1)="3",트라이포드!$M$18,1)*IF(MID($E297,5,1)="2",트라이포드!$R$18,1)*(1+입력란!$P$17/100)*IF(AND(입력란!$C$9=1,MID($E297,5,1)&lt;&gt;"1"),IF(입력란!$C$15=0,1.05,IF(입력란!$C$15=1,1.05*1.05,IF(입력란!$C$15=2,1.05*1.12,IF(입력란!$C$15=3,1.05*1.25)))),1)</f>
        <v>573786.60464437946</v>
      </c>
      <c r="T297" s="21">
        <f>IF(MID($E297,5,1)="1",IF(MID($E297,3,1)="1",$AN297*트라이포드!$P$18*5,IF(MID($E297,3,1)="2",$AN297*트라이포드!$P$18*4,IF(MID($E297,3,1)="3",$AN297*트라이포드!$P$18*4,$AN297))),$AN297)*IF(MID($E297,3,1)="1",IF(MID($E297,5,1)="1",트라이포드!$J$18,트라이포드!$I$18),1)*IF(MID($E297,3,1)="2",트라이포드!$K$18,1)*IF(MID($E297,3,1)="3",트라이포드!$M$18,1)*IF(MID($E297,5,1)="2",트라이포드!$R$18,1)*(1+입력란!$P$17/100)*IF(AND(입력란!$C$9=1,MID($E297,5,1)&lt;&gt;"1"),IF(입력란!$C$15=0,1.05,IF(입력란!$C$15=1,1.05*1.05,IF(입력란!$C$15=2,1.05*1.12,IF(입력란!$C$15=3,1.05*1.25)))),1)</f>
        <v>573786.60464437946</v>
      </c>
      <c r="U297" s="21">
        <f>IF(MID($E297,5,1)="1",IF(MID($E297,3,1)="1",$AN297*트라이포드!$P$18*5,IF(MID($E297,3,1)="2",$AN297*트라이포드!$P$18*4,IF(MID($E297,3,1)="3",$AN297*트라이포드!$P$18*4,$AN297))),$AN297)*IF(MID($E297,3,1)="1",IF(MID($E297,5,1)="1",트라이포드!$J$18,트라이포드!$I$18),1)*IF(MID($E297,3,1)="2",트라이포드!$K$18,1)*IF(MID($E297,3,1)="3",트라이포드!$M$18,1)*IF(MID($E297,5,1)="2",트라이포드!$R$18,1)*(1+입력란!$P$17/100)*IF(AND(입력란!$C$9=1,MID($E297,5,1)&lt;&gt;"1"),IF(입력란!$C$15=0,1.05,IF(입력란!$C$15=1,1.05*1.05,IF(입력란!$C$15=2,1.05*1.12,IF(입력란!$C$15=3,1.05*1.25)))),1)</f>
        <v>573786.60464437946</v>
      </c>
      <c r="V297" s="21">
        <f>IF(MID($E297,5,1)="1",IF(MID($E297,3,1)="1",$AN297*트라이포드!$P$18*5,IF(MID($E297,3,1)="2",$AN297*트라이포드!$P$18*4,IF(MID($E297,3,1)="3",$AN297*트라이포드!$P$18*4,$AN297))),$AN297)*IF(MID($E297,3,1)="1",IF(MID($E297,5,1)="1",트라이포드!$J$18,트라이포드!$I$18),1)*IF(MID($E297,3,1)="2",트라이포드!$K$18,1)*IF(MID($E297,3,1)="3",트라이포드!$M$18,1)*IF(MID($E297,5,1)="2",트라이포드!$R$18,1)*(1+입력란!$P$17/100)*IF(AND(입력란!$C$9=1,MID($E297,5,1)&lt;&gt;"1"),IF(입력란!$C$15=0,1.05,IF(입력란!$C$15=1,1.05*1.05,IF(입력란!$C$15=2,1.05*1.12,IF(입력란!$C$15=3,1.05*1.25)))),1)</f>
        <v>573786.60464437946</v>
      </c>
      <c r="W297" s="21">
        <f>IF(MID($E297,5,1)="1",IF(MID($E297,3,1)="1",$AN297*트라이포드!$P$18*5,IF(MID($E297,3,1)="2",$AN297*트라이포드!$P$18*4,IF(MID($E297,3,1)="3",$AN297*트라이포드!$P$18*4,$AN297))),$AN297)*IF(MID($E297,3,1)="1",IF(MID($E297,5,1)="1",트라이포드!$J$18,트라이포드!$I$18),1)*IF(MID($E297,3,1)="2",트라이포드!$K$18,1)*IF(MID($E297,3,1)="3",트라이포드!$M$18,1)*IF(MID($E297,5,1)="2",트라이포드!$R$18,0)*(1+입력란!$P$17/100)*IF(AND(입력란!$C$9=1,MID($E297,5,1)&lt;&gt;"1"),IF(입력란!$C$15=0,1.05,IF(입력란!$C$15=1,1.05*1.05,IF(입력란!$C$15=2,1.05*1.12,IF(입력란!$C$15=3,1.05*1.25)))),1)</f>
        <v>573786.60464437946</v>
      </c>
      <c r="X297" s="21"/>
      <c r="Y297" s="21"/>
      <c r="Z297" s="20">
        <f>AN297*IF(MID(E297,3,1)="2",트라이포드!$L$18,IF(MID(E297,3,1)="3",트라이포드!$N$18*12*5,0))*IF(입력란!$C$30=1,1.07,IF(입력란!$C$30=2,1.08,IF(입력란!$C$30=3,1.09,1)))</f>
        <v>0</v>
      </c>
      <c r="AA297" s="21">
        <f>SUM(AB297:AI297)</f>
        <v>2295146.4185775178</v>
      </c>
      <c r="AB297" s="21">
        <f>S297*2</f>
        <v>1147573.2092887589</v>
      </c>
      <c r="AC297" s="21">
        <f>T297*2</f>
        <v>1147573.2092887589</v>
      </c>
      <c r="AD297" s="21"/>
      <c r="AE297" s="21"/>
      <c r="AF297" s="21"/>
      <c r="AG297" s="21"/>
      <c r="AH297" s="21"/>
      <c r="AI297" s="20"/>
      <c r="AJ297" s="21">
        <f>AQ297*(1-입력란!$P$10/100)</f>
        <v>35.567196189119997</v>
      </c>
      <c r="AK29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7" s="21">
        <f>입력란!$P$24+IF(입력란!$C$18=1,10,IF(입력란!$C$18=2,25,IF(입력란!$C$18=3,50,0)))+IF(입력란!$C$23&lt;&gt;0,-12)</f>
        <v>200</v>
      </c>
      <c r="AM297" s="21">
        <f>SUM(AN297:AP297)</f>
        <v>252661.08675641273</v>
      </c>
      <c r="AN297" s="21">
        <f>(VLOOKUP(C297,$B$4:$AJ$7,19,FALSE)+VLOOKUP(C297,$B$8:$AJ$11,19,FALSE)*입력란!$P$4)*IF(G297="근접",IF(MID($E297,5,1)="1",입력란!$P$26,입력란!$P$27),입력란!$P$26)*입력란!$P$25/100</f>
        <v>252661.08675641273</v>
      </c>
      <c r="AO297" s="21"/>
      <c r="AP297" s="21"/>
      <c r="AQ297" s="22">
        <v>36</v>
      </c>
    </row>
    <row r="298" spans="2:43" ht="13.5" customHeight="1" x14ac:dyDescent="0.55000000000000004">
      <c r="B298" s="66">
        <v>283</v>
      </c>
      <c r="C298" s="29">
        <v>10</v>
      </c>
      <c r="D298" s="67" t="s">
        <v>454</v>
      </c>
      <c r="E298" s="27" t="s">
        <v>145</v>
      </c>
      <c r="F298" s="29"/>
      <c r="G298" s="29" t="s">
        <v>458</v>
      </c>
      <c r="H298" s="36">
        <f>I298/AJ298</f>
        <v>269028.49650105101</v>
      </c>
      <c r="I298" s="37">
        <f>SUM(J298:Q298)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298,5,1)&lt;&gt;"1"),1.21,1.07),IF(입력란!$C$30=2,IF(AND(OR(입력란!$C$9=1,입력란!$C$10=1),MID($E298,5,1)&lt;&gt;"1"),1.24,1.08),IF(입력란!$C$30=3,IF(AND(OR(입력란!$C$9=1,입력란!$C$10=1),MID($E298,5,1)&lt;&gt;"1"),1.26,1.09),1)))*(1+입력란!$P$22/100)*IF(입력란!$C$31=1,1.12*1.15,IF(입력란!$C$31=2,1.15*1.18,IF(입력란!$C$31=3,1.17*1.2,1)))*IF(입력란!$C$32=1,1.12,IF(입력란!$C$32=2,1.14,IF(입력란!$C$32=3,1.15,1)))</f>
        <v>9568589.315516863</v>
      </c>
      <c r="J298" s="21">
        <f>S298*(1+IF($AK298+IF(AND(입력란!$C$9=1,MID($E298,5,1)&lt;&gt;"1"),10,0)+IF(입력란!$C$26=1,10,0)&gt;100,100,$AK298+IF(AND(입력란!$C$9=1,MID($E298,5,1)&lt;&gt;"1"),10,0)+IF(입력란!$C$26=1,10,0))/100*(($AL298+IF(입력란!$C$30=1,IF(AND(OR(입력란!$C$9=1,입력란!$C$10=1),MID($E298,5,1)&lt;&gt;"1"),55,17),IF(입력란!$C$30=2,IF(AND(OR(입력란!$C$9=1,입력란!$C$10=1),MID($E298,5,1)&lt;&gt;"1"),60,20),IF(입력란!$C$30=3,IF(AND(OR(입력란!$C$9=1,입력란!$C$10=1),MID($E298,5,1)&lt;&gt;"1"),65,22),0))))/100-1))</f>
        <v>1694035.3578919449</v>
      </c>
      <c r="K298" s="21">
        <f>T298*(1+IF($AK298+IF(AND(입력란!$C$9=1,MID($E298,5,1)&lt;&gt;"1"),10,0)+IF(입력란!$C$26=1,10,0)&gt;100,100,$AK298+IF(AND(입력란!$C$9=1,MID($E298,5,1)&lt;&gt;"1"),10,0)+IF(입력란!$C$26=1,10,0))/100*(($AL298+IF(입력란!$C$30=1,IF(AND(OR(입력란!$C$9=1,입력란!$C$10=1),MID($E298,5,1)&lt;&gt;"1"),55,17),IF(입력란!$C$30=2,IF(AND(OR(입력란!$C$9=1,입력란!$C$10=1),MID($E298,5,1)&lt;&gt;"1"),60,20),IF(입력란!$C$30=3,IF(AND(OR(입력란!$C$9=1,입력란!$C$10=1),MID($E298,5,1)&lt;&gt;"1"),65,22),0))))/100-1))</f>
        <v>1694035.3578919449</v>
      </c>
      <c r="L298" s="21">
        <f>U298*(1+IF($AK298+IF(AND(입력란!$C$9=1,MID($E298,5,1)&lt;&gt;"1"),10,0)+IF(입력란!$C$26=1,10,0)&gt;100,100,$AK298+IF(AND(입력란!$C$9=1,MID($E298,5,1)&lt;&gt;"1"),10,0)+IF(입력란!$C$26=1,10,0))/100*(($AL298+IF(입력란!$C$30=1,IF(AND(OR(입력란!$C$9=1,입력란!$C$10=1),MID($E298,5,1)&lt;&gt;"1"),55,17),IF(입력란!$C$30=2,IF(AND(OR(입력란!$C$9=1,입력란!$C$10=1),MID($E298,5,1)&lt;&gt;"1"),60,20),IF(입력란!$C$30=3,IF(AND(OR(입력란!$C$9=1,입력란!$C$10=1),MID($E298,5,1)&lt;&gt;"1"),65,22),0))))/100-1))</f>
        <v>1694035.3578919449</v>
      </c>
      <c r="M298" s="21">
        <f>V298*(1+IF($AK298+IF(AND(입력란!$C$9=1,MID($E298,5,1)&lt;&gt;"1"),10,0)+IF(입력란!$C$26=1,10,0)&gt;100,100,$AK298+IF(AND(입력란!$C$9=1,MID($E298,5,1)&lt;&gt;"1"),10,0)+IF(입력란!$C$26=1,10,0))/100*(($AL298+IF(입력란!$C$30=1,IF(AND(OR(입력란!$C$9=1,입력란!$C$10=1),MID($E298,5,1)&lt;&gt;"1"),55,17),IF(입력란!$C$30=2,IF(AND(OR(입력란!$C$9=1,입력란!$C$10=1),MID($E298,5,1)&lt;&gt;"1"),60,20),IF(입력란!$C$30=3,IF(AND(OR(입력란!$C$9=1,입력란!$C$10=1),MID($E298,5,1)&lt;&gt;"1"),65,22),0))))/100-1))</f>
        <v>1694035.3578919449</v>
      </c>
      <c r="N298" s="21">
        <f>W298*(1+IF($AK298+IF(AND(입력란!$C$9=1,MID($E298,5,1)&lt;&gt;"1"),10,0)+IF(입력란!$C$26=1,10,0)&gt;100,100,$AK298+IF(AND(입력란!$C$9=1,MID($E298,5,1)&lt;&gt;"1"),10,0)+IF(입력란!$C$26=1,10,0))/100*(($AL298+IF(입력란!$C$30=1,IF(AND(OR(입력란!$C$9=1,입력란!$C$10=1),MID($E298,5,1)&lt;&gt;"1"),55,17),IF(입력란!$C$30=2,IF(AND(OR(입력란!$C$9=1,입력란!$C$10=1),MID($E298,5,1)&lt;&gt;"1"),60,20),IF(입력란!$C$30=3,IF(AND(OR(입력란!$C$9=1,입력란!$C$10=1),MID($E298,5,1)&lt;&gt;"1"),65,22),0))))/100-1))</f>
        <v>0</v>
      </c>
      <c r="O298" s="21"/>
      <c r="P298" s="21"/>
      <c r="Q298" s="105">
        <f>Z298*(1+IF($AK298+IF(입력란!$C$26=1,10,0)&gt;100,100,$AK298+IF(입력란!$C$26=1,10,0))/100*(($AL298+IF(입력란!$C$30=1,17,IF(입력란!$C$30=2,20,IF(입력란!$C$30=3,22,0))))/100-1))</f>
        <v>0</v>
      </c>
      <c r="R298" s="19">
        <f>SUM(S298:Z298)</f>
        <v>4452665.0095860139</v>
      </c>
      <c r="S298" s="21">
        <f>IF(MID($E298,5,1)="1",IF(MID($E298,3,1)="1",$AN298*트라이포드!$P$18*5,IF(MID($E298,3,1)="2",$AN298*트라이포드!$P$18*4,IF(MID($E298,3,1)="3",$AN298*트라이포드!$P$18*4,$AN298))),$AN298)*IF(MID($E298,3,1)="1",IF(MID($E298,5,1)="1",트라이포드!$J$18,트라이포드!$I$18),1)*IF(MID($E298,3,1)="2",트라이포드!$K$18,1)*IF(MID($E298,3,1)="3",트라이포드!$M$18,1)*IF(MID($E298,5,1)="2",트라이포드!$R$18,1)*(1+입력란!$P$17/100)*IF(AND(입력란!$C$9=1,MID($E298,5,1)&lt;&gt;"1"),IF(입력란!$C$15=0,1.05,IF(입력란!$C$15=1,1.05*1.05,IF(입력란!$C$15=2,1.05*1.12,IF(입력란!$C$15=3,1.05*1.25)))),1)</f>
        <v>1113166.2523965035</v>
      </c>
      <c r="T298" s="21">
        <f>IF(MID($E298,5,1)="1",IF(MID($E298,3,1)="1",$AN298*트라이포드!$P$18*5,IF(MID($E298,3,1)="2",$AN298*트라이포드!$P$18*4,IF(MID($E298,3,1)="3",$AN298*트라이포드!$P$18*4,$AN298))),$AN298)*IF(MID($E298,3,1)="1",IF(MID($E298,5,1)="1",트라이포드!$J$18,트라이포드!$I$18),1)*IF(MID($E298,3,1)="2",트라이포드!$K$18,1)*IF(MID($E298,3,1)="3",트라이포드!$M$18,1)*IF(MID($E298,5,1)="2",트라이포드!$R$18,1)*(1+입력란!$P$17/100)*IF(AND(입력란!$C$9=1,MID($E298,5,1)&lt;&gt;"1"),IF(입력란!$C$15=0,1.05,IF(입력란!$C$15=1,1.05*1.05,IF(입력란!$C$15=2,1.05*1.12,IF(입력란!$C$15=3,1.05*1.25)))),1)</f>
        <v>1113166.2523965035</v>
      </c>
      <c r="U298" s="21">
        <f>IF(MID($E298,5,1)="1",IF(MID($E298,3,1)="1",$AN298*트라이포드!$P$18*5,IF(MID($E298,3,1)="2",$AN298*트라이포드!$P$18*4,IF(MID($E298,3,1)="3",$AN298*트라이포드!$P$18*4,$AN298))),$AN298)*IF(MID($E298,3,1)="1",IF(MID($E298,5,1)="1",트라이포드!$J$18,트라이포드!$I$18),1)*IF(MID($E298,3,1)="2",트라이포드!$K$18,1)*IF(MID($E298,3,1)="3",트라이포드!$M$18,1)*IF(MID($E298,5,1)="2",트라이포드!$R$18,1)*(1+입력란!$P$17/100)*IF(AND(입력란!$C$9=1,MID($E298,5,1)&lt;&gt;"1"),IF(입력란!$C$15=0,1.05,IF(입력란!$C$15=1,1.05*1.05,IF(입력란!$C$15=2,1.05*1.12,IF(입력란!$C$15=3,1.05*1.25)))),1)</f>
        <v>1113166.2523965035</v>
      </c>
      <c r="V298" s="21">
        <f>IF(MID($E298,5,1)="1",IF(MID($E298,3,1)="1",$AN298*트라이포드!$P$18*5,IF(MID($E298,3,1)="2",$AN298*트라이포드!$P$18*4,IF(MID($E298,3,1)="3",$AN298*트라이포드!$P$18*4,$AN298))),$AN298)*IF(MID($E298,3,1)="1",IF(MID($E298,5,1)="1",트라이포드!$J$18,트라이포드!$I$18),1)*IF(MID($E298,3,1)="2",트라이포드!$K$18,1)*IF(MID($E298,3,1)="3",트라이포드!$M$18,1)*IF(MID($E298,5,1)="2",트라이포드!$R$18,1)*(1+입력란!$P$17/100)*IF(AND(입력란!$C$9=1,MID($E298,5,1)&lt;&gt;"1"),IF(입력란!$C$15=0,1.05,IF(입력란!$C$15=1,1.05*1.05,IF(입력란!$C$15=2,1.05*1.12,IF(입력란!$C$15=3,1.05*1.25)))),1)</f>
        <v>1113166.2523965035</v>
      </c>
      <c r="W298" s="21">
        <f>IF(MID($E298,5,1)="1",IF(MID($E298,3,1)="1",$AN298*트라이포드!$P$18*5,IF(MID($E298,3,1)="2",$AN298*트라이포드!$P$18*4,IF(MID($E298,3,1)="3",$AN298*트라이포드!$P$18*4,$AN298))),$AN298)*IF(MID($E298,3,1)="1",IF(MID($E298,5,1)="1",트라이포드!$J$18,트라이포드!$I$18),1)*IF(MID($E298,3,1)="2",트라이포드!$K$18,1)*IF(MID($E298,3,1)="3",트라이포드!$M$18,1)*IF(MID($E298,5,1)="2",트라이포드!$R$18,0)*(1+입력란!$P$17/100)*IF(AND(입력란!$C$9=1,MID($E298,5,1)&lt;&gt;"1"),IF(입력란!$C$15=0,1.05,IF(입력란!$C$15=1,1.05*1.05,IF(입력란!$C$15=2,1.05*1.12,IF(입력란!$C$15=3,1.05*1.25)))),1)</f>
        <v>0</v>
      </c>
      <c r="X298" s="21"/>
      <c r="Y298" s="21"/>
      <c r="Z298" s="20">
        <f>AN298*IF(MID(E298,3,1)="2",트라이포드!$L$18,IF(MID(E298,3,1)="3",트라이포드!$N$18*12*5,0))*IF(입력란!$C$30=1,1.07,IF(입력란!$C$30=2,1.08,IF(입력란!$C$30=3,1.09,1)))</f>
        <v>0</v>
      </c>
      <c r="AA298" s="21">
        <f>SUM(AB298:AI298)</f>
        <v>4452665.0095860139</v>
      </c>
      <c r="AB298" s="21">
        <f>S298*2</f>
        <v>2226332.5047930069</v>
      </c>
      <c r="AC298" s="21">
        <f>T298*2</f>
        <v>2226332.5047930069</v>
      </c>
      <c r="AD298" s="21"/>
      <c r="AE298" s="21"/>
      <c r="AF298" s="21"/>
      <c r="AG298" s="21"/>
      <c r="AH298" s="21"/>
      <c r="AI298" s="20"/>
      <c r="AJ298" s="21">
        <f>AQ298*(1-입력란!$P$10/100)</f>
        <v>35.567196189119997</v>
      </c>
      <c r="AK29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8" s="21">
        <f>입력란!$P$24+IF(입력란!$C$18=1,10,IF(입력란!$C$18=2,25,IF(입력란!$C$18=3,50,0)))+IF(입력란!$C$23&lt;&gt;0,-12)</f>
        <v>200</v>
      </c>
      <c r="AM298" s="21">
        <f>SUM(AN298:AP298)</f>
        <v>126330.54337820636</v>
      </c>
      <c r="AN298" s="21">
        <f>(VLOOKUP(C298,$B$4:$AJ$7,19,FALSE)+VLOOKUP(C298,$B$8:$AJ$11,19,FALSE)*입력란!$P$4)*IF(G298="근접",IF(MID($E298,5,1)="1",입력란!$P$26,입력란!$P$27),입력란!$P$26)*입력란!$P$25/100</f>
        <v>126330.54337820636</v>
      </c>
      <c r="AO298" s="21"/>
      <c r="AP298" s="21"/>
      <c r="AQ298" s="22">
        <v>36</v>
      </c>
    </row>
    <row r="299" spans="2:43" ht="13.5" customHeight="1" x14ac:dyDescent="0.55000000000000004">
      <c r="B299" s="66">
        <v>284</v>
      </c>
      <c r="C299" s="29">
        <v>10</v>
      </c>
      <c r="D299" s="67" t="s">
        <v>454</v>
      </c>
      <c r="E299" s="27" t="s">
        <v>146</v>
      </c>
      <c r="F299" s="29"/>
      <c r="G299" s="29" t="s">
        <v>458</v>
      </c>
      <c r="H299" s="36">
        <f>I299/AJ299</f>
        <v>249385.87768560014</v>
      </c>
      <c r="I299" s="37">
        <f>SUM(J299:Q299)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299,5,1)&lt;&gt;"1"),1.21,1.07),IF(입력란!$C$30=2,IF(AND(OR(입력란!$C$9=1,입력란!$C$10=1),MID($E299,5,1)&lt;&gt;"1"),1.24,1.08),IF(입력란!$C$30=3,IF(AND(OR(입력란!$C$9=1,입력란!$C$10=1),MID($E299,5,1)&lt;&gt;"1"),1.26,1.09),1)))*(1+입력란!$P$22/100)*IF(입력란!$C$31=1,1.12*1.15,IF(입력란!$C$31=2,1.15*1.18,IF(입력란!$C$31=3,1.17*1.2,1)))*IF(입력란!$C$32=1,1.12,IF(입력란!$C$32=2,1.14,IF(입력란!$C$32=3,1.15,1)))</f>
        <v>8869956.4384396225</v>
      </c>
      <c r="J299" s="21">
        <f>S299*(1+IF($AK299+IF(AND(입력란!$C$9=1,MID($E299,5,1)&lt;&gt;"1"),10,0)+IF(입력란!$C$26=1,10,0)&gt;100,100,$AK299+IF(AND(입력란!$C$9=1,MID($E299,5,1)&lt;&gt;"1"),10,0)+IF(입력란!$C$26=1,10,0))/100*(($AL299+IF(입력란!$C$30=1,IF(AND(OR(입력란!$C$9=1,입력란!$C$10=1),MID($E299,5,1)&lt;&gt;"1"),55,17),IF(입력란!$C$30=2,IF(AND(OR(입력란!$C$9=1,입력란!$C$10=1),MID($E299,5,1)&lt;&gt;"1"),60,20),IF(입력란!$C$30=3,IF(AND(OR(입력란!$C$9=1,입력란!$C$10=1),MID($E299,5,1)&lt;&gt;"1"),65,22),0))))/100-1))</f>
        <v>1256278.7958982538</v>
      </c>
      <c r="K299" s="21">
        <f>T299*(1+IF($AK299+IF(AND(입력란!$C$9=1,MID($E299,5,1)&lt;&gt;"1"),10,0)+IF(입력란!$C$26=1,10,0)&gt;100,100,$AK299+IF(AND(입력란!$C$9=1,MID($E299,5,1)&lt;&gt;"1"),10,0)+IF(입력란!$C$26=1,10,0))/100*(($AL299+IF(입력란!$C$30=1,IF(AND(OR(입력란!$C$9=1,입력란!$C$10=1),MID($E299,5,1)&lt;&gt;"1"),55,17),IF(입력란!$C$30=2,IF(AND(OR(입력란!$C$9=1,입력란!$C$10=1),MID($E299,5,1)&lt;&gt;"1"),60,20),IF(입력란!$C$30=3,IF(AND(OR(입력란!$C$9=1,입력란!$C$10=1),MID($E299,5,1)&lt;&gt;"1"),65,22),0))))/100-1))</f>
        <v>1256278.7958982538</v>
      </c>
      <c r="L299" s="21">
        <f>U299*(1+IF($AK299+IF(AND(입력란!$C$9=1,MID($E299,5,1)&lt;&gt;"1"),10,0)+IF(입력란!$C$26=1,10,0)&gt;100,100,$AK299+IF(AND(입력란!$C$9=1,MID($E299,5,1)&lt;&gt;"1"),10,0)+IF(입력란!$C$26=1,10,0))/100*(($AL299+IF(입력란!$C$30=1,IF(AND(OR(입력란!$C$9=1,입력란!$C$10=1),MID($E299,5,1)&lt;&gt;"1"),55,17),IF(입력란!$C$30=2,IF(AND(OR(입력란!$C$9=1,입력란!$C$10=1),MID($E299,5,1)&lt;&gt;"1"),60,20),IF(입력란!$C$30=3,IF(AND(OR(입력란!$C$9=1,입력란!$C$10=1),MID($E299,5,1)&lt;&gt;"1"),65,22),0))))/100-1))</f>
        <v>1256278.7958982538</v>
      </c>
      <c r="M299" s="21">
        <f>V299*(1+IF($AK299+IF(AND(입력란!$C$9=1,MID($E299,5,1)&lt;&gt;"1"),10,0)+IF(입력란!$C$26=1,10,0)&gt;100,100,$AK299+IF(AND(입력란!$C$9=1,MID($E299,5,1)&lt;&gt;"1"),10,0)+IF(입력란!$C$26=1,10,0))/100*(($AL299+IF(입력란!$C$30=1,IF(AND(OR(입력란!$C$9=1,입력란!$C$10=1),MID($E299,5,1)&lt;&gt;"1"),55,17),IF(입력란!$C$30=2,IF(AND(OR(입력란!$C$9=1,입력란!$C$10=1),MID($E299,5,1)&lt;&gt;"1"),60,20),IF(입력란!$C$30=3,IF(AND(OR(입력란!$C$9=1,입력란!$C$10=1),MID($E299,5,1)&lt;&gt;"1"),65,22),0))))/100-1))</f>
        <v>1256278.7958982538</v>
      </c>
      <c r="N299" s="21">
        <f>W299*(1+IF($AK299+IF(AND(입력란!$C$9=1,MID($E299,5,1)&lt;&gt;"1"),10,0)+IF(입력란!$C$26=1,10,0)&gt;100,100,$AK299+IF(AND(입력란!$C$9=1,MID($E299,5,1)&lt;&gt;"1"),10,0)+IF(입력란!$C$26=1,10,0))/100*(($AL299+IF(입력란!$C$30=1,IF(AND(OR(입력란!$C$9=1,입력란!$C$10=1),MID($E299,5,1)&lt;&gt;"1"),55,17),IF(입력란!$C$30=2,IF(AND(OR(입력란!$C$9=1,입력란!$C$10=1),MID($E299,5,1)&lt;&gt;"1"),60,20),IF(입력란!$C$30=3,IF(AND(OR(입력란!$C$9=1,입력란!$C$10=1),MID($E299,5,1)&lt;&gt;"1"),65,22),0))))/100-1))</f>
        <v>1256278.7958982538</v>
      </c>
      <c r="O299" s="21"/>
      <c r="P299" s="21"/>
      <c r="Q299" s="105">
        <f>Z299*(1+IF($AK299+IF(입력란!$C$26=1,10,0)&gt;100,100,$AK299+IF(입력란!$C$26=1,10,0))/100*(($AL299+IF(입력란!$C$30=1,17,IF(입력란!$C$30=2,20,IF(입력란!$C$30=3,22,0))))/100-1))</f>
        <v>0</v>
      </c>
      <c r="R299" s="19">
        <f>SUM(S299:Z299)</f>
        <v>3873059.5813495615</v>
      </c>
      <c r="S299" s="21">
        <f>IF(MID($E299,5,1)="1",IF(MID($E299,3,1)="1",$AN299*트라이포드!$P$18*5,IF(MID($E299,3,1)="2",$AN299*트라이포드!$P$18*4,IF(MID($E299,3,1)="3",$AN299*트라이포드!$P$18*4,$AN299))),$AN299)*IF(MID($E299,3,1)="1",IF(MID($E299,5,1)="1",트라이포드!$J$18,트라이포드!$I$18),1)*IF(MID($E299,3,1)="2",트라이포드!$K$18,1)*IF(MID($E299,3,1)="3",트라이포드!$M$18,1)*IF(MID($E299,5,1)="2",트라이포드!$R$18,1)*(1+입력란!$P$17/100)*IF(AND(입력란!$C$9=1,MID($E299,5,1)&lt;&gt;"1"),IF(입력란!$C$15=0,1.05,IF(입력란!$C$15=1,1.05*1.05,IF(입력란!$C$15=2,1.05*1.12,IF(입력란!$C$15=3,1.05*1.25)))),1)</f>
        <v>774611.91626991227</v>
      </c>
      <c r="T299" s="21">
        <f>IF(MID($E299,5,1)="1",IF(MID($E299,3,1)="1",$AN299*트라이포드!$P$18*5,IF(MID($E299,3,1)="2",$AN299*트라이포드!$P$18*4,IF(MID($E299,3,1)="3",$AN299*트라이포드!$P$18*4,$AN299))),$AN299)*IF(MID($E299,3,1)="1",IF(MID($E299,5,1)="1",트라이포드!$J$18,트라이포드!$I$18),1)*IF(MID($E299,3,1)="2",트라이포드!$K$18,1)*IF(MID($E299,3,1)="3",트라이포드!$M$18,1)*IF(MID($E299,5,1)="2",트라이포드!$R$18,1)*(1+입력란!$P$17/100)*IF(AND(입력란!$C$9=1,MID($E299,5,1)&lt;&gt;"1"),IF(입력란!$C$15=0,1.05,IF(입력란!$C$15=1,1.05*1.05,IF(입력란!$C$15=2,1.05*1.12,IF(입력란!$C$15=3,1.05*1.25)))),1)</f>
        <v>774611.91626991227</v>
      </c>
      <c r="U299" s="21">
        <f>IF(MID($E299,5,1)="1",IF(MID($E299,3,1)="1",$AN299*트라이포드!$P$18*5,IF(MID($E299,3,1)="2",$AN299*트라이포드!$P$18*4,IF(MID($E299,3,1)="3",$AN299*트라이포드!$P$18*4,$AN299))),$AN299)*IF(MID($E299,3,1)="1",IF(MID($E299,5,1)="1",트라이포드!$J$18,트라이포드!$I$18),1)*IF(MID($E299,3,1)="2",트라이포드!$K$18,1)*IF(MID($E299,3,1)="3",트라이포드!$M$18,1)*IF(MID($E299,5,1)="2",트라이포드!$R$18,1)*(1+입력란!$P$17/100)*IF(AND(입력란!$C$9=1,MID($E299,5,1)&lt;&gt;"1"),IF(입력란!$C$15=0,1.05,IF(입력란!$C$15=1,1.05*1.05,IF(입력란!$C$15=2,1.05*1.12,IF(입력란!$C$15=3,1.05*1.25)))),1)</f>
        <v>774611.91626991227</v>
      </c>
      <c r="V299" s="21">
        <f>IF(MID($E299,5,1)="1",IF(MID($E299,3,1)="1",$AN299*트라이포드!$P$18*5,IF(MID($E299,3,1)="2",$AN299*트라이포드!$P$18*4,IF(MID($E299,3,1)="3",$AN299*트라이포드!$P$18*4,$AN299))),$AN299)*IF(MID($E299,3,1)="1",IF(MID($E299,5,1)="1",트라이포드!$J$18,트라이포드!$I$18),1)*IF(MID($E299,3,1)="2",트라이포드!$K$18,1)*IF(MID($E299,3,1)="3",트라이포드!$M$18,1)*IF(MID($E299,5,1)="2",트라이포드!$R$18,1)*(1+입력란!$P$17/100)*IF(AND(입력란!$C$9=1,MID($E299,5,1)&lt;&gt;"1"),IF(입력란!$C$15=0,1.05,IF(입력란!$C$15=1,1.05*1.05,IF(입력란!$C$15=2,1.05*1.12,IF(입력란!$C$15=3,1.05*1.25)))),1)</f>
        <v>774611.91626991227</v>
      </c>
      <c r="W299" s="21">
        <f>IF(MID($E299,5,1)="1",IF(MID($E299,3,1)="1",$AN299*트라이포드!$P$18*5,IF(MID($E299,3,1)="2",$AN299*트라이포드!$P$18*4,IF(MID($E299,3,1)="3",$AN299*트라이포드!$P$18*4,$AN299))),$AN299)*IF(MID($E299,3,1)="1",IF(MID($E299,5,1)="1",트라이포드!$J$18,트라이포드!$I$18),1)*IF(MID($E299,3,1)="2",트라이포드!$K$18,1)*IF(MID($E299,3,1)="3",트라이포드!$M$18,1)*IF(MID($E299,5,1)="2",트라이포드!$R$18,0)*(1+입력란!$P$17/100)*IF(AND(입력란!$C$9=1,MID($E299,5,1)&lt;&gt;"1"),IF(입력란!$C$15=0,1.05,IF(입력란!$C$15=1,1.05*1.05,IF(입력란!$C$15=2,1.05*1.12,IF(입력란!$C$15=3,1.05*1.25)))),1)</f>
        <v>774611.91626991227</v>
      </c>
      <c r="X299" s="21"/>
      <c r="Y299" s="21"/>
      <c r="Z299" s="20">
        <f>AN299*IF(MID(E299,3,1)="2",트라이포드!$L$18,IF(MID(E299,3,1)="3",트라이포드!$N$18*12*5,0))*IF(입력란!$C$30=1,1.07,IF(입력란!$C$30=2,1.08,IF(입력란!$C$30=3,1.09,1)))</f>
        <v>0</v>
      </c>
      <c r="AA299" s="21">
        <f>SUM(AB299:AI299)</f>
        <v>3098447.6650796491</v>
      </c>
      <c r="AB299" s="21">
        <f>S299*2</f>
        <v>1549223.8325398245</v>
      </c>
      <c r="AC299" s="21">
        <f>T299*2</f>
        <v>1549223.8325398245</v>
      </c>
      <c r="AD299" s="21"/>
      <c r="AE299" s="21"/>
      <c r="AF299" s="21"/>
      <c r="AG299" s="21"/>
      <c r="AH299" s="21"/>
      <c r="AI299" s="20"/>
      <c r="AJ299" s="21">
        <f>AQ299*(1-입력란!$P$10/100)</f>
        <v>35.567196189119997</v>
      </c>
      <c r="AK29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299" s="21">
        <f>입력란!$P$24+IF(입력란!$C$18=1,10,IF(입력란!$C$18=2,25,IF(입력란!$C$18=3,50,0)))+IF(입력란!$C$23&lt;&gt;0,-12)</f>
        <v>200</v>
      </c>
      <c r="AM299" s="21">
        <f>SUM(AN299:AP299)</f>
        <v>252661.08675641273</v>
      </c>
      <c r="AN299" s="21">
        <f>(VLOOKUP(C299,$B$4:$AJ$7,19,FALSE)+VLOOKUP(C299,$B$8:$AJ$11,19,FALSE)*입력란!$P$4)*IF(G299="근접",IF(MID($E299,5,1)="1",입력란!$P$26,입력란!$P$27),입력란!$P$26)*입력란!$P$25/100</f>
        <v>252661.08675641273</v>
      </c>
      <c r="AO299" s="21"/>
      <c r="AP299" s="21"/>
      <c r="AQ299" s="22">
        <v>36</v>
      </c>
    </row>
    <row r="300" spans="2:43" ht="13.5" customHeight="1" x14ac:dyDescent="0.55000000000000004">
      <c r="B300" s="66">
        <v>285</v>
      </c>
      <c r="C300" s="29">
        <v>10</v>
      </c>
      <c r="D300" s="67" t="s">
        <v>454</v>
      </c>
      <c r="E300" s="27" t="s">
        <v>140</v>
      </c>
      <c r="F300" s="29"/>
      <c r="G300" s="29" t="s">
        <v>458</v>
      </c>
      <c r="H300" s="36">
        <f>I300/AJ300</f>
        <v>264179.81324191572</v>
      </c>
      <c r="I300" s="37">
        <f>SUM(J300:Q300)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300,5,1)&lt;&gt;"1"),1.21,1.07),IF(입력란!$C$30=2,IF(AND(OR(입력란!$C$9=1,입력란!$C$10=1),MID($E300,5,1)&lt;&gt;"1"),1.24,1.08),IF(입력란!$C$30=3,IF(AND(OR(입력란!$C$9=1,입력란!$C$10=1),MID($E300,5,1)&lt;&gt;"1"),1.26,1.09),1)))*(1+입력란!$P$22/100)*IF(입력란!$C$31=1,1.12*1.15,IF(입력란!$C$31=2,1.15*1.18,IF(입력란!$C$31=3,1.17*1.2,1)))*IF(입력란!$C$32=1,1.12,IF(입력란!$C$32=2,1.14,IF(입력란!$C$32=3,1.15,1)))</f>
        <v>9396135.2467802968</v>
      </c>
      <c r="J300" s="21">
        <f>S300*(1+IF($AK300+IF(AND(입력란!$C$9=1,MID($E300,5,1)&lt;&gt;"1"),10,0)+IF(입력란!$C$26=1,10,0)&gt;100,100,$AK300+IF(AND(입력란!$C$9=1,MID($E300,5,1)&lt;&gt;"1"),10,0)+IF(입력란!$C$26=1,10,0))/100*(($AL300+IF(입력란!$C$30=1,IF(AND(OR(입력란!$C$9=1,입력란!$C$10=1),MID($E300,5,1)&lt;&gt;"1"),55,17),IF(입력란!$C$30=2,IF(AND(OR(입력란!$C$9=1,입력란!$C$10=1),MID($E300,5,1)&lt;&gt;"1"),60,20),IF(입력란!$C$30=3,IF(AND(OR(입력란!$C$9=1,입력란!$C$10=1),MID($E300,5,1)&lt;&gt;"1"),65,22),0))))/100-1))</f>
        <v>1663234.7150211819</v>
      </c>
      <c r="K300" s="21">
        <f>T300*(1+IF($AK300+IF(AND(입력란!$C$9=1,MID($E300,5,1)&lt;&gt;"1"),10,0)+IF(입력란!$C$26=1,10,0)&gt;100,100,$AK300+IF(AND(입력란!$C$9=1,MID($E300,5,1)&lt;&gt;"1"),10,0)+IF(입력란!$C$26=1,10,0))/100*(($AL300+IF(입력란!$C$30=1,IF(AND(OR(입력란!$C$9=1,입력란!$C$10=1),MID($E300,5,1)&lt;&gt;"1"),55,17),IF(입력란!$C$30=2,IF(AND(OR(입력란!$C$9=1,입력란!$C$10=1),MID($E300,5,1)&lt;&gt;"1"),60,20),IF(입력란!$C$30=3,IF(AND(OR(입력란!$C$9=1,입력란!$C$10=1),MID($E300,5,1)&lt;&gt;"1"),65,22),0))))/100-1))</f>
        <v>1663234.7150211819</v>
      </c>
      <c r="L300" s="21">
        <f>U300*(1+IF($AK300+IF(AND(입력란!$C$9=1,MID($E300,5,1)&lt;&gt;"1"),10,0)+IF(입력란!$C$26=1,10,0)&gt;100,100,$AK300+IF(AND(입력란!$C$9=1,MID($E300,5,1)&lt;&gt;"1"),10,0)+IF(입력란!$C$26=1,10,0))/100*(($AL300+IF(입력란!$C$30=1,IF(AND(OR(입력란!$C$9=1,입력란!$C$10=1),MID($E300,5,1)&lt;&gt;"1"),55,17),IF(입력란!$C$30=2,IF(AND(OR(입력란!$C$9=1,입력란!$C$10=1),MID($E300,5,1)&lt;&gt;"1"),60,20),IF(입력란!$C$30=3,IF(AND(OR(입력란!$C$9=1,입력란!$C$10=1),MID($E300,5,1)&lt;&gt;"1"),65,22),0))))/100-1))</f>
        <v>1663234.7150211819</v>
      </c>
      <c r="M300" s="21">
        <f>V300*(1+IF($AK300+IF(AND(입력란!$C$9=1,MID($E300,5,1)&lt;&gt;"1"),10,0)+IF(입력란!$C$26=1,10,0)&gt;100,100,$AK300+IF(AND(입력란!$C$9=1,MID($E300,5,1)&lt;&gt;"1"),10,0)+IF(입력란!$C$26=1,10,0))/100*(($AL300+IF(입력란!$C$30=1,IF(AND(OR(입력란!$C$9=1,입력란!$C$10=1),MID($E300,5,1)&lt;&gt;"1"),55,17),IF(입력란!$C$30=2,IF(AND(OR(입력란!$C$9=1,입력란!$C$10=1),MID($E300,5,1)&lt;&gt;"1"),60,20),IF(입력란!$C$30=3,IF(AND(OR(입력란!$C$9=1,입력란!$C$10=1),MID($E300,5,1)&lt;&gt;"1"),65,22),0))))/100-1))</f>
        <v>1663234.7150211819</v>
      </c>
      <c r="N300" s="21">
        <f>W300*(1+IF($AK300+IF(AND(입력란!$C$9=1,MID($E300,5,1)&lt;&gt;"1"),10,0)+IF(입력란!$C$26=1,10,0)&gt;100,100,$AK300+IF(AND(입력란!$C$9=1,MID($E300,5,1)&lt;&gt;"1"),10,0)+IF(입력란!$C$26=1,10,0))/100*(($AL300+IF(입력란!$C$30=1,IF(AND(OR(입력란!$C$9=1,입력란!$C$10=1),MID($E300,5,1)&lt;&gt;"1"),55,17),IF(입력란!$C$30=2,IF(AND(OR(입력란!$C$9=1,입력란!$C$10=1),MID($E300,5,1)&lt;&gt;"1"),60,20),IF(입력란!$C$30=3,IF(AND(OR(입력란!$C$9=1,입력란!$C$10=1),MID($E300,5,1)&lt;&gt;"1"),65,22),0))))/100-1))</f>
        <v>0</v>
      </c>
      <c r="O300" s="21"/>
      <c r="P300" s="21"/>
      <c r="Q300" s="105">
        <f>Z300*(1+IF($AK300+IF(입력란!$C$26=1,10,0)&gt;100,100,$AK300+IF(입력란!$C$26=1,10,0))/100*(($AL300+IF(입력란!$C$30=1,17,IF(입력란!$C$30=2,20,IF(입력란!$C$30=3,22,0))))/100-1))</f>
        <v>1076.6110435889038</v>
      </c>
      <c r="R300" s="19">
        <f>SUM(S300:Z300)</f>
        <v>4372414.9150000941</v>
      </c>
      <c r="S300" s="21">
        <f>IF(MID($E300,5,1)="1",IF(MID($E300,3,1)="1",$AN300*트라이포드!$P$18*5,IF(MID($E300,3,1)="2",$AN300*트라이포드!$P$18*4,IF(MID($E300,3,1)="3",$AN300*트라이포드!$P$18*4,$AN300))),$AN300)*IF(MID($E300,3,1)="1",IF(MID($E300,5,1)="1",트라이포드!$J$18,트라이포드!$I$18),1)*IF(MID($E300,3,1)="2",트라이포드!$K$18,1)*IF(MID($E300,3,1)="3",트라이포드!$M$18,1)*IF(MID($E300,5,1)="2",트라이포드!$R$18,1)*(1+입력란!$P$17/100)*IF(AND(입력란!$C$9=1,MID($E300,5,1)&lt;&gt;"1"),IF(입력란!$C$15=0,1.05,IF(입력란!$C$15=1,1.05*1.05,IF(입력란!$C$15=2,1.05*1.12,IF(입력란!$C$15=3,1.05*1.25)))),1)</f>
        <v>1092926.8659892941</v>
      </c>
      <c r="T300" s="21">
        <f>IF(MID($E300,5,1)="1",IF(MID($E300,3,1)="1",$AN300*트라이포드!$P$18*5,IF(MID($E300,3,1)="2",$AN300*트라이포드!$P$18*4,IF(MID($E300,3,1)="3",$AN300*트라이포드!$P$18*4,$AN300))),$AN300)*IF(MID($E300,3,1)="1",IF(MID($E300,5,1)="1",트라이포드!$J$18,트라이포드!$I$18),1)*IF(MID($E300,3,1)="2",트라이포드!$K$18,1)*IF(MID($E300,3,1)="3",트라이포드!$M$18,1)*IF(MID($E300,5,1)="2",트라이포드!$R$18,1)*(1+입력란!$P$17/100)*IF(AND(입력란!$C$9=1,MID($E300,5,1)&lt;&gt;"1"),IF(입력란!$C$15=0,1.05,IF(입력란!$C$15=1,1.05*1.05,IF(입력란!$C$15=2,1.05*1.12,IF(입력란!$C$15=3,1.05*1.25)))),1)</f>
        <v>1092926.8659892941</v>
      </c>
      <c r="U300" s="21">
        <f>IF(MID($E300,5,1)="1",IF(MID($E300,3,1)="1",$AN300*트라이포드!$P$18*5,IF(MID($E300,3,1)="2",$AN300*트라이포드!$P$18*4,IF(MID($E300,3,1)="3",$AN300*트라이포드!$P$18*4,$AN300))),$AN300)*IF(MID($E300,3,1)="1",IF(MID($E300,5,1)="1",트라이포드!$J$18,트라이포드!$I$18),1)*IF(MID($E300,3,1)="2",트라이포드!$K$18,1)*IF(MID($E300,3,1)="3",트라이포드!$M$18,1)*IF(MID($E300,5,1)="2",트라이포드!$R$18,1)*(1+입력란!$P$17/100)*IF(AND(입력란!$C$9=1,MID($E300,5,1)&lt;&gt;"1"),IF(입력란!$C$15=0,1.05,IF(입력란!$C$15=1,1.05*1.05,IF(입력란!$C$15=2,1.05*1.12,IF(입력란!$C$15=3,1.05*1.25)))),1)</f>
        <v>1092926.8659892941</v>
      </c>
      <c r="V300" s="21">
        <f>IF(MID($E300,5,1)="1",IF(MID($E300,3,1)="1",$AN300*트라이포드!$P$18*5,IF(MID($E300,3,1)="2",$AN300*트라이포드!$P$18*4,IF(MID($E300,3,1)="3",$AN300*트라이포드!$P$18*4,$AN300))),$AN300)*IF(MID($E300,3,1)="1",IF(MID($E300,5,1)="1",트라이포드!$J$18,트라이포드!$I$18),1)*IF(MID($E300,3,1)="2",트라이포드!$K$18,1)*IF(MID($E300,3,1)="3",트라이포드!$M$18,1)*IF(MID($E300,5,1)="2",트라이포드!$R$18,1)*(1+입력란!$P$17/100)*IF(AND(입력란!$C$9=1,MID($E300,5,1)&lt;&gt;"1"),IF(입력란!$C$15=0,1.05,IF(입력란!$C$15=1,1.05*1.05,IF(입력란!$C$15=2,1.05*1.12,IF(입력란!$C$15=3,1.05*1.25)))),1)</f>
        <v>1092926.8659892941</v>
      </c>
      <c r="W300" s="21">
        <f>IF(MID($E300,5,1)="1",IF(MID($E300,3,1)="1",$AN300*트라이포드!$P$18*5,IF(MID($E300,3,1)="2",$AN300*트라이포드!$P$18*4,IF(MID($E300,3,1)="3",$AN300*트라이포드!$P$18*4,$AN300))),$AN300)*IF(MID($E300,3,1)="1",IF(MID($E300,5,1)="1",트라이포드!$J$18,트라이포드!$I$18),1)*IF(MID($E300,3,1)="2",트라이포드!$K$18,1)*IF(MID($E300,3,1)="3",트라이포드!$M$18,1)*IF(MID($E300,5,1)="2",트라이포드!$R$18,0)*(1+입력란!$P$17/100)*IF(AND(입력란!$C$9=1,MID($E300,5,1)&lt;&gt;"1"),IF(입력란!$C$15=0,1.05,IF(입력란!$C$15=1,1.05*1.05,IF(입력란!$C$15=2,1.05*1.12,IF(입력란!$C$15=3,1.05*1.25)))),1)</f>
        <v>0</v>
      </c>
      <c r="X300" s="21"/>
      <c r="Y300" s="21"/>
      <c r="Z300" s="20">
        <f>AN300*IF(MID(E300,3,1)="2",트라이포드!$L$18,IF(MID(E300,3,1)="3",트라이포드!$N$18*12*5,0))*IF(입력란!$C$30=1,1.07,IF(입력란!$C$30=2,1.08,IF(입력란!$C$30=3,1.09,1)))</f>
        <v>707.45104291795565</v>
      </c>
      <c r="AA300" s="21">
        <f>SUM(AB300:AI300)</f>
        <v>4371707.4639571765</v>
      </c>
      <c r="AB300" s="21">
        <f>S300*2</f>
        <v>2185853.7319785883</v>
      </c>
      <c r="AC300" s="21">
        <f>T300*2</f>
        <v>2185853.7319785883</v>
      </c>
      <c r="AD300" s="21"/>
      <c r="AE300" s="21"/>
      <c r="AF300" s="21"/>
      <c r="AG300" s="21"/>
      <c r="AH300" s="21"/>
      <c r="AI300" s="20"/>
      <c r="AJ300" s="21">
        <f>AQ300*(1-입력란!$P$10/100)</f>
        <v>35.567196189119997</v>
      </c>
      <c r="AK30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0" s="21">
        <f>입력란!$P$24+IF(입력란!$C$18=1,10,IF(입력란!$C$18=2,25,IF(입력란!$C$18=3,50,0)))+IF(입력란!$C$23&lt;&gt;0,-12)</f>
        <v>200</v>
      </c>
      <c r="AM300" s="21">
        <f>SUM(AN300:AP300)</f>
        <v>126330.54337820636</v>
      </c>
      <c r="AN300" s="21">
        <f>(VLOOKUP(C300,$B$4:$AJ$7,19,FALSE)+VLOOKUP(C300,$B$8:$AJ$11,19,FALSE)*입력란!$P$4)*IF(G300="근접",IF(MID($E300,5,1)="1",입력란!$P$26,입력란!$P$27),입력란!$P$26)*입력란!$P$25/100</f>
        <v>126330.54337820636</v>
      </c>
      <c r="AO300" s="21"/>
      <c r="AP300" s="21"/>
      <c r="AQ300" s="22">
        <v>36</v>
      </c>
    </row>
    <row r="301" spans="2:43" ht="13.5" customHeight="1" x14ac:dyDescent="0.55000000000000004">
      <c r="B301" s="66">
        <v>286</v>
      </c>
      <c r="C301" s="29">
        <v>10</v>
      </c>
      <c r="D301" s="67" t="s">
        <v>454</v>
      </c>
      <c r="E301" s="27" t="s">
        <v>147</v>
      </c>
      <c r="F301" s="29"/>
      <c r="G301" s="29" t="s">
        <v>458</v>
      </c>
      <c r="H301" s="36">
        <f>I301/AJ301</f>
        <v>249471.36558554973</v>
      </c>
      <c r="I301" s="37">
        <f>SUM(J301:Q301)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301,5,1)&lt;&gt;"1"),1.21,1.07),IF(입력란!$C$30=2,IF(AND(OR(입력란!$C$9=1,입력란!$C$10=1),MID($E301,5,1)&lt;&gt;"1"),1.24,1.08),IF(입력란!$C$30=3,IF(AND(OR(입력란!$C$9=1,입력란!$C$10=1),MID($E301,5,1)&lt;&gt;"1"),1.26,1.09),1)))*(1+입력란!$P$22/100)*IF(입력란!$C$31=1,1.12*1.15,IF(입력란!$C$31=2,1.15*1.18,IF(입력란!$C$31=3,1.17*1.2,1)))*IF(입력란!$C$32=1,1.12,IF(입력란!$C$32=2,1.14,IF(입력란!$C$32=3,1.15,1)))</f>
        <v>8872997.0033489261</v>
      </c>
      <c r="J301" s="21">
        <f>S301*(1+IF($AK301+IF(AND(입력란!$C$9=1,MID($E301,5,1)&lt;&gt;"1"),10,0)+IF(입력란!$C$26=1,10,0)&gt;100,100,$AK301+IF(AND(입력란!$C$9=1,MID($E301,5,1)&lt;&gt;"1"),10,0)+IF(입력란!$C$26=1,10,0))/100*(($AL301+IF(입력란!$C$30=1,IF(AND(OR(입력란!$C$9=1,입력란!$C$10=1),MID($E301,5,1)&lt;&gt;"1"),55,17),IF(입력란!$C$30=2,IF(AND(OR(입력란!$C$9=1,입력란!$C$10=1),MID($E301,5,1)&lt;&gt;"1"),60,20),IF(입력란!$C$30=3,IF(AND(OR(입력란!$C$9=1,입력란!$C$10=1),MID($E301,5,1)&lt;&gt;"1"),65,22),0))))/100-1))</f>
        <v>1256278.7958982538</v>
      </c>
      <c r="K301" s="21">
        <f>T301*(1+IF($AK301+IF(AND(입력란!$C$9=1,MID($E301,5,1)&lt;&gt;"1"),10,0)+IF(입력란!$C$26=1,10,0)&gt;100,100,$AK301+IF(AND(입력란!$C$9=1,MID($E301,5,1)&lt;&gt;"1"),10,0)+IF(입력란!$C$26=1,10,0))/100*(($AL301+IF(입력란!$C$30=1,IF(AND(OR(입력란!$C$9=1,입력란!$C$10=1),MID($E301,5,1)&lt;&gt;"1"),55,17),IF(입력란!$C$30=2,IF(AND(OR(입력란!$C$9=1,입력란!$C$10=1),MID($E301,5,1)&lt;&gt;"1"),60,20),IF(입력란!$C$30=3,IF(AND(OR(입력란!$C$9=1,입력란!$C$10=1),MID($E301,5,1)&lt;&gt;"1"),65,22),0))))/100-1))</f>
        <v>1256278.7958982538</v>
      </c>
      <c r="L301" s="21">
        <f>U301*(1+IF($AK301+IF(AND(입력란!$C$9=1,MID($E301,5,1)&lt;&gt;"1"),10,0)+IF(입력란!$C$26=1,10,0)&gt;100,100,$AK301+IF(AND(입력란!$C$9=1,MID($E301,5,1)&lt;&gt;"1"),10,0)+IF(입력란!$C$26=1,10,0))/100*(($AL301+IF(입력란!$C$30=1,IF(AND(OR(입력란!$C$9=1,입력란!$C$10=1),MID($E301,5,1)&lt;&gt;"1"),55,17),IF(입력란!$C$30=2,IF(AND(OR(입력란!$C$9=1,입력란!$C$10=1),MID($E301,5,1)&lt;&gt;"1"),60,20),IF(입력란!$C$30=3,IF(AND(OR(입력란!$C$9=1,입력란!$C$10=1),MID($E301,5,1)&lt;&gt;"1"),65,22),0))))/100-1))</f>
        <v>1256278.7958982538</v>
      </c>
      <c r="M301" s="21">
        <f>V301*(1+IF($AK301+IF(AND(입력란!$C$9=1,MID($E301,5,1)&lt;&gt;"1"),10,0)+IF(입력란!$C$26=1,10,0)&gt;100,100,$AK301+IF(AND(입력란!$C$9=1,MID($E301,5,1)&lt;&gt;"1"),10,0)+IF(입력란!$C$26=1,10,0))/100*(($AL301+IF(입력란!$C$30=1,IF(AND(OR(입력란!$C$9=1,입력란!$C$10=1),MID($E301,5,1)&lt;&gt;"1"),55,17),IF(입력란!$C$30=2,IF(AND(OR(입력란!$C$9=1,입력란!$C$10=1),MID($E301,5,1)&lt;&gt;"1"),60,20),IF(입력란!$C$30=3,IF(AND(OR(입력란!$C$9=1,입력란!$C$10=1),MID($E301,5,1)&lt;&gt;"1"),65,22),0))))/100-1))</f>
        <v>1256278.7958982538</v>
      </c>
      <c r="N301" s="21">
        <f>W301*(1+IF($AK301+IF(AND(입력란!$C$9=1,MID($E301,5,1)&lt;&gt;"1"),10,0)+IF(입력란!$C$26=1,10,0)&gt;100,100,$AK301+IF(AND(입력란!$C$9=1,MID($E301,5,1)&lt;&gt;"1"),10,0)+IF(입력란!$C$26=1,10,0))/100*(($AL301+IF(입력란!$C$30=1,IF(AND(OR(입력란!$C$9=1,입력란!$C$10=1),MID($E301,5,1)&lt;&gt;"1"),55,17),IF(입력란!$C$30=2,IF(AND(OR(입력란!$C$9=1,입력란!$C$10=1),MID($E301,5,1)&lt;&gt;"1"),60,20),IF(입력란!$C$30=3,IF(AND(OR(입력란!$C$9=1,입력란!$C$10=1),MID($E301,5,1)&lt;&gt;"1"),65,22),0))))/100-1))</f>
        <v>1256278.7958982538</v>
      </c>
      <c r="O301" s="21"/>
      <c r="P301" s="21"/>
      <c r="Q301" s="105">
        <f>Z301*(1+IF($AK301+IF(입력란!$C$26=1,10,0)&gt;100,100,$AK301+IF(입력란!$C$26=1,10,0))/100*(($AL301+IF(입력란!$C$30=1,17,IF(입력란!$C$30=2,20,IF(입력란!$C$30=3,22,0))))/100-1))</f>
        <v>2153.2220871778077</v>
      </c>
      <c r="R301" s="19">
        <f>SUM(S301:Z301)</f>
        <v>3874474.4834353975</v>
      </c>
      <c r="S301" s="21">
        <f>IF(MID($E301,5,1)="1",IF(MID($E301,3,1)="1",$AN301*트라이포드!$P$18*5,IF(MID($E301,3,1)="2",$AN301*트라이포드!$P$18*4,IF(MID($E301,3,1)="3",$AN301*트라이포드!$P$18*4,$AN301))),$AN301)*IF(MID($E301,3,1)="1",IF(MID($E301,5,1)="1",트라이포드!$J$18,트라이포드!$I$18),1)*IF(MID($E301,3,1)="2",트라이포드!$K$18,1)*IF(MID($E301,3,1)="3",트라이포드!$M$18,1)*IF(MID($E301,5,1)="2",트라이포드!$R$18,1)*(1+입력란!$P$17/100)*IF(AND(입력란!$C$9=1,MID($E301,5,1)&lt;&gt;"1"),IF(입력란!$C$15=0,1.05,IF(입력란!$C$15=1,1.05*1.05,IF(입력란!$C$15=2,1.05*1.12,IF(입력란!$C$15=3,1.05*1.25)))),1)</f>
        <v>774611.91626991227</v>
      </c>
      <c r="T301" s="21">
        <f>IF(MID($E301,5,1)="1",IF(MID($E301,3,1)="1",$AN301*트라이포드!$P$18*5,IF(MID($E301,3,1)="2",$AN301*트라이포드!$P$18*4,IF(MID($E301,3,1)="3",$AN301*트라이포드!$P$18*4,$AN301))),$AN301)*IF(MID($E301,3,1)="1",IF(MID($E301,5,1)="1",트라이포드!$J$18,트라이포드!$I$18),1)*IF(MID($E301,3,1)="2",트라이포드!$K$18,1)*IF(MID($E301,3,1)="3",트라이포드!$M$18,1)*IF(MID($E301,5,1)="2",트라이포드!$R$18,1)*(1+입력란!$P$17/100)*IF(AND(입력란!$C$9=1,MID($E301,5,1)&lt;&gt;"1"),IF(입력란!$C$15=0,1.05,IF(입력란!$C$15=1,1.05*1.05,IF(입력란!$C$15=2,1.05*1.12,IF(입력란!$C$15=3,1.05*1.25)))),1)</f>
        <v>774611.91626991227</v>
      </c>
      <c r="U301" s="21">
        <f>IF(MID($E301,5,1)="1",IF(MID($E301,3,1)="1",$AN301*트라이포드!$P$18*5,IF(MID($E301,3,1)="2",$AN301*트라이포드!$P$18*4,IF(MID($E301,3,1)="3",$AN301*트라이포드!$P$18*4,$AN301))),$AN301)*IF(MID($E301,3,1)="1",IF(MID($E301,5,1)="1",트라이포드!$J$18,트라이포드!$I$18),1)*IF(MID($E301,3,1)="2",트라이포드!$K$18,1)*IF(MID($E301,3,1)="3",트라이포드!$M$18,1)*IF(MID($E301,5,1)="2",트라이포드!$R$18,1)*(1+입력란!$P$17/100)*IF(AND(입력란!$C$9=1,MID($E301,5,1)&lt;&gt;"1"),IF(입력란!$C$15=0,1.05,IF(입력란!$C$15=1,1.05*1.05,IF(입력란!$C$15=2,1.05*1.12,IF(입력란!$C$15=3,1.05*1.25)))),1)</f>
        <v>774611.91626991227</v>
      </c>
      <c r="V301" s="21">
        <f>IF(MID($E301,5,1)="1",IF(MID($E301,3,1)="1",$AN301*트라이포드!$P$18*5,IF(MID($E301,3,1)="2",$AN301*트라이포드!$P$18*4,IF(MID($E301,3,1)="3",$AN301*트라이포드!$P$18*4,$AN301))),$AN301)*IF(MID($E301,3,1)="1",IF(MID($E301,5,1)="1",트라이포드!$J$18,트라이포드!$I$18),1)*IF(MID($E301,3,1)="2",트라이포드!$K$18,1)*IF(MID($E301,3,1)="3",트라이포드!$M$18,1)*IF(MID($E301,5,1)="2",트라이포드!$R$18,1)*(1+입력란!$P$17/100)*IF(AND(입력란!$C$9=1,MID($E301,5,1)&lt;&gt;"1"),IF(입력란!$C$15=0,1.05,IF(입력란!$C$15=1,1.05*1.05,IF(입력란!$C$15=2,1.05*1.12,IF(입력란!$C$15=3,1.05*1.25)))),1)</f>
        <v>774611.91626991227</v>
      </c>
      <c r="W301" s="21">
        <f>IF(MID($E301,5,1)="1",IF(MID($E301,3,1)="1",$AN301*트라이포드!$P$18*5,IF(MID($E301,3,1)="2",$AN301*트라이포드!$P$18*4,IF(MID($E301,3,1)="3",$AN301*트라이포드!$P$18*4,$AN301))),$AN301)*IF(MID($E301,3,1)="1",IF(MID($E301,5,1)="1",트라이포드!$J$18,트라이포드!$I$18),1)*IF(MID($E301,3,1)="2",트라이포드!$K$18,1)*IF(MID($E301,3,1)="3",트라이포드!$M$18,1)*IF(MID($E301,5,1)="2",트라이포드!$R$18,0)*(1+입력란!$P$17/100)*IF(AND(입력란!$C$9=1,MID($E301,5,1)&lt;&gt;"1"),IF(입력란!$C$15=0,1.05,IF(입력란!$C$15=1,1.05*1.05,IF(입력란!$C$15=2,1.05*1.12,IF(입력란!$C$15=3,1.05*1.25)))),1)</f>
        <v>774611.91626991227</v>
      </c>
      <c r="X301" s="21"/>
      <c r="Y301" s="21"/>
      <c r="Z301" s="20">
        <f>AN301*IF(MID(E301,3,1)="2",트라이포드!$L$18,IF(MID(E301,3,1)="3",트라이포드!$N$18*12*5,0))*IF(입력란!$C$30=1,1.07,IF(입력란!$C$30=2,1.08,IF(입력란!$C$30=3,1.09,1)))</f>
        <v>1414.9020858359113</v>
      </c>
      <c r="AA301" s="21">
        <f>SUM(AB301:AI301)</f>
        <v>3098447.6650796491</v>
      </c>
      <c r="AB301" s="21">
        <f>S301*2</f>
        <v>1549223.8325398245</v>
      </c>
      <c r="AC301" s="21">
        <f>T301*2</f>
        <v>1549223.8325398245</v>
      </c>
      <c r="AD301" s="21"/>
      <c r="AE301" s="21"/>
      <c r="AF301" s="21"/>
      <c r="AG301" s="21"/>
      <c r="AH301" s="21"/>
      <c r="AI301" s="20"/>
      <c r="AJ301" s="21">
        <f>AQ301*(1-입력란!$P$10/100)</f>
        <v>35.567196189119997</v>
      </c>
      <c r="AK30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1" s="21">
        <f>입력란!$P$24+IF(입력란!$C$18=1,10,IF(입력란!$C$18=2,25,IF(입력란!$C$18=3,50,0)))+IF(입력란!$C$23&lt;&gt;0,-12)</f>
        <v>200</v>
      </c>
      <c r="AM301" s="21">
        <f>SUM(AN301:AP301)</f>
        <v>252661.08675641273</v>
      </c>
      <c r="AN301" s="21">
        <f>(VLOOKUP(C301,$B$4:$AJ$7,19,FALSE)+VLOOKUP(C301,$B$8:$AJ$11,19,FALSE)*입력란!$P$4)*IF(G301="근접",IF(MID($E301,5,1)="1",입력란!$P$26,입력란!$P$27),입력란!$P$26)*입력란!$P$25/100</f>
        <v>252661.08675641273</v>
      </c>
      <c r="AO301" s="21"/>
      <c r="AP301" s="21"/>
      <c r="AQ301" s="22">
        <v>36</v>
      </c>
    </row>
    <row r="302" spans="2:43" ht="13.5" customHeight="1" x14ac:dyDescent="0.55000000000000004">
      <c r="B302" s="66">
        <v>287</v>
      </c>
      <c r="C302" s="29">
        <v>10</v>
      </c>
      <c r="D302" s="67" t="s">
        <v>454</v>
      </c>
      <c r="E302" s="27" t="s">
        <v>126</v>
      </c>
      <c r="F302" s="29"/>
      <c r="G302" s="29" t="s">
        <v>458</v>
      </c>
      <c r="H302" s="36">
        <f>I302/AJ302</f>
        <v>175467.94296148492</v>
      </c>
      <c r="I302" s="37">
        <f>SUM(J302:Q302)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302,5,1)&lt;&gt;"1"),1.21,1.07),IF(입력란!$C$30=2,IF(AND(OR(입력란!$C$9=1,입력란!$C$10=1),MID($E302,5,1)&lt;&gt;"1"),1.24,1.08),IF(입력란!$C$30=3,IF(AND(OR(입력란!$C$9=1,입력란!$C$10=1),MID($E302,5,1)&lt;&gt;"1"),1.26,1.09),1)))*(1+입력란!$P$22/100)*IF(입력란!$C$31=1,1.12*1.15,IF(입력란!$C$31=2,1.15*1.18,IF(입력란!$C$31=3,1.17*1.2,1)))*IF(입력란!$C$32=1,1.12,IF(입력란!$C$32=2,1.14,IF(입력란!$C$32=3,1.15,1)))</f>
        <v>6240902.7522124518</v>
      </c>
      <c r="J302" s="21">
        <f>S302*(1+IF($AK302+IF(AND(입력란!$C$9=1,MID($E302,5,1)&lt;&gt;"1"),10,0)+IF(입력란!$C$26=1,10,0)&gt;100,100,$AK302+IF(AND(입력란!$C$9=1,MID($E302,5,1)&lt;&gt;"1"),10,0)+IF(입력란!$C$26=1,10,0))/100*(($AL302+IF(입력란!$C$30=1,IF(AND(OR(입력란!$C$9=1,입력란!$C$10=1),MID($E302,5,1)&lt;&gt;"1"),55,17),IF(입력란!$C$30=2,IF(AND(OR(입력란!$C$9=1,입력란!$C$10=1),MID($E302,5,1)&lt;&gt;"1"),60,20),IF(입력란!$C$30=3,IF(AND(OR(입력란!$C$9=1,입력란!$C$10=1),MID($E302,5,1)&lt;&gt;"1"),65,22),0))))/100-1))</f>
        <v>1047221.8576059294</v>
      </c>
      <c r="K302" s="21">
        <f>T302*(1+IF($AK302+IF(AND(입력란!$C$9=1,MID($E302,5,1)&lt;&gt;"1"),10,0)+IF(입력란!$C$26=1,10,0)&gt;100,100,$AK302+IF(AND(입력란!$C$9=1,MID($E302,5,1)&lt;&gt;"1"),10,0)+IF(입력란!$C$26=1,10,0))/100*(($AL302+IF(입력란!$C$30=1,IF(AND(OR(입력란!$C$9=1,입력란!$C$10=1),MID($E302,5,1)&lt;&gt;"1"),55,17),IF(입력란!$C$30=2,IF(AND(OR(입력란!$C$9=1,입력란!$C$10=1),MID($E302,5,1)&lt;&gt;"1"),60,20),IF(입력란!$C$30=3,IF(AND(OR(입력란!$C$9=1,입력란!$C$10=1),MID($E302,5,1)&lt;&gt;"1"),65,22),0))))/100-1))</f>
        <v>1047221.8576059294</v>
      </c>
      <c r="L302" s="21">
        <f>U302*(1+IF($AK302+IF(AND(입력란!$C$9=1,MID($E302,5,1)&lt;&gt;"1"),10,0)+IF(입력란!$C$26=1,10,0)&gt;100,100,$AK302+IF(AND(입력란!$C$9=1,MID($E302,5,1)&lt;&gt;"1"),10,0)+IF(입력란!$C$26=1,10,0))/100*(($AL302+IF(입력란!$C$30=1,IF(AND(OR(입력란!$C$9=1,입력란!$C$10=1),MID($E302,5,1)&lt;&gt;"1"),55,17),IF(입력란!$C$30=2,IF(AND(OR(입력란!$C$9=1,입력란!$C$10=1),MID($E302,5,1)&lt;&gt;"1"),60,20),IF(입력란!$C$30=3,IF(AND(OR(입력란!$C$9=1,입력란!$C$10=1),MID($E302,5,1)&lt;&gt;"1"),65,22),0))))/100-1))</f>
        <v>1047221.8576059294</v>
      </c>
      <c r="M302" s="21">
        <f>V302*(1+IF($AK302+IF(AND(입력란!$C$9=1,MID($E302,5,1)&lt;&gt;"1"),10,0)+IF(입력란!$C$26=1,10,0)&gt;100,100,$AK302+IF(AND(입력란!$C$9=1,MID($E302,5,1)&lt;&gt;"1"),10,0)+IF(입력란!$C$26=1,10,0))/100*(($AL302+IF(입력란!$C$30=1,IF(AND(OR(입력란!$C$9=1,입력란!$C$10=1),MID($E302,5,1)&lt;&gt;"1"),55,17),IF(입력란!$C$30=2,IF(AND(OR(입력란!$C$9=1,입력란!$C$10=1),MID($E302,5,1)&lt;&gt;"1"),60,20),IF(입력란!$C$30=3,IF(AND(OR(입력란!$C$9=1,입력란!$C$10=1),MID($E302,5,1)&lt;&gt;"1"),65,22),0))))/100-1))</f>
        <v>1047221.8576059294</v>
      </c>
      <c r="N302" s="21">
        <f>W302*(1+IF($AK302+IF(AND(입력란!$C$9=1,MID($E302,5,1)&lt;&gt;"1"),10,0)+IF(입력란!$C$26=1,10,0)&gt;100,100,$AK302+IF(AND(입력란!$C$9=1,MID($E302,5,1)&lt;&gt;"1"),10,0)+IF(입력란!$C$26=1,10,0))/100*(($AL302+IF(입력란!$C$30=1,IF(AND(OR(입력란!$C$9=1,입력란!$C$10=1),MID($E302,5,1)&lt;&gt;"1"),55,17),IF(입력란!$C$30=2,IF(AND(OR(입력란!$C$9=1,입력란!$C$10=1),MID($E302,5,1)&lt;&gt;"1"),60,20),IF(입력란!$C$30=3,IF(AND(OR(입력란!$C$9=1,입력란!$C$10=1),MID($E302,5,1)&lt;&gt;"1"),65,22),0))))/100-1))</f>
        <v>0</v>
      </c>
      <c r="O302" s="21"/>
      <c r="P302" s="21"/>
      <c r="Q302" s="105">
        <f>Z302*(1+IF($AK302+IF(입력란!$C$26=1,10,0)&gt;100,100,$AK302+IF(입력란!$C$26=1,10,0))/100*(($AL302+IF(입력란!$C$30=1,17,IF(입력란!$C$30=2,20,IF(입력란!$C$30=3,22,0))))/100-1))</f>
        <v>230702.36648333649</v>
      </c>
      <c r="R302" s="19">
        <f>SUM(S302:Z302)</f>
        <v>2904153.2034342918</v>
      </c>
      <c r="S302" s="21">
        <f>IF(MID($E302,5,1)="1",IF(MID($E302,3,1)="1",$AN302*트라이포드!$P$18*5,IF(MID($E302,3,1)="2",$AN302*트라이포드!$P$18*4,IF(MID($E302,3,1)="3",$AN302*트라이포드!$P$18*4,$AN302))),$AN302)*IF(MID($E302,3,1)="1",IF(MID($E302,5,1)="1",트라이포드!$J$18,트라이포드!$I$18),1)*IF(MID($E302,3,1)="2",트라이포드!$K$18,1)*IF(MID($E302,3,1)="3",트라이포드!$M$18,1)*IF(MID($E302,5,1)="2",트라이포드!$R$18,1)*(1+입력란!$P$17/100)*IF(AND(입력란!$C$9=1,MID($E302,5,1)&lt;&gt;"1"),IF(입력란!$C$15=0,1.05,IF(입력란!$C$15=1,1.05*1.05,IF(입력란!$C$15=2,1.05*1.12,IF(입력란!$C$15=3,1.05*1.25)))),1)</f>
        <v>688139.13784511108</v>
      </c>
      <c r="T302" s="21">
        <f>IF(MID($E302,5,1)="1",IF(MID($E302,3,1)="1",$AN302*트라이포드!$P$18*5,IF(MID($E302,3,1)="2",$AN302*트라이포드!$P$18*4,IF(MID($E302,3,1)="3",$AN302*트라이포드!$P$18*4,$AN302))),$AN302)*IF(MID($E302,3,1)="1",IF(MID($E302,5,1)="1",트라이포드!$J$18,트라이포드!$I$18),1)*IF(MID($E302,3,1)="2",트라이포드!$K$18,1)*IF(MID($E302,3,1)="3",트라이포드!$M$18,1)*IF(MID($E302,5,1)="2",트라이포드!$R$18,1)*(1+입력란!$P$17/100)*IF(AND(입력란!$C$9=1,MID($E302,5,1)&lt;&gt;"1"),IF(입력란!$C$15=0,1.05,IF(입력란!$C$15=1,1.05*1.05,IF(입력란!$C$15=2,1.05*1.12,IF(입력란!$C$15=3,1.05*1.25)))),1)</f>
        <v>688139.13784511108</v>
      </c>
      <c r="U302" s="21">
        <f>IF(MID($E302,5,1)="1",IF(MID($E302,3,1)="1",$AN302*트라이포드!$P$18*5,IF(MID($E302,3,1)="2",$AN302*트라이포드!$P$18*4,IF(MID($E302,3,1)="3",$AN302*트라이포드!$P$18*4,$AN302))),$AN302)*IF(MID($E302,3,1)="1",IF(MID($E302,5,1)="1",트라이포드!$J$18,트라이포드!$I$18),1)*IF(MID($E302,3,1)="2",트라이포드!$K$18,1)*IF(MID($E302,3,1)="3",트라이포드!$M$18,1)*IF(MID($E302,5,1)="2",트라이포드!$R$18,1)*(1+입력란!$P$17/100)*IF(AND(입력란!$C$9=1,MID($E302,5,1)&lt;&gt;"1"),IF(입력란!$C$15=0,1.05,IF(입력란!$C$15=1,1.05*1.05,IF(입력란!$C$15=2,1.05*1.12,IF(입력란!$C$15=3,1.05*1.25)))),1)</f>
        <v>688139.13784511108</v>
      </c>
      <c r="V302" s="21">
        <f>IF(MID($E302,5,1)="1",IF(MID($E302,3,1)="1",$AN302*트라이포드!$P$18*5,IF(MID($E302,3,1)="2",$AN302*트라이포드!$P$18*4,IF(MID($E302,3,1)="3",$AN302*트라이포드!$P$18*4,$AN302))),$AN302)*IF(MID($E302,3,1)="1",IF(MID($E302,5,1)="1",트라이포드!$J$18,트라이포드!$I$18),1)*IF(MID($E302,3,1)="2",트라이포드!$K$18,1)*IF(MID($E302,3,1)="3",트라이포드!$M$18,1)*IF(MID($E302,5,1)="2",트라이포드!$R$18,1)*(1+입력란!$P$17/100)*IF(AND(입력란!$C$9=1,MID($E302,5,1)&lt;&gt;"1"),IF(입력란!$C$15=0,1.05,IF(입력란!$C$15=1,1.05*1.05,IF(입력란!$C$15=2,1.05*1.12,IF(입력란!$C$15=3,1.05*1.25)))),1)</f>
        <v>688139.13784511108</v>
      </c>
      <c r="W302" s="21">
        <f>IF(MID($E302,5,1)="1",IF(MID($E302,3,1)="1",$AN302*트라이포드!$P$18*5,IF(MID($E302,3,1)="2",$AN302*트라이포드!$P$18*4,IF(MID($E302,3,1)="3",$AN302*트라이포드!$P$18*4,$AN302))),$AN302)*IF(MID($E302,3,1)="1",IF(MID($E302,5,1)="1",트라이포드!$J$18,트라이포드!$I$18),1)*IF(MID($E302,3,1)="2",트라이포드!$K$18,1)*IF(MID($E302,3,1)="3",트라이포드!$M$18,1)*IF(MID($E302,5,1)="2",트라이포드!$R$18,0)*(1+입력란!$P$17/100)*IF(AND(입력란!$C$9=1,MID($E302,5,1)&lt;&gt;"1"),IF(입력란!$C$15=0,1.05,IF(입력란!$C$15=1,1.05*1.05,IF(입력란!$C$15=2,1.05*1.12,IF(입력란!$C$15=3,1.05*1.25)))),1)</f>
        <v>0</v>
      </c>
      <c r="X302" s="21"/>
      <c r="Y302" s="21"/>
      <c r="Z302" s="20">
        <f>AN302*IF(MID(E302,3,1)="2",트라이포드!$L$18,IF(MID(E302,3,1)="3",트라이포드!$N$18*12*5,0))*IF(입력란!$C$30=1,1.07,IF(입력란!$C$30=2,1.08,IF(입력란!$C$30=3,1.09,1)))</f>
        <v>151596.65205384762</v>
      </c>
      <c r="AA302" s="21">
        <f>SUM(AB302:AI302)</f>
        <v>2752556.5513804443</v>
      </c>
      <c r="AB302" s="21">
        <f>S302*2</f>
        <v>1376278.2756902222</v>
      </c>
      <c r="AC302" s="21">
        <f>T302*2</f>
        <v>1376278.2756902222</v>
      </c>
      <c r="AD302" s="21"/>
      <c r="AE302" s="21"/>
      <c r="AF302" s="21"/>
      <c r="AG302" s="21"/>
      <c r="AH302" s="21"/>
      <c r="AI302" s="20"/>
      <c r="AJ302" s="21">
        <f>AQ302*(1-입력란!$P$10/100)</f>
        <v>35.567196189119997</v>
      </c>
      <c r="AK30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2" s="21">
        <f>입력란!$P$24+IF(입력란!$C$18=1,10,IF(입력란!$C$18=2,25,IF(입력란!$C$18=3,50,0)))+IF(입력란!$C$23&lt;&gt;0,-12)</f>
        <v>200</v>
      </c>
      <c r="AM302" s="21">
        <f>SUM(AN302:AP302)</f>
        <v>126330.54337820636</v>
      </c>
      <c r="AN302" s="21">
        <f>(VLOOKUP(C302,$B$4:$AJ$7,19,FALSE)+VLOOKUP(C302,$B$8:$AJ$11,19,FALSE)*입력란!$P$4)*IF(G302="근접",IF(MID($E302,5,1)="1",입력란!$P$26,입력란!$P$27),입력란!$P$26)*입력란!$P$25/100</f>
        <v>126330.54337820636</v>
      </c>
      <c r="AO302" s="21"/>
      <c r="AP302" s="21"/>
      <c r="AQ302" s="22">
        <v>36</v>
      </c>
    </row>
    <row r="303" spans="2:43" ht="13.5" customHeight="1" x14ac:dyDescent="0.55000000000000004">
      <c r="B303" s="66">
        <v>288</v>
      </c>
      <c r="C303" s="29">
        <v>10</v>
      </c>
      <c r="D303" s="67" t="s">
        <v>454</v>
      </c>
      <c r="E303" s="27" t="s">
        <v>127</v>
      </c>
      <c r="F303" s="29"/>
      <c r="G303" s="29" t="s">
        <v>458</v>
      </c>
      <c r="H303" s="36">
        <f>I303/AJ303</f>
        <v>175339.57350553319</v>
      </c>
      <c r="I303" s="37">
        <f>SUM(J303:Q303)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303,5,1)&lt;&gt;"1"),1.21,1.07),IF(입력란!$C$30=2,IF(AND(OR(입력란!$C$9=1,입력란!$C$10=1),MID($E303,5,1)&lt;&gt;"1"),1.24,1.08),IF(입력란!$C$30=3,IF(AND(OR(입력란!$C$9=1,입력란!$C$10=1),MID($E303,5,1)&lt;&gt;"1"),1.26,1.09),1)))*(1+입력란!$P$22/100)*IF(입력란!$C$31=1,1.12*1.15,IF(입력란!$C$31=2,1.15*1.18,IF(입력란!$C$31=3,1.17*1.2,1)))*IF(입력란!$C$32=1,1.12,IF(입력란!$C$32=2,1.14,IF(입력란!$C$32=3,1.15,1)))</f>
        <v>6236337.010587926</v>
      </c>
      <c r="J303" s="21">
        <f>S303*(1+IF($AK303+IF(AND(입력란!$C$9=1,MID($E303,5,1)&lt;&gt;"1"),10,0)+IF(입력란!$C$26=1,10,0)&gt;100,100,$AK303+IF(AND(입력란!$C$9=1,MID($E303,5,1)&lt;&gt;"1"),10,0)+IF(입력란!$C$26=1,10,0))/100*(($AL303+IF(입력란!$C$30=1,IF(AND(OR(입력란!$C$9=1,입력란!$C$10=1),MID($E303,5,1)&lt;&gt;"1"),55,17),IF(입력란!$C$30=2,IF(AND(OR(입력란!$C$9=1,입력란!$C$10=1),MID($E303,5,1)&lt;&gt;"1"),60,20),IF(입력란!$C$30=3,IF(AND(OR(입력란!$C$9=1,입력란!$C$10=1),MID($E303,5,1)&lt;&gt;"1"),65,22),0))))/100-1))</f>
        <v>790990.35297297465</v>
      </c>
      <c r="K303" s="21">
        <f>T303*(1+IF($AK303+IF(AND(입력란!$C$9=1,MID($E303,5,1)&lt;&gt;"1"),10,0)+IF(입력란!$C$26=1,10,0)&gt;100,100,$AK303+IF(AND(입력란!$C$9=1,MID($E303,5,1)&lt;&gt;"1"),10,0)+IF(입력란!$C$26=1,10,0))/100*(($AL303+IF(입력란!$C$30=1,IF(AND(OR(입력란!$C$9=1,입력란!$C$10=1),MID($E303,5,1)&lt;&gt;"1"),55,17),IF(입력란!$C$30=2,IF(AND(OR(입력란!$C$9=1,입력란!$C$10=1),MID($E303,5,1)&lt;&gt;"1"),60,20),IF(입력란!$C$30=3,IF(AND(OR(입력란!$C$9=1,입력란!$C$10=1),MID($E303,5,1)&lt;&gt;"1"),65,22),0))))/100-1))</f>
        <v>790990.35297297465</v>
      </c>
      <c r="L303" s="21">
        <f>U303*(1+IF($AK303+IF(AND(입력란!$C$9=1,MID($E303,5,1)&lt;&gt;"1"),10,0)+IF(입력란!$C$26=1,10,0)&gt;100,100,$AK303+IF(AND(입력란!$C$9=1,MID($E303,5,1)&lt;&gt;"1"),10,0)+IF(입력란!$C$26=1,10,0))/100*(($AL303+IF(입력란!$C$30=1,IF(AND(OR(입력란!$C$9=1,입력란!$C$10=1),MID($E303,5,1)&lt;&gt;"1"),55,17),IF(입력란!$C$30=2,IF(AND(OR(입력란!$C$9=1,입력란!$C$10=1),MID($E303,5,1)&lt;&gt;"1"),60,20),IF(입력란!$C$30=3,IF(AND(OR(입력란!$C$9=1,입력란!$C$10=1),MID($E303,5,1)&lt;&gt;"1"),65,22),0))))/100-1))</f>
        <v>790990.35297297465</v>
      </c>
      <c r="M303" s="21">
        <f>V303*(1+IF($AK303+IF(AND(입력란!$C$9=1,MID($E303,5,1)&lt;&gt;"1"),10,0)+IF(입력란!$C$26=1,10,0)&gt;100,100,$AK303+IF(AND(입력란!$C$9=1,MID($E303,5,1)&lt;&gt;"1"),10,0)+IF(입력란!$C$26=1,10,0))/100*(($AL303+IF(입력란!$C$30=1,IF(AND(OR(입력란!$C$9=1,입력란!$C$10=1),MID($E303,5,1)&lt;&gt;"1"),55,17),IF(입력란!$C$30=2,IF(AND(OR(입력란!$C$9=1,입력란!$C$10=1),MID($E303,5,1)&lt;&gt;"1"),60,20),IF(입력란!$C$30=3,IF(AND(OR(입력란!$C$9=1,입력란!$C$10=1),MID($E303,5,1)&lt;&gt;"1"),65,22),0))))/100-1))</f>
        <v>790990.35297297465</v>
      </c>
      <c r="N303" s="21">
        <f>W303*(1+IF($AK303+IF(AND(입력란!$C$9=1,MID($E303,5,1)&lt;&gt;"1"),10,0)+IF(입력란!$C$26=1,10,0)&gt;100,100,$AK303+IF(AND(입력란!$C$9=1,MID($E303,5,1)&lt;&gt;"1"),10,0)+IF(입력란!$C$26=1,10,0))/100*(($AL303+IF(입력란!$C$30=1,IF(AND(OR(입력란!$C$9=1,입력란!$C$10=1),MID($E303,5,1)&lt;&gt;"1"),55,17),IF(입력란!$C$30=2,IF(AND(OR(입력란!$C$9=1,입력란!$C$10=1),MID($E303,5,1)&lt;&gt;"1"),60,20),IF(입력란!$C$30=3,IF(AND(OR(입력란!$C$9=1,입력란!$C$10=1),MID($E303,5,1)&lt;&gt;"1"),65,22),0))))/100-1))</f>
        <v>790990.35297297465</v>
      </c>
      <c r="O303" s="21"/>
      <c r="P303" s="21"/>
      <c r="Q303" s="105">
        <f>Z303*(1+IF($AK303+IF(입력란!$C$26=1,10,0)&gt;100,100,$AK303+IF(입력란!$C$26=1,10,0))/100*(($AL303+IF(입력란!$C$30=1,17,IF(입력란!$C$30=2,20,IF(입력란!$C$30=3,22,0))))/100-1))</f>
        <v>461404.73296667298</v>
      </c>
      <c r="R303" s="19">
        <f>SUM(S303:Z303)</f>
        <v>2741786.3738463079</v>
      </c>
      <c r="S303" s="21">
        <f>IF(MID($E303,5,1)="1",IF(MID($E303,3,1)="1",$AN303*트라이포드!$P$18*5,IF(MID($E303,3,1)="2",$AN303*트라이포드!$P$18*4,IF(MID($E303,3,1)="3",$AN303*트라이포드!$P$18*4,$AN303))),$AN303)*IF(MID($E303,3,1)="1",IF(MID($E303,5,1)="1",트라이포드!$J$18,트라이포드!$I$18),1)*IF(MID($E303,3,1)="2",트라이포드!$K$18,1)*IF(MID($E303,3,1)="3",트라이포드!$M$18,1)*IF(MID($E303,5,1)="2",트라이포드!$R$18,1)*(1+입력란!$P$17/100)*IF(AND(입력란!$C$9=1,MID($E303,5,1)&lt;&gt;"1"),IF(입력란!$C$15=0,1.05,IF(입력란!$C$15=1,1.05*1.05,IF(입력란!$C$15=2,1.05*1.12,IF(입력란!$C$15=3,1.05*1.25)))),1)</f>
        <v>487718.61394772254</v>
      </c>
      <c r="T303" s="21">
        <f>IF(MID($E303,5,1)="1",IF(MID($E303,3,1)="1",$AN303*트라이포드!$P$18*5,IF(MID($E303,3,1)="2",$AN303*트라이포드!$P$18*4,IF(MID($E303,3,1)="3",$AN303*트라이포드!$P$18*4,$AN303))),$AN303)*IF(MID($E303,3,1)="1",IF(MID($E303,5,1)="1",트라이포드!$J$18,트라이포드!$I$18),1)*IF(MID($E303,3,1)="2",트라이포드!$K$18,1)*IF(MID($E303,3,1)="3",트라이포드!$M$18,1)*IF(MID($E303,5,1)="2",트라이포드!$R$18,1)*(1+입력란!$P$17/100)*IF(AND(입력란!$C$9=1,MID($E303,5,1)&lt;&gt;"1"),IF(입력란!$C$15=0,1.05,IF(입력란!$C$15=1,1.05*1.05,IF(입력란!$C$15=2,1.05*1.12,IF(입력란!$C$15=3,1.05*1.25)))),1)</f>
        <v>487718.61394772254</v>
      </c>
      <c r="U303" s="21">
        <f>IF(MID($E303,5,1)="1",IF(MID($E303,3,1)="1",$AN303*트라이포드!$P$18*5,IF(MID($E303,3,1)="2",$AN303*트라이포드!$P$18*4,IF(MID($E303,3,1)="3",$AN303*트라이포드!$P$18*4,$AN303))),$AN303)*IF(MID($E303,3,1)="1",IF(MID($E303,5,1)="1",트라이포드!$J$18,트라이포드!$I$18),1)*IF(MID($E303,3,1)="2",트라이포드!$K$18,1)*IF(MID($E303,3,1)="3",트라이포드!$M$18,1)*IF(MID($E303,5,1)="2",트라이포드!$R$18,1)*(1+입력란!$P$17/100)*IF(AND(입력란!$C$9=1,MID($E303,5,1)&lt;&gt;"1"),IF(입력란!$C$15=0,1.05,IF(입력란!$C$15=1,1.05*1.05,IF(입력란!$C$15=2,1.05*1.12,IF(입력란!$C$15=3,1.05*1.25)))),1)</f>
        <v>487718.61394772254</v>
      </c>
      <c r="V303" s="21">
        <f>IF(MID($E303,5,1)="1",IF(MID($E303,3,1)="1",$AN303*트라이포드!$P$18*5,IF(MID($E303,3,1)="2",$AN303*트라이포드!$P$18*4,IF(MID($E303,3,1)="3",$AN303*트라이포드!$P$18*4,$AN303))),$AN303)*IF(MID($E303,3,1)="1",IF(MID($E303,5,1)="1",트라이포드!$J$18,트라이포드!$I$18),1)*IF(MID($E303,3,1)="2",트라이포드!$K$18,1)*IF(MID($E303,3,1)="3",트라이포드!$M$18,1)*IF(MID($E303,5,1)="2",트라이포드!$R$18,1)*(1+입력란!$P$17/100)*IF(AND(입력란!$C$9=1,MID($E303,5,1)&lt;&gt;"1"),IF(입력란!$C$15=0,1.05,IF(입력란!$C$15=1,1.05*1.05,IF(입력란!$C$15=2,1.05*1.12,IF(입력란!$C$15=3,1.05*1.25)))),1)</f>
        <v>487718.61394772254</v>
      </c>
      <c r="W303" s="21">
        <f>IF(MID($E303,5,1)="1",IF(MID($E303,3,1)="1",$AN303*트라이포드!$P$18*5,IF(MID($E303,3,1)="2",$AN303*트라이포드!$P$18*4,IF(MID($E303,3,1)="3",$AN303*트라이포드!$P$18*4,$AN303))),$AN303)*IF(MID($E303,3,1)="1",IF(MID($E303,5,1)="1",트라이포드!$J$18,트라이포드!$I$18),1)*IF(MID($E303,3,1)="2",트라이포드!$K$18,1)*IF(MID($E303,3,1)="3",트라이포드!$M$18,1)*IF(MID($E303,5,1)="2",트라이포드!$R$18,0)*(1+입력란!$P$17/100)*IF(AND(입력란!$C$9=1,MID($E303,5,1)&lt;&gt;"1"),IF(입력란!$C$15=0,1.05,IF(입력란!$C$15=1,1.05*1.05,IF(입력란!$C$15=2,1.05*1.12,IF(입력란!$C$15=3,1.05*1.25)))),1)</f>
        <v>487718.61394772254</v>
      </c>
      <c r="X303" s="21"/>
      <c r="Y303" s="21"/>
      <c r="Z303" s="20">
        <f>AN303*IF(MID(E303,3,1)="2",트라이포드!$L$18,IF(MID(E303,3,1)="3",트라이포드!$N$18*12*5,0))*IF(입력란!$C$30=1,1.07,IF(입력란!$C$30=2,1.08,IF(입력란!$C$30=3,1.09,1)))</f>
        <v>303193.30410769524</v>
      </c>
      <c r="AA303" s="21">
        <f>SUM(AB303:AI303)</f>
        <v>1950874.4557908901</v>
      </c>
      <c r="AB303" s="21">
        <f>S303*2</f>
        <v>975437.22789544507</v>
      </c>
      <c r="AC303" s="21">
        <f>T303*2</f>
        <v>975437.22789544507</v>
      </c>
      <c r="AD303" s="21"/>
      <c r="AE303" s="21"/>
      <c r="AF303" s="21"/>
      <c r="AG303" s="21"/>
      <c r="AH303" s="21"/>
      <c r="AI303" s="20"/>
      <c r="AJ303" s="21">
        <f>AQ303*(1-입력란!$P$10/100)</f>
        <v>35.567196189119997</v>
      </c>
      <c r="AK30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3" s="21">
        <f>입력란!$P$24+IF(입력란!$C$18=1,10,IF(입력란!$C$18=2,25,IF(입력란!$C$18=3,50,0)))+IF(입력란!$C$23&lt;&gt;0,-12)</f>
        <v>200</v>
      </c>
      <c r="AM303" s="21">
        <f>SUM(AN303:AP303)</f>
        <v>252661.08675641273</v>
      </c>
      <c r="AN303" s="21">
        <f>(VLOOKUP(C303,$B$4:$AJ$7,19,FALSE)+VLOOKUP(C303,$B$8:$AJ$11,19,FALSE)*입력란!$P$4)*IF(G303="근접",IF(MID($E303,5,1)="1",입력란!$P$26,입력란!$P$27),입력란!$P$26)*입력란!$P$25/100</f>
        <v>252661.08675641273</v>
      </c>
      <c r="AO303" s="21"/>
      <c r="AP303" s="21"/>
      <c r="AQ303" s="22">
        <v>36</v>
      </c>
    </row>
    <row r="304" spans="2:43" ht="13.5" customHeight="1" x14ac:dyDescent="0.55000000000000004">
      <c r="B304" s="66">
        <v>289</v>
      </c>
      <c r="C304" s="29">
        <v>1</v>
      </c>
      <c r="D304" s="67" t="s">
        <v>454</v>
      </c>
      <c r="E304" s="27" t="s">
        <v>76</v>
      </c>
      <c r="F304" s="29"/>
      <c r="G304" s="29" t="s">
        <v>417</v>
      </c>
      <c r="H304" s="36">
        <f>I304/AJ304</f>
        <v>54608.903568100519</v>
      </c>
      <c r="I304" s="37">
        <f>SUM(J304:Q304)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304,5,1)&lt;&gt;"1"),1.21,1.07),IF(입력란!$C$30=2,IF(AND(OR(입력란!$C$9=1,입력란!$C$10=1),MID($E304,5,1)&lt;&gt;"1"),1.24,1.08),IF(입력란!$C$30=3,IF(AND(OR(입력란!$C$9=1,입력란!$C$10=1),MID($E304,5,1)&lt;&gt;"1"),1.26,1.09),1)))*(1+입력란!$P$22/100)*IF(입력란!$C$31=1,1.12*1.15,IF(입력란!$C$31=2,1.15*1.18,IF(입력란!$C$31=3,1.17*1.2,1)))*IF(입력란!$C$32=1,1.12,IF(입력란!$C$32=2,1.14,IF(입력란!$C$32=3,1.15,1)))</f>
        <v>1942285.5868793663</v>
      </c>
      <c r="J304" s="21">
        <f>S304*(1+IF($AK304+IF(AND(입력란!$C$9=1,MID($E304,5,1)&lt;&gt;"1"),10,0)+IF(입력란!$C$26=1,10,0)&gt;100,100,$AK304+IF(AND(입력란!$C$9=1,MID($E304,5,1)&lt;&gt;"1"),10,0)+IF(입력란!$C$26=1,10,0))/100*(($AL304+IF(입력란!$C$30=1,IF(AND(OR(입력란!$C$9=1,입력란!$C$10=1),MID($E304,5,1)&lt;&gt;"1"),55,17),IF(입력란!$C$30=2,IF(AND(OR(입력란!$C$9=1,입력란!$C$10=1),MID($E304,5,1)&lt;&gt;"1"),60,20),IF(입력란!$C$30=3,IF(AND(OR(입력란!$C$9=1,입력란!$C$10=1),MID($E304,5,1)&lt;&gt;"1"),65,22),0))))/100-1))</f>
        <v>343864.73813458078</v>
      </c>
      <c r="K304" s="21">
        <f>T304*(1+IF($AK304+IF(AND(입력란!$C$9=1,MID($E304,5,1)&lt;&gt;"1"),10,0)+IF(입력란!$C$26=1,10,0)&gt;100,100,$AK304+IF(AND(입력란!$C$9=1,MID($E304,5,1)&lt;&gt;"1"),10,0)+IF(입력란!$C$26=1,10,0))/100*(($AL304+IF(입력란!$C$30=1,IF(AND(OR(입력란!$C$9=1,입력란!$C$10=1),MID($E304,5,1)&lt;&gt;"1"),55,17),IF(입력란!$C$30=2,IF(AND(OR(입력란!$C$9=1,입력란!$C$10=1),MID($E304,5,1)&lt;&gt;"1"),60,20),IF(입력란!$C$30=3,IF(AND(OR(입력란!$C$9=1,입력란!$C$10=1),MID($E304,5,1)&lt;&gt;"1"),65,22),0))))/100-1))</f>
        <v>343864.73813458078</v>
      </c>
      <c r="L304" s="21">
        <f>U304*(1+IF($AK304+IF(AND(입력란!$C$9=1,MID($E304,5,1)&lt;&gt;"1"),10,0)+IF(입력란!$C$26=1,10,0)&gt;100,100,$AK304+IF(AND(입력란!$C$9=1,MID($E304,5,1)&lt;&gt;"1"),10,0)+IF(입력란!$C$26=1,10,0))/100*(($AL304+IF(입력란!$C$30=1,IF(AND(OR(입력란!$C$9=1,입력란!$C$10=1),MID($E304,5,1)&lt;&gt;"1"),55,17),IF(입력란!$C$30=2,IF(AND(OR(입력란!$C$9=1,입력란!$C$10=1),MID($E304,5,1)&lt;&gt;"1"),60,20),IF(입력란!$C$30=3,IF(AND(OR(입력란!$C$9=1,입력란!$C$10=1),MID($E304,5,1)&lt;&gt;"1"),65,22),0))))/100-1))</f>
        <v>343864.73813458078</v>
      </c>
      <c r="M304" s="21">
        <f>V304*(1+IF($AK304+IF(AND(입력란!$C$9=1,MID($E304,5,1)&lt;&gt;"1"),10,0)+IF(입력란!$C$26=1,10,0)&gt;100,100,$AK304+IF(AND(입력란!$C$9=1,MID($E304,5,1)&lt;&gt;"1"),10,0)+IF(입력란!$C$26=1,10,0))/100*(($AL304+IF(입력란!$C$30=1,IF(AND(OR(입력란!$C$9=1,입력란!$C$10=1),MID($E304,5,1)&lt;&gt;"1"),55,17),IF(입력란!$C$30=2,IF(AND(OR(입력란!$C$9=1,입력란!$C$10=1),MID($E304,5,1)&lt;&gt;"1"),60,20),IF(입력란!$C$30=3,IF(AND(OR(입력란!$C$9=1,입력란!$C$10=1),MID($E304,5,1)&lt;&gt;"1"),65,22),0))))/100-1))</f>
        <v>343864.73813458078</v>
      </c>
      <c r="N304" s="21">
        <f>W304*(1+IF($AK304+IF(AND(입력란!$C$9=1,MID($E304,5,1)&lt;&gt;"1"),10,0)+IF(입력란!$C$26=1,10,0)&gt;100,100,$AK304+IF(AND(입력란!$C$9=1,MID($E304,5,1)&lt;&gt;"1"),10,0)+IF(입력란!$C$26=1,10,0))/100*(($AL304+IF(입력란!$C$30=1,IF(AND(OR(입력란!$C$9=1,입력란!$C$10=1),MID($E304,5,1)&lt;&gt;"1"),55,17),IF(입력란!$C$30=2,IF(AND(OR(입력란!$C$9=1,입력란!$C$10=1),MID($E304,5,1)&lt;&gt;"1"),60,20),IF(입력란!$C$30=3,IF(AND(OR(입력란!$C$9=1,입력란!$C$10=1),MID($E304,5,1)&lt;&gt;"1"),65,22),0))))/100-1))</f>
        <v>0</v>
      </c>
      <c r="O304" s="21"/>
      <c r="P304" s="21"/>
      <c r="Q304" s="105">
        <f>Z304*(1+IF($AK304+IF(입력란!$C$26=1,10,0)&gt;100,100,$AK304+IF(입력란!$C$26=1,10,0))/100*(($AL304+IF(입력란!$C$30=1,17,IF(입력란!$C$30=2,20,IF(입력란!$C$30=3,22,0))))/100-1))</f>
        <v>0</v>
      </c>
      <c r="R304" s="19">
        <f>SUM(S304:Z304)</f>
        <v>848097.49114209146</v>
      </c>
      <c r="S304" s="21">
        <f>IF(MID($E304,5,1)="1",IF(MID($E304,3,1)="1",$AN304*트라이포드!$P$18*5,IF(MID($E304,3,1)="2",$AN304*트라이포드!$P$18*4,IF(MID($E304,3,1)="3",$AN304*트라이포드!$P$18*4,$AN304))),$AN304)*IF(MID($E304,3,1)="1",IF(MID($E304,5,1)="1",트라이포드!$J$18,트라이포드!$I$18),1)*IF(MID($E304,3,1)="2",트라이포드!$K$18,1)*IF(MID($E304,3,1)="3",트라이포드!$M$18,1)*IF(MID($E304,5,1)="2",트라이포드!$R$18,1)*(1+입력란!$P$17/100)*IF(AND(입력란!$C$9=1,MID($E304,5,1)&lt;&gt;"1"),IF(입력란!$C$15=0,1.05,IF(입력란!$C$15=1,1.05*1.05,IF(입력란!$C$15=2,1.05*1.12,IF(입력란!$C$15=3,1.05*1.25)))),1)</f>
        <v>212024.37278552286</v>
      </c>
      <c r="T304" s="21">
        <f>IF(MID($E304,5,1)="1",IF(MID($E304,3,1)="1",$AN304*트라이포드!$P$18*5,IF(MID($E304,3,1)="2",$AN304*트라이포드!$P$18*4,IF(MID($E304,3,1)="3",$AN304*트라이포드!$P$18*4,$AN304))),$AN304)*IF(MID($E304,3,1)="1",IF(MID($E304,5,1)="1",트라이포드!$J$18,트라이포드!$I$18),1)*IF(MID($E304,3,1)="2",트라이포드!$K$18,1)*IF(MID($E304,3,1)="3",트라이포드!$M$18,1)*IF(MID($E304,5,1)="2",트라이포드!$R$18,1)*(1+입력란!$P$17/100)*IF(AND(입력란!$C$9=1,MID($E304,5,1)&lt;&gt;"1"),IF(입력란!$C$15=0,1.05,IF(입력란!$C$15=1,1.05*1.05,IF(입력란!$C$15=2,1.05*1.12,IF(입력란!$C$15=3,1.05*1.25)))),1)</f>
        <v>212024.37278552286</v>
      </c>
      <c r="U304" s="21">
        <f>IF(MID($E304,5,1)="1",IF(MID($E304,3,1)="1",$AN304*트라이포드!$P$18*5,IF(MID($E304,3,1)="2",$AN304*트라이포드!$P$18*4,IF(MID($E304,3,1)="3",$AN304*트라이포드!$P$18*4,$AN304))),$AN304)*IF(MID($E304,3,1)="1",IF(MID($E304,5,1)="1",트라이포드!$J$18,트라이포드!$I$18),1)*IF(MID($E304,3,1)="2",트라이포드!$K$18,1)*IF(MID($E304,3,1)="3",트라이포드!$M$18,1)*IF(MID($E304,5,1)="2",트라이포드!$R$18,1)*(1+입력란!$P$17/100)*IF(AND(입력란!$C$9=1,MID($E304,5,1)&lt;&gt;"1"),IF(입력란!$C$15=0,1.05,IF(입력란!$C$15=1,1.05*1.05,IF(입력란!$C$15=2,1.05*1.12,IF(입력란!$C$15=3,1.05*1.25)))),1)</f>
        <v>212024.37278552286</v>
      </c>
      <c r="V304" s="21">
        <f>IF(MID($E304,5,1)="1",IF(MID($E304,3,1)="1",$AN304*트라이포드!$P$18*5,IF(MID($E304,3,1)="2",$AN304*트라이포드!$P$18*4,IF(MID($E304,3,1)="3",$AN304*트라이포드!$P$18*4,$AN304))),$AN304)*IF(MID($E304,3,1)="1",IF(MID($E304,5,1)="1",트라이포드!$J$18,트라이포드!$I$18),1)*IF(MID($E304,3,1)="2",트라이포드!$K$18,1)*IF(MID($E304,3,1)="3",트라이포드!$M$18,1)*IF(MID($E304,5,1)="2",트라이포드!$R$18,1)*(1+입력란!$P$17/100)*IF(AND(입력란!$C$9=1,MID($E304,5,1)&lt;&gt;"1"),IF(입력란!$C$15=0,1.05,IF(입력란!$C$15=1,1.05*1.05,IF(입력란!$C$15=2,1.05*1.12,IF(입력란!$C$15=3,1.05*1.25)))),1)</f>
        <v>212024.37278552286</v>
      </c>
      <c r="W304" s="21">
        <f>IF(MID($E304,5,1)="1",IF(MID($E304,3,1)="1",$AN304*트라이포드!$P$18*5,IF(MID($E304,3,1)="2",$AN304*트라이포드!$P$18*4,IF(MID($E304,3,1)="3",$AN304*트라이포드!$P$18*4,$AN304))),$AN304)*IF(MID($E304,3,1)="1",IF(MID($E304,5,1)="1",트라이포드!$J$18,트라이포드!$I$18),1)*IF(MID($E304,3,1)="2",트라이포드!$K$18,1)*IF(MID($E304,3,1)="3",트라이포드!$M$18,1)*IF(MID($E304,5,1)="2",트라이포드!$R$18,0)*(1+입력란!$P$17/100)*IF(AND(입력란!$C$9=1,MID($E304,5,1)&lt;&gt;"1"),IF(입력란!$C$15=0,1.05,IF(입력란!$C$15=1,1.05*1.05,IF(입력란!$C$15=2,1.05*1.12,IF(입력란!$C$15=3,1.05*1.25)))),1)</f>
        <v>0</v>
      </c>
      <c r="X304" s="21"/>
      <c r="Y304" s="21"/>
      <c r="Z304" s="20">
        <f>AN304*IF(MID(E304,3,1)="2",트라이포드!$L$18,IF(MID(E304,3,1)="3",트라이포드!$N$18*12*5,0))*IF(입력란!$C$30=1,1.07,IF(입력란!$C$30=2,1.08,IF(입력란!$C$30=3,1.09,1)))</f>
        <v>0</v>
      </c>
      <c r="AA304" s="21">
        <f>SUM(AB304:AI304)</f>
        <v>848097.49114209146</v>
      </c>
      <c r="AB304" s="21">
        <f>S304*2</f>
        <v>424048.74557104573</v>
      </c>
      <c r="AC304" s="21">
        <f>T304*2</f>
        <v>424048.74557104573</v>
      </c>
      <c r="AD304" s="21"/>
      <c r="AE304" s="21"/>
      <c r="AF304" s="21"/>
      <c r="AG304" s="21"/>
      <c r="AH304" s="21"/>
      <c r="AI304" s="20"/>
      <c r="AJ304" s="21">
        <f>AQ304*(1-입력란!$P$10/100)</f>
        <v>35.567196189119997</v>
      </c>
      <c r="AK30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4" s="21">
        <f>입력란!$P$24+IF(입력란!$C$18=1,10,IF(입력란!$C$18=2,25,IF(입력란!$C$18=3,50,0)))+IF(입력란!$C$23&lt;&gt;0,-12)</f>
        <v>200</v>
      </c>
      <c r="AM304" s="21">
        <f>SUM(AN304:AP304)</f>
        <v>126039.74337820636</v>
      </c>
      <c r="AN304" s="21">
        <f>(VLOOKUP(C304,$B$4:$AJ$7,19,FALSE)+VLOOKUP(C304,$B$8:$AJ$11,19,FALSE)*입력란!$P$4)*IF(G304="근접",IF(MID($E304,5,1)="1",입력란!$P$26,입력란!$P$27),입력란!$P$26)*입력란!$P$25/100</f>
        <v>126039.74337820636</v>
      </c>
      <c r="AO304" s="21"/>
      <c r="AP304" s="21"/>
      <c r="AQ304" s="22">
        <v>36</v>
      </c>
    </row>
    <row r="305" spans="2:43" ht="13.5" customHeight="1" x14ac:dyDescent="0.55000000000000004">
      <c r="B305" s="66">
        <v>290</v>
      </c>
      <c r="C305" s="29">
        <v>4</v>
      </c>
      <c r="D305" s="67" t="s">
        <v>454</v>
      </c>
      <c r="E305" s="27" t="s">
        <v>76</v>
      </c>
      <c r="F305" s="29"/>
      <c r="G305" s="29" t="s">
        <v>417</v>
      </c>
      <c r="H305" s="36">
        <f>I305/AJ305</f>
        <v>54680.479331646624</v>
      </c>
      <c r="I305" s="37">
        <f>SUM(J305:Q305)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305,5,1)&lt;&gt;"1"),1.21,1.07),IF(입력란!$C$30=2,IF(AND(OR(입력란!$C$9=1,입력란!$C$10=1),MID($E305,5,1)&lt;&gt;"1"),1.24,1.08),IF(입력란!$C$30=3,IF(AND(OR(입력란!$C$9=1,입력란!$C$10=1),MID($E305,5,1)&lt;&gt;"1"),1.26,1.09),1)))*(1+입력란!$P$22/100)*IF(입력란!$C$31=1,1.12*1.15,IF(입력란!$C$31=2,1.15*1.18,IF(입력란!$C$31=3,1.17*1.2,1)))*IF(입력란!$C$32=1,1.12,IF(입력란!$C$32=2,1.14,IF(입력란!$C$32=3,1.15,1)))</f>
        <v>1944831.3361037965</v>
      </c>
      <c r="J305" s="21">
        <f>S305*(1+IF($AK305+IF(AND(입력란!$C$9=1,MID($E305,5,1)&lt;&gt;"1"),10,0)+IF(입력란!$C$26=1,10,0)&gt;100,100,$AK305+IF(AND(입력란!$C$9=1,MID($E305,5,1)&lt;&gt;"1"),10,0)+IF(입력란!$C$26=1,10,0))/100*(($AL305+IF(입력란!$C$30=1,IF(AND(OR(입력란!$C$9=1,입력란!$C$10=1),MID($E305,5,1)&lt;&gt;"1"),55,17),IF(입력란!$C$30=2,IF(AND(OR(입력란!$C$9=1,입력란!$C$10=1),MID($E305,5,1)&lt;&gt;"1"),60,20),IF(입력란!$C$30=3,IF(AND(OR(입력란!$C$9=1,입력란!$C$10=1),MID($E305,5,1)&lt;&gt;"1"),65,22),0))))/100-1))</f>
        <v>344315.44085117843</v>
      </c>
      <c r="K305" s="21">
        <f>T305*(1+IF($AK305+IF(AND(입력란!$C$9=1,MID($E305,5,1)&lt;&gt;"1"),10,0)+IF(입력란!$C$26=1,10,0)&gt;100,100,$AK305+IF(AND(입력란!$C$9=1,MID($E305,5,1)&lt;&gt;"1"),10,0)+IF(입력란!$C$26=1,10,0))/100*(($AL305+IF(입력란!$C$30=1,IF(AND(OR(입력란!$C$9=1,입력란!$C$10=1),MID($E305,5,1)&lt;&gt;"1"),55,17),IF(입력란!$C$30=2,IF(AND(OR(입력란!$C$9=1,입력란!$C$10=1),MID($E305,5,1)&lt;&gt;"1"),60,20),IF(입력란!$C$30=3,IF(AND(OR(입력란!$C$9=1,입력란!$C$10=1),MID($E305,5,1)&lt;&gt;"1"),65,22),0))))/100-1))</f>
        <v>344315.44085117843</v>
      </c>
      <c r="L305" s="21">
        <f>U305*(1+IF($AK305+IF(AND(입력란!$C$9=1,MID($E305,5,1)&lt;&gt;"1"),10,0)+IF(입력란!$C$26=1,10,0)&gt;100,100,$AK305+IF(AND(입력란!$C$9=1,MID($E305,5,1)&lt;&gt;"1"),10,0)+IF(입력란!$C$26=1,10,0))/100*(($AL305+IF(입력란!$C$30=1,IF(AND(OR(입력란!$C$9=1,입력란!$C$10=1),MID($E305,5,1)&lt;&gt;"1"),55,17),IF(입력란!$C$30=2,IF(AND(OR(입력란!$C$9=1,입력란!$C$10=1),MID($E305,5,1)&lt;&gt;"1"),60,20),IF(입력란!$C$30=3,IF(AND(OR(입력란!$C$9=1,입력란!$C$10=1),MID($E305,5,1)&lt;&gt;"1"),65,22),0))))/100-1))</f>
        <v>344315.44085117843</v>
      </c>
      <c r="M305" s="21">
        <f>V305*(1+IF($AK305+IF(AND(입력란!$C$9=1,MID($E305,5,1)&lt;&gt;"1"),10,0)+IF(입력란!$C$26=1,10,0)&gt;100,100,$AK305+IF(AND(입력란!$C$9=1,MID($E305,5,1)&lt;&gt;"1"),10,0)+IF(입력란!$C$26=1,10,0))/100*(($AL305+IF(입력란!$C$30=1,IF(AND(OR(입력란!$C$9=1,입력란!$C$10=1),MID($E305,5,1)&lt;&gt;"1"),55,17),IF(입력란!$C$30=2,IF(AND(OR(입력란!$C$9=1,입력란!$C$10=1),MID($E305,5,1)&lt;&gt;"1"),60,20),IF(입력란!$C$30=3,IF(AND(OR(입력란!$C$9=1,입력란!$C$10=1),MID($E305,5,1)&lt;&gt;"1"),65,22),0))))/100-1))</f>
        <v>344315.44085117843</v>
      </c>
      <c r="N305" s="21">
        <f>W305*(1+IF($AK305+IF(AND(입력란!$C$9=1,MID($E305,5,1)&lt;&gt;"1"),10,0)+IF(입력란!$C$26=1,10,0)&gt;100,100,$AK305+IF(AND(입력란!$C$9=1,MID($E305,5,1)&lt;&gt;"1"),10,0)+IF(입력란!$C$26=1,10,0))/100*(($AL305+IF(입력란!$C$30=1,IF(AND(OR(입력란!$C$9=1,입력란!$C$10=1),MID($E305,5,1)&lt;&gt;"1"),55,17),IF(입력란!$C$30=2,IF(AND(OR(입력란!$C$9=1,입력란!$C$10=1),MID($E305,5,1)&lt;&gt;"1"),60,20),IF(입력란!$C$30=3,IF(AND(OR(입력란!$C$9=1,입력란!$C$10=1),MID($E305,5,1)&lt;&gt;"1"),65,22),0))))/100-1))</f>
        <v>0</v>
      </c>
      <c r="O305" s="21"/>
      <c r="P305" s="21"/>
      <c r="Q305" s="105">
        <f>Z305*(1+IF($AK305+IF(입력란!$C$26=1,10,0)&gt;100,100,$AK305+IF(입력란!$C$26=1,10,0))/100*(($AL305+IF(입력란!$C$30=1,17,IF(입력란!$C$30=2,20,IF(입력란!$C$30=3,22,0))))/100-1))</f>
        <v>0</v>
      </c>
      <c r="R305" s="19">
        <f>SUM(S305:Z305)</f>
        <v>849209.09056130203</v>
      </c>
      <c r="S305" s="21">
        <f>IF(MID($E305,5,1)="1",IF(MID($E305,3,1)="1",$AN305*트라이포드!$P$18*5,IF(MID($E305,3,1)="2",$AN305*트라이포드!$P$18*4,IF(MID($E305,3,1)="3",$AN305*트라이포드!$P$18*4,$AN305))),$AN305)*IF(MID($E305,3,1)="1",IF(MID($E305,5,1)="1",트라이포드!$J$18,트라이포드!$I$18),1)*IF(MID($E305,3,1)="2",트라이포드!$K$18,1)*IF(MID($E305,3,1)="3",트라이포드!$M$18,1)*IF(MID($E305,5,1)="2",트라이포드!$R$18,1)*(1+입력란!$P$17/100)*IF(AND(입력란!$C$9=1,MID($E305,5,1)&lt;&gt;"1"),IF(입력란!$C$15=0,1.05,IF(입력란!$C$15=1,1.05*1.05,IF(입력란!$C$15=2,1.05*1.12,IF(입력란!$C$15=3,1.05*1.25)))),1)</f>
        <v>212302.27264032551</v>
      </c>
      <c r="T305" s="21">
        <f>IF(MID($E305,5,1)="1",IF(MID($E305,3,1)="1",$AN305*트라이포드!$P$18*5,IF(MID($E305,3,1)="2",$AN305*트라이포드!$P$18*4,IF(MID($E305,3,1)="3",$AN305*트라이포드!$P$18*4,$AN305))),$AN305)*IF(MID($E305,3,1)="1",IF(MID($E305,5,1)="1",트라이포드!$J$18,트라이포드!$I$18),1)*IF(MID($E305,3,1)="2",트라이포드!$K$18,1)*IF(MID($E305,3,1)="3",트라이포드!$M$18,1)*IF(MID($E305,5,1)="2",트라이포드!$R$18,1)*(1+입력란!$P$17/100)*IF(AND(입력란!$C$9=1,MID($E305,5,1)&lt;&gt;"1"),IF(입력란!$C$15=0,1.05,IF(입력란!$C$15=1,1.05*1.05,IF(입력란!$C$15=2,1.05*1.12,IF(입력란!$C$15=3,1.05*1.25)))),1)</f>
        <v>212302.27264032551</v>
      </c>
      <c r="U305" s="21">
        <f>IF(MID($E305,5,1)="1",IF(MID($E305,3,1)="1",$AN305*트라이포드!$P$18*5,IF(MID($E305,3,1)="2",$AN305*트라이포드!$P$18*4,IF(MID($E305,3,1)="3",$AN305*트라이포드!$P$18*4,$AN305))),$AN305)*IF(MID($E305,3,1)="1",IF(MID($E305,5,1)="1",트라이포드!$J$18,트라이포드!$I$18),1)*IF(MID($E305,3,1)="2",트라이포드!$K$18,1)*IF(MID($E305,3,1)="3",트라이포드!$M$18,1)*IF(MID($E305,5,1)="2",트라이포드!$R$18,1)*(1+입력란!$P$17/100)*IF(AND(입력란!$C$9=1,MID($E305,5,1)&lt;&gt;"1"),IF(입력란!$C$15=0,1.05,IF(입력란!$C$15=1,1.05*1.05,IF(입력란!$C$15=2,1.05*1.12,IF(입력란!$C$15=3,1.05*1.25)))),1)</f>
        <v>212302.27264032551</v>
      </c>
      <c r="V305" s="21">
        <f>IF(MID($E305,5,1)="1",IF(MID($E305,3,1)="1",$AN305*트라이포드!$P$18*5,IF(MID($E305,3,1)="2",$AN305*트라이포드!$P$18*4,IF(MID($E305,3,1)="3",$AN305*트라이포드!$P$18*4,$AN305))),$AN305)*IF(MID($E305,3,1)="1",IF(MID($E305,5,1)="1",트라이포드!$J$18,트라이포드!$I$18),1)*IF(MID($E305,3,1)="2",트라이포드!$K$18,1)*IF(MID($E305,3,1)="3",트라이포드!$M$18,1)*IF(MID($E305,5,1)="2",트라이포드!$R$18,1)*(1+입력란!$P$17/100)*IF(AND(입력란!$C$9=1,MID($E305,5,1)&lt;&gt;"1"),IF(입력란!$C$15=0,1.05,IF(입력란!$C$15=1,1.05*1.05,IF(입력란!$C$15=2,1.05*1.12,IF(입력란!$C$15=3,1.05*1.25)))),1)</f>
        <v>212302.27264032551</v>
      </c>
      <c r="W305" s="21">
        <f>IF(MID($E305,5,1)="1",IF(MID($E305,3,1)="1",$AN305*트라이포드!$P$18*5,IF(MID($E305,3,1)="2",$AN305*트라이포드!$P$18*4,IF(MID($E305,3,1)="3",$AN305*트라이포드!$P$18*4,$AN305))),$AN305)*IF(MID($E305,3,1)="1",IF(MID($E305,5,1)="1",트라이포드!$J$18,트라이포드!$I$18),1)*IF(MID($E305,3,1)="2",트라이포드!$K$18,1)*IF(MID($E305,3,1)="3",트라이포드!$M$18,1)*IF(MID($E305,5,1)="2",트라이포드!$R$18,0)*(1+입력란!$P$17/100)*IF(AND(입력란!$C$9=1,MID($E305,5,1)&lt;&gt;"1"),IF(입력란!$C$15=0,1.05,IF(입력란!$C$15=1,1.05*1.05,IF(입력란!$C$15=2,1.05*1.12,IF(입력란!$C$15=3,1.05*1.25)))),1)</f>
        <v>0</v>
      </c>
      <c r="X305" s="21"/>
      <c r="Y305" s="21"/>
      <c r="Z305" s="20">
        <f>AN305*IF(MID(E305,3,1)="2",트라이포드!$L$18,IF(MID(E305,3,1)="3",트라이포드!$N$18*12*5,0))*IF(입력란!$C$30=1,1.07,IF(입력란!$C$30=2,1.08,IF(입력란!$C$30=3,1.09,1)))</f>
        <v>0</v>
      </c>
      <c r="AA305" s="21">
        <f>SUM(AB305:AI305)</f>
        <v>849209.09056130203</v>
      </c>
      <c r="AB305" s="21">
        <f>S305*2</f>
        <v>424604.54528065101</v>
      </c>
      <c r="AC305" s="21">
        <f>T305*2</f>
        <v>424604.54528065101</v>
      </c>
      <c r="AD305" s="21"/>
      <c r="AE305" s="21"/>
      <c r="AF305" s="21"/>
      <c r="AG305" s="21"/>
      <c r="AH305" s="21"/>
      <c r="AI305" s="20"/>
      <c r="AJ305" s="21">
        <f>AQ305*(1-입력란!$P$10/100)</f>
        <v>35.567196189119997</v>
      </c>
      <c r="AK30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5" s="21">
        <f>입력란!$P$24+IF(입력란!$C$18=1,10,IF(입력란!$C$18=2,25,IF(입력란!$C$18=3,50,0)))+IF(입력란!$C$23&lt;&gt;0,-12)</f>
        <v>200</v>
      </c>
      <c r="AM305" s="21">
        <f>SUM(AN305:AP305)</f>
        <v>126204.94337820636</v>
      </c>
      <c r="AN305" s="21">
        <f>(VLOOKUP(C305,$B$4:$AJ$7,19,FALSE)+VLOOKUP(C305,$B$8:$AJ$11,19,FALSE)*입력란!$P$4)*IF(G305="근접",IF(MID($E305,5,1)="1",입력란!$P$26,입력란!$P$27),입력란!$P$26)*입력란!$P$25/100</f>
        <v>126204.94337820636</v>
      </c>
      <c r="AO305" s="21"/>
      <c r="AP305" s="21"/>
      <c r="AQ305" s="22">
        <v>36</v>
      </c>
    </row>
    <row r="306" spans="2:43" ht="13.5" customHeight="1" x14ac:dyDescent="0.55000000000000004">
      <c r="B306" s="66">
        <v>291</v>
      </c>
      <c r="C306" s="29">
        <v>7</v>
      </c>
      <c r="D306" s="67" t="s">
        <v>454</v>
      </c>
      <c r="E306" s="27" t="s">
        <v>76</v>
      </c>
      <c r="F306" s="29"/>
      <c r="G306" s="29" t="s">
        <v>417</v>
      </c>
      <c r="H306" s="36">
        <f>I306/AJ306</f>
        <v>54713.754262883551</v>
      </c>
      <c r="I306" s="37">
        <f>SUM(J306:Q306)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306,5,1)&lt;&gt;"1"),1.21,1.07),IF(입력란!$C$30=2,IF(AND(OR(입력란!$C$9=1,입력란!$C$10=1),MID($E306,5,1)&lt;&gt;"1"),1.24,1.08),IF(입력란!$C$30=3,IF(AND(OR(입력란!$C$9=1,입력란!$C$10=1),MID($E306,5,1)&lt;&gt;"1"),1.26,1.09),1)))*(1+입력란!$P$22/100)*IF(입력란!$C$31=1,1.12*1.15,IF(입력란!$C$31=2,1.15*1.18,IF(입력란!$C$31=3,1.17*1.2,1)))*IF(입력란!$C$32=1,1.12,IF(입력란!$C$32=2,1.14,IF(입력란!$C$32=3,1.15,1)))</f>
        <v>1946014.8321112799</v>
      </c>
      <c r="J306" s="21">
        <f>S306*(1+IF($AK306+IF(AND(입력란!$C$9=1,MID($E306,5,1)&lt;&gt;"1"),10,0)+IF(입력란!$C$26=1,10,0)&gt;100,100,$AK306+IF(AND(입력란!$C$9=1,MID($E306,5,1)&lt;&gt;"1"),10,0)+IF(입력란!$C$26=1,10,0))/100*(($AL306+IF(입력란!$C$30=1,IF(AND(OR(입력란!$C$9=1,입력란!$C$10=1),MID($E306,5,1)&lt;&gt;"1"),55,17),IF(입력란!$C$30=2,IF(AND(OR(입력란!$C$9=1,입력란!$C$10=1),MID($E306,5,1)&lt;&gt;"1"),60,20),IF(입력란!$C$30=3,IF(AND(OR(입력란!$C$9=1,입력란!$C$10=1),MID($E306,5,1)&lt;&gt;"1"),65,22),0))))/100-1))</f>
        <v>344524.96850635222</v>
      </c>
      <c r="K306" s="21">
        <f>T306*(1+IF($AK306+IF(AND(입력란!$C$9=1,MID($E306,5,1)&lt;&gt;"1"),10,0)+IF(입력란!$C$26=1,10,0)&gt;100,100,$AK306+IF(AND(입력란!$C$9=1,MID($E306,5,1)&lt;&gt;"1"),10,0)+IF(입력란!$C$26=1,10,0))/100*(($AL306+IF(입력란!$C$30=1,IF(AND(OR(입력란!$C$9=1,입력란!$C$10=1),MID($E306,5,1)&lt;&gt;"1"),55,17),IF(입력란!$C$30=2,IF(AND(OR(입력란!$C$9=1,입력란!$C$10=1),MID($E306,5,1)&lt;&gt;"1"),60,20),IF(입력란!$C$30=3,IF(AND(OR(입력란!$C$9=1,입력란!$C$10=1),MID($E306,5,1)&lt;&gt;"1"),65,22),0))))/100-1))</f>
        <v>344524.96850635222</v>
      </c>
      <c r="L306" s="21">
        <f>U306*(1+IF($AK306+IF(AND(입력란!$C$9=1,MID($E306,5,1)&lt;&gt;"1"),10,0)+IF(입력란!$C$26=1,10,0)&gt;100,100,$AK306+IF(AND(입력란!$C$9=1,MID($E306,5,1)&lt;&gt;"1"),10,0)+IF(입력란!$C$26=1,10,0))/100*(($AL306+IF(입력란!$C$30=1,IF(AND(OR(입력란!$C$9=1,입력란!$C$10=1),MID($E306,5,1)&lt;&gt;"1"),55,17),IF(입력란!$C$30=2,IF(AND(OR(입력란!$C$9=1,입력란!$C$10=1),MID($E306,5,1)&lt;&gt;"1"),60,20),IF(입력란!$C$30=3,IF(AND(OR(입력란!$C$9=1,입력란!$C$10=1),MID($E306,5,1)&lt;&gt;"1"),65,22),0))))/100-1))</f>
        <v>344524.96850635222</v>
      </c>
      <c r="M306" s="21">
        <f>V306*(1+IF($AK306+IF(AND(입력란!$C$9=1,MID($E306,5,1)&lt;&gt;"1"),10,0)+IF(입력란!$C$26=1,10,0)&gt;100,100,$AK306+IF(AND(입력란!$C$9=1,MID($E306,5,1)&lt;&gt;"1"),10,0)+IF(입력란!$C$26=1,10,0))/100*(($AL306+IF(입력란!$C$30=1,IF(AND(OR(입력란!$C$9=1,입력란!$C$10=1),MID($E306,5,1)&lt;&gt;"1"),55,17),IF(입력란!$C$30=2,IF(AND(OR(입력란!$C$9=1,입력란!$C$10=1),MID($E306,5,1)&lt;&gt;"1"),60,20),IF(입력란!$C$30=3,IF(AND(OR(입력란!$C$9=1,입력란!$C$10=1),MID($E306,5,1)&lt;&gt;"1"),65,22),0))))/100-1))</f>
        <v>344524.96850635222</v>
      </c>
      <c r="N306" s="21">
        <f>W306*(1+IF($AK306+IF(AND(입력란!$C$9=1,MID($E306,5,1)&lt;&gt;"1"),10,0)+IF(입력란!$C$26=1,10,0)&gt;100,100,$AK306+IF(AND(입력란!$C$9=1,MID($E306,5,1)&lt;&gt;"1"),10,0)+IF(입력란!$C$26=1,10,0))/100*(($AL306+IF(입력란!$C$30=1,IF(AND(OR(입력란!$C$9=1,입력란!$C$10=1),MID($E306,5,1)&lt;&gt;"1"),55,17),IF(입력란!$C$30=2,IF(AND(OR(입력란!$C$9=1,입력란!$C$10=1),MID($E306,5,1)&lt;&gt;"1"),60,20),IF(입력란!$C$30=3,IF(AND(OR(입력란!$C$9=1,입력란!$C$10=1),MID($E306,5,1)&lt;&gt;"1"),65,22),0))))/100-1))</f>
        <v>0</v>
      </c>
      <c r="O306" s="21"/>
      <c r="P306" s="21"/>
      <c r="Q306" s="105">
        <f>Z306*(1+IF($AK306+IF(입력란!$C$26=1,10,0)&gt;100,100,$AK306+IF(입력란!$C$26=1,10,0))/100*(($AL306+IF(입력란!$C$30=1,17,IF(입력란!$C$30=2,20,IF(입력란!$C$30=3,22,0))))/100-1))</f>
        <v>0</v>
      </c>
      <c r="R306" s="19">
        <f>SUM(S306:Z306)</f>
        <v>849725.8631726543</v>
      </c>
      <c r="S306" s="21">
        <f>IF(MID($E306,5,1)="1",IF(MID($E306,3,1)="1",$AN306*트라이포드!$P$18*5,IF(MID($E306,3,1)="2",$AN306*트라이포드!$P$18*4,IF(MID($E306,3,1)="3",$AN306*트라이포드!$P$18*4,$AN306))),$AN306)*IF(MID($E306,3,1)="1",IF(MID($E306,5,1)="1",트라이포드!$J$18,트라이포드!$I$18),1)*IF(MID($E306,3,1)="2",트라이포드!$K$18,1)*IF(MID($E306,3,1)="3",트라이포드!$M$18,1)*IF(MID($E306,5,1)="2",트라이포드!$R$18,1)*(1+입력란!$P$17/100)*IF(AND(입력란!$C$9=1,MID($E306,5,1)&lt;&gt;"1"),IF(입력란!$C$15=0,1.05,IF(입력란!$C$15=1,1.05*1.05,IF(입력란!$C$15=2,1.05*1.12,IF(입력란!$C$15=3,1.05*1.25)))),1)</f>
        <v>212431.46579316357</v>
      </c>
      <c r="T306" s="21">
        <f>IF(MID($E306,5,1)="1",IF(MID($E306,3,1)="1",$AN306*트라이포드!$P$18*5,IF(MID($E306,3,1)="2",$AN306*트라이포드!$P$18*4,IF(MID($E306,3,1)="3",$AN306*트라이포드!$P$18*4,$AN306))),$AN306)*IF(MID($E306,3,1)="1",IF(MID($E306,5,1)="1",트라이포드!$J$18,트라이포드!$I$18),1)*IF(MID($E306,3,1)="2",트라이포드!$K$18,1)*IF(MID($E306,3,1)="3",트라이포드!$M$18,1)*IF(MID($E306,5,1)="2",트라이포드!$R$18,1)*(1+입력란!$P$17/100)*IF(AND(입력란!$C$9=1,MID($E306,5,1)&lt;&gt;"1"),IF(입력란!$C$15=0,1.05,IF(입력란!$C$15=1,1.05*1.05,IF(입력란!$C$15=2,1.05*1.12,IF(입력란!$C$15=3,1.05*1.25)))),1)</f>
        <v>212431.46579316357</v>
      </c>
      <c r="U306" s="21">
        <f>IF(MID($E306,5,1)="1",IF(MID($E306,3,1)="1",$AN306*트라이포드!$P$18*5,IF(MID($E306,3,1)="2",$AN306*트라이포드!$P$18*4,IF(MID($E306,3,1)="3",$AN306*트라이포드!$P$18*4,$AN306))),$AN306)*IF(MID($E306,3,1)="1",IF(MID($E306,5,1)="1",트라이포드!$J$18,트라이포드!$I$18),1)*IF(MID($E306,3,1)="2",트라이포드!$K$18,1)*IF(MID($E306,3,1)="3",트라이포드!$M$18,1)*IF(MID($E306,5,1)="2",트라이포드!$R$18,1)*(1+입력란!$P$17/100)*IF(AND(입력란!$C$9=1,MID($E306,5,1)&lt;&gt;"1"),IF(입력란!$C$15=0,1.05,IF(입력란!$C$15=1,1.05*1.05,IF(입력란!$C$15=2,1.05*1.12,IF(입력란!$C$15=3,1.05*1.25)))),1)</f>
        <v>212431.46579316357</v>
      </c>
      <c r="V306" s="21">
        <f>IF(MID($E306,5,1)="1",IF(MID($E306,3,1)="1",$AN306*트라이포드!$P$18*5,IF(MID($E306,3,1)="2",$AN306*트라이포드!$P$18*4,IF(MID($E306,3,1)="3",$AN306*트라이포드!$P$18*4,$AN306))),$AN306)*IF(MID($E306,3,1)="1",IF(MID($E306,5,1)="1",트라이포드!$J$18,트라이포드!$I$18),1)*IF(MID($E306,3,1)="2",트라이포드!$K$18,1)*IF(MID($E306,3,1)="3",트라이포드!$M$18,1)*IF(MID($E306,5,1)="2",트라이포드!$R$18,1)*(1+입력란!$P$17/100)*IF(AND(입력란!$C$9=1,MID($E306,5,1)&lt;&gt;"1"),IF(입력란!$C$15=0,1.05,IF(입력란!$C$15=1,1.05*1.05,IF(입력란!$C$15=2,1.05*1.12,IF(입력란!$C$15=3,1.05*1.25)))),1)</f>
        <v>212431.46579316357</v>
      </c>
      <c r="W306" s="21">
        <f>IF(MID($E306,5,1)="1",IF(MID($E306,3,1)="1",$AN306*트라이포드!$P$18*5,IF(MID($E306,3,1)="2",$AN306*트라이포드!$P$18*4,IF(MID($E306,3,1)="3",$AN306*트라이포드!$P$18*4,$AN306))),$AN306)*IF(MID($E306,3,1)="1",IF(MID($E306,5,1)="1",트라이포드!$J$18,트라이포드!$I$18),1)*IF(MID($E306,3,1)="2",트라이포드!$K$18,1)*IF(MID($E306,3,1)="3",트라이포드!$M$18,1)*IF(MID($E306,5,1)="2",트라이포드!$R$18,0)*(1+입력란!$P$17/100)*IF(AND(입력란!$C$9=1,MID($E306,5,1)&lt;&gt;"1"),IF(입력란!$C$15=0,1.05,IF(입력란!$C$15=1,1.05*1.05,IF(입력란!$C$15=2,1.05*1.12,IF(입력란!$C$15=3,1.05*1.25)))),1)</f>
        <v>0</v>
      </c>
      <c r="X306" s="21"/>
      <c r="Y306" s="21"/>
      <c r="Z306" s="20">
        <f>AN306*IF(MID(E306,3,1)="2",트라이포드!$L$18,IF(MID(E306,3,1)="3",트라이포드!$N$18*12*5,0))*IF(입력란!$C$30=1,1.07,IF(입력란!$C$30=2,1.08,IF(입력란!$C$30=3,1.09,1)))</f>
        <v>0</v>
      </c>
      <c r="AA306" s="21">
        <f>SUM(AB306:AI306)</f>
        <v>849725.8631726543</v>
      </c>
      <c r="AB306" s="21">
        <f>S306*2</f>
        <v>424862.93158632715</v>
      </c>
      <c r="AC306" s="21">
        <f>T306*2</f>
        <v>424862.93158632715</v>
      </c>
      <c r="AD306" s="21"/>
      <c r="AE306" s="21"/>
      <c r="AF306" s="21"/>
      <c r="AG306" s="21"/>
      <c r="AH306" s="21"/>
      <c r="AI306" s="20"/>
      <c r="AJ306" s="21">
        <f>AQ306*(1-입력란!$P$10/100)</f>
        <v>35.567196189119997</v>
      </c>
      <c r="AK30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6" s="21">
        <f>입력란!$P$24+IF(입력란!$C$18=1,10,IF(입력란!$C$18=2,25,IF(입력란!$C$18=3,50,0)))+IF(입력란!$C$23&lt;&gt;0,-12)</f>
        <v>200</v>
      </c>
      <c r="AM306" s="21">
        <f>SUM(AN306:AP306)</f>
        <v>126281.74337820636</v>
      </c>
      <c r="AN306" s="21">
        <f>(VLOOKUP(C306,$B$4:$AJ$7,19,FALSE)+VLOOKUP(C306,$B$8:$AJ$11,19,FALSE)*입력란!$P$4)*IF(G306="근접",IF(MID($E306,5,1)="1",입력란!$P$26,입력란!$P$27),입력란!$P$26)*입력란!$P$25/100</f>
        <v>126281.74337820636</v>
      </c>
      <c r="AO306" s="21"/>
      <c r="AP306" s="21"/>
      <c r="AQ306" s="22">
        <v>36</v>
      </c>
    </row>
    <row r="307" spans="2:43" ht="13.5" customHeight="1" x14ac:dyDescent="0.55000000000000004">
      <c r="B307" s="66">
        <v>292</v>
      </c>
      <c r="C307" s="29">
        <v>7</v>
      </c>
      <c r="D307" s="67" t="s">
        <v>454</v>
      </c>
      <c r="E307" s="27" t="s">
        <v>96</v>
      </c>
      <c r="F307" s="29"/>
      <c r="G307" s="29" t="s">
        <v>417</v>
      </c>
      <c r="H307" s="36">
        <f>I307/AJ307</f>
        <v>73863.568254892802</v>
      </c>
      <c r="I307" s="37">
        <f>SUM(J307:Q307)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307,5,1)&lt;&gt;"1"),1.21,1.07),IF(입력란!$C$30=2,IF(AND(OR(입력란!$C$9=1,입력란!$C$10=1),MID($E307,5,1)&lt;&gt;"1"),1.24,1.08),IF(입력란!$C$30=3,IF(AND(OR(입력란!$C$9=1,입력란!$C$10=1),MID($E307,5,1)&lt;&gt;"1"),1.26,1.09),1)))*(1+입력란!$P$22/100)*IF(입력란!$C$31=1,1.12*1.15,IF(입력란!$C$31=2,1.15*1.18,IF(입력란!$C$31=3,1.17*1.2,1)))*IF(입력란!$C$32=1,1.12,IF(입력란!$C$32=2,1.14,IF(입력란!$C$32=3,1.15,1)))</f>
        <v>2627120.0233502281</v>
      </c>
      <c r="J307" s="21">
        <f>S307*(1+IF($AK307+IF(AND(입력란!$C$9=1,MID($E307,5,1)&lt;&gt;"1"),10,0)+IF(입력란!$C$26=1,10,0)&gt;100,100,$AK307+IF(AND(입력란!$C$9=1,MID($E307,5,1)&lt;&gt;"1"),10,0)+IF(입력란!$C$26=1,10,0))/100*(($AL307+IF(입력란!$C$30=1,IF(AND(OR(입력란!$C$9=1,입력란!$C$10=1),MID($E307,5,1)&lt;&gt;"1"),55,17),IF(입력란!$C$30=2,IF(AND(OR(입력란!$C$9=1,입력란!$C$10=1),MID($E307,5,1)&lt;&gt;"1"),60,20),IF(입력란!$C$30=3,IF(AND(OR(입력란!$C$9=1,입력란!$C$10=1),MID($E307,5,1)&lt;&gt;"1"),65,22),0))))/100-1))</f>
        <v>465108.7074835755</v>
      </c>
      <c r="K307" s="21">
        <f>T307*(1+IF($AK307+IF(AND(입력란!$C$9=1,MID($E307,5,1)&lt;&gt;"1"),10,0)+IF(입력란!$C$26=1,10,0)&gt;100,100,$AK307+IF(AND(입력란!$C$9=1,MID($E307,5,1)&lt;&gt;"1"),10,0)+IF(입력란!$C$26=1,10,0))/100*(($AL307+IF(입력란!$C$30=1,IF(AND(OR(입력란!$C$9=1,입력란!$C$10=1),MID($E307,5,1)&lt;&gt;"1"),55,17),IF(입력란!$C$30=2,IF(AND(OR(입력란!$C$9=1,입력란!$C$10=1),MID($E307,5,1)&lt;&gt;"1"),60,20),IF(입력란!$C$30=3,IF(AND(OR(입력란!$C$9=1,입력란!$C$10=1),MID($E307,5,1)&lt;&gt;"1"),65,22),0))))/100-1))</f>
        <v>465108.7074835755</v>
      </c>
      <c r="L307" s="21">
        <f>U307*(1+IF($AK307+IF(AND(입력란!$C$9=1,MID($E307,5,1)&lt;&gt;"1"),10,0)+IF(입력란!$C$26=1,10,0)&gt;100,100,$AK307+IF(AND(입력란!$C$9=1,MID($E307,5,1)&lt;&gt;"1"),10,0)+IF(입력란!$C$26=1,10,0))/100*(($AL307+IF(입력란!$C$30=1,IF(AND(OR(입력란!$C$9=1,입력란!$C$10=1),MID($E307,5,1)&lt;&gt;"1"),55,17),IF(입력란!$C$30=2,IF(AND(OR(입력란!$C$9=1,입력란!$C$10=1),MID($E307,5,1)&lt;&gt;"1"),60,20),IF(입력란!$C$30=3,IF(AND(OR(입력란!$C$9=1,입력란!$C$10=1),MID($E307,5,1)&lt;&gt;"1"),65,22),0))))/100-1))</f>
        <v>465108.7074835755</v>
      </c>
      <c r="M307" s="21">
        <f>V307*(1+IF($AK307+IF(AND(입력란!$C$9=1,MID($E307,5,1)&lt;&gt;"1"),10,0)+IF(입력란!$C$26=1,10,0)&gt;100,100,$AK307+IF(AND(입력란!$C$9=1,MID($E307,5,1)&lt;&gt;"1"),10,0)+IF(입력란!$C$26=1,10,0))/100*(($AL307+IF(입력란!$C$30=1,IF(AND(OR(입력란!$C$9=1,입력란!$C$10=1),MID($E307,5,1)&lt;&gt;"1"),55,17),IF(입력란!$C$30=2,IF(AND(OR(입력란!$C$9=1,입력란!$C$10=1),MID($E307,5,1)&lt;&gt;"1"),60,20),IF(입력란!$C$30=3,IF(AND(OR(입력란!$C$9=1,입력란!$C$10=1),MID($E307,5,1)&lt;&gt;"1"),65,22),0))))/100-1))</f>
        <v>465108.7074835755</v>
      </c>
      <c r="N307" s="21">
        <f>W307*(1+IF($AK307+IF(AND(입력란!$C$9=1,MID($E307,5,1)&lt;&gt;"1"),10,0)+IF(입력란!$C$26=1,10,0)&gt;100,100,$AK307+IF(AND(입력란!$C$9=1,MID($E307,5,1)&lt;&gt;"1"),10,0)+IF(입력란!$C$26=1,10,0))/100*(($AL307+IF(입력란!$C$30=1,IF(AND(OR(입력란!$C$9=1,입력란!$C$10=1),MID($E307,5,1)&lt;&gt;"1"),55,17),IF(입력란!$C$30=2,IF(AND(OR(입력란!$C$9=1,입력란!$C$10=1),MID($E307,5,1)&lt;&gt;"1"),60,20),IF(입력란!$C$30=3,IF(AND(OR(입력란!$C$9=1,입력란!$C$10=1),MID($E307,5,1)&lt;&gt;"1"),65,22),0))))/100-1))</f>
        <v>0</v>
      </c>
      <c r="O307" s="21"/>
      <c r="P307" s="21"/>
      <c r="Q307" s="105">
        <f>Z307*(1+IF($AK307+IF(입력란!$C$26=1,10,0)&gt;100,100,$AK307+IF(입력란!$C$26=1,10,0))/100*(($AL307+IF(입력란!$C$30=1,17,IF(입력란!$C$30=2,20,IF(입력란!$C$30=3,22,0))))/100-1))</f>
        <v>0</v>
      </c>
      <c r="R307" s="19">
        <f>SUM(S307:Z307)</f>
        <v>1147129.9152830835</v>
      </c>
      <c r="S307" s="21">
        <f>IF(MID($E307,5,1)="1",IF(MID($E307,3,1)="1",$AN307*트라이포드!$P$18*5,IF(MID($E307,3,1)="2",$AN307*트라이포드!$P$18*4,IF(MID($E307,3,1)="3",$AN307*트라이포드!$P$18*4,$AN307))),$AN307)*IF(MID($E307,3,1)="1",IF(MID($E307,5,1)="1",트라이포드!$J$18,트라이포드!$I$18),1)*IF(MID($E307,3,1)="2",트라이포드!$K$18,1)*IF(MID($E307,3,1)="3",트라이포드!$M$18,1)*IF(MID($E307,5,1)="2",트라이포드!$R$18,1)*(1+입력란!$P$17/100)*IF(AND(입력란!$C$9=1,MID($E307,5,1)&lt;&gt;"1"),IF(입력란!$C$15=0,1.05,IF(입력란!$C$15=1,1.05*1.05,IF(입력란!$C$15=2,1.05*1.12,IF(입력란!$C$15=3,1.05*1.25)))),1)</f>
        <v>286782.47882077086</v>
      </c>
      <c r="T307" s="21">
        <f>IF(MID($E307,5,1)="1",IF(MID($E307,3,1)="1",$AN307*트라이포드!$P$18*5,IF(MID($E307,3,1)="2",$AN307*트라이포드!$P$18*4,IF(MID($E307,3,1)="3",$AN307*트라이포드!$P$18*4,$AN307))),$AN307)*IF(MID($E307,3,1)="1",IF(MID($E307,5,1)="1",트라이포드!$J$18,트라이포드!$I$18),1)*IF(MID($E307,3,1)="2",트라이포드!$K$18,1)*IF(MID($E307,3,1)="3",트라이포드!$M$18,1)*IF(MID($E307,5,1)="2",트라이포드!$R$18,1)*(1+입력란!$P$17/100)*IF(AND(입력란!$C$9=1,MID($E307,5,1)&lt;&gt;"1"),IF(입력란!$C$15=0,1.05,IF(입력란!$C$15=1,1.05*1.05,IF(입력란!$C$15=2,1.05*1.12,IF(입력란!$C$15=3,1.05*1.25)))),1)</f>
        <v>286782.47882077086</v>
      </c>
      <c r="U307" s="21">
        <f>IF(MID($E307,5,1)="1",IF(MID($E307,3,1)="1",$AN307*트라이포드!$P$18*5,IF(MID($E307,3,1)="2",$AN307*트라이포드!$P$18*4,IF(MID($E307,3,1)="3",$AN307*트라이포드!$P$18*4,$AN307))),$AN307)*IF(MID($E307,3,1)="1",IF(MID($E307,5,1)="1",트라이포드!$J$18,트라이포드!$I$18),1)*IF(MID($E307,3,1)="2",트라이포드!$K$18,1)*IF(MID($E307,3,1)="3",트라이포드!$M$18,1)*IF(MID($E307,5,1)="2",트라이포드!$R$18,1)*(1+입력란!$P$17/100)*IF(AND(입력란!$C$9=1,MID($E307,5,1)&lt;&gt;"1"),IF(입력란!$C$15=0,1.05,IF(입력란!$C$15=1,1.05*1.05,IF(입력란!$C$15=2,1.05*1.12,IF(입력란!$C$15=3,1.05*1.25)))),1)</f>
        <v>286782.47882077086</v>
      </c>
      <c r="V307" s="21">
        <f>IF(MID($E307,5,1)="1",IF(MID($E307,3,1)="1",$AN307*트라이포드!$P$18*5,IF(MID($E307,3,1)="2",$AN307*트라이포드!$P$18*4,IF(MID($E307,3,1)="3",$AN307*트라이포드!$P$18*4,$AN307))),$AN307)*IF(MID($E307,3,1)="1",IF(MID($E307,5,1)="1",트라이포드!$J$18,트라이포드!$I$18),1)*IF(MID($E307,3,1)="2",트라이포드!$K$18,1)*IF(MID($E307,3,1)="3",트라이포드!$M$18,1)*IF(MID($E307,5,1)="2",트라이포드!$R$18,1)*(1+입력란!$P$17/100)*IF(AND(입력란!$C$9=1,MID($E307,5,1)&lt;&gt;"1"),IF(입력란!$C$15=0,1.05,IF(입력란!$C$15=1,1.05*1.05,IF(입력란!$C$15=2,1.05*1.12,IF(입력란!$C$15=3,1.05*1.25)))),1)</f>
        <v>286782.47882077086</v>
      </c>
      <c r="W307" s="21">
        <f>IF(MID($E307,5,1)="1",IF(MID($E307,3,1)="1",$AN307*트라이포드!$P$18*5,IF(MID($E307,3,1)="2",$AN307*트라이포드!$P$18*4,IF(MID($E307,3,1)="3",$AN307*트라이포드!$P$18*4,$AN307))),$AN307)*IF(MID($E307,3,1)="1",IF(MID($E307,5,1)="1",트라이포드!$J$18,트라이포드!$I$18),1)*IF(MID($E307,3,1)="2",트라이포드!$K$18,1)*IF(MID($E307,3,1)="3",트라이포드!$M$18,1)*IF(MID($E307,5,1)="2",트라이포드!$R$18,0)*(1+입력란!$P$17/100)*IF(AND(입력란!$C$9=1,MID($E307,5,1)&lt;&gt;"1"),IF(입력란!$C$15=0,1.05,IF(입력란!$C$15=1,1.05*1.05,IF(입력란!$C$15=2,1.05*1.12,IF(입력란!$C$15=3,1.05*1.25)))),1)</f>
        <v>0</v>
      </c>
      <c r="X307" s="21"/>
      <c r="Y307" s="21"/>
      <c r="Z307" s="20">
        <f>AN307*IF(MID(E307,3,1)="2",트라이포드!$L$18,IF(MID(E307,3,1)="3",트라이포드!$N$18*12*5,0))*IF(입력란!$C$30=1,1.07,IF(입력란!$C$30=2,1.08,IF(입력란!$C$30=3,1.09,1)))</f>
        <v>0</v>
      </c>
      <c r="AA307" s="21">
        <f>SUM(AB307:AI307)</f>
        <v>1147129.9152830835</v>
      </c>
      <c r="AB307" s="21">
        <f>S307*2</f>
        <v>573564.95764154173</v>
      </c>
      <c r="AC307" s="21">
        <f>T307*2</f>
        <v>573564.95764154173</v>
      </c>
      <c r="AD307" s="21"/>
      <c r="AE307" s="21"/>
      <c r="AF307" s="21"/>
      <c r="AG307" s="21"/>
      <c r="AH307" s="21"/>
      <c r="AI307" s="20"/>
      <c r="AJ307" s="21">
        <f>AQ307*(1-입력란!$P$10/100)</f>
        <v>35.567196189119997</v>
      </c>
      <c r="AK30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7" s="21">
        <f>입력란!$P$24+IF(입력란!$C$18=1,10,IF(입력란!$C$18=2,25,IF(입력란!$C$18=3,50,0)))+IF(입력란!$C$23&lt;&gt;0,-12)</f>
        <v>200</v>
      </c>
      <c r="AM307" s="21">
        <f>SUM(AN307:AP307)</f>
        <v>126281.74337820636</v>
      </c>
      <c r="AN307" s="21">
        <f>(VLOOKUP(C307,$B$4:$AJ$7,19,FALSE)+VLOOKUP(C307,$B$8:$AJ$11,19,FALSE)*입력란!$P$4)*IF(G307="근접",IF(MID($E307,5,1)="1",입력란!$P$26,입력란!$P$27),입력란!$P$26)*입력란!$P$25/100</f>
        <v>126281.74337820636</v>
      </c>
      <c r="AO307" s="21"/>
      <c r="AP307" s="21"/>
      <c r="AQ307" s="22">
        <v>36</v>
      </c>
    </row>
    <row r="308" spans="2:43" ht="13.5" customHeight="1" x14ac:dyDescent="0.55000000000000004">
      <c r="B308" s="66">
        <v>293</v>
      </c>
      <c r="C308" s="29">
        <v>7</v>
      </c>
      <c r="D308" s="67" t="s">
        <v>454</v>
      </c>
      <c r="E308" s="27" t="s">
        <v>78</v>
      </c>
      <c r="F308" s="29"/>
      <c r="G308" s="29" t="s">
        <v>417</v>
      </c>
      <c r="H308" s="36">
        <f>I308/AJ308</f>
        <v>73906.295693383508</v>
      </c>
      <c r="I308" s="37">
        <f>SUM(J308:Q308)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308,5,1)&lt;&gt;"1"),1.21,1.07),IF(입력란!$C$30=2,IF(AND(OR(입력란!$C$9=1,입력란!$C$10=1),MID($E308,5,1)&lt;&gt;"1"),1.24,1.08),IF(입력란!$C$30=3,IF(AND(OR(입력란!$C$9=1,입력란!$C$10=1),MID($E308,5,1)&lt;&gt;"1"),1.26,1.09),1)))*(1+입력란!$P$22/100)*IF(입력란!$C$31=1,1.12*1.15,IF(입력란!$C$31=2,1.15*1.18,IF(입력란!$C$31=3,1.17*1.2,1)))*IF(입력란!$C$32=1,1.12,IF(입력란!$C$32=2,1.14,IF(입력란!$C$32=3,1.15,1)))</f>
        <v>2628639.7185376855</v>
      </c>
      <c r="J308" s="21">
        <f>S308*(1+IF($AK308+IF(AND(입력란!$C$9=1,MID($E308,5,1)&lt;&gt;"1"),10,0)+IF(입력란!$C$26=1,10,0)&gt;100,100,$AK308+IF(AND(입력란!$C$9=1,MID($E308,5,1)&lt;&gt;"1"),10,0)+IF(입력란!$C$26=1,10,0))/100*(($AL308+IF(입력란!$C$30=1,IF(AND(OR(입력란!$C$9=1,입력란!$C$10=1),MID($E308,5,1)&lt;&gt;"1"),55,17),IF(입력란!$C$30=2,IF(AND(OR(입력란!$C$9=1,입력란!$C$10=1),MID($E308,5,1)&lt;&gt;"1"),60,20),IF(입력란!$C$30=3,IF(AND(OR(입력란!$C$9=1,입력란!$C$10=1),MID($E308,5,1)&lt;&gt;"1"),65,22),0))))/100-1))</f>
        <v>465108.7074835755</v>
      </c>
      <c r="K308" s="21">
        <f>T308*(1+IF($AK308+IF(AND(입력란!$C$9=1,MID($E308,5,1)&lt;&gt;"1"),10,0)+IF(입력란!$C$26=1,10,0)&gt;100,100,$AK308+IF(AND(입력란!$C$9=1,MID($E308,5,1)&lt;&gt;"1"),10,0)+IF(입력란!$C$26=1,10,0))/100*(($AL308+IF(입력란!$C$30=1,IF(AND(OR(입력란!$C$9=1,입력란!$C$10=1),MID($E308,5,1)&lt;&gt;"1"),55,17),IF(입력란!$C$30=2,IF(AND(OR(입력란!$C$9=1,입력란!$C$10=1),MID($E308,5,1)&lt;&gt;"1"),60,20),IF(입력란!$C$30=3,IF(AND(OR(입력란!$C$9=1,입력란!$C$10=1),MID($E308,5,1)&lt;&gt;"1"),65,22),0))))/100-1))</f>
        <v>465108.7074835755</v>
      </c>
      <c r="L308" s="21">
        <f>U308*(1+IF($AK308+IF(AND(입력란!$C$9=1,MID($E308,5,1)&lt;&gt;"1"),10,0)+IF(입력란!$C$26=1,10,0)&gt;100,100,$AK308+IF(AND(입력란!$C$9=1,MID($E308,5,1)&lt;&gt;"1"),10,0)+IF(입력란!$C$26=1,10,0))/100*(($AL308+IF(입력란!$C$30=1,IF(AND(OR(입력란!$C$9=1,입력란!$C$10=1),MID($E308,5,1)&lt;&gt;"1"),55,17),IF(입력란!$C$30=2,IF(AND(OR(입력란!$C$9=1,입력란!$C$10=1),MID($E308,5,1)&lt;&gt;"1"),60,20),IF(입력란!$C$30=3,IF(AND(OR(입력란!$C$9=1,입력란!$C$10=1),MID($E308,5,1)&lt;&gt;"1"),65,22),0))))/100-1))</f>
        <v>465108.7074835755</v>
      </c>
      <c r="M308" s="21">
        <f>V308*(1+IF($AK308+IF(AND(입력란!$C$9=1,MID($E308,5,1)&lt;&gt;"1"),10,0)+IF(입력란!$C$26=1,10,0)&gt;100,100,$AK308+IF(AND(입력란!$C$9=1,MID($E308,5,1)&lt;&gt;"1"),10,0)+IF(입력란!$C$26=1,10,0))/100*(($AL308+IF(입력란!$C$30=1,IF(AND(OR(입력란!$C$9=1,입력란!$C$10=1),MID($E308,5,1)&lt;&gt;"1"),55,17),IF(입력란!$C$30=2,IF(AND(OR(입력란!$C$9=1,입력란!$C$10=1),MID($E308,5,1)&lt;&gt;"1"),60,20),IF(입력란!$C$30=3,IF(AND(OR(입력란!$C$9=1,입력란!$C$10=1),MID($E308,5,1)&lt;&gt;"1"),65,22),0))))/100-1))</f>
        <v>465108.7074835755</v>
      </c>
      <c r="N308" s="21">
        <f>W308*(1+IF($AK308+IF(AND(입력란!$C$9=1,MID($E308,5,1)&lt;&gt;"1"),10,0)+IF(입력란!$C$26=1,10,0)&gt;100,100,$AK308+IF(AND(입력란!$C$9=1,MID($E308,5,1)&lt;&gt;"1"),10,0)+IF(입력란!$C$26=1,10,0))/100*(($AL308+IF(입력란!$C$30=1,IF(AND(OR(입력란!$C$9=1,입력란!$C$10=1),MID($E308,5,1)&lt;&gt;"1"),55,17),IF(입력란!$C$30=2,IF(AND(OR(입력란!$C$9=1,입력란!$C$10=1),MID($E308,5,1)&lt;&gt;"1"),60,20),IF(입력란!$C$30=3,IF(AND(OR(입력란!$C$9=1,입력란!$C$10=1),MID($E308,5,1)&lt;&gt;"1"),65,22),0))))/100-1))</f>
        <v>0</v>
      </c>
      <c r="O308" s="21"/>
      <c r="P308" s="21"/>
      <c r="Q308" s="105">
        <f>Z308*(1+IF($AK308+IF(입력란!$C$26=1,10,0)&gt;100,100,$AK308+IF(입력란!$C$26=1,10,0))/100*(($AL308+IF(입력란!$C$30=1,17,IF(입력란!$C$30=2,20,IF(입력란!$C$30=3,22,0))))/100-1))</f>
        <v>1076.1951614314919</v>
      </c>
      <c r="R308" s="19">
        <f>SUM(S308:Z308)</f>
        <v>1147837.0930460014</v>
      </c>
      <c r="S308" s="21">
        <f>IF(MID($E308,5,1)="1",IF(MID($E308,3,1)="1",$AN308*트라이포드!$P$18*5,IF(MID($E308,3,1)="2",$AN308*트라이포드!$P$18*4,IF(MID($E308,3,1)="3",$AN308*트라이포드!$P$18*4,$AN308))),$AN308)*IF(MID($E308,3,1)="1",IF(MID($E308,5,1)="1",트라이포드!$J$18,트라이포드!$I$18),1)*IF(MID($E308,3,1)="2",트라이포드!$K$18,1)*IF(MID($E308,3,1)="3",트라이포드!$M$18,1)*IF(MID($E308,5,1)="2",트라이포드!$R$18,1)*(1+입력란!$P$17/100)*IF(AND(입력란!$C$9=1,MID($E308,5,1)&lt;&gt;"1"),IF(입력란!$C$15=0,1.05,IF(입력란!$C$15=1,1.05*1.05,IF(입력란!$C$15=2,1.05*1.12,IF(입력란!$C$15=3,1.05*1.25)))),1)</f>
        <v>286782.47882077086</v>
      </c>
      <c r="T308" s="21">
        <f>IF(MID($E308,5,1)="1",IF(MID($E308,3,1)="1",$AN308*트라이포드!$P$18*5,IF(MID($E308,3,1)="2",$AN308*트라이포드!$P$18*4,IF(MID($E308,3,1)="3",$AN308*트라이포드!$P$18*4,$AN308))),$AN308)*IF(MID($E308,3,1)="1",IF(MID($E308,5,1)="1",트라이포드!$J$18,트라이포드!$I$18),1)*IF(MID($E308,3,1)="2",트라이포드!$K$18,1)*IF(MID($E308,3,1)="3",트라이포드!$M$18,1)*IF(MID($E308,5,1)="2",트라이포드!$R$18,1)*(1+입력란!$P$17/100)*IF(AND(입력란!$C$9=1,MID($E308,5,1)&lt;&gt;"1"),IF(입력란!$C$15=0,1.05,IF(입력란!$C$15=1,1.05*1.05,IF(입력란!$C$15=2,1.05*1.12,IF(입력란!$C$15=3,1.05*1.25)))),1)</f>
        <v>286782.47882077086</v>
      </c>
      <c r="U308" s="21">
        <f>IF(MID($E308,5,1)="1",IF(MID($E308,3,1)="1",$AN308*트라이포드!$P$18*5,IF(MID($E308,3,1)="2",$AN308*트라이포드!$P$18*4,IF(MID($E308,3,1)="3",$AN308*트라이포드!$P$18*4,$AN308))),$AN308)*IF(MID($E308,3,1)="1",IF(MID($E308,5,1)="1",트라이포드!$J$18,트라이포드!$I$18),1)*IF(MID($E308,3,1)="2",트라이포드!$K$18,1)*IF(MID($E308,3,1)="3",트라이포드!$M$18,1)*IF(MID($E308,5,1)="2",트라이포드!$R$18,1)*(1+입력란!$P$17/100)*IF(AND(입력란!$C$9=1,MID($E308,5,1)&lt;&gt;"1"),IF(입력란!$C$15=0,1.05,IF(입력란!$C$15=1,1.05*1.05,IF(입력란!$C$15=2,1.05*1.12,IF(입력란!$C$15=3,1.05*1.25)))),1)</f>
        <v>286782.47882077086</v>
      </c>
      <c r="V308" s="21">
        <f>IF(MID($E308,5,1)="1",IF(MID($E308,3,1)="1",$AN308*트라이포드!$P$18*5,IF(MID($E308,3,1)="2",$AN308*트라이포드!$P$18*4,IF(MID($E308,3,1)="3",$AN308*트라이포드!$P$18*4,$AN308))),$AN308)*IF(MID($E308,3,1)="1",IF(MID($E308,5,1)="1",트라이포드!$J$18,트라이포드!$I$18),1)*IF(MID($E308,3,1)="2",트라이포드!$K$18,1)*IF(MID($E308,3,1)="3",트라이포드!$M$18,1)*IF(MID($E308,5,1)="2",트라이포드!$R$18,1)*(1+입력란!$P$17/100)*IF(AND(입력란!$C$9=1,MID($E308,5,1)&lt;&gt;"1"),IF(입력란!$C$15=0,1.05,IF(입력란!$C$15=1,1.05*1.05,IF(입력란!$C$15=2,1.05*1.12,IF(입력란!$C$15=3,1.05*1.25)))),1)</f>
        <v>286782.47882077086</v>
      </c>
      <c r="W308" s="21">
        <f>IF(MID($E308,5,1)="1",IF(MID($E308,3,1)="1",$AN308*트라이포드!$P$18*5,IF(MID($E308,3,1)="2",$AN308*트라이포드!$P$18*4,IF(MID($E308,3,1)="3",$AN308*트라이포드!$P$18*4,$AN308))),$AN308)*IF(MID($E308,3,1)="1",IF(MID($E308,5,1)="1",트라이포드!$J$18,트라이포드!$I$18),1)*IF(MID($E308,3,1)="2",트라이포드!$K$18,1)*IF(MID($E308,3,1)="3",트라이포드!$M$18,1)*IF(MID($E308,5,1)="2",트라이포드!$R$18,0)*(1+입력란!$P$17/100)*IF(AND(입력란!$C$9=1,MID($E308,5,1)&lt;&gt;"1"),IF(입력란!$C$15=0,1.05,IF(입력란!$C$15=1,1.05*1.05,IF(입력란!$C$15=2,1.05*1.12,IF(입력란!$C$15=3,1.05*1.25)))),1)</f>
        <v>0</v>
      </c>
      <c r="X308" s="21"/>
      <c r="Y308" s="21"/>
      <c r="Z308" s="20">
        <f>AN308*IF(MID(E308,3,1)="2",트라이포드!$L$18,IF(MID(E308,3,1)="3",트라이포드!$N$18*12*5,0))*IF(입력란!$C$30=1,1.07,IF(입력란!$C$30=2,1.08,IF(입력란!$C$30=3,1.09,1)))</f>
        <v>707.17776291795565</v>
      </c>
      <c r="AA308" s="21">
        <f>SUM(AB308:AI308)</f>
        <v>1147129.9152830835</v>
      </c>
      <c r="AB308" s="21">
        <f>S308*2</f>
        <v>573564.95764154173</v>
      </c>
      <c r="AC308" s="21">
        <f>T308*2</f>
        <v>573564.95764154173</v>
      </c>
      <c r="AD308" s="21"/>
      <c r="AE308" s="21"/>
      <c r="AF308" s="21"/>
      <c r="AG308" s="21"/>
      <c r="AH308" s="21"/>
      <c r="AI308" s="20"/>
      <c r="AJ308" s="21">
        <f>AQ308*(1-입력란!$P$10/100)</f>
        <v>35.567196189119997</v>
      </c>
      <c r="AK3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8" s="21">
        <f>입력란!$P$24+IF(입력란!$C$18=1,10,IF(입력란!$C$18=2,25,IF(입력란!$C$18=3,50,0)))+IF(입력란!$C$23&lt;&gt;0,-12)</f>
        <v>200</v>
      </c>
      <c r="AM308" s="21">
        <f>SUM(AN308:AP308)</f>
        <v>126281.74337820636</v>
      </c>
      <c r="AN308" s="21">
        <f>(VLOOKUP(C308,$B$4:$AJ$7,19,FALSE)+VLOOKUP(C308,$B$8:$AJ$11,19,FALSE)*입력란!$P$4)*IF(G308="근접",IF(MID($E308,5,1)="1",입력란!$P$26,입력란!$P$27),입력란!$P$26)*입력란!$P$25/100</f>
        <v>126281.74337820636</v>
      </c>
      <c r="AO308" s="21"/>
      <c r="AP308" s="21"/>
      <c r="AQ308" s="22">
        <v>36</v>
      </c>
    </row>
    <row r="309" spans="2:43" ht="13.5" customHeight="1" x14ac:dyDescent="0.55000000000000004">
      <c r="B309" s="66">
        <v>294</v>
      </c>
      <c r="C309" s="29">
        <v>7</v>
      </c>
      <c r="D309" s="67" t="s">
        <v>454</v>
      </c>
      <c r="E309" s="27" t="s">
        <v>79</v>
      </c>
      <c r="F309" s="29"/>
      <c r="G309" s="29" t="s">
        <v>417</v>
      </c>
      <c r="H309" s="36">
        <f>I309/AJ309</f>
        <v>55662.570800030349</v>
      </c>
      <c r="I309" s="37">
        <f>SUM(J309:Q309)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309,5,1)&lt;&gt;"1"),1.21,1.07),IF(입력란!$C$30=2,IF(AND(OR(입력란!$C$9=1,입력란!$C$10=1),MID($E309,5,1)&lt;&gt;"1"),1.24,1.08),IF(입력란!$C$30=3,IF(AND(OR(입력란!$C$9=1,입력란!$C$10=1),MID($E309,5,1)&lt;&gt;"1"),1.26,1.09),1)))*(1+입력란!$P$22/100)*IF(입력란!$C$31=1,1.12*1.15,IF(입력란!$C$31=2,1.15*1.18,IF(입력란!$C$31=3,1.17*1.2,1)))*IF(입력란!$C$32=1,1.12,IF(입력란!$C$32=2,1.14,IF(입력란!$C$32=3,1.15,1)))</f>
        <v>1979761.5760354614</v>
      </c>
      <c r="J309" s="21">
        <f>S309*(1+IF($AK309+IF(AND(입력란!$C$9=1,MID($E309,5,1)&lt;&gt;"1"),10,0)+IF(입력란!$C$26=1,10,0)&gt;100,100,$AK309+IF(AND(입력란!$C$9=1,MID($E309,5,1)&lt;&gt;"1"),10,0)+IF(입력란!$C$26=1,10,0))/100*(($AL309+IF(입력란!$C$30=1,IF(AND(OR(입력란!$C$9=1,입력란!$C$10=1),MID($E309,5,1)&lt;&gt;"1"),55,17),IF(입력란!$C$30=2,IF(AND(OR(입력란!$C$9=1,입력란!$C$10=1),MID($E309,5,1)&lt;&gt;"1"),60,20),IF(입력란!$C$30=3,IF(AND(OR(입력란!$C$9=1,입력란!$C$10=1),MID($E309,5,1)&lt;&gt;"1"),65,22),0))))/100-1))</f>
        <v>292846.22323039937</v>
      </c>
      <c r="K309" s="21">
        <f>T309*(1+IF($AK309+IF(AND(입력란!$C$9=1,MID($E309,5,1)&lt;&gt;"1"),10,0)+IF(입력란!$C$26=1,10,0)&gt;100,100,$AK309+IF(AND(입력란!$C$9=1,MID($E309,5,1)&lt;&gt;"1"),10,0)+IF(입력란!$C$26=1,10,0))/100*(($AL309+IF(입력란!$C$30=1,IF(AND(OR(입력란!$C$9=1,입력란!$C$10=1),MID($E309,5,1)&lt;&gt;"1"),55,17),IF(입력란!$C$30=2,IF(AND(OR(입력란!$C$9=1,입력란!$C$10=1),MID($E309,5,1)&lt;&gt;"1"),60,20),IF(입력란!$C$30=3,IF(AND(OR(입력란!$C$9=1,입력란!$C$10=1),MID($E309,5,1)&lt;&gt;"1"),65,22),0))))/100-1))</f>
        <v>292846.22323039937</v>
      </c>
      <c r="L309" s="21">
        <f>U309*(1+IF($AK309+IF(AND(입력란!$C$9=1,MID($E309,5,1)&lt;&gt;"1"),10,0)+IF(입력란!$C$26=1,10,0)&gt;100,100,$AK309+IF(AND(입력란!$C$9=1,MID($E309,5,1)&lt;&gt;"1"),10,0)+IF(입력란!$C$26=1,10,0))/100*(($AL309+IF(입력란!$C$30=1,IF(AND(OR(입력란!$C$9=1,입력란!$C$10=1),MID($E309,5,1)&lt;&gt;"1"),55,17),IF(입력란!$C$30=2,IF(AND(OR(입력란!$C$9=1,입력란!$C$10=1),MID($E309,5,1)&lt;&gt;"1"),60,20),IF(입력란!$C$30=3,IF(AND(OR(입력란!$C$9=1,입력란!$C$10=1),MID($E309,5,1)&lt;&gt;"1"),65,22),0))))/100-1))</f>
        <v>292846.22323039937</v>
      </c>
      <c r="M309" s="21">
        <f>V309*(1+IF($AK309+IF(AND(입력란!$C$9=1,MID($E309,5,1)&lt;&gt;"1"),10,0)+IF(입력란!$C$26=1,10,0)&gt;100,100,$AK309+IF(AND(입력란!$C$9=1,MID($E309,5,1)&lt;&gt;"1"),10,0)+IF(입력란!$C$26=1,10,0))/100*(($AL309+IF(입력란!$C$30=1,IF(AND(OR(입력란!$C$9=1,입력란!$C$10=1),MID($E309,5,1)&lt;&gt;"1"),55,17),IF(입력란!$C$30=2,IF(AND(OR(입력란!$C$9=1,입력란!$C$10=1),MID($E309,5,1)&lt;&gt;"1"),60,20),IF(입력란!$C$30=3,IF(AND(OR(입력란!$C$9=1,입력란!$C$10=1),MID($E309,5,1)&lt;&gt;"1"),65,22),0))))/100-1))</f>
        <v>292846.22323039937</v>
      </c>
      <c r="N309" s="21">
        <f>W309*(1+IF($AK309+IF(AND(입력란!$C$9=1,MID($E309,5,1)&lt;&gt;"1"),10,0)+IF(입력란!$C$26=1,10,0)&gt;100,100,$AK309+IF(AND(입력란!$C$9=1,MID($E309,5,1)&lt;&gt;"1"),10,0)+IF(입력란!$C$26=1,10,0))/100*(($AL309+IF(입력란!$C$30=1,IF(AND(OR(입력란!$C$9=1,입력란!$C$10=1),MID($E309,5,1)&lt;&gt;"1"),55,17),IF(입력란!$C$30=2,IF(AND(OR(입력란!$C$9=1,입력란!$C$10=1),MID($E309,5,1)&lt;&gt;"1"),60,20),IF(입력란!$C$30=3,IF(AND(OR(입력란!$C$9=1,입력란!$C$10=1),MID($E309,5,1)&lt;&gt;"1"),65,22),0))))/100-1))</f>
        <v>0</v>
      </c>
      <c r="O309" s="21"/>
      <c r="P309" s="21"/>
      <c r="Q309" s="105">
        <f>Z309*(1+IF($AK309+IF(입력란!$C$26=1,10,0)&gt;100,100,$AK309+IF(입력란!$C$26=1,10,0))/100*(($AL309+IF(입력란!$C$30=1,17,IF(입력란!$C$30=2,20,IF(입력란!$C$30=3,22,0))))/100-1))</f>
        <v>230613.24887817682</v>
      </c>
      <c r="R309" s="19">
        <f>SUM(S309:Z309)</f>
        <v>873805.07575060381</v>
      </c>
      <c r="S309" s="21">
        <f>IF(MID($E309,5,1)="1",IF(MID($E309,3,1)="1",$AN309*트라이포드!$P$18*5,IF(MID($E309,3,1)="2",$AN309*트라이포드!$P$18*4,IF(MID($E309,3,1)="3",$AN309*트라이포드!$P$18*4,$AN309))),$AN309)*IF(MID($E309,3,1)="1",IF(MID($E309,5,1)="1",트라이포드!$J$18,트라이포드!$I$18),1)*IF(MID($E309,3,1)="2",트라이포드!$K$18,1)*IF(MID($E309,3,1)="3",트라이포드!$M$18,1)*IF(MID($E309,5,1)="2",트라이포드!$R$18,1)*(1+입력란!$P$17/100)*IF(AND(입력란!$C$9=1,MID($E309,5,1)&lt;&gt;"1"),IF(입력란!$C$15=0,1.05,IF(입력란!$C$15=1,1.05*1.05,IF(입력란!$C$15=2,1.05*1.12,IF(입력란!$C$15=3,1.05*1.25)))),1)</f>
        <v>180566.74592418905</v>
      </c>
      <c r="T309" s="21">
        <f>IF(MID($E309,5,1)="1",IF(MID($E309,3,1)="1",$AN309*트라이포드!$P$18*5,IF(MID($E309,3,1)="2",$AN309*트라이포드!$P$18*4,IF(MID($E309,3,1)="3",$AN309*트라이포드!$P$18*4,$AN309))),$AN309)*IF(MID($E309,3,1)="1",IF(MID($E309,5,1)="1",트라이포드!$J$18,트라이포드!$I$18),1)*IF(MID($E309,3,1)="2",트라이포드!$K$18,1)*IF(MID($E309,3,1)="3",트라이포드!$M$18,1)*IF(MID($E309,5,1)="2",트라이포드!$R$18,1)*(1+입력란!$P$17/100)*IF(AND(입력란!$C$9=1,MID($E309,5,1)&lt;&gt;"1"),IF(입력란!$C$15=0,1.05,IF(입력란!$C$15=1,1.05*1.05,IF(입력란!$C$15=2,1.05*1.12,IF(입력란!$C$15=3,1.05*1.25)))),1)</f>
        <v>180566.74592418905</v>
      </c>
      <c r="U309" s="21">
        <f>IF(MID($E309,5,1)="1",IF(MID($E309,3,1)="1",$AN309*트라이포드!$P$18*5,IF(MID($E309,3,1)="2",$AN309*트라이포드!$P$18*4,IF(MID($E309,3,1)="3",$AN309*트라이포드!$P$18*4,$AN309))),$AN309)*IF(MID($E309,3,1)="1",IF(MID($E309,5,1)="1",트라이포드!$J$18,트라이포드!$I$18),1)*IF(MID($E309,3,1)="2",트라이포드!$K$18,1)*IF(MID($E309,3,1)="3",트라이포드!$M$18,1)*IF(MID($E309,5,1)="2",트라이포드!$R$18,1)*(1+입력란!$P$17/100)*IF(AND(입력란!$C$9=1,MID($E309,5,1)&lt;&gt;"1"),IF(입력란!$C$15=0,1.05,IF(입력란!$C$15=1,1.05*1.05,IF(입력란!$C$15=2,1.05*1.12,IF(입력란!$C$15=3,1.05*1.25)))),1)</f>
        <v>180566.74592418905</v>
      </c>
      <c r="V309" s="21">
        <f>IF(MID($E309,5,1)="1",IF(MID($E309,3,1)="1",$AN309*트라이포드!$P$18*5,IF(MID($E309,3,1)="2",$AN309*트라이포드!$P$18*4,IF(MID($E309,3,1)="3",$AN309*트라이포드!$P$18*4,$AN309))),$AN309)*IF(MID($E309,3,1)="1",IF(MID($E309,5,1)="1",트라이포드!$J$18,트라이포드!$I$18),1)*IF(MID($E309,3,1)="2",트라이포드!$K$18,1)*IF(MID($E309,3,1)="3",트라이포드!$M$18,1)*IF(MID($E309,5,1)="2",트라이포드!$R$18,1)*(1+입력란!$P$17/100)*IF(AND(입력란!$C$9=1,MID($E309,5,1)&lt;&gt;"1"),IF(입력란!$C$15=0,1.05,IF(입력란!$C$15=1,1.05*1.05,IF(입력란!$C$15=2,1.05*1.12,IF(입력란!$C$15=3,1.05*1.25)))),1)</f>
        <v>180566.74592418905</v>
      </c>
      <c r="W309" s="21">
        <f>IF(MID($E309,5,1)="1",IF(MID($E309,3,1)="1",$AN309*트라이포드!$P$18*5,IF(MID($E309,3,1)="2",$AN309*트라이포드!$P$18*4,IF(MID($E309,3,1)="3",$AN309*트라이포드!$P$18*4,$AN309))),$AN309)*IF(MID($E309,3,1)="1",IF(MID($E309,5,1)="1",트라이포드!$J$18,트라이포드!$I$18),1)*IF(MID($E309,3,1)="2",트라이포드!$K$18,1)*IF(MID($E309,3,1)="3",트라이포드!$M$18,1)*IF(MID($E309,5,1)="2",트라이포드!$R$18,0)*(1+입력란!$P$17/100)*IF(AND(입력란!$C$9=1,MID($E309,5,1)&lt;&gt;"1"),IF(입력란!$C$15=0,1.05,IF(입력란!$C$15=1,1.05*1.05,IF(입력란!$C$15=2,1.05*1.12,IF(입력란!$C$15=3,1.05*1.25)))),1)</f>
        <v>0</v>
      </c>
      <c r="X309" s="21"/>
      <c r="Y309" s="21"/>
      <c r="Z309" s="20">
        <f>AN309*IF(MID(E309,3,1)="2",트라이포드!$L$18,IF(MID(E309,3,1)="3",트라이포드!$N$18*12*5,0))*IF(입력란!$C$30=1,1.07,IF(입력란!$C$30=2,1.08,IF(입력란!$C$30=3,1.09,1)))</f>
        <v>151538.09205384762</v>
      </c>
      <c r="AA309" s="21">
        <f>SUM(AB309:AI309)</f>
        <v>722266.98369675619</v>
      </c>
      <c r="AB309" s="21">
        <f>S309*2</f>
        <v>361133.49184837809</v>
      </c>
      <c r="AC309" s="21">
        <f>T309*2</f>
        <v>361133.49184837809</v>
      </c>
      <c r="AD309" s="21"/>
      <c r="AE309" s="21"/>
      <c r="AF309" s="21"/>
      <c r="AG309" s="21"/>
      <c r="AH309" s="21"/>
      <c r="AI309" s="20"/>
      <c r="AJ309" s="21">
        <f>AQ309*(1-입력란!$P$10/100)</f>
        <v>35.567196189119997</v>
      </c>
      <c r="AK3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09" s="21">
        <f>입력란!$P$24+IF(입력란!$C$18=1,10,IF(입력란!$C$18=2,25,IF(입력란!$C$18=3,50,0)))+IF(입력란!$C$23&lt;&gt;0,-12)</f>
        <v>200</v>
      </c>
      <c r="AM309" s="21">
        <f>SUM(AN309:AP309)</f>
        <v>126281.74337820636</v>
      </c>
      <c r="AN309" s="21">
        <f>(VLOOKUP(C309,$B$4:$AJ$7,19,FALSE)+VLOOKUP(C309,$B$8:$AJ$11,19,FALSE)*입력란!$P$4)*IF(G309="근접",IF(MID($E309,5,1)="1",입력란!$P$26,입력란!$P$27),입력란!$P$26)*입력란!$P$25/100</f>
        <v>126281.74337820636</v>
      </c>
      <c r="AO309" s="21"/>
      <c r="AP309" s="21"/>
      <c r="AQ309" s="22">
        <v>36</v>
      </c>
    </row>
    <row r="310" spans="2:43" ht="13.5" customHeight="1" x14ac:dyDescent="0.55000000000000004">
      <c r="B310" s="66">
        <v>295</v>
      </c>
      <c r="C310" s="29">
        <v>10</v>
      </c>
      <c r="D310" s="67" t="s">
        <v>454</v>
      </c>
      <c r="E310" s="27" t="s">
        <v>76</v>
      </c>
      <c r="F310" s="29"/>
      <c r="G310" s="29" t="s">
        <v>417</v>
      </c>
      <c r="H310" s="36">
        <f>I310/AJ310</f>
        <v>54734.897708773686</v>
      </c>
      <c r="I310" s="37">
        <f>SUM(J310:Q310)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310,5,1)&lt;&gt;"1"),1.21,1.07),IF(입력란!$C$30=2,IF(AND(OR(입력란!$C$9=1,입력란!$C$10=1),MID($E310,5,1)&lt;&gt;"1"),1.24,1.08),IF(입력란!$C$30=3,IF(AND(OR(입력란!$C$9=1,입력란!$C$10=1),MID($E310,5,1)&lt;&gt;"1"),1.26,1.09),1)))*(1+입력란!$P$22/100)*IF(입력란!$C$31=1,1.12*1.15,IF(입력란!$C$31=2,1.15*1.18,IF(입력란!$C$31=3,1.17*1.2,1)))*IF(입력란!$C$32=1,1.12,IF(입력란!$C$32=2,1.14,IF(입력란!$C$32=3,1.15,1)))</f>
        <v>1946766.8451993682</v>
      </c>
      <c r="J310" s="21">
        <f>S310*(1+IF($AK310+IF(AND(입력란!$C$9=1,MID($E310,5,1)&lt;&gt;"1"),10,0)+IF(입력란!$C$26=1,10,0)&gt;100,100,$AK310+IF(AND(입력란!$C$9=1,MID($E310,5,1)&lt;&gt;"1"),10,0)+IF(입력란!$C$26=1,10,0))/100*(($AL310+IF(입력란!$C$30=1,IF(AND(OR(입력란!$C$9=1,입력란!$C$10=1),MID($E310,5,1)&lt;&gt;"1"),55,17),IF(입력란!$C$30=2,IF(AND(OR(입력란!$C$9=1,입력란!$C$10=1),MID($E310,5,1)&lt;&gt;"1"),60,20),IF(입력란!$C$30=3,IF(AND(OR(입력란!$C$9=1,입력란!$C$10=1),MID($E310,5,1)&lt;&gt;"1"),65,22),0))))/100-1))</f>
        <v>344658.10587057716</v>
      </c>
      <c r="K310" s="21">
        <f>T310*(1+IF($AK310+IF(AND(입력란!$C$9=1,MID($E310,5,1)&lt;&gt;"1"),10,0)+IF(입력란!$C$26=1,10,0)&gt;100,100,$AK310+IF(AND(입력란!$C$9=1,MID($E310,5,1)&lt;&gt;"1"),10,0)+IF(입력란!$C$26=1,10,0))/100*(($AL310+IF(입력란!$C$30=1,IF(AND(OR(입력란!$C$9=1,입력란!$C$10=1),MID($E310,5,1)&lt;&gt;"1"),55,17),IF(입력란!$C$30=2,IF(AND(OR(입력란!$C$9=1,입력란!$C$10=1),MID($E310,5,1)&lt;&gt;"1"),60,20),IF(입력란!$C$30=3,IF(AND(OR(입력란!$C$9=1,입력란!$C$10=1),MID($E310,5,1)&lt;&gt;"1"),65,22),0))))/100-1))</f>
        <v>344658.10587057716</v>
      </c>
      <c r="L310" s="21">
        <f>U310*(1+IF($AK310+IF(AND(입력란!$C$9=1,MID($E310,5,1)&lt;&gt;"1"),10,0)+IF(입력란!$C$26=1,10,0)&gt;100,100,$AK310+IF(AND(입력란!$C$9=1,MID($E310,5,1)&lt;&gt;"1"),10,0)+IF(입력란!$C$26=1,10,0))/100*(($AL310+IF(입력란!$C$30=1,IF(AND(OR(입력란!$C$9=1,입력란!$C$10=1),MID($E310,5,1)&lt;&gt;"1"),55,17),IF(입력란!$C$30=2,IF(AND(OR(입력란!$C$9=1,입력란!$C$10=1),MID($E310,5,1)&lt;&gt;"1"),60,20),IF(입력란!$C$30=3,IF(AND(OR(입력란!$C$9=1,입력란!$C$10=1),MID($E310,5,1)&lt;&gt;"1"),65,22),0))))/100-1))</f>
        <v>344658.10587057716</v>
      </c>
      <c r="M310" s="21">
        <f>V310*(1+IF($AK310+IF(AND(입력란!$C$9=1,MID($E310,5,1)&lt;&gt;"1"),10,0)+IF(입력란!$C$26=1,10,0)&gt;100,100,$AK310+IF(AND(입력란!$C$9=1,MID($E310,5,1)&lt;&gt;"1"),10,0)+IF(입력란!$C$26=1,10,0))/100*(($AL310+IF(입력란!$C$30=1,IF(AND(OR(입력란!$C$9=1,입력란!$C$10=1),MID($E310,5,1)&lt;&gt;"1"),55,17),IF(입력란!$C$30=2,IF(AND(OR(입력란!$C$9=1,입력란!$C$10=1),MID($E310,5,1)&lt;&gt;"1"),60,20),IF(입력란!$C$30=3,IF(AND(OR(입력란!$C$9=1,입력란!$C$10=1),MID($E310,5,1)&lt;&gt;"1"),65,22),0))))/100-1))</f>
        <v>344658.10587057716</v>
      </c>
      <c r="N310" s="21">
        <f>W310*(1+IF($AK310+IF(AND(입력란!$C$9=1,MID($E310,5,1)&lt;&gt;"1"),10,0)+IF(입력란!$C$26=1,10,0)&gt;100,100,$AK310+IF(AND(입력란!$C$9=1,MID($E310,5,1)&lt;&gt;"1"),10,0)+IF(입력란!$C$26=1,10,0))/100*(($AL310+IF(입력란!$C$30=1,IF(AND(OR(입력란!$C$9=1,입력란!$C$10=1),MID($E310,5,1)&lt;&gt;"1"),55,17),IF(입력란!$C$30=2,IF(AND(OR(입력란!$C$9=1,입력란!$C$10=1),MID($E310,5,1)&lt;&gt;"1"),60,20),IF(입력란!$C$30=3,IF(AND(OR(입력란!$C$9=1,입력란!$C$10=1),MID($E310,5,1)&lt;&gt;"1"),65,22),0))))/100-1))</f>
        <v>0</v>
      </c>
      <c r="O310" s="21"/>
      <c r="P310" s="21"/>
      <c r="Q310" s="105">
        <f>Z310*(1+IF($AK310+IF(입력란!$C$26=1,10,0)&gt;100,100,$AK310+IF(입력란!$C$26=1,10,0))/100*(($AL310+IF(입력란!$C$30=1,17,IF(입력란!$C$30=2,20,IF(입력란!$C$30=3,22,0))))/100-1))</f>
        <v>0</v>
      </c>
      <c r="R310" s="19">
        <f>SUM(S310:Z310)</f>
        <v>850054.2291027843</v>
      </c>
      <c r="S310" s="21">
        <f>IF(MID($E310,5,1)="1",IF(MID($E310,3,1)="1",$AN310*트라이포드!$P$18*5,IF(MID($E310,3,1)="2",$AN310*트라이포드!$P$18*4,IF(MID($E310,3,1)="3",$AN310*트라이포드!$P$18*4,$AN310))),$AN310)*IF(MID($E310,3,1)="1",IF(MID($E310,5,1)="1",트라이포드!$J$18,트라이포드!$I$18),1)*IF(MID($E310,3,1)="2",트라이포드!$K$18,1)*IF(MID($E310,3,1)="3",트라이포드!$M$18,1)*IF(MID($E310,5,1)="2",트라이포드!$R$18,1)*(1+입력란!$P$17/100)*IF(AND(입력란!$C$9=1,MID($E310,5,1)&lt;&gt;"1"),IF(입력란!$C$15=0,1.05,IF(입력란!$C$15=1,1.05*1.05,IF(입력란!$C$15=2,1.05*1.12,IF(입력란!$C$15=3,1.05*1.25)))),1)</f>
        <v>212513.55727569608</v>
      </c>
      <c r="T310" s="21">
        <f>IF(MID($E310,5,1)="1",IF(MID($E310,3,1)="1",$AN310*트라이포드!$P$18*5,IF(MID($E310,3,1)="2",$AN310*트라이포드!$P$18*4,IF(MID($E310,3,1)="3",$AN310*트라이포드!$P$18*4,$AN310))),$AN310)*IF(MID($E310,3,1)="1",IF(MID($E310,5,1)="1",트라이포드!$J$18,트라이포드!$I$18),1)*IF(MID($E310,3,1)="2",트라이포드!$K$18,1)*IF(MID($E310,3,1)="3",트라이포드!$M$18,1)*IF(MID($E310,5,1)="2",트라이포드!$R$18,1)*(1+입력란!$P$17/100)*IF(AND(입력란!$C$9=1,MID($E310,5,1)&lt;&gt;"1"),IF(입력란!$C$15=0,1.05,IF(입력란!$C$15=1,1.05*1.05,IF(입력란!$C$15=2,1.05*1.12,IF(입력란!$C$15=3,1.05*1.25)))),1)</f>
        <v>212513.55727569608</v>
      </c>
      <c r="U310" s="21">
        <f>IF(MID($E310,5,1)="1",IF(MID($E310,3,1)="1",$AN310*트라이포드!$P$18*5,IF(MID($E310,3,1)="2",$AN310*트라이포드!$P$18*4,IF(MID($E310,3,1)="3",$AN310*트라이포드!$P$18*4,$AN310))),$AN310)*IF(MID($E310,3,1)="1",IF(MID($E310,5,1)="1",트라이포드!$J$18,트라이포드!$I$18),1)*IF(MID($E310,3,1)="2",트라이포드!$K$18,1)*IF(MID($E310,3,1)="3",트라이포드!$M$18,1)*IF(MID($E310,5,1)="2",트라이포드!$R$18,1)*(1+입력란!$P$17/100)*IF(AND(입력란!$C$9=1,MID($E310,5,1)&lt;&gt;"1"),IF(입력란!$C$15=0,1.05,IF(입력란!$C$15=1,1.05*1.05,IF(입력란!$C$15=2,1.05*1.12,IF(입력란!$C$15=3,1.05*1.25)))),1)</f>
        <v>212513.55727569608</v>
      </c>
      <c r="V310" s="21">
        <f>IF(MID($E310,5,1)="1",IF(MID($E310,3,1)="1",$AN310*트라이포드!$P$18*5,IF(MID($E310,3,1)="2",$AN310*트라이포드!$P$18*4,IF(MID($E310,3,1)="3",$AN310*트라이포드!$P$18*4,$AN310))),$AN310)*IF(MID($E310,3,1)="1",IF(MID($E310,5,1)="1",트라이포드!$J$18,트라이포드!$I$18),1)*IF(MID($E310,3,1)="2",트라이포드!$K$18,1)*IF(MID($E310,3,1)="3",트라이포드!$M$18,1)*IF(MID($E310,5,1)="2",트라이포드!$R$18,1)*(1+입력란!$P$17/100)*IF(AND(입력란!$C$9=1,MID($E310,5,1)&lt;&gt;"1"),IF(입력란!$C$15=0,1.05,IF(입력란!$C$15=1,1.05*1.05,IF(입력란!$C$15=2,1.05*1.12,IF(입력란!$C$15=3,1.05*1.25)))),1)</f>
        <v>212513.55727569608</v>
      </c>
      <c r="W310" s="21">
        <f>IF(MID($E310,5,1)="1",IF(MID($E310,3,1)="1",$AN310*트라이포드!$P$18*5,IF(MID($E310,3,1)="2",$AN310*트라이포드!$P$18*4,IF(MID($E310,3,1)="3",$AN310*트라이포드!$P$18*4,$AN310))),$AN310)*IF(MID($E310,3,1)="1",IF(MID($E310,5,1)="1",트라이포드!$J$18,트라이포드!$I$18),1)*IF(MID($E310,3,1)="2",트라이포드!$K$18,1)*IF(MID($E310,3,1)="3",트라이포드!$M$18,1)*IF(MID($E310,5,1)="2",트라이포드!$R$18,0)*(1+입력란!$P$17/100)*IF(AND(입력란!$C$9=1,MID($E310,5,1)&lt;&gt;"1"),IF(입력란!$C$15=0,1.05,IF(입력란!$C$15=1,1.05*1.05,IF(입력란!$C$15=2,1.05*1.12,IF(입력란!$C$15=3,1.05*1.25)))),1)</f>
        <v>0</v>
      </c>
      <c r="X310" s="21"/>
      <c r="Y310" s="21"/>
      <c r="Z310" s="20">
        <f>AN310*IF(MID(E310,3,1)="2",트라이포드!$L$18,IF(MID(E310,3,1)="3",트라이포드!$N$18*12*5,0))*IF(입력란!$C$30=1,1.07,IF(입력란!$C$30=2,1.08,IF(입력란!$C$30=3,1.09,1)))</f>
        <v>0</v>
      </c>
      <c r="AA310" s="21">
        <f>SUM(AB310:AI310)</f>
        <v>850054.2291027843</v>
      </c>
      <c r="AB310" s="21">
        <f>S310*2</f>
        <v>425027.11455139215</v>
      </c>
      <c r="AC310" s="21">
        <f>T310*2</f>
        <v>425027.11455139215</v>
      </c>
      <c r="AD310" s="21"/>
      <c r="AE310" s="21"/>
      <c r="AF310" s="21"/>
      <c r="AG310" s="21"/>
      <c r="AH310" s="21"/>
      <c r="AI310" s="20"/>
      <c r="AJ310" s="21">
        <f>AQ310*(1-입력란!$P$10/100)</f>
        <v>35.567196189119997</v>
      </c>
      <c r="AK3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0" s="21">
        <f>입력란!$P$24+IF(입력란!$C$18=1,10,IF(입력란!$C$18=2,25,IF(입력란!$C$18=3,50,0)))+IF(입력란!$C$23&lt;&gt;0,-12)</f>
        <v>200</v>
      </c>
      <c r="AM310" s="21">
        <f>SUM(AN310:AP310)</f>
        <v>126330.54337820636</v>
      </c>
      <c r="AN310" s="21">
        <f>(VLOOKUP(C310,$B$4:$AJ$7,19,FALSE)+VLOOKUP(C310,$B$8:$AJ$11,19,FALSE)*입력란!$P$4)*IF(G310="근접",IF(MID($E310,5,1)="1",입력란!$P$26,입력란!$P$27),입력란!$P$26)*입력란!$P$25/100</f>
        <v>126330.54337820636</v>
      </c>
      <c r="AO310" s="21"/>
      <c r="AP310" s="21"/>
      <c r="AQ310" s="22">
        <v>36</v>
      </c>
    </row>
    <row r="311" spans="2:43" ht="13.5" customHeight="1" x14ac:dyDescent="0.55000000000000004">
      <c r="B311" s="66">
        <v>296</v>
      </c>
      <c r="C311" s="29">
        <v>10</v>
      </c>
      <c r="D311" s="67" t="s">
        <v>454</v>
      </c>
      <c r="E311" s="27" t="s">
        <v>121</v>
      </c>
      <c r="F311" s="29"/>
      <c r="G311" s="29" t="s">
        <v>417</v>
      </c>
      <c r="H311" s="36">
        <f>I311/AJ311</f>
        <v>48914.272091100167</v>
      </c>
      <c r="I311" s="37">
        <f>SUM(J311:Q311)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311,5,1)&lt;&gt;"1"),1.21,1.07),IF(입력란!$C$30=2,IF(AND(OR(입력란!$C$9=1,입력란!$C$10=1),MID($E311,5,1)&lt;&gt;"1"),1.24,1.08),IF(입력란!$C$30=3,IF(AND(OR(입력란!$C$9=1,입력란!$C$10=1),MID($E311,5,1)&lt;&gt;"1"),1.26,1.09),1)))*(1+입력란!$P$22/100)*IF(입력란!$C$31=1,1.12*1.15,IF(입력란!$C$31=2,1.15*1.18,IF(입력란!$C$31=3,1.17*1.2,1)))*IF(입력란!$C$32=1,1.12,IF(입력란!$C$32=2,1.14,IF(입력란!$C$32=3,1.15,1)))</f>
        <v>1739743.5119121566</v>
      </c>
      <c r="J311" s="21">
        <f>S311*(1+IF($AK311+IF(AND(입력란!$C$9=1,MID($E311,5,1)&lt;&gt;"1"),10,0)+IF(입력란!$C$26=1,10,0)&gt;100,100,$AK311+IF(AND(입력란!$C$9=1,MID($E311,5,1)&lt;&gt;"1"),10,0)+IF(입력란!$C$26=1,10,0))/100*(($AL311+IF(입력란!$C$30=1,IF(AND(OR(입력란!$C$9=1,입력란!$C$10=1),MID($E311,5,1)&lt;&gt;"1"),55,17),IF(입력란!$C$30=2,IF(AND(OR(입력란!$C$9=1,입력란!$C$10=1),MID($E311,5,1)&lt;&gt;"1"),60,20),IF(입력란!$C$30=3,IF(AND(OR(입력란!$C$9=1,입력란!$C$10=1),MID($E311,5,1)&lt;&gt;"1"),65,22),0))))/100-1))</f>
        <v>308006.4287076263</v>
      </c>
      <c r="K311" s="21">
        <f>T311*(1+IF($AK311+IF(AND(입력란!$C$9=1,MID($E311,5,1)&lt;&gt;"1"),10,0)+IF(입력란!$C$26=1,10,0)&gt;100,100,$AK311+IF(AND(입력란!$C$9=1,MID($E311,5,1)&lt;&gt;"1"),10,0)+IF(입력란!$C$26=1,10,0))/100*(($AL311+IF(입력란!$C$30=1,IF(AND(OR(입력란!$C$9=1,입력란!$C$10=1),MID($E311,5,1)&lt;&gt;"1"),55,17),IF(입력란!$C$30=2,IF(AND(OR(입력란!$C$9=1,입력란!$C$10=1),MID($E311,5,1)&lt;&gt;"1"),60,20),IF(입력란!$C$30=3,IF(AND(OR(입력란!$C$9=1,입력란!$C$10=1),MID($E311,5,1)&lt;&gt;"1"),65,22),0))))/100-1))</f>
        <v>308006.4287076263</v>
      </c>
      <c r="L311" s="21">
        <f>U311*(1+IF($AK311+IF(AND(입력란!$C$9=1,MID($E311,5,1)&lt;&gt;"1"),10,0)+IF(입력란!$C$26=1,10,0)&gt;100,100,$AK311+IF(AND(입력란!$C$9=1,MID($E311,5,1)&lt;&gt;"1"),10,0)+IF(입력란!$C$26=1,10,0))/100*(($AL311+IF(입력란!$C$30=1,IF(AND(OR(입력란!$C$9=1,입력란!$C$10=1),MID($E311,5,1)&lt;&gt;"1"),55,17),IF(입력란!$C$30=2,IF(AND(OR(입력란!$C$9=1,입력란!$C$10=1),MID($E311,5,1)&lt;&gt;"1"),60,20),IF(입력란!$C$30=3,IF(AND(OR(입력란!$C$9=1,입력란!$C$10=1),MID($E311,5,1)&lt;&gt;"1"),65,22),0))))/100-1))</f>
        <v>308006.4287076263</v>
      </c>
      <c r="M311" s="21">
        <f>V311*(1+IF($AK311+IF(AND(입력란!$C$9=1,MID($E311,5,1)&lt;&gt;"1"),10,0)+IF(입력란!$C$26=1,10,0)&gt;100,100,$AK311+IF(AND(입력란!$C$9=1,MID($E311,5,1)&lt;&gt;"1"),10,0)+IF(입력란!$C$26=1,10,0))/100*(($AL311+IF(입력란!$C$30=1,IF(AND(OR(입력란!$C$9=1,입력란!$C$10=1),MID($E311,5,1)&lt;&gt;"1"),55,17),IF(입력란!$C$30=2,IF(AND(OR(입력란!$C$9=1,입력란!$C$10=1),MID($E311,5,1)&lt;&gt;"1"),60,20),IF(입력란!$C$30=3,IF(AND(OR(입력란!$C$9=1,입력란!$C$10=1),MID($E311,5,1)&lt;&gt;"1"),65,22),0))))/100-1))</f>
        <v>308006.4287076263</v>
      </c>
      <c r="N311" s="21">
        <f>W311*(1+IF($AK311+IF(AND(입력란!$C$9=1,MID($E311,5,1)&lt;&gt;"1"),10,0)+IF(입력란!$C$26=1,10,0)&gt;100,100,$AK311+IF(AND(입력란!$C$9=1,MID($E311,5,1)&lt;&gt;"1"),10,0)+IF(입력란!$C$26=1,10,0))/100*(($AL311+IF(입력란!$C$30=1,IF(AND(OR(입력란!$C$9=1,입력란!$C$10=1),MID($E311,5,1)&lt;&gt;"1"),55,17),IF(입력란!$C$30=2,IF(AND(OR(입력란!$C$9=1,입력란!$C$10=1),MID($E311,5,1)&lt;&gt;"1"),60,20),IF(입력란!$C$30=3,IF(AND(OR(입력란!$C$9=1,입력란!$C$10=1),MID($E311,5,1)&lt;&gt;"1"),65,22),0))))/100-1))</f>
        <v>0</v>
      </c>
      <c r="O311" s="21"/>
      <c r="P311" s="21"/>
      <c r="Q311" s="105">
        <f>Z311*(1+IF($AK311+IF(입력란!$C$26=1,10,0)&gt;100,100,$AK311+IF(입력란!$C$26=1,10,0))/100*(($AL311+IF(입력란!$C$30=1,17,IF(입력란!$C$30=2,20,IF(입력란!$C$30=3,22,0))))/100-1))</f>
        <v>0</v>
      </c>
      <c r="R311" s="19">
        <f>SUM(S311:Z311)</f>
        <v>809575.456288366</v>
      </c>
      <c r="S311" s="21">
        <f>IF(MID($E311,5,1)="1",IF(MID($E311,3,1)="1",$AN311*트라이포드!$P$18*5,IF(MID($E311,3,1)="2",$AN311*트라이포드!$P$18*4,IF(MID($E311,3,1)="3",$AN311*트라이포드!$P$18*4,$AN311))),$AN311)*IF(MID($E311,3,1)="1",IF(MID($E311,5,1)="1",트라이포드!$J$18,트라이포드!$I$18),1)*IF(MID($E311,3,1)="2",트라이포드!$K$18,1)*IF(MID($E311,3,1)="3",트라이포드!$M$18,1)*IF(MID($E311,5,1)="2",트라이포드!$R$18,1)*(1+입력란!$P$17/100)*IF(AND(입력란!$C$9=1,MID($E311,5,1)&lt;&gt;"1"),IF(입력란!$C$15=0,1.05,IF(입력란!$C$15=1,1.05*1.05,IF(입력란!$C$15=2,1.05*1.12,IF(입력란!$C$15=3,1.05*1.25)))),1)</f>
        <v>202393.8640720915</v>
      </c>
      <c r="T311" s="21">
        <f>IF(MID($E311,5,1)="1",IF(MID($E311,3,1)="1",$AN311*트라이포드!$P$18*5,IF(MID($E311,3,1)="2",$AN311*트라이포드!$P$18*4,IF(MID($E311,3,1)="3",$AN311*트라이포드!$P$18*4,$AN311))),$AN311)*IF(MID($E311,3,1)="1",IF(MID($E311,5,1)="1",트라이포드!$J$18,트라이포드!$I$18),1)*IF(MID($E311,3,1)="2",트라이포드!$K$18,1)*IF(MID($E311,3,1)="3",트라이포드!$M$18,1)*IF(MID($E311,5,1)="2",트라이포드!$R$18,1)*(1+입력란!$P$17/100)*IF(AND(입력란!$C$9=1,MID($E311,5,1)&lt;&gt;"1"),IF(입력란!$C$15=0,1.05,IF(입력란!$C$15=1,1.05*1.05,IF(입력란!$C$15=2,1.05*1.12,IF(입력란!$C$15=3,1.05*1.25)))),1)</f>
        <v>202393.8640720915</v>
      </c>
      <c r="U311" s="21">
        <f>IF(MID($E311,5,1)="1",IF(MID($E311,3,1)="1",$AN311*트라이포드!$P$18*5,IF(MID($E311,3,1)="2",$AN311*트라이포드!$P$18*4,IF(MID($E311,3,1)="3",$AN311*트라이포드!$P$18*4,$AN311))),$AN311)*IF(MID($E311,3,1)="1",IF(MID($E311,5,1)="1",트라이포드!$J$18,트라이포드!$I$18),1)*IF(MID($E311,3,1)="2",트라이포드!$K$18,1)*IF(MID($E311,3,1)="3",트라이포드!$M$18,1)*IF(MID($E311,5,1)="2",트라이포드!$R$18,1)*(1+입력란!$P$17/100)*IF(AND(입력란!$C$9=1,MID($E311,5,1)&lt;&gt;"1"),IF(입력란!$C$15=0,1.05,IF(입력란!$C$15=1,1.05*1.05,IF(입력란!$C$15=2,1.05*1.12,IF(입력란!$C$15=3,1.05*1.25)))),1)</f>
        <v>202393.8640720915</v>
      </c>
      <c r="V311" s="21">
        <f>IF(MID($E311,5,1)="1",IF(MID($E311,3,1)="1",$AN311*트라이포드!$P$18*5,IF(MID($E311,3,1)="2",$AN311*트라이포드!$P$18*4,IF(MID($E311,3,1)="3",$AN311*트라이포드!$P$18*4,$AN311))),$AN311)*IF(MID($E311,3,1)="1",IF(MID($E311,5,1)="1",트라이포드!$J$18,트라이포드!$I$18),1)*IF(MID($E311,3,1)="2",트라이포드!$K$18,1)*IF(MID($E311,3,1)="3",트라이포드!$M$18,1)*IF(MID($E311,5,1)="2",트라이포드!$R$18,1)*(1+입력란!$P$17/100)*IF(AND(입력란!$C$9=1,MID($E311,5,1)&lt;&gt;"1"),IF(입력란!$C$15=0,1.05,IF(입력란!$C$15=1,1.05*1.05,IF(입력란!$C$15=2,1.05*1.12,IF(입력란!$C$15=3,1.05*1.25)))),1)</f>
        <v>202393.8640720915</v>
      </c>
      <c r="W311" s="21">
        <f>IF(MID($E311,5,1)="1",IF(MID($E311,3,1)="1",$AN311*트라이포드!$P$18*5,IF(MID($E311,3,1)="2",$AN311*트라이포드!$P$18*4,IF(MID($E311,3,1)="3",$AN311*트라이포드!$P$18*4,$AN311))),$AN311)*IF(MID($E311,3,1)="1",IF(MID($E311,5,1)="1",트라이포드!$J$18,트라이포드!$I$18),1)*IF(MID($E311,3,1)="2",트라이포드!$K$18,1)*IF(MID($E311,3,1)="3",트라이포드!$M$18,1)*IF(MID($E311,5,1)="2",트라이포드!$R$18,0)*(1+입력란!$P$17/100)*IF(AND(입력란!$C$9=1,MID($E311,5,1)&lt;&gt;"1"),IF(입력란!$C$15=0,1.05,IF(입력란!$C$15=1,1.05*1.05,IF(입력란!$C$15=2,1.05*1.12,IF(입력란!$C$15=3,1.05*1.25)))),1)</f>
        <v>0</v>
      </c>
      <c r="X311" s="21"/>
      <c r="Y311" s="21"/>
      <c r="Z311" s="20">
        <f>AN311*IF(MID(E311,3,1)="2",트라이포드!$L$18,IF(MID(E311,3,1)="3",트라이포드!$N$18*12*5,0))*IF(입력란!$C$30=1,1.07,IF(입력란!$C$30=2,1.08,IF(입력란!$C$30=3,1.09,1)))</f>
        <v>0</v>
      </c>
      <c r="AA311" s="21">
        <f>SUM(AB311:AI311)</f>
        <v>809575.456288366</v>
      </c>
      <c r="AB311" s="21">
        <f>S311*2</f>
        <v>404787.728144183</v>
      </c>
      <c r="AC311" s="21">
        <f>T311*2</f>
        <v>404787.728144183</v>
      </c>
      <c r="AD311" s="21"/>
      <c r="AE311" s="21"/>
      <c r="AF311" s="21"/>
      <c r="AG311" s="21"/>
      <c r="AH311" s="21"/>
      <c r="AI311" s="20"/>
      <c r="AJ311" s="21">
        <f>AQ311*(1-입력란!$P$10/100)</f>
        <v>35.567196189119997</v>
      </c>
      <c r="AK3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1" s="21">
        <f>입력란!$P$24+IF(입력란!$C$18=1,10,IF(입력란!$C$18=2,25,IF(입력란!$C$18=3,50,0)))+IF(입력란!$C$23&lt;&gt;0,-12)</f>
        <v>200</v>
      </c>
      <c r="AM311" s="21">
        <f>SUM(AN311:AP311)</f>
        <v>126330.54337820636</v>
      </c>
      <c r="AN311" s="21">
        <f>(VLOOKUP(C311,$B$4:$AJ$7,19,FALSE)+VLOOKUP(C311,$B$8:$AJ$11,19,FALSE)*입력란!$P$4)*IF(G311="근접",IF(MID($E311,5,1)="1",입력란!$P$26,입력란!$P$27),입력란!$P$26)*입력란!$P$25/100</f>
        <v>126330.54337820636</v>
      </c>
      <c r="AO311" s="21"/>
      <c r="AP311" s="21"/>
      <c r="AQ311" s="22">
        <v>36</v>
      </c>
    </row>
    <row r="312" spans="2:43" ht="13.5" customHeight="1" x14ac:dyDescent="0.55000000000000004">
      <c r="B312" s="66">
        <v>297</v>
      </c>
      <c r="C312" s="29">
        <v>10</v>
      </c>
      <c r="D312" s="67" t="s">
        <v>454</v>
      </c>
      <c r="E312" s="27" t="s">
        <v>122</v>
      </c>
      <c r="F312" s="29"/>
      <c r="G312" s="29" t="s">
        <v>417</v>
      </c>
      <c r="H312" s="36">
        <f>I312/AJ312</f>
        <v>92365.139883555603</v>
      </c>
      <c r="I312" s="37">
        <f>SUM(J312:Q312)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312,5,1)&lt;&gt;"1"),1.21,1.07),IF(입력란!$C$30=2,IF(AND(OR(입력란!$C$9=1,입력란!$C$10=1),MID($E312,5,1)&lt;&gt;"1"),1.24,1.08),IF(입력란!$C$30=3,IF(AND(OR(입력란!$C$9=1,입력란!$C$10=1),MID($E312,5,1)&lt;&gt;"1"),1.26,1.09),1)))*(1+입력란!$P$22/100)*IF(입력란!$C$31=1,1.12*1.15,IF(입력란!$C$31=2,1.15*1.18,IF(입력란!$C$31=3,1.17*1.2,1)))*IF(입력란!$C$32=1,1.12,IF(입력란!$C$32=2,1.14,IF(입력란!$C$32=3,1.15,1)))</f>
        <v>3285169.0512739341</v>
      </c>
      <c r="J312" s="21">
        <f>S312*(1+IF($AK312+IF(AND(입력란!$C$9=1,MID($E312,5,1)&lt;&gt;"1"),10,0)+IF(입력란!$C$26=1,10,0)&gt;100,100,$AK312+IF(AND(입력란!$C$9=1,MID($E312,5,1)&lt;&gt;"1"),10,0)+IF(입력란!$C$26=1,10,0))/100*(($AL312+IF(입력란!$C$30=1,IF(AND(OR(입력란!$C$9=1,입력란!$C$10=1),MID($E312,5,1)&lt;&gt;"1"),55,17),IF(입력란!$C$30=2,IF(AND(OR(입력란!$C$9=1,입력란!$C$10=1),MID($E312,5,1)&lt;&gt;"1"),60,20),IF(입력란!$C$30=3,IF(AND(OR(입력란!$C$9=1,입력란!$C$10=1),MID($E312,5,1)&lt;&gt;"1"),65,22),0))))/100-1))</f>
        <v>465288.4429252792</v>
      </c>
      <c r="K312" s="21">
        <f>T312*(1+IF($AK312+IF(AND(입력란!$C$9=1,MID($E312,5,1)&lt;&gt;"1"),10,0)+IF(입력란!$C$26=1,10,0)&gt;100,100,$AK312+IF(AND(입력란!$C$9=1,MID($E312,5,1)&lt;&gt;"1"),10,0)+IF(입력란!$C$26=1,10,0))/100*(($AL312+IF(입력란!$C$30=1,IF(AND(OR(입력란!$C$9=1,입력란!$C$10=1),MID($E312,5,1)&lt;&gt;"1"),55,17),IF(입력란!$C$30=2,IF(AND(OR(입력란!$C$9=1,입력란!$C$10=1),MID($E312,5,1)&lt;&gt;"1"),60,20),IF(입력란!$C$30=3,IF(AND(OR(입력란!$C$9=1,입력란!$C$10=1),MID($E312,5,1)&lt;&gt;"1"),65,22),0))))/100-1))</f>
        <v>465288.4429252792</v>
      </c>
      <c r="L312" s="21">
        <f>U312*(1+IF($AK312+IF(AND(입력란!$C$9=1,MID($E312,5,1)&lt;&gt;"1"),10,0)+IF(입력란!$C$26=1,10,0)&gt;100,100,$AK312+IF(AND(입력란!$C$9=1,MID($E312,5,1)&lt;&gt;"1"),10,0)+IF(입력란!$C$26=1,10,0))/100*(($AL312+IF(입력란!$C$30=1,IF(AND(OR(입력란!$C$9=1,입력란!$C$10=1),MID($E312,5,1)&lt;&gt;"1"),55,17),IF(입력란!$C$30=2,IF(AND(OR(입력란!$C$9=1,입력란!$C$10=1),MID($E312,5,1)&lt;&gt;"1"),60,20),IF(입력란!$C$30=3,IF(AND(OR(입력란!$C$9=1,입력란!$C$10=1),MID($E312,5,1)&lt;&gt;"1"),65,22),0))))/100-1))</f>
        <v>465288.4429252792</v>
      </c>
      <c r="M312" s="21">
        <f>V312*(1+IF($AK312+IF(AND(입력란!$C$9=1,MID($E312,5,1)&lt;&gt;"1"),10,0)+IF(입력란!$C$26=1,10,0)&gt;100,100,$AK312+IF(AND(입력란!$C$9=1,MID($E312,5,1)&lt;&gt;"1"),10,0)+IF(입력란!$C$26=1,10,0))/100*(($AL312+IF(입력란!$C$30=1,IF(AND(OR(입력란!$C$9=1,입력란!$C$10=1),MID($E312,5,1)&lt;&gt;"1"),55,17),IF(입력란!$C$30=2,IF(AND(OR(입력란!$C$9=1,입력란!$C$10=1),MID($E312,5,1)&lt;&gt;"1"),60,20),IF(입력란!$C$30=3,IF(AND(OR(입력란!$C$9=1,입력란!$C$10=1),MID($E312,5,1)&lt;&gt;"1"),65,22),0))))/100-1))</f>
        <v>465288.4429252792</v>
      </c>
      <c r="N312" s="21">
        <f>W312*(1+IF($AK312+IF(AND(입력란!$C$9=1,MID($E312,5,1)&lt;&gt;"1"),10,0)+IF(입력란!$C$26=1,10,0)&gt;100,100,$AK312+IF(AND(입력란!$C$9=1,MID($E312,5,1)&lt;&gt;"1"),10,0)+IF(입력란!$C$26=1,10,0))/100*(($AL312+IF(입력란!$C$30=1,IF(AND(OR(입력란!$C$9=1,입력란!$C$10=1),MID($E312,5,1)&lt;&gt;"1"),55,17),IF(입력란!$C$30=2,IF(AND(OR(입력란!$C$9=1,입력란!$C$10=1),MID($E312,5,1)&lt;&gt;"1"),60,20),IF(입력란!$C$30=3,IF(AND(OR(입력란!$C$9=1,입력란!$C$10=1),MID($E312,5,1)&lt;&gt;"1"),65,22),0))))/100-1))</f>
        <v>465288.4429252792</v>
      </c>
      <c r="O312" s="21"/>
      <c r="P312" s="21"/>
      <c r="Q312" s="105">
        <f>Z312*(1+IF($AK312+IF(입력란!$C$26=1,10,0)&gt;100,100,$AK312+IF(입력란!$C$26=1,10,0))/100*(($AL312+IF(입력란!$C$30=1,17,IF(입력란!$C$30=2,20,IF(입력란!$C$30=3,22,0))))/100-1))</f>
        <v>0</v>
      </c>
      <c r="R312" s="19">
        <f>SUM(S312:Z312)</f>
        <v>1434466.5116109487</v>
      </c>
      <c r="S312" s="21">
        <f>IF(MID($E312,5,1)="1",IF(MID($E312,3,1)="1",$AN312*트라이포드!$P$18*5,IF(MID($E312,3,1)="2",$AN312*트라이포드!$P$18*4,IF(MID($E312,3,1)="3",$AN312*트라이포드!$P$18*4,$AN312))),$AN312)*IF(MID($E312,3,1)="1",IF(MID($E312,5,1)="1",트라이포드!$J$18,트라이포드!$I$18),1)*IF(MID($E312,3,1)="2",트라이포드!$K$18,1)*IF(MID($E312,3,1)="3",트라이포드!$M$18,1)*IF(MID($E312,5,1)="2",트라이포드!$R$18,1)*(1+입력란!$P$17/100)*IF(AND(입력란!$C$9=1,MID($E312,5,1)&lt;&gt;"1"),IF(입력란!$C$15=0,1.05,IF(입력란!$C$15=1,1.05*1.05,IF(입력란!$C$15=2,1.05*1.12,IF(입력란!$C$15=3,1.05*1.25)))),1)</f>
        <v>286893.30232218973</v>
      </c>
      <c r="T312" s="21">
        <f>IF(MID($E312,5,1)="1",IF(MID($E312,3,1)="1",$AN312*트라이포드!$P$18*5,IF(MID($E312,3,1)="2",$AN312*트라이포드!$P$18*4,IF(MID($E312,3,1)="3",$AN312*트라이포드!$P$18*4,$AN312))),$AN312)*IF(MID($E312,3,1)="1",IF(MID($E312,5,1)="1",트라이포드!$J$18,트라이포드!$I$18),1)*IF(MID($E312,3,1)="2",트라이포드!$K$18,1)*IF(MID($E312,3,1)="3",트라이포드!$M$18,1)*IF(MID($E312,5,1)="2",트라이포드!$R$18,1)*(1+입력란!$P$17/100)*IF(AND(입력란!$C$9=1,MID($E312,5,1)&lt;&gt;"1"),IF(입력란!$C$15=0,1.05,IF(입력란!$C$15=1,1.05*1.05,IF(입력란!$C$15=2,1.05*1.12,IF(입력란!$C$15=3,1.05*1.25)))),1)</f>
        <v>286893.30232218973</v>
      </c>
      <c r="U312" s="21">
        <f>IF(MID($E312,5,1)="1",IF(MID($E312,3,1)="1",$AN312*트라이포드!$P$18*5,IF(MID($E312,3,1)="2",$AN312*트라이포드!$P$18*4,IF(MID($E312,3,1)="3",$AN312*트라이포드!$P$18*4,$AN312))),$AN312)*IF(MID($E312,3,1)="1",IF(MID($E312,5,1)="1",트라이포드!$J$18,트라이포드!$I$18),1)*IF(MID($E312,3,1)="2",트라이포드!$K$18,1)*IF(MID($E312,3,1)="3",트라이포드!$M$18,1)*IF(MID($E312,5,1)="2",트라이포드!$R$18,1)*(1+입력란!$P$17/100)*IF(AND(입력란!$C$9=1,MID($E312,5,1)&lt;&gt;"1"),IF(입력란!$C$15=0,1.05,IF(입력란!$C$15=1,1.05*1.05,IF(입력란!$C$15=2,1.05*1.12,IF(입력란!$C$15=3,1.05*1.25)))),1)</f>
        <v>286893.30232218973</v>
      </c>
      <c r="V312" s="21">
        <f>IF(MID($E312,5,1)="1",IF(MID($E312,3,1)="1",$AN312*트라이포드!$P$18*5,IF(MID($E312,3,1)="2",$AN312*트라이포드!$P$18*4,IF(MID($E312,3,1)="3",$AN312*트라이포드!$P$18*4,$AN312))),$AN312)*IF(MID($E312,3,1)="1",IF(MID($E312,5,1)="1",트라이포드!$J$18,트라이포드!$I$18),1)*IF(MID($E312,3,1)="2",트라이포드!$K$18,1)*IF(MID($E312,3,1)="3",트라이포드!$M$18,1)*IF(MID($E312,5,1)="2",트라이포드!$R$18,1)*(1+입력란!$P$17/100)*IF(AND(입력란!$C$9=1,MID($E312,5,1)&lt;&gt;"1"),IF(입력란!$C$15=0,1.05,IF(입력란!$C$15=1,1.05*1.05,IF(입력란!$C$15=2,1.05*1.12,IF(입력란!$C$15=3,1.05*1.25)))),1)</f>
        <v>286893.30232218973</v>
      </c>
      <c r="W312" s="21">
        <f>IF(MID($E312,5,1)="1",IF(MID($E312,3,1)="1",$AN312*트라이포드!$P$18*5,IF(MID($E312,3,1)="2",$AN312*트라이포드!$P$18*4,IF(MID($E312,3,1)="3",$AN312*트라이포드!$P$18*4,$AN312))),$AN312)*IF(MID($E312,3,1)="1",IF(MID($E312,5,1)="1",트라이포드!$J$18,트라이포드!$I$18),1)*IF(MID($E312,3,1)="2",트라이포드!$K$18,1)*IF(MID($E312,3,1)="3",트라이포드!$M$18,1)*IF(MID($E312,5,1)="2",트라이포드!$R$18,0)*(1+입력란!$P$17/100)*IF(AND(입력란!$C$9=1,MID($E312,5,1)&lt;&gt;"1"),IF(입력란!$C$15=0,1.05,IF(입력란!$C$15=1,1.05*1.05,IF(입력란!$C$15=2,1.05*1.12,IF(입력란!$C$15=3,1.05*1.25)))),1)</f>
        <v>286893.30232218973</v>
      </c>
      <c r="X312" s="21"/>
      <c r="Y312" s="21"/>
      <c r="Z312" s="20">
        <f>AN312*IF(MID(E312,3,1)="2",트라이포드!$L$18,IF(MID(E312,3,1)="3",트라이포드!$N$18*12*5,0))*IF(입력란!$C$30=1,1.07,IF(입력란!$C$30=2,1.08,IF(입력란!$C$30=3,1.09,1)))</f>
        <v>0</v>
      </c>
      <c r="AA312" s="21">
        <f>SUM(AB312:AI312)</f>
        <v>1147573.2092887589</v>
      </c>
      <c r="AB312" s="21">
        <f>S312*2</f>
        <v>573786.60464437946</v>
      </c>
      <c r="AC312" s="21">
        <f>T312*2</f>
        <v>573786.60464437946</v>
      </c>
      <c r="AD312" s="21"/>
      <c r="AE312" s="21"/>
      <c r="AF312" s="21"/>
      <c r="AG312" s="21"/>
      <c r="AH312" s="21"/>
      <c r="AI312" s="20"/>
      <c r="AJ312" s="21">
        <f>AQ312*(1-입력란!$P$10/100)</f>
        <v>35.567196189119997</v>
      </c>
      <c r="AK3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2" s="21">
        <f>입력란!$P$24+IF(입력란!$C$18=1,10,IF(입력란!$C$18=2,25,IF(입력란!$C$18=3,50,0)))+IF(입력란!$C$23&lt;&gt;0,-12)</f>
        <v>200</v>
      </c>
      <c r="AM312" s="21">
        <f>SUM(AN312:AP312)</f>
        <v>126330.54337820636</v>
      </c>
      <c r="AN312" s="21">
        <f>(VLOOKUP(C312,$B$4:$AJ$7,19,FALSE)+VLOOKUP(C312,$B$8:$AJ$11,19,FALSE)*입력란!$P$4)*IF(G312="근접",IF(MID($E312,5,1)="1",입력란!$P$26,입력란!$P$27),입력란!$P$26)*입력란!$P$25/100</f>
        <v>126330.54337820636</v>
      </c>
      <c r="AO312" s="21"/>
      <c r="AP312" s="21"/>
      <c r="AQ312" s="22">
        <v>36</v>
      </c>
    </row>
    <row r="313" spans="2:43" ht="13.5" customHeight="1" x14ac:dyDescent="0.55000000000000004">
      <c r="B313" s="66">
        <v>298</v>
      </c>
      <c r="C313" s="29">
        <v>10</v>
      </c>
      <c r="D313" s="67" t="s">
        <v>454</v>
      </c>
      <c r="E313" s="27" t="s">
        <v>145</v>
      </c>
      <c r="F313" s="29"/>
      <c r="G313" s="29" t="s">
        <v>417</v>
      </c>
      <c r="H313" s="36">
        <f>I313/AJ313</f>
        <v>269028.49650105101</v>
      </c>
      <c r="I313" s="37">
        <f>SUM(J313:Q313)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313,5,1)&lt;&gt;"1"),1.21,1.07),IF(입력란!$C$30=2,IF(AND(OR(입력란!$C$9=1,입력란!$C$10=1),MID($E313,5,1)&lt;&gt;"1"),1.24,1.08),IF(입력란!$C$30=3,IF(AND(OR(입력란!$C$9=1,입력란!$C$10=1),MID($E313,5,1)&lt;&gt;"1"),1.26,1.09),1)))*(1+입력란!$P$22/100)*IF(입력란!$C$31=1,1.12*1.15,IF(입력란!$C$31=2,1.15*1.18,IF(입력란!$C$31=3,1.17*1.2,1)))*IF(입력란!$C$32=1,1.12,IF(입력란!$C$32=2,1.14,IF(입력란!$C$32=3,1.15,1)))</f>
        <v>9568589.315516863</v>
      </c>
      <c r="J313" s="21">
        <f>S313*(1+IF($AK313+IF(AND(입력란!$C$9=1,MID($E313,5,1)&lt;&gt;"1"),10,0)+IF(입력란!$C$26=1,10,0)&gt;100,100,$AK313+IF(AND(입력란!$C$9=1,MID($E313,5,1)&lt;&gt;"1"),10,0)+IF(입력란!$C$26=1,10,0))/100*(($AL313+IF(입력란!$C$30=1,IF(AND(OR(입력란!$C$9=1,입력란!$C$10=1),MID($E313,5,1)&lt;&gt;"1"),55,17),IF(입력란!$C$30=2,IF(AND(OR(입력란!$C$9=1,입력란!$C$10=1),MID($E313,5,1)&lt;&gt;"1"),60,20),IF(입력란!$C$30=3,IF(AND(OR(입력란!$C$9=1,입력란!$C$10=1),MID($E313,5,1)&lt;&gt;"1"),65,22),0))))/100-1))</f>
        <v>1694035.3578919449</v>
      </c>
      <c r="K313" s="21">
        <f>T313*(1+IF($AK313+IF(AND(입력란!$C$9=1,MID($E313,5,1)&lt;&gt;"1"),10,0)+IF(입력란!$C$26=1,10,0)&gt;100,100,$AK313+IF(AND(입력란!$C$9=1,MID($E313,5,1)&lt;&gt;"1"),10,0)+IF(입력란!$C$26=1,10,0))/100*(($AL313+IF(입력란!$C$30=1,IF(AND(OR(입력란!$C$9=1,입력란!$C$10=1),MID($E313,5,1)&lt;&gt;"1"),55,17),IF(입력란!$C$30=2,IF(AND(OR(입력란!$C$9=1,입력란!$C$10=1),MID($E313,5,1)&lt;&gt;"1"),60,20),IF(입력란!$C$30=3,IF(AND(OR(입력란!$C$9=1,입력란!$C$10=1),MID($E313,5,1)&lt;&gt;"1"),65,22),0))))/100-1))</f>
        <v>1694035.3578919449</v>
      </c>
      <c r="L313" s="21">
        <f>U313*(1+IF($AK313+IF(AND(입력란!$C$9=1,MID($E313,5,1)&lt;&gt;"1"),10,0)+IF(입력란!$C$26=1,10,0)&gt;100,100,$AK313+IF(AND(입력란!$C$9=1,MID($E313,5,1)&lt;&gt;"1"),10,0)+IF(입력란!$C$26=1,10,0))/100*(($AL313+IF(입력란!$C$30=1,IF(AND(OR(입력란!$C$9=1,입력란!$C$10=1),MID($E313,5,1)&lt;&gt;"1"),55,17),IF(입력란!$C$30=2,IF(AND(OR(입력란!$C$9=1,입력란!$C$10=1),MID($E313,5,1)&lt;&gt;"1"),60,20),IF(입력란!$C$30=3,IF(AND(OR(입력란!$C$9=1,입력란!$C$10=1),MID($E313,5,1)&lt;&gt;"1"),65,22),0))))/100-1))</f>
        <v>1694035.3578919449</v>
      </c>
      <c r="M313" s="21">
        <f>V313*(1+IF($AK313+IF(AND(입력란!$C$9=1,MID($E313,5,1)&lt;&gt;"1"),10,0)+IF(입력란!$C$26=1,10,0)&gt;100,100,$AK313+IF(AND(입력란!$C$9=1,MID($E313,5,1)&lt;&gt;"1"),10,0)+IF(입력란!$C$26=1,10,0))/100*(($AL313+IF(입력란!$C$30=1,IF(AND(OR(입력란!$C$9=1,입력란!$C$10=1),MID($E313,5,1)&lt;&gt;"1"),55,17),IF(입력란!$C$30=2,IF(AND(OR(입력란!$C$9=1,입력란!$C$10=1),MID($E313,5,1)&lt;&gt;"1"),60,20),IF(입력란!$C$30=3,IF(AND(OR(입력란!$C$9=1,입력란!$C$10=1),MID($E313,5,1)&lt;&gt;"1"),65,22),0))))/100-1))</f>
        <v>1694035.3578919449</v>
      </c>
      <c r="N313" s="21">
        <f>W313*(1+IF($AK313+IF(AND(입력란!$C$9=1,MID($E313,5,1)&lt;&gt;"1"),10,0)+IF(입력란!$C$26=1,10,0)&gt;100,100,$AK313+IF(AND(입력란!$C$9=1,MID($E313,5,1)&lt;&gt;"1"),10,0)+IF(입력란!$C$26=1,10,0))/100*(($AL313+IF(입력란!$C$30=1,IF(AND(OR(입력란!$C$9=1,입력란!$C$10=1),MID($E313,5,1)&lt;&gt;"1"),55,17),IF(입력란!$C$30=2,IF(AND(OR(입력란!$C$9=1,입력란!$C$10=1),MID($E313,5,1)&lt;&gt;"1"),60,20),IF(입력란!$C$30=3,IF(AND(OR(입력란!$C$9=1,입력란!$C$10=1),MID($E313,5,1)&lt;&gt;"1"),65,22),0))))/100-1))</f>
        <v>0</v>
      </c>
      <c r="O313" s="21"/>
      <c r="P313" s="21"/>
      <c r="Q313" s="105">
        <f>Z313*(1+IF($AK313+IF(입력란!$C$26=1,10,0)&gt;100,100,$AK313+IF(입력란!$C$26=1,10,0))/100*(($AL313+IF(입력란!$C$30=1,17,IF(입력란!$C$30=2,20,IF(입력란!$C$30=3,22,0))))/100-1))</f>
        <v>0</v>
      </c>
      <c r="R313" s="19">
        <f>SUM(S313:Z313)</f>
        <v>4452665.0095860139</v>
      </c>
      <c r="S313" s="21">
        <f>IF(MID($E313,5,1)="1",IF(MID($E313,3,1)="1",$AN313*트라이포드!$P$18*5,IF(MID($E313,3,1)="2",$AN313*트라이포드!$P$18*4,IF(MID($E313,3,1)="3",$AN313*트라이포드!$P$18*4,$AN313))),$AN313)*IF(MID($E313,3,1)="1",IF(MID($E313,5,1)="1",트라이포드!$J$18,트라이포드!$I$18),1)*IF(MID($E313,3,1)="2",트라이포드!$K$18,1)*IF(MID($E313,3,1)="3",트라이포드!$M$18,1)*IF(MID($E313,5,1)="2",트라이포드!$R$18,1)*(1+입력란!$P$17/100)*IF(AND(입력란!$C$9=1,MID($E313,5,1)&lt;&gt;"1"),IF(입력란!$C$15=0,1.05,IF(입력란!$C$15=1,1.05*1.05,IF(입력란!$C$15=2,1.05*1.12,IF(입력란!$C$15=3,1.05*1.25)))),1)</f>
        <v>1113166.2523965035</v>
      </c>
      <c r="T313" s="21">
        <f>IF(MID($E313,5,1)="1",IF(MID($E313,3,1)="1",$AN313*트라이포드!$P$18*5,IF(MID($E313,3,1)="2",$AN313*트라이포드!$P$18*4,IF(MID($E313,3,1)="3",$AN313*트라이포드!$P$18*4,$AN313))),$AN313)*IF(MID($E313,3,1)="1",IF(MID($E313,5,1)="1",트라이포드!$J$18,트라이포드!$I$18),1)*IF(MID($E313,3,1)="2",트라이포드!$K$18,1)*IF(MID($E313,3,1)="3",트라이포드!$M$18,1)*IF(MID($E313,5,1)="2",트라이포드!$R$18,1)*(1+입력란!$P$17/100)*IF(AND(입력란!$C$9=1,MID($E313,5,1)&lt;&gt;"1"),IF(입력란!$C$15=0,1.05,IF(입력란!$C$15=1,1.05*1.05,IF(입력란!$C$15=2,1.05*1.12,IF(입력란!$C$15=3,1.05*1.25)))),1)</f>
        <v>1113166.2523965035</v>
      </c>
      <c r="U313" s="21">
        <f>IF(MID($E313,5,1)="1",IF(MID($E313,3,1)="1",$AN313*트라이포드!$P$18*5,IF(MID($E313,3,1)="2",$AN313*트라이포드!$P$18*4,IF(MID($E313,3,1)="3",$AN313*트라이포드!$P$18*4,$AN313))),$AN313)*IF(MID($E313,3,1)="1",IF(MID($E313,5,1)="1",트라이포드!$J$18,트라이포드!$I$18),1)*IF(MID($E313,3,1)="2",트라이포드!$K$18,1)*IF(MID($E313,3,1)="3",트라이포드!$M$18,1)*IF(MID($E313,5,1)="2",트라이포드!$R$18,1)*(1+입력란!$P$17/100)*IF(AND(입력란!$C$9=1,MID($E313,5,1)&lt;&gt;"1"),IF(입력란!$C$15=0,1.05,IF(입력란!$C$15=1,1.05*1.05,IF(입력란!$C$15=2,1.05*1.12,IF(입력란!$C$15=3,1.05*1.25)))),1)</f>
        <v>1113166.2523965035</v>
      </c>
      <c r="V313" s="21">
        <f>IF(MID($E313,5,1)="1",IF(MID($E313,3,1)="1",$AN313*트라이포드!$P$18*5,IF(MID($E313,3,1)="2",$AN313*트라이포드!$P$18*4,IF(MID($E313,3,1)="3",$AN313*트라이포드!$P$18*4,$AN313))),$AN313)*IF(MID($E313,3,1)="1",IF(MID($E313,5,1)="1",트라이포드!$J$18,트라이포드!$I$18),1)*IF(MID($E313,3,1)="2",트라이포드!$K$18,1)*IF(MID($E313,3,1)="3",트라이포드!$M$18,1)*IF(MID($E313,5,1)="2",트라이포드!$R$18,1)*(1+입력란!$P$17/100)*IF(AND(입력란!$C$9=1,MID($E313,5,1)&lt;&gt;"1"),IF(입력란!$C$15=0,1.05,IF(입력란!$C$15=1,1.05*1.05,IF(입력란!$C$15=2,1.05*1.12,IF(입력란!$C$15=3,1.05*1.25)))),1)</f>
        <v>1113166.2523965035</v>
      </c>
      <c r="W313" s="21">
        <f>IF(MID($E313,5,1)="1",IF(MID($E313,3,1)="1",$AN313*트라이포드!$P$18*5,IF(MID($E313,3,1)="2",$AN313*트라이포드!$P$18*4,IF(MID($E313,3,1)="3",$AN313*트라이포드!$P$18*4,$AN313))),$AN313)*IF(MID($E313,3,1)="1",IF(MID($E313,5,1)="1",트라이포드!$J$18,트라이포드!$I$18),1)*IF(MID($E313,3,1)="2",트라이포드!$K$18,1)*IF(MID($E313,3,1)="3",트라이포드!$M$18,1)*IF(MID($E313,5,1)="2",트라이포드!$R$18,0)*(1+입력란!$P$17/100)*IF(AND(입력란!$C$9=1,MID($E313,5,1)&lt;&gt;"1"),IF(입력란!$C$15=0,1.05,IF(입력란!$C$15=1,1.05*1.05,IF(입력란!$C$15=2,1.05*1.12,IF(입력란!$C$15=3,1.05*1.25)))),1)</f>
        <v>0</v>
      </c>
      <c r="X313" s="21"/>
      <c r="Y313" s="21"/>
      <c r="Z313" s="20">
        <f>AN313*IF(MID(E313,3,1)="2",트라이포드!$L$18,IF(MID(E313,3,1)="3",트라이포드!$N$18*12*5,0))*IF(입력란!$C$30=1,1.07,IF(입력란!$C$30=2,1.08,IF(입력란!$C$30=3,1.09,1)))</f>
        <v>0</v>
      </c>
      <c r="AA313" s="21">
        <f>SUM(AB313:AI313)</f>
        <v>4452665.0095860139</v>
      </c>
      <c r="AB313" s="21">
        <f>S313*2</f>
        <v>2226332.5047930069</v>
      </c>
      <c r="AC313" s="21">
        <f>T313*2</f>
        <v>2226332.5047930069</v>
      </c>
      <c r="AD313" s="21"/>
      <c r="AE313" s="21"/>
      <c r="AF313" s="21"/>
      <c r="AG313" s="21"/>
      <c r="AH313" s="21"/>
      <c r="AI313" s="20"/>
      <c r="AJ313" s="21">
        <f>AQ313*(1-입력란!$P$10/100)</f>
        <v>35.567196189119997</v>
      </c>
      <c r="AK3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3" s="21">
        <f>입력란!$P$24+IF(입력란!$C$18=1,10,IF(입력란!$C$18=2,25,IF(입력란!$C$18=3,50,0)))+IF(입력란!$C$23&lt;&gt;0,-12)</f>
        <v>200</v>
      </c>
      <c r="AM313" s="21">
        <f>SUM(AN313:AP313)</f>
        <v>126330.54337820636</v>
      </c>
      <c r="AN313" s="21">
        <f>(VLOOKUP(C313,$B$4:$AJ$7,19,FALSE)+VLOOKUP(C313,$B$8:$AJ$11,19,FALSE)*입력란!$P$4)*IF(G313="근접",IF(MID($E313,5,1)="1",입력란!$P$26,입력란!$P$27),입력란!$P$26)*입력란!$P$25/100</f>
        <v>126330.54337820636</v>
      </c>
      <c r="AO313" s="21"/>
      <c r="AP313" s="21"/>
      <c r="AQ313" s="22">
        <v>36</v>
      </c>
    </row>
    <row r="314" spans="2:43" ht="13.5" customHeight="1" x14ac:dyDescent="0.55000000000000004">
      <c r="B314" s="66">
        <v>299</v>
      </c>
      <c r="C314" s="29">
        <v>10</v>
      </c>
      <c r="D314" s="67" t="s">
        <v>454</v>
      </c>
      <c r="E314" s="27" t="s">
        <v>146</v>
      </c>
      <c r="F314" s="29"/>
      <c r="G314" s="29" t="s">
        <v>417</v>
      </c>
      <c r="H314" s="36">
        <f>I314/AJ314</f>
        <v>124692.93884280007</v>
      </c>
      <c r="I314" s="37">
        <f>SUM(J314:Q314)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314,5,1)&lt;&gt;"1"),1.21,1.07),IF(입력란!$C$30=2,IF(AND(OR(입력란!$C$9=1,입력란!$C$10=1),MID($E314,5,1)&lt;&gt;"1"),1.24,1.08),IF(입력란!$C$30=3,IF(AND(OR(입력란!$C$9=1,입력란!$C$10=1),MID($E314,5,1)&lt;&gt;"1"),1.26,1.09),1)))*(1+입력란!$P$22/100)*IF(입력란!$C$31=1,1.12*1.15,IF(입력란!$C$31=2,1.15*1.18,IF(입력란!$C$31=3,1.17*1.2,1)))*IF(입력란!$C$32=1,1.12,IF(입력란!$C$32=2,1.14,IF(입력란!$C$32=3,1.15,1)))</f>
        <v>4434978.2192198113</v>
      </c>
      <c r="J314" s="21">
        <f>S314*(1+IF($AK314+IF(AND(입력란!$C$9=1,MID($E314,5,1)&lt;&gt;"1"),10,0)+IF(입력란!$C$26=1,10,0)&gt;100,100,$AK314+IF(AND(입력란!$C$9=1,MID($E314,5,1)&lt;&gt;"1"),10,0)+IF(입력란!$C$26=1,10,0))/100*(($AL314+IF(입력란!$C$30=1,IF(AND(OR(입력란!$C$9=1,입력란!$C$10=1),MID($E314,5,1)&lt;&gt;"1"),55,17),IF(입력란!$C$30=2,IF(AND(OR(입력란!$C$9=1,입력란!$C$10=1),MID($E314,5,1)&lt;&gt;"1"),60,20),IF(입력란!$C$30=3,IF(AND(OR(입력란!$C$9=1,입력란!$C$10=1),MID($E314,5,1)&lt;&gt;"1"),65,22),0))))/100-1))</f>
        <v>628139.3979491269</v>
      </c>
      <c r="K314" s="21">
        <f>T314*(1+IF($AK314+IF(AND(입력란!$C$9=1,MID($E314,5,1)&lt;&gt;"1"),10,0)+IF(입력란!$C$26=1,10,0)&gt;100,100,$AK314+IF(AND(입력란!$C$9=1,MID($E314,5,1)&lt;&gt;"1"),10,0)+IF(입력란!$C$26=1,10,0))/100*(($AL314+IF(입력란!$C$30=1,IF(AND(OR(입력란!$C$9=1,입력란!$C$10=1),MID($E314,5,1)&lt;&gt;"1"),55,17),IF(입력란!$C$30=2,IF(AND(OR(입력란!$C$9=1,입력란!$C$10=1),MID($E314,5,1)&lt;&gt;"1"),60,20),IF(입력란!$C$30=3,IF(AND(OR(입력란!$C$9=1,입력란!$C$10=1),MID($E314,5,1)&lt;&gt;"1"),65,22),0))))/100-1))</f>
        <v>628139.3979491269</v>
      </c>
      <c r="L314" s="21">
        <f>U314*(1+IF($AK314+IF(AND(입력란!$C$9=1,MID($E314,5,1)&lt;&gt;"1"),10,0)+IF(입력란!$C$26=1,10,0)&gt;100,100,$AK314+IF(AND(입력란!$C$9=1,MID($E314,5,1)&lt;&gt;"1"),10,0)+IF(입력란!$C$26=1,10,0))/100*(($AL314+IF(입력란!$C$30=1,IF(AND(OR(입력란!$C$9=1,입력란!$C$10=1),MID($E314,5,1)&lt;&gt;"1"),55,17),IF(입력란!$C$30=2,IF(AND(OR(입력란!$C$9=1,입력란!$C$10=1),MID($E314,5,1)&lt;&gt;"1"),60,20),IF(입력란!$C$30=3,IF(AND(OR(입력란!$C$9=1,입력란!$C$10=1),MID($E314,5,1)&lt;&gt;"1"),65,22),0))))/100-1))</f>
        <v>628139.3979491269</v>
      </c>
      <c r="M314" s="21">
        <f>V314*(1+IF($AK314+IF(AND(입력란!$C$9=1,MID($E314,5,1)&lt;&gt;"1"),10,0)+IF(입력란!$C$26=1,10,0)&gt;100,100,$AK314+IF(AND(입력란!$C$9=1,MID($E314,5,1)&lt;&gt;"1"),10,0)+IF(입력란!$C$26=1,10,0))/100*(($AL314+IF(입력란!$C$30=1,IF(AND(OR(입력란!$C$9=1,입력란!$C$10=1),MID($E314,5,1)&lt;&gt;"1"),55,17),IF(입력란!$C$30=2,IF(AND(OR(입력란!$C$9=1,입력란!$C$10=1),MID($E314,5,1)&lt;&gt;"1"),60,20),IF(입력란!$C$30=3,IF(AND(OR(입력란!$C$9=1,입력란!$C$10=1),MID($E314,5,1)&lt;&gt;"1"),65,22),0))))/100-1))</f>
        <v>628139.3979491269</v>
      </c>
      <c r="N314" s="21">
        <f>W314*(1+IF($AK314+IF(AND(입력란!$C$9=1,MID($E314,5,1)&lt;&gt;"1"),10,0)+IF(입력란!$C$26=1,10,0)&gt;100,100,$AK314+IF(AND(입력란!$C$9=1,MID($E314,5,1)&lt;&gt;"1"),10,0)+IF(입력란!$C$26=1,10,0))/100*(($AL314+IF(입력란!$C$30=1,IF(AND(OR(입력란!$C$9=1,입력란!$C$10=1),MID($E314,5,1)&lt;&gt;"1"),55,17),IF(입력란!$C$30=2,IF(AND(OR(입력란!$C$9=1,입력란!$C$10=1),MID($E314,5,1)&lt;&gt;"1"),60,20),IF(입력란!$C$30=3,IF(AND(OR(입력란!$C$9=1,입력란!$C$10=1),MID($E314,5,1)&lt;&gt;"1"),65,22),0))))/100-1))</f>
        <v>628139.3979491269</v>
      </c>
      <c r="O314" s="21"/>
      <c r="P314" s="21"/>
      <c r="Q314" s="105">
        <f>Z314*(1+IF($AK314+IF(입력란!$C$26=1,10,0)&gt;100,100,$AK314+IF(입력란!$C$26=1,10,0))/100*(($AL314+IF(입력란!$C$30=1,17,IF(입력란!$C$30=2,20,IF(입력란!$C$30=3,22,0))))/100-1))</f>
        <v>0</v>
      </c>
      <c r="R314" s="19">
        <f>SUM(S314:Z314)</f>
        <v>1936529.7906747807</v>
      </c>
      <c r="S314" s="21">
        <f>IF(MID($E314,5,1)="1",IF(MID($E314,3,1)="1",$AN314*트라이포드!$P$18*5,IF(MID($E314,3,1)="2",$AN314*트라이포드!$P$18*4,IF(MID($E314,3,1)="3",$AN314*트라이포드!$P$18*4,$AN314))),$AN314)*IF(MID($E314,3,1)="1",IF(MID($E314,5,1)="1",트라이포드!$J$18,트라이포드!$I$18),1)*IF(MID($E314,3,1)="2",트라이포드!$K$18,1)*IF(MID($E314,3,1)="3",트라이포드!$M$18,1)*IF(MID($E314,5,1)="2",트라이포드!$R$18,1)*(1+입력란!$P$17/100)*IF(AND(입력란!$C$9=1,MID($E314,5,1)&lt;&gt;"1"),IF(입력란!$C$15=0,1.05,IF(입력란!$C$15=1,1.05*1.05,IF(입력란!$C$15=2,1.05*1.12,IF(입력란!$C$15=3,1.05*1.25)))),1)</f>
        <v>387305.95813495613</v>
      </c>
      <c r="T314" s="21">
        <f>IF(MID($E314,5,1)="1",IF(MID($E314,3,1)="1",$AN314*트라이포드!$P$18*5,IF(MID($E314,3,1)="2",$AN314*트라이포드!$P$18*4,IF(MID($E314,3,1)="3",$AN314*트라이포드!$P$18*4,$AN314))),$AN314)*IF(MID($E314,3,1)="1",IF(MID($E314,5,1)="1",트라이포드!$J$18,트라이포드!$I$18),1)*IF(MID($E314,3,1)="2",트라이포드!$K$18,1)*IF(MID($E314,3,1)="3",트라이포드!$M$18,1)*IF(MID($E314,5,1)="2",트라이포드!$R$18,1)*(1+입력란!$P$17/100)*IF(AND(입력란!$C$9=1,MID($E314,5,1)&lt;&gt;"1"),IF(입력란!$C$15=0,1.05,IF(입력란!$C$15=1,1.05*1.05,IF(입력란!$C$15=2,1.05*1.12,IF(입력란!$C$15=3,1.05*1.25)))),1)</f>
        <v>387305.95813495613</v>
      </c>
      <c r="U314" s="21">
        <f>IF(MID($E314,5,1)="1",IF(MID($E314,3,1)="1",$AN314*트라이포드!$P$18*5,IF(MID($E314,3,1)="2",$AN314*트라이포드!$P$18*4,IF(MID($E314,3,1)="3",$AN314*트라이포드!$P$18*4,$AN314))),$AN314)*IF(MID($E314,3,1)="1",IF(MID($E314,5,1)="1",트라이포드!$J$18,트라이포드!$I$18),1)*IF(MID($E314,3,1)="2",트라이포드!$K$18,1)*IF(MID($E314,3,1)="3",트라이포드!$M$18,1)*IF(MID($E314,5,1)="2",트라이포드!$R$18,1)*(1+입력란!$P$17/100)*IF(AND(입력란!$C$9=1,MID($E314,5,1)&lt;&gt;"1"),IF(입력란!$C$15=0,1.05,IF(입력란!$C$15=1,1.05*1.05,IF(입력란!$C$15=2,1.05*1.12,IF(입력란!$C$15=3,1.05*1.25)))),1)</f>
        <v>387305.95813495613</v>
      </c>
      <c r="V314" s="21">
        <f>IF(MID($E314,5,1)="1",IF(MID($E314,3,1)="1",$AN314*트라이포드!$P$18*5,IF(MID($E314,3,1)="2",$AN314*트라이포드!$P$18*4,IF(MID($E314,3,1)="3",$AN314*트라이포드!$P$18*4,$AN314))),$AN314)*IF(MID($E314,3,1)="1",IF(MID($E314,5,1)="1",트라이포드!$J$18,트라이포드!$I$18),1)*IF(MID($E314,3,1)="2",트라이포드!$K$18,1)*IF(MID($E314,3,1)="3",트라이포드!$M$18,1)*IF(MID($E314,5,1)="2",트라이포드!$R$18,1)*(1+입력란!$P$17/100)*IF(AND(입력란!$C$9=1,MID($E314,5,1)&lt;&gt;"1"),IF(입력란!$C$15=0,1.05,IF(입력란!$C$15=1,1.05*1.05,IF(입력란!$C$15=2,1.05*1.12,IF(입력란!$C$15=3,1.05*1.25)))),1)</f>
        <v>387305.95813495613</v>
      </c>
      <c r="W314" s="21">
        <f>IF(MID($E314,5,1)="1",IF(MID($E314,3,1)="1",$AN314*트라이포드!$P$18*5,IF(MID($E314,3,1)="2",$AN314*트라이포드!$P$18*4,IF(MID($E314,3,1)="3",$AN314*트라이포드!$P$18*4,$AN314))),$AN314)*IF(MID($E314,3,1)="1",IF(MID($E314,5,1)="1",트라이포드!$J$18,트라이포드!$I$18),1)*IF(MID($E314,3,1)="2",트라이포드!$K$18,1)*IF(MID($E314,3,1)="3",트라이포드!$M$18,1)*IF(MID($E314,5,1)="2",트라이포드!$R$18,0)*(1+입력란!$P$17/100)*IF(AND(입력란!$C$9=1,MID($E314,5,1)&lt;&gt;"1"),IF(입력란!$C$15=0,1.05,IF(입력란!$C$15=1,1.05*1.05,IF(입력란!$C$15=2,1.05*1.12,IF(입력란!$C$15=3,1.05*1.25)))),1)</f>
        <v>387305.95813495613</v>
      </c>
      <c r="X314" s="21"/>
      <c r="Y314" s="21"/>
      <c r="Z314" s="20">
        <f>AN314*IF(MID(E314,3,1)="2",트라이포드!$L$18,IF(MID(E314,3,1)="3",트라이포드!$N$18*12*5,0))*IF(입력란!$C$30=1,1.07,IF(입력란!$C$30=2,1.08,IF(입력란!$C$30=3,1.09,1)))</f>
        <v>0</v>
      </c>
      <c r="AA314" s="21">
        <f>SUM(AB314:AI314)</f>
        <v>1549223.8325398245</v>
      </c>
      <c r="AB314" s="21">
        <f>S314*2</f>
        <v>774611.91626991227</v>
      </c>
      <c r="AC314" s="21">
        <f>T314*2</f>
        <v>774611.91626991227</v>
      </c>
      <c r="AD314" s="21"/>
      <c r="AE314" s="21"/>
      <c r="AF314" s="21"/>
      <c r="AG314" s="21"/>
      <c r="AH314" s="21"/>
      <c r="AI314" s="20"/>
      <c r="AJ314" s="21">
        <f>AQ314*(1-입력란!$P$10/100)</f>
        <v>35.567196189119997</v>
      </c>
      <c r="AK3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4" s="21">
        <f>입력란!$P$24+IF(입력란!$C$18=1,10,IF(입력란!$C$18=2,25,IF(입력란!$C$18=3,50,0)))+IF(입력란!$C$23&lt;&gt;0,-12)</f>
        <v>200</v>
      </c>
      <c r="AM314" s="21">
        <f>SUM(AN314:AP314)</f>
        <v>126330.54337820636</v>
      </c>
      <c r="AN314" s="21">
        <f>(VLOOKUP(C314,$B$4:$AJ$7,19,FALSE)+VLOOKUP(C314,$B$8:$AJ$11,19,FALSE)*입력란!$P$4)*IF(G314="근접",IF(MID($E314,5,1)="1",입력란!$P$26,입력란!$P$27),입력란!$P$26)*입력란!$P$25/100</f>
        <v>126330.54337820636</v>
      </c>
      <c r="AO314" s="21"/>
      <c r="AP314" s="21"/>
      <c r="AQ314" s="22">
        <v>36</v>
      </c>
    </row>
    <row r="315" spans="2:43" ht="13.5" customHeight="1" x14ac:dyDescent="0.55000000000000004">
      <c r="B315" s="66">
        <v>300</v>
      </c>
      <c r="C315" s="29">
        <v>10</v>
      </c>
      <c r="D315" s="67" t="s">
        <v>454</v>
      </c>
      <c r="E315" s="27" t="s">
        <v>140</v>
      </c>
      <c r="F315" s="29"/>
      <c r="G315" s="29" t="s">
        <v>417</v>
      </c>
      <c r="H315" s="36">
        <f>I315/AJ315</f>
        <v>264179.81324191572</v>
      </c>
      <c r="I315" s="37">
        <f>SUM(J315:Q315)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315,5,1)&lt;&gt;"1"),1.21,1.07),IF(입력란!$C$30=2,IF(AND(OR(입력란!$C$9=1,입력란!$C$10=1),MID($E315,5,1)&lt;&gt;"1"),1.24,1.08),IF(입력란!$C$30=3,IF(AND(OR(입력란!$C$9=1,입력란!$C$10=1),MID($E315,5,1)&lt;&gt;"1"),1.26,1.09),1)))*(1+입력란!$P$22/100)*IF(입력란!$C$31=1,1.12*1.15,IF(입력란!$C$31=2,1.15*1.18,IF(입력란!$C$31=3,1.17*1.2,1)))*IF(입력란!$C$32=1,1.12,IF(입력란!$C$32=2,1.14,IF(입력란!$C$32=3,1.15,1)))</f>
        <v>9396135.2467802968</v>
      </c>
      <c r="J315" s="21">
        <f>S315*(1+IF($AK315+IF(AND(입력란!$C$9=1,MID($E315,5,1)&lt;&gt;"1"),10,0)+IF(입력란!$C$26=1,10,0)&gt;100,100,$AK315+IF(AND(입력란!$C$9=1,MID($E315,5,1)&lt;&gt;"1"),10,0)+IF(입력란!$C$26=1,10,0))/100*(($AL315+IF(입력란!$C$30=1,IF(AND(OR(입력란!$C$9=1,입력란!$C$10=1),MID($E315,5,1)&lt;&gt;"1"),55,17),IF(입력란!$C$30=2,IF(AND(OR(입력란!$C$9=1,입력란!$C$10=1),MID($E315,5,1)&lt;&gt;"1"),60,20),IF(입력란!$C$30=3,IF(AND(OR(입력란!$C$9=1,입력란!$C$10=1),MID($E315,5,1)&lt;&gt;"1"),65,22),0))))/100-1))</f>
        <v>1663234.7150211819</v>
      </c>
      <c r="K315" s="21">
        <f>T315*(1+IF($AK315+IF(AND(입력란!$C$9=1,MID($E315,5,1)&lt;&gt;"1"),10,0)+IF(입력란!$C$26=1,10,0)&gt;100,100,$AK315+IF(AND(입력란!$C$9=1,MID($E315,5,1)&lt;&gt;"1"),10,0)+IF(입력란!$C$26=1,10,0))/100*(($AL315+IF(입력란!$C$30=1,IF(AND(OR(입력란!$C$9=1,입력란!$C$10=1),MID($E315,5,1)&lt;&gt;"1"),55,17),IF(입력란!$C$30=2,IF(AND(OR(입력란!$C$9=1,입력란!$C$10=1),MID($E315,5,1)&lt;&gt;"1"),60,20),IF(입력란!$C$30=3,IF(AND(OR(입력란!$C$9=1,입력란!$C$10=1),MID($E315,5,1)&lt;&gt;"1"),65,22),0))))/100-1))</f>
        <v>1663234.7150211819</v>
      </c>
      <c r="L315" s="21">
        <f>U315*(1+IF($AK315+IF(AND(입력란!$C$9=1,MID($E315,5,1)&lt;&gt;"1"),10,0)+IF(입력란!$C$26=1,10,0)&gt;100,100,$AK315+IF(AND(입력란!$C$9=1,MID($E315,5,1)&lt;&gt;"1"),10,0)+IF(입력란!$C$26=1,10,0))/100*(($AL315+IF(입력란!$C$30=1,IF(AND(OR(입력란!$C$9=1,입력란!$C$10=1),MID($E315,5,1)&lt;&gt;"1"),55,17),IF(입력란!$C$30=2,IF(AND(OR(입력란!$C$9=1,입력란!$C$10=1),MID($E315,5,1)&lt;&gt;"1"),60,20),IF(입력란!$C$30=3,IF(AND(OR(입력란!$C$9=1,입력란!$C$10=1),MID($E315,5,1)&lt;&gt;"1"),65,22),0))))/100-1))</f>
        <v>1663234.7150211819</v>
      </c>
      <c r="M315" s="21">
        <f>V315*(1+IF($AK315+IF(AND(입력란!$C$9=1,MID($E315,5,1)&lt;&gt;"1"),10,0)+IF(입력란!$C$26=1,10,0)&gt;100,100,$AK315+IF(AND(입력란!$C$9=1,MID($E315,5,1)&lt;&gt;"1"),10,0)+IF(입력란!$C$26=1,10,0))/100*(($AL315+IF(입력란!$C$30=1,IF(AND(OR(입력란!$C$9=1,입력란!$C$10=1),MID($E315,5,1)&lt;&gt;"1"),55,17),IF(입력란!$C$30=2,IF(AND(OR(입력란!$C$9=1,입력란!$C$10=1),MID($E315,5,1)&lt;&gt;"1"),60,20),IF(입력란!$C$30=3,IF(AND(OR(입력란!$C$9=1,입력란!$C$10=1),MID($E315,5,1)&lt;&gt;"1"),65,22),0))))/100-1))</f>
        <v>1663234.7150211819</v>
      </c>
      <c r="N315" s="21">
        <f>W315*(1+IF($AK315+IF(AND(입력란!$C$9=1,MID($E315,5,1)&lt;&gt;"1"),10,0)+IF(입력란!$C$26=1,10,0)&gt;100,100,$AK315+IF(AND(입력란!$C$9=1,MID($E315,5,1)&lt;&gt;"1"),10,0)+IF(입력란!$C$26=1,10,0))/100*(($AL315+IF(입력란!$C$30=1,IF(AND(OR(입력란!$C$9=1,입력란!$C$10=1),MID($E315,5,1)&lt;&gt;"1"),55,17),IF(입력란!$C$30=2,IF(AND(OR(입력란!$C$9=1,입력란!$C$10=1),MID($E315,5,1)&lt;&gt;"1"),60,20),IF(입력란!$C$30=3,IF(AND(OR(입력란!$C$9=1,입력란!$C$10=1),MID($E315,5,1)&lt;&gt;"1"),65,22),0))))/100-1))</f>
        <v>0</v>
      </c>
      <c r="O315" s="21"/>
      <c r="P315" s="21"/>
      <c r="Q315" s="105">
        <f>Z315*(1+IF($AK315+IF(입력란!$C$26=1,10,0)&gt;100,100,$AK315+IF(입력란!$C$26=1,10,0))/100*(($AL315+IF(입력란!$C$30=1,17,IF(입력란!$C$30=2,20,IF(입력란!$C$30=3,22,0))))/100-1))</f>
        <v>1076.6110435889038</v>
      </c>
      <c r="R315" s="19">
        <f>SUM(S315:Z315)</f>
        <v>4372414.9150000941</v>
      </c>
      <c r="S315" s="21">
        <f>IF(MID($E315,5,1)="1",IF(MID($E315,3,1)="1",$AN315*트라이포드!$P$18*5,IF(MID($E315,3,1)="2",$AN315*트라이포드!$P$18*4,IF(MID($E315,3,1)="3",$AN315*트라이포드!$P$18*4,$AN315))),$AN315)*IF(MID($E315,3,1)="1",IF(MID($E315,5,1)="1",트라이포드!$J$18,트라이포드!$I$18),1)*IF(MID($E315,3,1)="2",트라이포드!$K$18,1)*IF(MID($E315,3,1)="3",트라이포드!$M$18,1)*IF(MID($E315,5,1)="2",트라이포드!$R$18,1)*(1+입력란!$P$17/100)*IF(AND(입력란!$C$9=1,MID($E315,5,1)&lt;&gt;"1"),IF(입력란!$C$15=0,1.05,IF(입력란!$C$15=1,1.05*1.05,IF(입력란!$C$15=2,1.05*1.12,IF(입력란!$C$15=3,1.05*1.25)))),1)</f>
        <v>1092926.8659892941</v>
      </c>
      <c r="T315" s="21">
        <f>IF(MID($E315,5,1)="1",IF(MID($E315,3,1)="1",$AN315*트라이포드!$P$18*5,IF(MID($E315,3,1)="2",$AN315*트라이포드!$P$18*4,IF(MID($E315,3,1)="3",$AN315*트라이포드!$P$18*4,$AN315))),$AN315)*IF(MID($E315,3,1)="1",IF(MID($E315,5,1)="1",트라이포드!$J$18,트라이포드!$I$18),1)*IF(MID($E315,3,1)="2",트라이포드!$K$18,1)*IF(MID($E315,3,1)="3",트라이포드!$M$18,1)*IF(MID($E315,5,1)="2",트라이포드!$R$18,1)*(1+입력란!$P$17/100)*IF(AND(입력란!$C$9=1,MID($E315,5,1)&lt;&gt;"1"),IF(입력란!$C$15=0,1.05,IF(입력란!$C$15=1,1.05*1.05,IF(입력란!$C$15=2,1.05*1.12,IF(입력란!$C$15=3,1.05*1.25)))),1)</f>
        <v>1092926.8659892941</v>
      </c>
      <c r="U315" s="21">
        <f>IF(MID($E315,5,1)="1",IF(MID($E315,3,1)="1",$AN315*트라이포드!$P$18*5,IF(MID($E315,3,1)="2",$AN315*트라이포드!$P$18*4,IF(MID($E315,3,1)="3",$AN315*트라이포드!$P$18*4,$AN315))),$AN315)*IF(MID($E315,3,1)="1",IF(MID($E315,5,1)="1",트라이포드!$J$18,트라이포드!$I$18),1)*IF(MID($E315,3,1)="2",트라이포드!$K$18,1)*IF(MID($E315,3,1)="3",트라이포드!$M$18,1)*IF(MID($E315,5,1)="2",트라이포드!$R$18,1)*(1+입력란!$P$17/100)*IF(AND(입력란!$C$9=1,MID($E315,5,1)&lt;&gt;"1"),IF(입력란!$C$15=0,1.05,IF(입력란!$C$15=1,1.05*1.05,IF(입력란!$C$15=2,1.05*1.12,IF(입력란!$C$15=3,1.05*1.25)))),1)</f>
        <v>1092926.8659892941</v>
      </c>
      <c r="V315" s="21">
        <f>IF(MID($E315,5,1)="1",IF(MID($E315,3,1)="1",$AN315*트라이포드!$P$18*5,IF(MID($E315,3,1)="2",$AN315*트라이포드!$P$18*4,IF(MID($E315,3,1)="3",$AN315*트라이포드!$P$18*4,$AN315))),$AN315)*IF(MID($E315,3,1)="1",IF(MID($E315,5,1)="1",트라이포드!$J$18,트라이포드!$I$18),1)*IF(MID($E315,3,1)="2",트라이포드!$K$18,1)*IF(MID($E315,3,1)="3",트라이포드!$M$18,1)*IF(MID($E315,5,1)="2",트라이포드!$R$18,1)*(1+입력란!$P$17/100)*IF(AND(입력란!$C$9=1,MID($E315,5,1)&lt;&gt;"1"),IF(입력란!$C$15=0,1.05,IF(입력란!$C$15=1,1.05*1.05,IF(입력란!$C$15=2,1.05*1.12,IF(입력란!$C$15=3,1.05*1.25)))),1)</f>
        <v>1092926.8659892941</v>
      </c>
      <c r="W315" s="21">
        <f>IF(MID($E315,5,1)="1",IF(MID($E315,3,1)="1",$AN315*트라이포드!$P$18*5,IF(MID($E315,3,1)="2",$AN315*트라이포드!$P$18*4,IF(MID($E315,3,1)="3",$AN315*트라이포드!$P$18*4,$AN315))),$AN315)*IF(MID($E315,3,1)="1",IF(MID($E315,5,1)="1",트라이포드!$J$18,트라이포드!$I$18),1)*IF(MID($E315,3,1)="2",트라이포드!$K$18,1)*IF(MID($E315,3,1)="3",트라이포드!$M$18,1)*IF(MID($E315,5,1)="2",트라이포드!$R$18,0)*(1+입력란!$P$17/100)*IF(AND(입력란!$C$9=1,MID($E315,5,1)&lt;&gt;"1"),IF(입력란!$C$15=0,1.05,IF(입력란!$C$15=1,1.05*1.05,IF(입력란!$C$15=2,1.05*1.12,IF(입력란!$C$15=3,1.05*1.25)))),1)</f>
        <v>0</v>
      </c>
      <c r="X315" s="21"/>
      <c r="Y315" s="21"/>
      <c r="Z315" s="20">
        <f>AN315*IF(MID(E315,3,1)="2",트라이포드!$L$18,IF(MID(E315,3,1)="3",트라이포드!$N$18*12*5,0))*IF(입력란!$C$30=1,1.07,IF(입력란!$C$30=2,1.08,IF(입력란!$C$30=3,1.09,1)))</f>
        <v>707.45104291795565</v>
      </c>
      <c r="AA315" s="21">
        <f>SUM(AB315:AI315)</f>
        <v>4371707.4639571765</v>
      </c>
      <c r="AB315" s="21">
        <f>S315*2</f>
        <v>2185853.7319785883</v>
      </c>
      <c r="AC315" s="21">
        <f>T315*2</f>
        <v>2185853.7319785883</v>
      </c>
      <c r="AD315" s="21"/>
      <c r="AE315" s="21"/>
      <c r="AF315" s="21"/>
      <c r="AG315" s="21"/>
      <c r="AH315" s="21"/>
      <c r="AI315" s="20"/>
      <c r="AJ315" s="21">
        <f>AQ315*(1-입력란!$P$10/100)</f>
        <v>35.567196189119997</v>
      </c>
      <c r="AK3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5" s="21">
        <f>입력란!$P$24+IF(입력란!$C$18=1,10,IF(입력란!$C$18=2,25,IF(입력란!$C$18=3,50,0)))+IF(입력란!$C$23&lt;&gt;0,-12)</f>
        <v>200</v>
      </c>
      <c r="AM315" s="21">
        <f>SUM(AN315:AP315)</f>
        <v>126330.54337820636</v>
      </c>
      <c r="AN315" s="21">
        <f>(VLOOKUP(C315,$B$4:$AJ$7,19,FALSE)+VLOOKUP(C315,$B$8:$AJ$11,19,FALSE)*입력란!$P$4)*IF(G315="근접",IF(MID($E315,5,1)="1",입력란!$P$26,입력란!$P$27),입력란!$P$26)*입력란!$P$25/100</f>
        <v>126330.54337820636</v>
      </c>
      <c r="AO315" s="21"/>
      <c r="AP315" s="21"/>
      <c r="AQ315" s="22">
        <v>36</v>
      </c>
    </row>
    <row r="316" spans="2:43" ht="13.5" customHeight="1" x14ac:dyDescent="0.55000000000000004">
      <c r="B316" s="66">
        <v>301</v>
      </c>
      <c r="C316" s="29">
        <v>10</v>
      </c>
      <c r="D316" s="67" t="s">
        <v>454</v>
      </c>
      <c r="E316" s="27" t="s">
        <v>147</v>
      </c>
      <c r="F316" s="29"/>
      <c r="G316" s="29" t="s">
        <v>417</v>
      </c>
      <c r="H316" s="36">
        <f>I316/AJ316</f>
        <v>124735.68279277487</v>
      </c>
      <c r="I316" s="37">
        <f>SUM(J316:Q316)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316,5,1)&lt;&gt;"1"),1.21,1.07),IF(입력란!$C$30=2,IF(AND(OR(입력란!$C$9=1,입력란!$C$10=1),MID($E316,5,1)&lt;&gt;"1"),1.24,1.08),IF(입력란!$C$30=3,IF(AND(OR(입력란!$C$9=1,입력란!$C$10=1),MID($E316,5,1)&lt;&gt;"1"),1.26,1.09),1)))*(1+입력란!$P$22/100)*IF(입력란!$C$31=1,1.12*1.15,IF(입력란!$C$31=2,1.15*1.18,IF(입력란!$C$31=3,1.17*1.2,1)))*IF(입력란!$C$32=1,1.12,IF(입력란!$C$32=2,1.14,IF(입력란!$C$32=3,1.15,1)))</f>
        <v>4436498.501674463</v>
      </c>
      <c r="J316" s="21">
        <f>S316*(1+IF($AK316+IF(AND(입력란!$C$9=1,MID($E316,5,1)&lt;&gt;"1"),10,0)+IF(입력란!$C$26=1,10,0)&gt;100,100,$AK316+IF(AND(입력란!$C$9=1,MID($E316,5,1)&lt;&gt;"1"),10,0)+IF(입력란!$C$26=1,10,0))/100*(($AL316+IF(입력란!$C$30=1,IF(AND(OR(입력란!$C$9=1,입력란!$C$10=1),MID($E316,5,1)&lt;&gt;"1"),55,17),IF(입력란!$C$30=2,IF(AND(OR(입력란!$C$9=1,입력란!$C$10=1),MID($E316,5,1)&lt;&gt;"1"),60,20),IF(입력란!$C$30=3,IF(AND(OR(입력란!$C$9=1,입력란!$C$10=1),MID($E316,5,1)&lt;&gt;"1"),65,22),0))))/100-1))</f>
        <v>628139.3979491269</v>
      </c>
      <c r="K316" s="21">
        <f>T316*(1+IF($AK316+IF(AND(입력란!$C$9=1,MID($E316,5,1)&lt;&gt;"1"),10,0)+IF(입력란!$C$26=1,10,0)&gt;100,100,$AK316+IF(AND(입력란!$C$9=1,MID($E316,5,1)&lt;&gt;"1"),10,0)+IF(입력란!$C$26=1,10,0))/100*(($AL316+IF(입력란!$C$30=1,IF(AND(OR(입력란!$C$9=1,입력란!$C$10=1),MID($E316,5,1)&lt;&gt;"1"),55,17),IF(입력란!$C$30=2,IF(AND(OR(입력란!$C$9=1,입력란!$C$10=1),MID($E316,5,1)&lt;&gt;"1"),60,20),IF(입력란!$C$30=3,IF(AND(OR(입력란!$C$9=1,입력란!$C$10=1),MID($E316,5,1)&lt;&gt;"1"),65,22),0))))/100-1))</f>
        <v>628139.3979491269</v>
      </c>
      <c r="L316" s="21">
        <f>U316*(1+IF($AK316+IF(AND(입력란!$C$9=1,MID($E316,5,1)&lt;&gt;"1"),10,0)+IF(입력란!$C$26=1,10,0)&gt;100,100,$AK316+IF(AND(입력란!$C$9=1,MID($E316,5,1)&lt;&gt;"1"),10,0)+IF(입력란!$C$26=1,10,0))/100*(($AL316+IF(입력란!$C$30=1,IF(AND(OR(입력란!$C$9=1,입력란!$C$10=1),MID($E316,5,1)&lt;&gt;"1"),55,17),IF(입력란!$C$30=2,IF(AND(OR(입력란!$C$9=1,입력란!$C$10=1),MID($E316,5,1)&lt;&gt;"1"),60,20),IF(입력란!$C$30=3,IF(AND(OR(입력란!$C$9=1,입력란!$C$10=1),MID($E316,5,1)&lt;&gt;"1"),65,22),0))))/100-1))</f>
        <v>628139.3979491269</v>
      </c>
      <c r="M316" s="21">
        <f>V316*(1+IF($AK316+IF(AND(입력란!$C$9=1,MID($E316,5,1)&lt;&gt;"1"),10,0)+IF(입력란!$C$26=1,10,0)&gt;100,100,$AK316+IF(AND(입력란!$C$9=1,MID($E316,5,1)&lt;&gt;"1"),10,0)+IF(입력란!$C$26=1,10,0))/100*(($AL316+IF(입력란!$C$30=1,IF(AND(OR(입력란!$C$9=1,입력란!$C$10=1),MID($E316,5,1)&lt;&gt;"1"),55,17),IF(입력란!$C$30=2,IF(AND(OR(입력란!$C$9=1,입력란!$C$10=1),MID($E316,5,1)&lt;&gt;"1"),60,20),IF(입력란!$C$30=3,IF(AND(OR(입력란!$C$9=1,입력란!$C$10=1),MID($E316,5,1)&lt;&gt;"1"),65,22),0))))/100-1))</f>
        <v>628139.3979491269</v>
      </c>
      <c r="N316" s="21">
        <f>W316*(1+IF($AK316+IF(AND(입력란!$C$9=1,MID($E316,5,1)&lt;&gt;"1"),10,0)+IF(입력란!$C$26=1,10,0)&gt;100,100,$AK316+IF(AND(입력란!$C$9=1,MID($E316,5,1)&lt;&gt;"1"),10,0)+IF(입력란!$C$26=1,10,0))/100*(($AL316+IF(입력란!$C$30=1,IF(AND(OR(입력란!$C$9=1,입력란!$C$10=1),MID($E316,5,1)&lt;&gt;"1"),55,17),IF(입력란!$C$30=2,IF(AND(OR(입력란!$C$9=1,입력란!$C$10=1),MID($E316,5,1)&lt;&gt;"1"),60,20),IF(입력란!$C$30=3,IF(AND(OR(입력란!$C$9=1,입력란!$C$10=1),MID($E316,5,1)&lt;&gt;"1"),65,22),0))))/100-1))</f>
        <v>628139.3979491269</v>
      </c>
      <c r="O316" s="21"/>
      <c r="P316" s="21"/>
      <c r="Q316" s="105">
        <f>Z316*(1+IF($AK316+IF(입력란!$C$26=1,10,0)&gt;100,100,$AK316+IF(입력란!$C$26=1,10,0))/100*(($AL316+IF(입력란!$C$30=1,17,IF(입력란!$C$30=2,20,IF(입력란!$C$30=3,22,0))))/100-1))</f>
        <v>1076.6110435889038</v>
      </c>
      <c r="R316" s="19">
        <f>SUM(S316:Z316)</f>
        <v>1937237.2417176988</v>
      </c>
      <c r="S316" s="21">
        <f>IF(MID($E316,5,1)="1",IF(MID($E316,3,1)="1",$AN316*트라이포드!$P$18*5,IF(MID($E316,3,1)="2",$AN316*트라이포드!$P$18*4,IF(MID($E316,3,1)="3",$AN316*트라이포드!$P$18*4,$AN316))),$AN316)*IF(MID($E316,3,1)="1",IF(MID($E316,5,1)="1",트라이포드!$J$18,트라이포드!$I$18),1)*IF(MID($E316,3,1)="2",트라이포드!$K$18,1)*IF(MID($E316,3,1)="3",트라이포드!$M$18,1)*IF(MID($E316,5,1)="2",트라이포드!$R$18,1)*(1+입력란!$P$17/100)*IF(AND(입력란!$C$9=1,MID($E316,5,1)&lt;&gt;"1"),IF(입력란!$C$15=0,1.05,IF(입력란!$C$15=1,1.05*1.05,IF(입력란!$C$15=2,1.05*1.12,IF(입력란!$C$15=3,1.05*1.25)))),1)</f>
        <v>387305.95813495613</v>
      </c>
      <c r="T316" s="21">
        <f>IF(MID($E316,5,1)="1",IF(MID($E316,3,1)="1",$AN316*트라이포드!$P$18*5,IF(MID($E316,3,1)="2",$AN316*트라이포드!$P$18*4,IF(MID($E316,3,1)="3",$AN316*트라이포드!$P$18*4,$AN316))),$AN316)*IF(MID($E316,3,1)="1",IF(MID($E316,5,1)="1",트라이포드!$J$18,트라이포드!$I$18),1)*IF(MID($E316,3,1)="2",트라이포드!$K$18,1)*IF(MID($E316,3,1)="3",트라이포드!$M$18,1)*IF(MID($E316,5,1)="2",트라이포드!$R$18,1)*(1+입력란!$P$17/100)*IF(AND(입력란!$C$9=1,MID($E316,5,1)&lt;&gt;"1"),IF(입력란!$C$15=0,1.05,IF(입력란!$C$15=1,1.05*1.05,IF(입력란!$C$15=2,1.05*1.12,IF(입력란!$C$15=3,1.05*1.25)))),1)</f>
        <v>387305.95813495613</v>
      </c>
      <c r="U316" s="21">
        <f>IF(MID($E316,5,1)="1",IF(MID($E316,3,1)="1",$AN316*트라이포드!$P$18*5,IF(MID($E316,3,1)="2",$AN316*트라이포드!$P$18*4,IF(MID($E316,3,1)="3",$AN316*트라이포드!$P$18*4,$AN316))),$AN316)*IF(MID($E316,3,1)="1",IF(MID($E316,5,1)="1",트라이포드!$J$18,트라이포드!$I$18),1)*IF(MID($E316,3,1)="2",트라이포드!$K$18,1)*IF(MID($E316,3,1)="3",트라이포드!$M$18,1)*IF(MID($E316,5,1)="2",트라이포드!$R$18,1)*(1+입력란!$P$17/100)*IF(AND(입력란!$C$9=1,MID($E316,5,1)&lt;&gt;"1"),IF(입력란!$C$15=0,1.05,IF(입력란!$C$15=1,1.05*1.05,IF(입력란!$C$15=2,1.05*1.12,IF(입력란!$C$15=3,1.05*1.25)))),1)</f>
        <v>387305.95813495613</v>
      </c>
      <c r="V316" s="21">
        <f>IF(MID($E316,5,1)="1",IF(MID($E316,3,1)="1",$AN316*트라이포드!$P$18*5,IF(MID($E316,3,1)="2",$AN316*트라이포드!$P$18*4,IF(MID($E316,3,1)="3",$AN316*트라이포드!$P$18*4,$AN316))),$AN316)*IF(MID($E316,3,1)="1",IF(MID($E316,5,1)="1",트라이포드!$J$18,트라이포드!$I$18),1)*IF(MID($E316,3,1)="2",트라이포드!$K$18,1)*IF(MID($E316,3,1)="3",트라이포드!$M$18,1)*IF(MID($E316,5,1)="2",트라이포드!$R$18,1)*(1+입력란!$P$17/100)*IF(AND(입력란!$C$9=1,MID($E316,5,1)&lt;&gt;"1"),IF(입력란!$C$15=0,1.05,IF(입력란!$C$15=1,1.05*1.05,IF(입력란!$C$15=2,1.05*1.12,IF(입력란!$C$15=3,1.05*1.25)))),1)</f>
        <v>387305.95813495613</v>
      </c>
      <c r="W316" s="21">
        <f>IF(MID($E316,5,1)="1",IF(MID($E316,3,1)="1",$AN316*트라이포드!$P$18*5,IF(MID($E316,3,1)="2",$AN316*트라이포드!$P$18*4,IF(MID($E316,3,1)="3",$AN316*트라이포드!$P$18*4,$AN316))),$AN316)*IF(MID($E316,3,1)="1",IF(MID($E316,5,1)="1",트라이포드!$J$18,트라이포드!$I$18),1)*IF(MID($E316,3,1)="2",트라이포드!$K$18,1)*IF(MID($E316,3,1)="3",트라이포드!$M$18,1)*IF(MID($E316,5,1)="2",트라이포드!$R$18,0)*(1+입력란!$P$17/100)*IF(AND(입력란!$C$9=1,MID($E316,5,1)&lt;&gt;"1"),IF(입력란!$C$15=0,1.05,IF(입력란!$C$15=1,1.05*1.05,IF(입력란!$C$15=2,1.05*1.12,IF(입력란!$C$15=3,1.05*1.25)))),1)</f>
        <v>387305.95813495613</v>
      </c>
      <c r="X316" s="21"/>
      <c r="Y316" s="21"/>
      <c r="Z316" s="20">
        <f>AN316*IF(MID(E316,3,1)="2",트라이포드!$L$18,IF(MID(E316,3,1)="3",트라이포드!$N$18*12*5,0))*IF(입력란!$C$30=1,1.07,IF(입력란!$C$30=2,1.08,IF(입력란!$C$30=3,1.09,1)))</f>
        <v>707.45104291795565</v>
      </c>
      <c r="AA316" s="21">
        <f>SUM(AB316:AI316)</f>
        <v>1549223.8325398245</v>
      </c>
      <c r="AB316" s="21">
        <f>S316*2</f>
        <v>774611.91626991227</v>
      </c>
      <c r="AC316" s="21">
        <f>T316*2</f>
        <v>774611.91626991227</v>
      </c>
      <c r="AD316" s="21"/>
      <c r="AE316" s="21"/>
      <c r="AF316" s="21"/>
      <c r="AG316" s="21"/>
      <c r="AH316" s="21"/>
      <c r="AI316" s="20"/>
      <c r="AJ316" s="21">
        <f>AQ316*(1-입력란!$P$10/100)</f>
        <v>35.567196189119997</v>
      </c>
      <c r="AK3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6" s="21">
        <f>입력란!$P$24+IF(입력란!$C$18=1,10,IF(입력란!$C$18=2,25,IF(입력란!$C$18=3,50,0)))+IF(입력란!$C$23&lt;&gt;0,-12)</f>
        <v>200</v>
      </c>
      <c r="AM316" s="21">
        <f>SUM(AN316:AP316)</f>
        <v>126330.54337820636</v>
      </c>
      <c r="AN316" s="21">
        <f>(VLOOKUP(C316,$B$4:$AJ$7,19,FALSE)+VLOOKUP(C316,$B$8:$AJ$11,19,FALSE)*입력란!$P$4)*IF(G316="근접",IF(MID($E316,5,1)="1",입력란!$P$26,입력란!$P$27),입력란!$P$26)*입력란!$P$25/100</f>
        <v>126330.54337820636</v>
      </c>
      <c r="AO316" s="21"/>
      <c r="AP316" s="21"/>
      <c r="AQ316" s="22">
        <v>36</v>
      </c>
    </row>
    <row r="317" spans="2:43" ht="13.5" customHeight="1" x14ac:dyDescent="0.55000000000000004">
      <c r="B317" s="66">
        <v>302</v>
      </c>
      <c r="C317" s="29">
        <v>10</v>
      </c>
      <c r="D317" s="67" t="s">
        <v>454</v>
      </c>
      <c r="E317" s="27" t="s">
        <v>126</v>
      </c>
      <c r="F317" s="29"/>
      <c r="G317" s="29" t="s">
        <v>417</v>
      </c>
      <c r="H317" s="36">
        <f>I317/AJ317</f>
        <v>175467.94296148492</v>
      </c>
      <c r="I317" s="37">
        <f>SUM(J317:Q317)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317,5,1)&lt;&gt;"1"),1.21,1.07),IF(입력란!$C$30=2,IF(AND(OR(입력란!$C$9=1,입력란!$C$10=1),MID($E317,5,1)&lt;&gt;"1"),1.24,1.08),IF(입력란!$C$30=3,IF(AND(OR(입력란!$C$9=1,입력란!$C$10=1),MID($E317,5,1)&lt;&gt;"1"),1.26,1.09),1)))*(1+입력란!$P$22/100)*IF(입력란!$C$31=1,1.12*1.15,IF(입력란!$C$31=2,1.15*1.18,IF(입력란!$C$31=3,1.17*1.2,1)))*IF(입력란!$C$32=1,1.12,IF(입력란!$C$32=2,1.14,IF(입력란!$C$32=3,1.15,1)))</f>
        <v>6240902.7522124518</v>
      </c>
      <c r="J317" s="21">
        <f>S317*(1+IF($AK317+IF(AND(입력란!$C$9=1,MID($E317,5,1)&lt;&gt;"1"),10,0)+IF(입력란!$C$26=1,10,0)&gt;100,100,$AK317+IF(AND(입력란!$C$9=1,MID($E317,5,1)&lt;&gt;"1"),10,0)+IF(입력란!$C$26=1,10,0))/100*(($AL317+IF(입력란!$C$30=1,IF(AND(OR(입력란!$C$9=1,입력란!$C$10=1),MID($E317,5,1)&lt;&gt;"1"),55,17),IF(입력란!$C$30=2,IF(AND(OR(입력란!$C$9=1,입력란!$C$10=1),MID($E317,5,1)&lt;&gt;"1"),60,20),IF(입력란!$C$30=3,IF(AND(OR(입력란!$C$9=1,입력란!$C$10=1),MID($E317,5,1)&lt;&gt;"1"),65,22),0))))/100-1))</f>
        <v>1047221.8576059294</v>
      </c>
      <c r="K317" s="21">
        <f>T317*(1+IF($AK317+IF(AND(입력란!$C$9=1,MID($E317,5,1)&lt;&gt;"1"),10,0)+IF(입력란!$C$26=1,10,0)&gt;100,100,$AK317+IF(AND(입력란!$C$9=1,MID($E317,5,1)&lt;&gt;"1"),10,0)+IF(입력란!$C$26=1,10,0))/100*(($AL317+IF(입력란!$C$30=1,IF(AND(OR(입력란!$C$9=1,입력란!$C$10=1),MID($E317,5,1)&lt;&gt;"1"),55,17),IF(입력란!$C$30=2,IF(AND(OR(입력란!$C$9=1,입력란!$C$10=1),MID($E317,5,1)&lt;&gt;"1"),60,20),IF(입력란!$C$30=3,IF(AND(OR(입력란!$C$9=1,입력란!$C$10=1),MID($E317,5,1)&lt;&gt;"1"),65,22),0))))/100-1))</f>
        <v>1047221.8576059294</v>
      </c>
      <c r="L317" s="21">
        <f>U317*(1+IF($AK317+IF(AND(입력란!$C$9=1,MID($E317,5,1)&lt;&gt;"1"),10,0)+IF(입력란!$C$26=1,10,0)&gt;100,100,$AK317+IF(AND(입력란!$C$9=1,MID($E317,5,1)&lt;&gt;"1"),10,0)+IF(입력란!$C$26=1,10,0))/100*(($AL317+IF(입력란!$C$30=1,IF(AND(OR(입력란!$C$9=1,입력란!$C$10=1),MID($E317,5,1)&lt;&gt;"1"),55,17),IF(입력란!$C$30=2,IF(AND(OR(입력란!$C$9=1,입력란!$C$10=1),MID($E317,5,1)&lt;&gt;"1"),60,20),IF(입력란!$C$30=3,IF(AND(OR(입력란!$C$9=1,입력란!$C$10=1),MID($E317,5,1)&lt;&gt;"1"),65,22),0))))/100-1))</f>
        <v>1047221.8576059294</v>
      </c>
      <c r="M317" s="21">
        <f>V317*(1+IF($AK317+IF(AND(입력란!$C$9=1,MID($E317,5,1)&lt;&gt;"1"),10,0)+IF(입력란!$C$26=1,10,0)&gt;100,100,$AK317+IF(AND(입력란!$C$9=1,MID($E317,5,1)&lt;&gt;"1"),10,0)+IF(입력란!$C$26=1,10,0))/100*(($AL317+IF(입력란!$C$30=1,IF(AND(OR(입력란!$C$9=1,입력란!$C$10=1),MID($E317,5,1)&lt;&gt;"1"),55,17),IF(입력란!$C$30=2,IF(AND(OR(입력란!$C$9=1,입력란!$C$10=1),MID($E317,5,1)&lt;&gt;"1"),60,20),IF(입력란!$C$30=3,IF(AND(OR(입력란!$C$9=1,입력란!$C$10=1),MID($E317,5,1)&lt;&gt;"1"),65,22),0))))/100-1))</f>
        <v>1047221.8576059294</v>
      </c>
      <c r="N317" s="21">
        <f>W317*(1+IF($AK317+IF(AND(입력란!$C$9=1,MID($E317,5,1)&lt;&gt;"1"),10,0)+IF(입력란!$C$26=1,10,0)&gt;100,100,$AK317+IF(AND(입력란!$C$9=1,MID($E317,5,1)&lt;&gt;"1"),10,0)+IF(입력란!$C$26=1,10,0))/100*(($AL317+IF(입력란!$C$30=1,IF(AND(OR(입력란!$C$9=1,입력란!$C$10=1),MID($E317,5,1)&lt;&gt;"1"),55,17),IF(입력란!$C$30=2,IF(AND(OR(입력란!$C$9=1,입력란!$C$10=1),MID($E317,5,1)&lt;&gt;"1"),60,20),IF(입력란!$C$30=3,IF(AND(OR(입력란!$C$9=1,입력란!$C$10=1),MID($E317,5,1)&lt;&gt;"1"),65,22),0))))/100-1))</f>
        <v>0</v>
      </c>
      <c r="O317" s="21"/>
      <c r="P317" s="21"/>
      <c r="Q317" s="105">
        <f>Z317*(1+IF($AK317+IF(입력란!$C$26=1,10,0)&gt;100,100,$AK317+IF(입력란!$C$26=1,10,0))/100*(($AL317+IF(입력란!$C$30=1,17,IF(입력란!$C$30=2,20,IF(입력란!$C$30=3,22,0))))/100-1))</f>
        <v>230702.36648333649</v>
      </c>
      <c r="R317" s="19">
        <f>SUM(S317:Z317)</f>
        <v>2904153.2034342918</v>
      </c>
      <c r="S317" s="21">
        <f>IF(MID($E317,5,1)="1",IF(MID($E317,3,1)="1",$AN317*트라이포드!$P$18*5,IF(MID($E317,3,1)="2",$AN317*트라이포드!$P$18*4,IF(MID($E317,3,1)="3",$AN317*트라이포드!$P$18*4,$AN317))),$AN317)*IF(MID($E317,3,1)="1",IF(MID($E317,5,1)="1",트라이포드!$J$18,트라이포드!$I$18),1)*IF(MID($E317,3,1)="2",트라이포드!$K$18,1)*IF(MID($E317,3,1)="3",트라이포드!$M$18,1)*IF(MID($E317,5,1)="2",트라이포드!$R$18,1)*(1+입력란!$P$17/100)*IF(AND(입력란!$C$9=1,MID($E317,5,1)&lt;&gt;"1"),IF(입력란!$C$15=0,1.05,IF(입력란!$C$15=1,1.05*1.05,IF(입력란!$C$15=2,1.05*1.12,IF(입력란!$C$15=3,1.05*1.25)))),1)</f>
        <v>688139.13784511108</v>
      </c>
      <c r="T317" s="21">
        <f>IF(MID($E317,5,1)="1",IF(MID($E317,3,1)="1",$AN317*트라이포드!$P$18*5,IF(MID($E317,3,1)="2",$AN317*트라이포드!$P$18*4,IF(MID($E317,3,1)="3",$AN317*트라이포드!$P$18*4,$AN317))),$AN317)*IF(MID($E317,3,1)="1",IF(MID($E317,5,1)="1",트라이포드!$J$18,트라이포드!$I$18),1)*IF(MID($E317,3,1)="2",트라이포드!$K$18,1)*IF(MID($E317,3,1)="3",트라이포드!$M$18,1)*IF(MID($E317,5,1)="2",트라이포드!$R$18,1)*(1+입력란!$P$17/100)*IF(AND(입력란!$C$9=1,MID($E317,5,1)&lt;&gt;"1"),IF(입력란!$C$15=0,1.05,IF(입력란!$C$15=1,1.05*1.05,IF(입력란!$C$15=2,1.05*1.12,IF(입력란!$C$15=3,1.05*1.25)))),1)</f>
        <v>688139.13784511108</v>
      </c>
      <c r="U317" s="21">
        <f>IF(MID($E317,5,1)="1",IF(MID($E317,3,1)="1",$AN317*트라이포드!$P$18*5,IF(MID($E317,3,1)="2",$AN317*트라이포드!$P$18*4,IF(MID($E317,3,1)="3",$AN317*트라이포드!$P$18*4,$AN317))),$AN317)*IF(MID($E317,3,1)="1",IF(MID($E317,5,1)="1",트라이포드!$J$18,트라이포드!$I$18),1)*IF(MID($E317,3,1)="2",트라이포드!$K$18,1)*IF(MID($E317,3,1)="3",트라이포드!$M$18,1)*IF(MID($E317,5,1)="2",트라이포드!$R$18,1)*(1+입력란!$P$17/100)*IF(AND(입력란!$C$9=1,MID($E317,5,1)&lt;&gt;"1"),IF(입력란!$C$15=0,1.05,IF(입력란!$C$15=1,1.05*1.05,IF(입력란!$C$15=2,1.05*1.12,IF(입력란!$C$15=3,1.05*1.25)))),1)</f>
        <v>688139.13784511108</v>
      </c>
      <c r="V317" s="21">
        <f>IF(MID($E317,5,1)="1",IF(MID($E317,3,1)="1",$AN317*트라이포드!$P$18*5,IF(MID($E317,3,1)="2",$AN317*트라이포드!$P$18*4,IF(MID($E317,3,1)="3",$AN317*트라이포드!$P$18*4,$AN317))),$AN317)*IF(MID($E317,3,1)="1",IF(MID($E317,5,1)="1",트라이포드!$J$18,트라이포드!$I$18),1)*IF(MID($E317,3,1)="2",트라이포드!$K$18,1)*IF(MID($E317,3,1)="3",트라이포드!$M$18,1)*IF(MID($E317,5,1)="2",트라이포드!$R$18,1)*(1+입력란!$P$17/100)*IF(AND(입력란!$C$9=1,MID($E317,5,1)&lt;&gt;"1"),IF(입력란!$C$15=0,1.05,IF(입력란!$C$15=1,1.05*1.05,IF(입력란!$C$15=2,1.05*1.12,IF(입력란!$C$15=3,1.05*1.25)))),1)</f>
        <v>688139.13784511108</v>
      </c>
      <c r="W317" s="21">
        <f>IF(MID($E317,5,1)="1",IF(MID($E317,3,1)="1",$AN317*트라이포드!$P$18*5,IF(MID($E317,3,1)="2",$AN317*트라이포드!$P$18*4,IF(MID($E317,3,1)="3",$AN317*트라이포드!$P$18*4,$AN317))),$AN317)*IF(MID($E317,3,1)="1",IF(MID($E317,5,1)="1",트라이포드!$J$18,트라이포드!$I$18),1)*IF(MID($E317,3,1)="2",트라이포드!$K$18,1)*IF(MID($E317,3,1)="3",트라이포드!$M$18,1)*IF(MID($E317,5,1)="2",트라이포드!$R$18,0)*(1+입력란!$P$17/100)*IF(AND(입력란!$C$9=1,MID($E317,5,1)&lt;&gt;"1"),IF(입력란!$C$15=0,1.05,IF(입력란!$C$15=1,1.05*1.05,IF(입력란!$C$15=2,1.05*1.12,IF(입력란!$C$15=3,1.05*1.25)))),1)</f>
        <v>0</v>
      </c>
      <c r="X317" s="21"/>
      <c r="Y317" s="21"/>
      <c r="Z317" s="20">
        <f>AN317*IF(MID(E317,3,1)="2",트라이포드!$L$18,IF(MID(E317,3,1)="3",트라이포드!$N$18*12*5,0))*IF(입력란!$C$30=1,1.07,IF(입력란!$C$30=2,1.08,IF(입력란!$C$30=3,1.09,1)))</f>
        <v>151596.65205384762</v>
      </c>
      <c r="AA317" s="21">
        <f>SUM(AB317:AI317)</f>
        <v>2752556.5513804443</v>
      </c>
      <c r="AB317" s="21">
        <f>S317*2</f>
        <v>1376278.2756902222</v>
      </c>
      <c r="AC317" s="21">
        <f>T317*2</f>
        <v>1376278.2756902222</v>
      </c>
      <c r="AD317" s="21"/>
      <c r="AE317" s="21"/>
      <c r="AF317" s="21"/>
      <c r="AG317" s="21"/>
      <c r="AH317" s="21"/>
      <c r="AI317" s="20"/>
      <c r="AJ317" s="21">
        <f>AQ317*(1-입력란!$P$10/100)</f>
        <v>35.567196189119997</v>
      </c>
      <c r="AK3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7" s="21">
        <f>입력란!$P$24+IF(입력란!$C$18=1,10,IF(입력란!$C$18=2,25,IF(입력란!$C$18=3,50,0)))+IF(입력란!$C$23&lt;&gt;0,-12)</f>
        <v>200</v>
      </c>
      <c r="AM317" s="21">
        <f>SUM(AN317:AP317)</f>
        <v>126330.54337820636</v>
      </c>
      <c r="AN317" s="21">
        <f>(VLOOKUP(C317,$B$4:$AJ$7,19,FALSE)+VLOOKUP(C317,$B$8:$AJ$11,19,FALSE)*입력란!$P$4)*IF(G317="근접",IF(MID($E317,5,1)="1",입력란!$P$26,입력란!$P$27),입력란!$P$26)*입력란!$P$25/100</f>
        <v>126330.54337820636</v>
      </c>
      <c r="AO317" s="21"/>
      <c r="AP317" s="21"/>
      <c r="AQ317" s="22">
        <v>36</v>
      </c>
    </row>
    <row r="318" spans="2:43" ht="13.5" customHeight="1" x14ac:dyDescent="0.55000000000000004">
      <c r="B318" s="66">
        <v>303</v>
      </c>
      <c r="C318" s="29">
        <v>10</v>
      </c>
      <c r="D318" s="67" t="s">
        <v>454</v>
      </c>
      <c r="E318" s="27" t="s">
        <v>127</v>
      </c>
      <c r="F318" s="29"/>
      <c r="G318" s="29" t="s">
        <v>417</v>
      </c>
      <c r="H318" s="36">
        <f>I318/AJ318</f>
        <v>87669.786752766595</v>
      </c>
      <c r="I318" s="37">
        <f>SUM(J318:Q318)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AND(OR(입력란!$C$9=1,입력란!$C$10=1),MID($E318,5,1)&lt;&gt;"1"),1.21,1.07),IF(입력란!$C$30=2,IF(AND(OR(입력란!$C$9=1,입력란!$C$10=1),MID($E318,5,1)&lt;&gt;"1"),1.24,1.08),IF(입력란!$C$30=3,IF(AND(OR(입력란!$C$9=1,입력란!$C$10=1),MID($E318,5,1)&lt;&gt;"1"),1.26,1.09),1)))*(1+입력란!$P$22/100)*IF(입력란!$C$31=1,1.12*1.15,IF(입력란!$C$31=2,1.15*1.18,IF(입력란!$C$31=3,1.17*1.2,1)))*IF(입력란!$C$32=1,1.12,IF(입력란!$C$32=2,1.14,IF(입력란!$C$32=3,1.15,1)))</f>
        <v>3118168.505293963</v>
      </c>
      <c r="J318" s="21">
        <f>S318*(1+IF($AK318+IF(AND(입력란!$C$9=1,MID($E318,5,1)&lt;&gt;"1"),10,0)+IF(입력란!$C$26=1,10,0)&gt;100,100,$AK318+IF(AND(입력란!$C$9=1,MID($E318,5,1)&lt;&gt;"1"),10,0)+IF(입력란!$C$26=1,10,0))/100*(($AL318+IF(입력란!$C$30=1,IF(AND(OR(입력란!$C$9=1,입력란!$C$10=1),MID($E318,5,1)&lt;&gt;"1"),55,17),IF(입력란!$C$30=2,IF(AND(OR(입력란!$C$9=1,입력란!$C$10=1),MID($E318,5,1)&lt;&gt;"1"),60,20),IF(입력란!$C$30=3,IF(AND(OR(입력란!$C$9=1,입력란!$C$10=1),MID($E318,5,1)&lt;&gt;"1"),65,22),0))))/100-1))</f>
        <v>395495.17648648733</v>
      </c>
      <c r="K318" s="21">
        <f>T318*(1+IF($AK318+IF(AND(입력란!$C$9=1,MID($E318,5,1)&lt;&gt;"1"),10,0)+IF(입력란!$C$26=1,10,0)&gt;100,100,$AK318+IF(AND(입력란!$C$9=1,MID($E318,5,1)&lt;&gt;"1"),10,0)+IF(입력란!$C$26=1,10,0))/100*(($AL318+IF(입력란!$C$30=1,IF(AND(OR(입력란!$C$9=1,입력란!$C$10=1),MID($E318,5,1)&lt;&gt;"1"),55,17),IF(입력란!$C$30=2,IF(AND(OR(입력란!$C$9=1,입력란!$C$10=1),MID($E318,5,1)&lt;&gt;"1"),60,20),IF(입력란!$C$30=3,IF(AND(OR(입력란!$C$9=1,입력란!$C$10=1),MID($E318,5,1)&lt;&gt;"1"),65,22),0))))/100-1))</f>
        <v>395495.17648648733</v>
      </c>
      <c r="L318" s="21">
        <f>U318*(1+IF($AK318+IF(AND(입력란!$C$9=1,MID($E318,5,1)&lt;&gt;"1"),10,0)+IF(입력란!$C$26=1,10,0)&gt;100,100,$AK318+IF(AND(입력란!$C$9=1,MID($E318,5,1)&lt;&gt;"1"),10,0)+IF(입력란!$C$26=1,10,0))/100*(($AL318+IF(입력란!$C$30=1,IF(AND(OR(입력란!$C$9=1,입력란!$C$10=1),MID($E318,5,1)&lt;&gt;"1"),55,17),IF(입력란!$C$30=2,IF(AND(OR(입력란!$C$9=1,입력란!$C$10=1),MID($E318,5,1)&lt;&gt;"1"),60,20),IF(입력란!$C$30=3,IF(AND(OR(입력란!$C$9=1,입력란!$C$10=1),MID($E318,5,1)&lt;&gt;"1"),65,22),0))))/100-1))</f>
        <v>395495.17648648733</v>
      </c>
      <c r="M318" s="21">
        <f>V318*(1+IF($AK318+IF(AND(입력란!$C$9=1,MID($E318,5,1)&lt;&gt;"1"),10,0)+IF(입력란!$C$26=1,10,0)&gt;100,100,$AK318+IF(AND(입력란!$C$9=1,MID($E318,5,1)&lt;&gt;"1"),10,0)+IF(입력란!$C$26=1,10,0))/100*(($AL318+IF(입력란!$C$30=1,IF(AND(OR(입력란!$C$9=1,입력란!$C$10=1),MID($E318,5,1)&lt;&gt;"1"),55,17),IF(입력란!$C$30=2,IF(AND(OR(입력란!$C$9=1,입력란!$C$10=1),MID($E318,5,1)&lt;&gt;"1"),60,20),IF(입력란!$C$30=3,IF(AND(OR(입력란!$C$9=1,입력란!$C$10=1),MID($E318,5,1)&lt;&gt;"1"),65,22),0))))/100-1))</f>
        <v>395495.17648648733</v>
      </c>
      <c r="N318" s="21">
        <f>W318*(1+IF($AK318+IF(AND(입력란!$C$9=1,MID($E318,5,1)&lt;&gt;"1"),10,0)+IF(입력란!$C$26=1,10,0)&gt;100,100,$AK318+IF(AND(입력란!$C$9=1,MID($E318,5,1)&lt;&gt;"1"),10,0)+IF(입력란!$C$26=1,10,0))/100*(($AL318+IF(입력란!$C$30=1,IF(AND(OR(입력란!$C$9=1,입력란!$C$10=1),MID($E318,5,1)&lt;&gt;"1"),55,17),IF(입력란!$C$30=2,IF(AND(OR(입력란!$C$9=1,입력란!$C$10=1),MID($E318,5,1)&lt;&gt;"1"),60,20),IF(입력란!$C$30=3,IF(AND(OR(입력란!$C$9=1,입력란!$C$10=1),MID($E318,5,1)&lt;&gt;"1"),65,22),0))))/100-1))</f>
        <v>395495.17648648733</v>
      </c>
      <c r="O318" s="21"/>
      <c r="P318" s="21"/>
      <c r="Q318" s="105">
        <f>Z318*(1+IF($AK318+IF(입력란!$C$26=1,10,0)&gt;100,100,$AK318+IF(입력란!$C$26=1,10,0))/100*(($AL318+IF(입력란!$C$30=1,17,IF(입력란!$C$30=2,20,IF(입력란!$C$30=3,22,0))))/100-1))</f>
        <v>230702.36648333649</v>
      </c>
      <c r="R318" s="19">
        <f>SUM(S318:Z318)</f>
        <v>1370893.1869231539</v>
      </c>
      <c r="S318" s="21">
        <f>IF(MID($E318,5,1)="1",IF(MID($E318,3,1)="1",$AN318*트라이포드!$P$18*5,IF(MID($E318,3,1)="2",$AN318*트라이포드!$P$18*4,IF(MID($E318,3,1)="3",$AN318*트라이포드!$P$18*4,$AN318))),$AN318)*IF(MID($E318,3,1)="1",IF(MID($E318,5,1)="1",트라이포드!$J$18,트라이포드!$I$18),1)*IF(MID($E318,3,1)="2",트라이포드!$K$18,1)*IF(MID($E318,3,1)="3",트라이포드!$M$18,1)*IF(MID($E318,5,1)="2",트라이포드!$R$18,1)*(1+입력란!$P$17/100)*IF(AND(입력란!$C$9=1,MID($E318,5,1)&lt;&gt;"1"),IF(입력란!$C$15=0,1.05,IF(입력란!$C$15=1,1.05*1.05,IF(입력란!$C$15=2,1.05*1.12,IF(입력란!$C$15=3,1.05*1.25)))),1)</f>
        <v>243859.30697386127</v>
      </c>
      <c r="T318" s="21">
        <f>IF(MID($E318,5,1)="1",IF(MID($E318,3,1)="1",$AN318*트라이포드!$P$18*5,IF(MID($E318,3,1)="2",$AN318*트라이포드!$P$18*4,IF(MID($E318,3,1)="3",$AN318*트라이포드!$P$18*4,$AN318))),$AN318)*IF(MID($E318,3,1)="1",IF(MID($E318,5,1)="1",트라이포드!$J$18,트라이포드!$I$18),1)*IF(MID($E318,3,1)="2",트라이포드!$K$18,1)*IF(MID($E318,3,1)="3",트라이포드!$M$18,1)*IF(MID($E318,5,1)="2",트라이포드!$R$18,1)*(1+입력란!$P$17/100)*IF(AND(입력란!$C$9=1,MID($E318,5,1)&lt;&gt;"1"),IF(입력란!$C$15=0,1.05,IF(입력란!$C$15=1,1.05*1.05,IF(입력란!$C$15=2,1.05*1.12,IF(입력란!$C$15=3,1.05*1.25)))),1)</f>
        <v>243859.30697386127</v>
      </c>
      <c r="U318" s="21">
        <f>IF(MID($E318,5,1)="1",IF(MID($E318,3,1)="1",$AN318*트라이포드!$P$18*5,IF(MID($E318,3,1)="2",$AN318*트라이포드!$P$18*4,IF(MID($E318,3,1)="3",$AN318*트라이포드!$P$18*4,$AN318))),$AN318)*IF(MID($E318,3,1)="1",IF(MID($E318,5,1)="1",트라이포드!$J$18,트라이포드!$I$18),1)*IF(MID($E318,3,1)="2",트라이포드!$K$18,1)*IF(MID($E318,3,1)="3",트라이포드!$M$18,1)*IF(MID($E318,5,1)="2",트라이포드!$R$18,1)*(1+입력란!$P$17/100)*IF(AND(입력란!$C$9=1,MID($E318,5,1)&lt;&gt;"1"),IF(입력란!$C$15=0,1.05,IF(입력란!$C$15=1,1.05*1.05,IF(입력란!$C$15=2,1.05*1.12,IF(입력란!$C$15=3,1.05*1.25)))),1)</f>
        <v>243859.30697386127</v>
      </c>
      <c r="V318" s="21">
        <f>IF(MID($E318,5,1)="1",IF(MID($E318,3,1)="1",$AN318*트라이포드!$P$18*5,IF(MID($E318,3,1)="2",$AN318*트라이포드!$P$18*4,IF(MID($E318,3,1)="3",$AN318*트라이포드!$P$18*4,$AN318))),$AN318)*IF(MID($E318,3,1)="1",IF(MID($E318,5,1)="1",트라이포드!$J$18,트라이포드!$I$18),1)*IF(MID($E318,3,1)="2",트라이포드!$K$18,1)*IF(MID($E318,3,1)="3",트라이포드!$M$18,1)*IF(MID($E318,5,1)="2",트라이포드!$R$18,1)*(1+입력란!$P$17/100)*IF(AND(입력란!$C$9=1,MID($E318,5,1)&lt;&gt;"1"),IF(입력란!$C$15=0,1.05,IF(입력란!$C$15=1,1.05*1.05,IF(입력란!$C$15=2,1.05*1.12,IF(입력란!$C$15=3,1.05*1.25)))),1)</f>
        <v>243859.30697386127</v>
      </c>
      <c r="W318" s="21">
        <f>IF(MID($E318,5,1)="1",IF(MID($E318,3,1)="1",$AN318*트라이포드!$P$18*5,IF(MID($E318,3,1)="2",$AN318*트라이포드!$P$18*4,IF(MID($E318,3,1)="3",$AN318*트라이포드!$P$18*4,$AN318))),$AN318)*IF(MID($E318,3,1)="1",IF(MID($E318,5,1)="1",트라이포드!$J$18,트라이포드!$I$18),1)*IF(MID($E318,3,1)="2",트라이포드!$K$18,1)*IF(MID($E318,3,1)="3",트라이포드!$M$18,1)*IF(MID($E318,5,1)="2",트라이포드!$R$18,0)*(1+입력란!$P$17/100)*IF(AND(입력란!$C$9=1,MID($E318,5,1)&lt;&gt;"1"),IF(입력란!$C$15=0,1.05,IF(입력란!$C$15=1,1.05*1.05,IF(입력란!$C$15=2,1.05*1.12,IF(입력란!$C$15=3,1.05*1.25)))),1)</f>
        <v>243859.30697386127</v>
      </c>
      <c r="X318" s="21"/>
      <c r="Y318" s="21"/>
      <c r="Z318" s="20">
        <f>AN318*IF(MID(E318,3,1)="2",트라이포드!$L$18,IF(MID(E318,3,1)="3",트라이포드!$N$18*12*5,0))*IF(입력란!$C$30=1,1.07,IF(입력란!$C$30=2,1.08,IF(입력란!$C$30=3,1.09,1)))</f>
        <v>151596.65205384762</v>
      </c>
      <c r="AA318" s="21">
        <f>SUM(AB318:AI318)</f>
        <v>975437.22789544507</v>
      </c>
      <c r="AB318" s="21">
        <f>S318*2</f>
        <v>487718.61394772254</v>
      </c>
      <c r="AC318" s="21">
        <f>T318*2</f>
        <v>487718.61394772254</v>
      </c>
      <c r="AD318" s="21"/>
      <c r="AE318" s="21"/>
      <c r="AF318" s="21"/>
      <c r="AG318" s="21"/>
      <c r="AH318" s="21"/>
      <c r="AI318" s="20"/>
      <c r="AJ318" s="21">
        <f>AQ318*(1-입력란!$P$10/100)</f>
        <v>35.567196189119997</v>
      </c>
      <c r="AK3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8" s="21">
        <f>입력란!$P$24+IF(입력란!$C$18=1,10,IF(입력란!$C$18=2,25,IF(입력란!$C$18=3,50,0)))+IF(입력란!$C$23&lt;&gt;0,-12)</f>
        <v>200</v>
      </c>
      <c r="AM318" s="21">
        <f>SUM(AN318:AP318)</f>
        <v>126330.54337820636</v>
      </c>
      <c r="AN318" s="21">
        <f>(VLOOKUP(C318,$B$4:$AJ$7,19,FALSE)+VLOOKUP(C318,$B$8:$AJ$11,19,FALSE)*입력란!$P$4)*IF(G318="근접",IF(MID($E318,5,1)="1",입력란!$P$26,입력란!$P$27),입력란!$P$26)*입력란!$P$25/100</f>
        <v>126330.54337820636</v>
      </c>
      <c r="AO318" s="21"/>
      <c r="AP318" s="21"/>
      <c r="AQ318" s="22">
        <v>36</v>
      </c>
    </row>
    <row r="319" spans="2:43" ht="13.5" customHeight="1" x14ac:dyDescent="0.55000000000000004">
      <c r="B319" s="66">
        <v>304</v>
      </c>
      <c r="C319" s="29">
        <v>1</v>
      </c>
      <c r="D319" s="67" t="s">
        <v>208</v>
      </c>
      <c r="E319" s="27" t="s">
        <v>184</v>
      </c>
      <c r="F319" s="29"/>
      <c r="G319" s="29" t="s">
        <v>200</v>
      </c>
      <c r="H319" s="36">
        <f>I319/AJ319</f>
        <v>97563.925811591485</v>
      </c>
      <c r="I319" s="37">
        <f>SUM(J319:Q319)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3470075.290321623</v>
      </c>
      <c r="J319" s="21">
        <f>S319*(1+IF($AK319+IF(입력란!$C$9=1,10,0)+IF(입력란!$C$26=1,10,0)&gt;100,100,$AK319+IF(입력란!$C$9=1,10,0)+IF(입력란!$C$26=1,10,0))/100*(($AL319+IF(입력란!$C$30=1,IF(OR(입력란!$C$9=1,입력란!$C$10=1),55,17),IF(입력란!$C$30=2,IF(OR(입력란!$C$9=1,입력란!$C$10=1),60,20),IF(입력란!$C$30=3,IF(OR(입력란!$C$9=1,입력란!$C$10=1),65,22),0))))/100-1))</f>
        <v>737187.03900544054</v>
      </c>
      <c r="K319" s="21">
        <f>T319*(1+IF($AK319+IF(입력란!$C$9=1,10,0)+IF(입력란!$C$26=1,10,0)&gt;100,100,$AK319+IF(입력란!$C$9=1,10,0)+IF(입력란!$C$26=1,10,0))/100*(($AL319+IF(입력란!$C$30=1,IF(OR(입력란!$C$9=1,입력란!$C$10=1),55,17),IF(입력란!$C$30=2,IF(OR(입력란!$C$9=1,입력란!$C$10=1),60,20),IF(입력란!$C$30=3,IF(OR(입력란!$C$9=1,입력란!$C$10=1),65,22),0))))/100-1))</f>
        <v>737187.03900544054</v>
      </c>
      <c r="L319" s="21">
        <f>U319*(1+IF($AK319+IF(입력란!$C$9=1,10,0)+IF(입력란!$C$26=1,10,0)&gt;100,100,$AK319+IF(입력란!$C$9=1,10,0)+IF(입력란!$C$26=1,10,0))/100*(($AL319+IF(입력란!$C$30=1,IF(OR(입력란!$C$9=1,입력란!$C$10=1),55,17),IF(입력란!$C$30=2,IF(OR(입력란!$C$9=1,입력란!$C$10=1),60,20),IF(입력란!$C$30=3,IF(OR(입력란!$C$9=1,입력란!$C$10=1),65,22),0))))/100-1))</f>
        <v>983012.2900378569</v>
      </c>
      <c r="M319" s="21"/>
      <c r="N319" s="21"/>
      <c r="O319" s="21"/>
      <c r="P319" s="21"/>
      <c r="Q319" s="20"/>
      <c r="R319" s="19">
        <f>SUM(S319:Z319)</f>
        <v>1515205.6771035073</v>
      </c>
      <c r="S319" s="21">
        <f>AN319*IF(G319="근접",IF(MID(E319,3,1)="1",트라이포드!$J$19,트라이포드!$I$19),1)*IF(MID(E319,3,1)="2",트라이포드!$L$19,트라이포드!$K$19)*IF(MID(E319,5,1)="2",트라이포드!$R$19,트라이포드!$Q$19)*(1+입력란!$P$17/100)*IF(입력란!$C$9=1,IF(입력란!$C$15=0,1.05,IF(입력란!$C$15=1,1.05*1.05,IF(입력란!$C$15=2,1.05*1.12,IF(입력란!$C$15=3,1.05*1.25)))),1)</f>
        <v>454543.9012405292</v>
      </c>
      <c r="T319" s="21">
        <f>AO319*IF(G319="근접",IF(MID(E319,3,1)="1",트라이포드!$J$19,트라이포드!$I$19),1)*IF(MID(E319,3,1)="2",트라이포드!$L$19,트라이포드!$K$19)*IF(MID(E319,5,1)="2",트라이포드!$R$19,트라이포드!$Q$19)*(1+입력란!$P$17/100)*IF(입력란!$C$9=1,IF(입력란!$C$15=0,1.05,IF(입력란!$C$15=1,1.05*1.05,IF(입력란!$C$15=2,1.05*1.12,IF(입력란!$C$15=3,1.05*1.25)))),1)</f>
        <v>454543.9012405292</v>
      </c>
      <c r="U319" s="21">
        <f>AP319*IF(G319="근접",IF(MID(E319,3,1)="1",트라이포드!$J$19,트라이포드!$I$19),1)*IF(MID(E319,3,1)="2",트라이포드!$L$19,트라이포드!$K$19)*IF(MID(E319,5,1)="1",트라이포드!$P$19,트라이포드!$O$19)*IF(MID(E319,5,1)="2",트라이포드!$R$19,트라이포드!$Q$19)*(1+입력란!$P$17/100)*IF(입력란!$C$9=1,IF(입력란!$C$15=0,1.05,IF(입력란!$C$15=1,1.05*1.05,IF(입력란!$C$15=2,1.05*1.12,IF(입력란!$C$15=3,1.05*1.25)))),1)</f>
        <v>606117.87462244905</v>
      </c>
      <c r="V319" s="21"/>
      <c r="W319" s="21"/>
      <c r="X319" s="21"/>
      <c r="Y319" s="21"/>
      <c r="Z319" s="20"/>
      <c r="AA319" s="21">
        <f>SUM(AB319:AI319)</f>
        <v>3030411.3542070147</v>
      </c>
      <c r="AB319" s="21">
        <f>S319*2</f>
        <v>909087.8024810584</v>
      </c>
      <c r="AC319" s="21">
        <f>T319*2</f>
        <v>909087.8024810584</v>
      </c>
      <c r="AD319" s="21">
        <f>U319*2</f>
        <v>1212235.7492448981</v>
      </c>
      <c r="AE319" s="21"/>
      <c r="AF319" s="21"/>
      <c r="AG319" s="21"/>
      <c r="AH319" s="21"/>
      <c r="AI319" s="20"/>
      <c r="AJ319" s="21">
        <f>(AQ319-IF(MID(E319,3,1)="3",트라이포드!$N$19,트라이포드!$M$19))*(1-입력란!$P$10/100)</f>
        <v>35.567196189119997</v>
      </c>
      <c r="AK3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19" s="21">
        <f>입력란!$P$24+IF(입력란!$C$18=1,10,IF(입력란!$C$18=2,25,IF(입력란!$C$18=3,50,0)))+IF(입력란!$C$23&lt;&gt;0,-12)</f>
        <v>200</v>
      </c>
      <c r="AM319" s="21">
        <f>SUM(AN319:AP319)</f>
        <v>900727.27110723674</v>
      </c>
      <c r="AN319" s="21">
        <f>(VLOOKUP(C319,$B$4:$AJ$7,20,FALSE)+VLOOKUP(C319,$B$8:$AJ$11,20,FALSE)*입력란!$P$4)*IF(G319="근접",입력란!$P$27,IF(MID(E319,1,1)="2",입력란!$P$27,입력란!$P$26))*입력란!$P$25/100</f>
        <v>270207.59884260298</v>
      </c>
      <c r="AO319" s="21">
        <f>(VLOOKUP(C319,$B$4:$AJ$7,21,FALSE)+VLOOKUP(C319,$B$8:$AJ$11,21,FALSE)*입력란!$P$4)*IF(G319="근접",입력란!$P$27,IF(MID(E319,1,1)="2",입력란!$P$27,입력란!$P$26))*입력란!$P$25/100</f>
        <v>270207.59884260298</v>
      </c>
      <c r="AP319" s="21">
        <f>(VLOOKUP(C319,$B$4:$AJ$7,22,FALSE)+VLOOKUP(C319,$B$8:$AJ$11,22,FALSE)*입력란!$P$4)*IF(G319="근접",입력란!$P$27,IF(MID(E319,1,1)="2",입력란!$P$27,입력란!$P$26))*입력란!$P$25/100</f>
        <v>360312.07342203078</v>
      </c>
      <c r="AQ319" s="22">
        <v>36</v>
      </c>
    </row>
    <row r="320" spans="2:43" ht="13.5" customHeight="1" x14ac:dyDescent="0.55000000000000004">
      <c r="B320" s="66">
        <v>305</v>
      </c>
      <c r="C320" s="29">
        <v>4</v>
      </c>
      <c r="D320" s="67" t="s">
        <v>208</v>
      </c>
      <c r="E320" s="27" t="s">
        <v>184</v>
      </c>
      <c r="F320" s="29"/>
      <c r="G320" s="29" t="s">
        <v>200</v>
      </c>
      <c r="H320" s="36">
        <f>I320/AJ320</f>
        <v>97694.217666752127</v>
      </c>
      <c r="I320" s="37">
        <f>SUM(J320:Q320)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3474709.4062959659</v>
      </c>
      <c r="J320" s="21">
        <f>S320*(1+IF($AK320+IF(입력란!$C$9=1,10,0)+IF(입력란!$C$26=1,10,0)&gt;100,100,$AK320+IF(입력란!$C$9=1,10,0)+IF(입력란!$C$26=1,10,0))/100*(($AL320+IF(입력란!$C$30=1,IF(OR(입력란!$C$9=1,입력란!$C$10=1),55,17),IF(입력란!$C$30=2,IF(OR(입력란!$C$9=1,입력란!$C$10=1),60,20),IF(입력란!$C$30=3,IF(OR(입력란!$C$9=1,입력란!$C$10=1),65,22),0))))/100-1))</f>
        <v>738182.94639525865</v>
      </c>
      <c r="K320" s="21">
        <f>T320*(1+IF($AK320+IF(입력란!$C$9=1,10,0)+IF(입력란!$C$26=1,10,0)&gt;100,100,$AK320+IF(입력란!$C$9=1,10,0)+IF(입력란!$C$26=1,10,0))/100*(($AL320+IF(입력란!$C$30=1,IF(OR(입력란!$C$9=1,입력란!$C$10=1),55,17),IF(입력란!$C$30=2,IF(OR(입력란!$C$9=1,입력란!$C$10=1),60,20),IF(입력란!$C$30=3,IF(OR(입력란!$C$9=1,입력란!$C$10=1),65,22),0))))/100-1))</f>
        <v>738182.94639525865</v>
      </c>
      <c r="L320" s="21">
        <f>U320*(1+IF($AK320+IF(입력란!$C$9=1,10,0)+IF(입력란!$C$26=1,10,0)&gt;100,100,$AK320+IF(입력란!$C$9=1,10,0)+IF(입력란!$C$26=1,10,0))/100*(($AL320+IF(입력란!$C$30=1,IF(OR(입력란!$C$9=1,입력란!$C$10=1),55,17),IF(입력란!$C$30=2,IF(OR(입력란!$C$9=1,입력란!$C$10=1),60,20),IF(입력란!$C$30=3,IF(OR(입력란!$C$9=1,입력란!$C$10=1),65,22),0))))/100-1))</f>
        <v>984302.19466502068</v>
      </c>
      <c r="M320" s="21"/>
      <c r="N320" s="21"/>
      <c r="O320" s="21"/>
      <c r="P320" s="21"/>
      <c r="Q320" s="20"/>
      <c r="R320" s="19">
        <f>SUM(S320:Z320)</f>
        <v>1517229.1602401021</v>
      </c>
      <c r="S320" s="21">
        <f>AN320*IF(G320="근접",IF(MID(E320,3,1)="1",트라이포드!$J$19,트라이포드!$I$19),1)*IF(MID(E320,3,1)="2",트라이포드!$L$19,트라이포드!$K$19)*IF(MID(E320,5,1)="2",트라이포드!$R$19,트라이포드!$Q$19)*(1+입력란!$P$17/100)*IF(입력란!$C$9=1,IF(입력란!$C$15=0,1.05,IF(입력란!$C$15=1,1.05*1.05,IF(입력란!$C$15=2,1.05*1.12,IF(입력란!$C$15=3,1.05*1.25)))),1)</f>
        <v>455157.97013524675</v>
      </c>
      <c r="T320" s="21">
        <f>AO320*IF(G320="근접",IF(MID(E320,3,1)="1",트라이포드!$J$19,트라이포드!$I$19),1)*IF(MID(E320,3,1)="2",트라이포드!$L$19,트라이포드!$K$19)*IF(MID(E320,5,1)="2",트라이포드!$R$19,트라이포드!$Q$19)*(1+입력란!$P$17/100)*IF(입력란!$C$9=1,IF(입력란!$C$15=0,1.05,IF(입력란!$C$15=1,1.05*1.05,IF(입력란!$C$15=2,1.05*1.12,IF(입력란!$C$15=3,1.05*1.25)))),1)</f>
        <v>455157.97013524675</v>
      </c>
      <c r="U320" s="21">
        <f>AP320*IF(G320="근접",IF(MID(E320,3,1)="1",트라이포드!$J$19,트라이포드!$I$19),1)*IF(MID(E320,3,1)="2",트라이포드!$L$19,트라이포드!$K$19)*IF(MID(E320,5,1)="1",트라이포드!$P$19,트라이포드!$O$19)*IF(MID(E320,5,1)="2",트라이포드!$R$19,트라이포드!$Q$19)*(1+입력란!$P$17/100)*IF(입력란!$C$9=1,IF(입력란!$C$15=0,1.05,IF(입력란!$C$15=1,1.05*1.05,IF(입력란!$C$15=2,1.05*1.12,IF(입력란!$C$15=3,1.05*1.25)))),1)</f>
        <v>606913.21996960847</v>
      </c>
      <c r="V320" s="21"/>
      <c r="W320" s="21"/>
      <c r="X320" s="21"/>
      <c r="Y320" s="21"/>
      <c r="Z320" s="20"/>
      <c r="AA320" s="21">
        <f>SUM(AB320:AI320)</f>
        <v>3034458.3204802042</v>
      </c>
      <c r="AB320" s="21">
        <f>S320*2</f>
        <v>910315.94027049351</v>
      </c>
      <c r="AC320" s="21">
        <f>T320*2</f>
        <v>910315.94027049351</v>
      </c>
      <c r="AD320" s="21">
        <f>U320*2</f>
        <v>1213826.4399392169</v>
      </c>
      <c r="AE320" s="21"/>
      <c r="AF320" s="21"/>
      <c r="AG320" s="21"/>
      <c r="AH320" s="21"/>
      <c r="AI320" s="20"/>
      <c r="AJ320" s="21">
        <f>(AQ320-IF(MID(E320,3,1)="3",트라이포드!$N$19,트라이포드!$M$19))*(1-입력란!$P$10/100)</f>
        <v>35.567196189119997</v>
      </c>
      <c r="AK3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0" s="21">
        <f>입력란!$P$24+IF(입력란!$C$18=1,10,IF(입력란!$C$18=2,25,IF(입력란!$C$18=3,50,0)))+IF(입력란!$C$23&lt;&gt;0,-12)</f>
        <v>200</v>
      </c>
      <c r="AM320" s="21">
        <f>SUM(AN320:AP320)</f>
        <v>901930.14836099697</v>
      </c>
      <c r="AN320" s="21">
        <f>(VLOOKUP(C320,$B$4:$AJ$7,20,FALSE)+VLOOKUP(C320,$B$8:$AJ$11,20,FALSE)*입력란!$P$4)*IF(G320="근접",입력란!$P$27,IF(MID(E320,1,1)="2",입력란!$P$27,입력란!$P$26))*입력란!$P$25/100</f>
        <v>270572.63746948307</v>
      </c>
      <c r="AO320" s="21">
        <f>(VLOOKUP(C320,$B$4:$AJ$7,21,FALSE)+VLOOKUP(C320,$B$8:$AJ$11,21,FALSE)*입력란!$P$4)*IF(G320="근접",입력란!$P$27,IF(MID(E320,1,1)="2",입력란!$P$27,입력란!$P$26))*입력란!$P$25/100</f>
        <v>270572.63746948307</v>
      </c>
      <c r="AP320" s="21">
        <f>(VLOOKUP(C320,$B$4:$AJ$7,22,FALSE)+VLOOKUP(C320,$B$8:$AJ$11,22,FALSE)*입력란!$P$4)*IF(G320="근접",입력란!$P$27,IF(MID(E320,1,1)="2",입력란!$P$27,입력란!$P$26))*입력란!$P$25/100</f>
        <v>360784.87342203083</v>
      </c>
      <c r="AQ320" s="22">
        <v>36</v>
      </c>
    </row>
    <row r="321" spans="2:43" ht="13.5" customHeight="1" x14ac:dyDescent="0.55000000000000004">
      <c r="B321" s="66">
        <v>306</v>
      </c>
      <c r="C321" s="29">
        <v>7</v>
      </c>
      <c r="D321" s="67" t="s">
        <v>208</v>
      </c>
      <c r="E321" s="27" t="s">
        <v>184</v>
      </c>
      <c r="F321" s="29"/>
      <c r="G321" s="29" t="s">
        <v>200</v>
      </c>
      <c r="H321" s="36">
        <f>I321/AJ321</f>
        <v>97751.617220599801</v>
      </c>
      <c r="I321" s="37">
        <f>SUM(J321:Q321)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3476750.9474888337</v>
      </c>
      <c r="J321" s="21">
        <f>S321*(1+IF($AK321+IF(입력란!$C$9=1,10,0)+IF(입력란!$C$26=1,10,0)&gt;100,100,$AK321+IF(입력란!$C$9=1,10,0)+IF(입력란!$C$26=1,10,0))/100*(($AL321+IF(입력란!$C$30=1,IF(OR(입력란!$C$9=1,입력란!$C$10=1),55,17),IF(입력란!$C$30=2,IF(OR(입력란!$C$9=1,입력란!$C$10=1),60,20),IF(입력란!$C$30=3,IF(OR(입력란!$C$9=1,입력란!$C$10=1),65,22),0))))/100-1))</f>
        <v>738605.71583734604</v>
      </c>
      <c r="K321" s="21">
        <f>T321*(1+IF($AK321+IF(입력란!$C$9=1,10,0)+IF(입력란!$C$26=1,10,0)&gt;100,100,$AK321+IF(입력란!$C$9=1,10,0)+IF(입력란!$C$26=1,10,0))/100*(($AL321+IF(입력란!$C$30=1,IF(OR(입력란!$C$9=1,입력란!$C$10=1),55,17),IF(입력란!$C$30=2,IF(OR(입력란!$C$9=1,입력란!$C$10=1),60,20),IF(입력란!$C$30=3,IF(OR(입력란!$C$9=1,입력란!$C$10=1),65,22),0))))/100-1))</f>
        <v>738605.71583734604</v>
      </c>
      <c r="L321" s="21">
        <f>U321*(1+IF($AK321+IF(입력란!$C$9=1,10,0)+IF(입력란!$C$26=1,10,0)&gt;100,100,$AK321+IF(입력란!$C$9=1,10,0)+IF(입력란!$C$26=1,10,0))/100*(($AL321+IF(입력란!$C$30=1,IF(OR(입력란!$C$9=1,입력란!$C$10=1),55,17),IF(입력란!$C$30=2,IF(OR(입력란!$C$9=1,입력란!$C$10=1),60,20),IF(입력란!$C$30=3,IF(OR(입력란!$C$9=1,입력란!$C$10=1),65,22),0))))/100-1))</f>
        <v>984902.40409390349</v>
      </c>
      <c r="M321" s="21"/>
      <c r="N321" s="21"/>
      <c r="O321" s="21"/>
      <c r="P321" s="21"/>
      <c r="Q321" s="20"/>
      <c r="R321" s="19">
        <f>SUM(S321:Z321)</f>
        <v>1518120.5976144159</v>
      </c>
      <c r="S321" s="21">
        <f>AN321*IF(G321="근접",IF(MID(E321,3,1)="1",트라이포드!$J$19,트라이포드!$I$19),1)*IF(MID(E321,3,1)="2",트라이포드!$L$19,트라이포드!$K$19)*IF(MID(E321,5,1)="2",트라이포드!$R$19,트라이포드!$Q$19)*(1+입력란!$P$17/100)*IF(입력란!$C$9=1,IF(입력란!$C$15=0,1.05,IF(입력란!$C$15=1,1.05*1.05,IF(입력란!$C$15=2,1.05*1.12,IF(입력란!$C$15=3,1.05*1.25)))),1)</f>
        <v>455418.64654620341</v>
      </c>
      <c r="T321" s="21">
        <f>AO321*IF(G321="근접",IF(MID(E321,3,1)="1",트라이포드!$J$19,트라이포드!$I$19),1)*IF(MID(E321,3,1)="2",트라이포드!$L$19,트라이포드!$K$19)*IF(MID(E321,5,1)="2",트라이포드!$R$19,트라이포드!$Q$19)*(1+입력란!$P$17/100)*IF(입력란!$C$9=1,IF(입력란!$C$15=0,1.05,IF(입력란!$C$15=1,1.05*1.05,IF(입력란!$C$15=2,1.05*1.12,IF(입력란!$C$15=3,1.05*1.25)))),1)</f>
        <v>455418.64654620341</v>
      </c>
      <c r="U321" s="21">
        <f>AP321*IF(G321="근접",IF(MID(E321,3,1)="1",트라이포드!$J$19,트라이포드!$I$19),1)*IF(MID(E321,3,1)="2",트라이포드!$L$19,트라이포드!$K$19)*IF(MID(E321,5,1)="1",트라이포드!$P$19,트라이포드!$O$19)*IF(MID(E321,5,1)="2",트라이포드!$R$19,트라이포드!$Q$19)*(1+입력란!$P$17/100)*IF(입력란!$C$9=1,IF(입력란!$C$15=0,1.05,IF(입력란!$C$15=1,1.05*1.05,IF(입력란!$C$15=2,1.05*1.12,IF(입력란!$C$15=3,1.05*1.25)))),1)</f>
        <v>607283.30452200898</v>
      </c>
      <c r="V321" s="21"/>
      <c r="W321" s="21"/>
      <c r="X321" s="21"/>
      <c r="Y321" s="21"/>
      <c r="Z321" s="20"/>
      <c r="AA321" s="21">
        <f>SUM(AB321:AI321)</f>
        <v>3036241.1952288318</v>
      </c>
      <c r="AB321" s="21">
        <f>S321*2</f>
        <v>910837.29309240682</v>
      </c>
      <c r="AC321" s="21">
        <f>T321*2</f>
        <v>910837.29309240682</v>
      </c>
      <c r="AD321" s="21">
        <f>U321*2</f>
        <v>1214566.609044018</v>
      </c>
      <c r="AE321" s="21"/>
      <c r="AF321" s="21"/>
      <c r="AG321" s="21"/>
      <c r="AH321" s="21"/>
      <c r="AI321" s="20"/>
      <c r="AJ321" s="21">
        <f>(AQ321-IF(MID(E321,3,1)="3",트라이포드!$N$19,트라이포드!$M$19))*(1-입력란!$P$10/100)</f>
        <v>35.567196189119997</v>
      </c>
      <c r="AK3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1" s="21">
        <f>입력란!$P$24+IF(입력란!$C$18=1,10,IF(입력란!$C$18=2,25,IF(입력란!$C$18=3,50,0)))+IF(입력란!$C$23&lt;&gt;0,-12)</f>
        <v>200</v>
      </c>
      <c r="AM321" s="21">
        <f>SUM(AN321:AP321)</f>
        <v>902460.07110723678</v>
      </c>
      <c r="AN321" s="21">
        <f>(VLOOKUP(C321,$B$4:$AJ$7,20,FALSE)+VLOOKUP(C321,$B$8:$AJ$11,20,FALSE)*입력란!$P$4)*IF(G321="근접",입력란!$P$27,IF(MID(E321,1,1)="2",입력란!$P$27,입력란!$P$26))*입력란!$P$25/100</f>
        <v>270727.59884260298</v>
      </c>
      <c r="AO321" s="21">
        <f>(VLOOKUP(C321,$B$4:$AJ$7,21,FALSE)+VLOOKUP(C321,$B$8:$AJ$11,21,FALSE)*입력란!$P$4)*IF(G321="근접",입력란!$P$27,IF(MID(E321,1,1)="2",입력란!$P$27,입력란!$P$26))*입력란!$P$25/100</f>
        <v>270727.59884260298</v>
      </c>
      <c r="AP321" s="21">
        <f>(VLOOKUP(C321,$B$4:$AJ$7,22,FALSE)+VLOOKUP(C321,$B$8:$AJ$11,22,FALSE)*입력란!$P$4)*IF(G321="근접",입력란!$P$27,IF(MID(E321,1,1)="2",입력란!$P$27,입력란!$P$26))*입력란!$P$25/100</f>
        <v>361004.87342203083</v>
      </c>
      <c r="AQ321" s="22">
        <v>36</v>
      </c>
    </row>
    <row r="322" spans="2:43" ht="13.5" customHeight="1" x14ac:dyDescent="0.55000000000000004">
      <c r="B322" s="66">
        <v>307</v>
      </c>
      <c r="C322" s="29">
        <v>7</v>
      </c>
      <c r="D322" s="67" t="s">
        <v>208</v>
      </c>
      <c r="E322" s="27" t="s">
        <v>186</v>
      </c>
      <c r="F322" s="29"/>
      <c r="G322" s="29" t="s">
        <v>200</v>
      </c>
      <c r="H322" s="36">
        <f>I322/AJ322</f>
        <v>127077.10238677976</v>
      </c>
      <c r="I322" s="37">
        <f>SUM(J322:Q322)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4519776.2317354847</v>
      </c>
      <c r="J322" s="21">
        <f>S322*(1+IF($AK322+IF(입력란!$C$9=1,10,0)+IF(입력란!$C$26=1,10,0)&gt;100,100,$AK322+IF(입력란!$C$9=1,10,0)+IF(입력란!$C$26=1,10,0))/100*(($AL322+IF(입력란!$C$30=1,IF(OR(입력란!$C$9=1,입력란!$C$10=1),55,17),IF(입력란!$C$30=2,IF(OR(입력란!$C$9=1,입력란!$C$10=1),60,20),IF(입력란!$C$30=3,IF(OR(입력란!$C$9=1,입력란!$C$10=1),65,22),0))))/100-1))</f>
        <v>960187.43058855005</v>
      </c>
      <c r="K322" s="21">
        <f>T322*(1+IF($AK322+IF(입력란!$C$9=1,10,0)+IF(입력란!$C$26=1,10,0)&gt;100,100,$AK322+IF(입력란!$C$9=1,10,0)+IF(입력란!$C$26=1,10,0))/100*(($AL322+IF(입력란!$C$30=1,IF(OR(입력란!$C$9=1,입력란!$C$10=1),55,17),IF(입력란!$C$30=2,IF(OR(입력란!$C$9=1,입력란!$C$10=1),60,20),IF(입력란!$C$30=3,IF(OR(입력란!$C$9=1,입력란!$C$10=1),65,22),0))))/100-1))</f>
        <v>960187.43058855005</v>
      </c>
      <c r="L322" s="21">
        <f>U322*(1+IF($AK322+IF(입력란!$C$9=1,10,0)+IF(입력란!$C$26=1,10,0)&gt;100,100,$AK322+IF(입력란!$C$9=1,10,0)+IF(입력란!$C$26=1,10,0))/100*(($AL322+IF(입력란!$C$30=1,IF(OR(입력란!$C$9=1,입력란!$C$10=1),55,17),IF(입력란!$C$30=2,IF(OR(입력란!$C$9=1,입력란!$C$10=1),60,20),IF(입력란!$C$30=3,IF(OR(입력란!$C$9=1,입력란!$C$10=1),65,22),0))))/100-1))</f>
        <v>1280373.1253220746</v>
      </c>
      <c r="M322" s="21"/>
      <c r="N322" s="21"/>
      <c r="O322" s="21"/>
      <c r="P322" s="21"/>
      <c r="Q322" s="20"/>
      <c r="R322" s="19">
        <f>SUM(S322:Z322)</f>
        <v>1973556.7768987408</v>
      </c>
      <c r="S322" s="21">
        <f>AN322*IF(G322="근접",IF(MID(E322,3,1)="1",트라이포드!$J$19,트라이포드!$I$19),1)*IF(MID(E322,3,1)="2",트라이포드!$L$19,트라이포드!$K$19)*IF(MID(E322,5,1)="2",트라이포드!$R$19,트라이포드!$Q$19)*(1+입력란!$P$17/100)*IF(입력란!$C$9=1,IF(입력란!$C$15=0,1.05,IF(입력란!$C$15=1,1.05*1.05,IF(입력란!$C$15=2,1.05*1.12,IF(입력란!$C$15=3,1.05*1.25)))),1)</f>
        <v>592044.24051006453</v>
      </c>
      <c r="T322" s="21">
        <f>AO322*IF(G322="근접",IF(MID(E322,3,1)="1",트라이포드!$J$19,트라이포드!$I$19),1)*IF(MID(E322,3,1)="2",트라이포드!$L$19,트라이포드!$K$19)*IF(MID(E322,5,1)="2",트라이포드!$R$19,트라이포드!$Q$19)*(1+입력란!$P$17/100)*IF(입력란!$C$9=1,IF(입력란!$C$15=0,1.05,IF(입력란!$C$15=1,1.05*1.05,IF(입력란!$C$15=2,1.05*1.12,IF(입력란!$C$15=3,1.05*1.25)))),1)</f>
        <v>592044.24051006453</v>
      </c>
      <c r="U322" s="21">
        <f>AP322*IF(G322="근접",IF(MID(E322,3,1)="1",트라이포드!$J$19,트라이포드!$I$19),1)*IF(MID(E322,3,1)="2",트라이포드!$L$19,트라이포드!$K$19)*IF(MID(E322,5,1)="1",트라이포드!$P$19,트라이포드!$O$19)*IF(MID(E322,5,1)="2",트라이포드!$R$19,트라이포드!$Q$19)*(1+입력란!$P$17/100)*IF(입력란!$C$9=1,IF(입력란!$C$15=0,1.05,IF(입력란!$C$15=1,1.05*1.05,IF(입력란!$C$15=2,1.05*1.12,IF(입력란!$C$15=3,1.05*1.25)))),1)</f>
        <v>789468.29587861174</v>
      </c>
      <c r="V322" s="21"/>
      <c r="W322" s="21"/>
      <c r="X322" s="21"/>
      <c r="Y322" s="21"/>
      <c r="Z322" s="20"/>
      <c r="AA322" s="21">
        <f>SUM(AB322:AI322)</f>
        <v>3947113.5537974816</v>
      </c>
      <c r="AB322" s="21">
        <f>S322*2</f>
        <v>1184088.4810201291</v>
      </c>
      <c r="AC322" s="21">
        <f>T322*2</f>
        <v>1184088.4810201291</v>
      </c>
      <c r="AD322" s="21">
        <f>U322*2</f>
        <v>1578936.5917572235</v>
      </c>
      <c r="AE322" s="21"/>
      <c r="AF322" s="21"/>
      <c r="AG322" s="21"/>
      <c r="AH322" s="21"/>
      <c r="AI322" s="20"/>
      <c r="AJ322" s="21">
        <f>(AQ322-IF(MID(E322,3,1)="3",트라이포드!$N$19,트라이포드!$M$19))*(1-입력란!$P$10/100)</f>
        <v>35.567196189119997</v>
      </c>
      <c r="AK3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2" s="21">
        <f>입력란!$P$24+IF(입력란!$C$18=1,10,IF(입력란!$C$18=2,25,IF(입력란!$C$18=3,50,0)))+IF(입력란!$C$23&lt;&gt;0,-12)</f>
        <v>200</v>
      </c>
      <c r="AM322" s="21">
        <f>SUM(AN322:AP322)</f>
        <v>902460.07110723678</v>
      </c>
      <c r="AN322" s="21">
        <f>(VLOOKUP(C322,$B$4:$AJ$7,20,FALSE)+VLOOKUP(C322,$B$8:$AJ$11,20,FALSE)*입력란!$P$4)*IF(G322="근접",입력란!$P$27,IF(MID(E322,1,1)="2",입력란!$P$27,입력란!$P$26))*입력란!$P$25/100</f>
        <v>270727.59884260298</v>
      </c>
      <c r="AO322" s="21">
        <f>(VLOOKUP(C322,$B$4:$AJ$7,21,FALSE)+VLOOKUP(C322,$B$8:$AJ$11,21,FALSE)*입력란!$P$4)*IF(G322="근접",입력란!$P$27,IF(MID(E322,1,1)="2",입력란!$P$27,입력란!$P$26))*입력란!$P$25/100</f>
        <v>270727.59884260298</v>
      </c>
      <c r="AP322" s="21">
        <f>(VLOOKUP(C322,$B$4:$AJ$7,22,FALSE)+VLOOKUP(C322,$B$8:$AJ$11,22,FALSE)*입력란!$P$4)*IF(G322="근접",입력란!$P$27,IF(MID(E322,1,1)="2",입력란!$P$27,입력란!$P$26))*입력란!$P$25/100</f>
        <v>361004.87342203083</v>
      </c>
      <c r="AQ322" s="22">
        <v>36</v>
      </c>
    </row>
    <row r="323" spans="2:43" ht="13.5" customHeight="1" x14ac:dyDescent="0.55000000000000004">
      <c r="B323" s="66">
        <v>308</v>
      </c>
      <c r="C323" s="29">
        <v>7</v>
      </c>
      <c r="D323" s="67" t="s">
        <v>48</v>
      </c>
      <c r="E323" s="27" t="s">
        <v>78</v>
      </c>
      <c r="F323" s="29"/>
      <c r="G323" s="29" t="s">
        <v>37</v>
      </c>
      <c r="H323" s="36">
        <f>I323/AJ323</f>
        <v>117301.94066471978</v>
      </c>
      <c r="I323" s="37">
        <f>SUM(J323:Q323)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4172101.1369866012</v>
      </c>
      <c r="J323" s="21">
        <f>S323*(1+IF($AK323+IF(입력란!$C$9=1,10,0)+IF(입력란!$C$26=1,10,0)&gt;100,100,$AK323+IF(입력란!$C$9=1,10,0)+IF(입력란!$C$26=1,10,0))/100*(($AL323+IF(입력란!$C$30=1,IF(OR(입력란!$C$9=1,입력란!$C$10=1),55,17),IF(입력란!$C$30=2,IF(OR(입력란!$C$9=1,입력란!$C$10=1),60,20),IF(입력란!$C$30=3,IF(OR(입력란!$C$9=1,입력란!$C$10=1),65,22),0))))/100-1))</f>
        <v>886326.85900481534</v>
      </c>
      <c r="K323" s="21">
        <f>T323*(1+IF($AK323+IF(입력란!$C$9=1,10,0)+IF(입력란!$C$26=1,10,0)&gt;100,100,$AK323+IF(입력란!$C$9=1,10,0)+IF(입력란!$C$26=1,10,0))/100*(($AL323+IF(입력란!$C$30=1,IF(OR(입력란!$C$9=1,입력란!$C$10=1),55,17),IF(입력란!$C$30=2,IF(OR(입력란!$C$9=1,입력란!$C$10=1),60,20),IF(입력란!$C$30=3,IF(OR(입력란!$C$9=1,입력란!$C$10=1),65,22),0))))/100-1))</f>
        <v>886326.85900481534</v>
      </c>
      <c r="L323" s="21">
        <f>U323*(1+IF($AK323+IF(입력란!$C$9=1,10,0)+IF(입력란!$C$26=1,10,0)&gt;100,100,$AK323+IF(입력란!$C$9=1,10,0)+IF(입력란!$C$26=1,10,0))/100*(($AL323+IF(입력란!$C$30=1,IF(OR(입력란!$C$9=1,입력란!$C$10=1),55,17),IF(입력란!$C$30=2,IF(OR(입력란!$C$9=1,입력란!$C$10=1),60,20),IF(입력란!$C$30=3,IF(OR(입력란!$C$9=1,입력란!$C$10=1),65,22),0))))/100-1))</f>
        <v>1181882.8849126843</v>
      </c>
      <c r="M323" s="21"/>
      <c r="N323" s="21"/>
      <c r="O323" s="21"/>
      <c r="P323" s="21"/>
      <c r="Q323" s="20"/>
      <c r="R323" s="19">
        <f>SUM(S323:Z323)</f>
        <v>1821744.717137299</v>
      </c>
      <c r="S323" s="21">
        <f>AN323*IF(G323="근접",IF(MID(E323,3,1)="1",트라이포드!$J$19,트라이포드!$I$19),1)*IF(MID(E323,3,1)="2",트라이포드!$L$19,트라이포드!$K$19)*IF(MID(E323,5,1)="2",트라이포드!$R$19,트라이포드!$Q$19)*(1+입력란!$P$17/100)*IF(입력란!$C$9=1,IF(입력란!$C$15=0,1.05,IF(입력란!$C$15=1,1.05*1.05,IF(입력란!$C$15=2,1.05*1.12,IF(입력란!$C$15=3,1.05*1.25)))),1)</f>
        <v>546502.37585544412</v>
      </c>
      <c r="T323" s="21">
        <f>AO323*IF(G323="근접",IF(MID(E323,3,1)="1",트라이포드!$J$19,트라이포드!$I$19),1)*IF(MID(E323,3,1)="2",트라이포드!$L$19,트라이포드!$K$19)*IF(MID(E323,5,1)="2",트라이포드!$R$19,트라이포드!$Q$19)*(1+입력란!$P$17/100)*IF(입력란!$C$9=1,IF(입력란!$C$15=0,1.05,IF(입력란!$C$15=1,1.05*1.05,IF(입력란!$C$15=2,1.05*1.12,IF(입력란!$C$15=3,1.05*1.25)))),1)</f>
        <v>546502.37585544412</v>
      </c>
      <c r="U323" s="21">
        <f>AP323*IF(G323="근접",IF(MID(E323,3,1)="1",트라이포드!$J$19,트라이포드!$I$19),1)*IF(MID(E323,3,1)="2",트라이포드!$L$19,트라이포드!$K$19)*IF(MID(E323,5,1)="1",트라이포드!$P$19,트라이포드!$O$19)*IF(MID(E323,5,1)="2",트라이포드!$R$19,트라이포드!$Q$19)*(1+입력란!$P$17/100)*IF(입력란!$C$9=1,IF(입력란!$C$15=0,1.05,IF(입력란!$C$15=1,1.05*1.05,IF(입력란!$C$15=2,1.05*1.12,IF(입력란!$C$15=3,1.05*1.25)))),1)</f>
        <v>728739.96542641078</v>
      </c>
      <c r="V323" s="21"/>
      <c r="W323" s="21"/>
      <c r="X323" s="21"/>
      <c r="Y323" s="21"/>
      <c r="Z323" s="20"/>
      <c r="AA323" s="21">
        <f>SUM(AB323:AI323)</f>
        <v>3643489.434274598</v>
      </c>
      <c r="AB323" s="21">
        <f>S323*2</f>
        <v>1093004.7517108882</v>
      </c>
      <c r="AC323" s="21">
        <f>T323*2</f>
        <v>1093004.7517108882</v>
      </c>
      <c r="AD323" s="21">
        <f>U323*2</f>
        <v>1457479.9308528216</v>
      </c>
      <c r="AE323" s="21"/>
      <c r="AF323" s="21"/>
      <c r="AG323" s="21"/>
      <c r="AH323" s="21"/>
      <c r="AI323" s="20"/>
      <c r="AJ323" s="21">
        <f>(AQ323-IF(MID(E323,3,1)="3",트라이포드!$N$19,트라이포드!$M$19))*(1-입력란!$P$10/100)</f>
        <v>35.567196189119997</v>
      </c>
      <c r="AK3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3" s="21">
        <f>입력란!$P$24+IF(입력란!$C$18=1,10,IF(입력란!$C$18=2,25,IF(입력란!$C$18=3,50,0)))+IF(입력란!$C$23&lt;&gt;0,-12)</f>
        <v>200</v>
      </c>
      <c r="AM323" s="21">
        <f>SUM(AN323:AP323)</f>
        <v>902460.07110723678</v>
      </c>
      <c r="AN323" s="21">
        <f>(VLOOKUP(C323,$B$4:$AJ$7,20,FALSE)+VLOOKUP(C323,$B$8:$AJ$11,20,FALSE)*입력란!$P$4)*IF(G323="근접",입력란!$P$27,IF(MID(E323,1,1)="2",입력란!$P$27,입력란!$P$26))*입력란!$P$25/100</f>
        <v>270727.59884260298</v>
      </c>
      <c r="AO323" s="21">
        <f>(VLOOKUP(C323,$B$4:$AJ$7,21,FALSE)+VLOOKUP(C323,$B$8:$AJ$11,21,FALSE)*입력란!$P$4)*IF(G323="근접",입력란!$P$27,IF(MID(E323,1,1)="2",입력란!$P$27,입력란!$P$26))*입력란!$P$25/100</f>
        <v>270727.59884260298</v>
      </c>
      <c r="AP323" s="21">
        <f>(VLOOKUP(C323,$B$4:$AJ$7,22,FALSE)+VLOOKUP(C323,$B$8:$AJ$11,22,FALSE)*입력란!$P$4)*IF(G323="근접",입력란!$P$27,IF(MID(E323,1,1)="2",입력란!$P$27,입력란!$P$26))*입력란!$P$25/100</f>
        <v>361004.87342203083</v>
      </c>
      <c r="AQ323" s="22">
        <v>36</v>
      </c>
    </row>
    <row r="324" spans="2:43" ht="13.5" customHeight="1" x14ac:dyDescent="0.55000000000000004">
      <c r="B324" s="66">
        <v>309</v>
      </c>
      <c r="C324" s="29">
        <v>7</v>
      </c>
      <c r="D324" s="67" t="s">
        <v>208</v>
      </c>
      <c r="E324" s="27" t="s">
        <v>209</v>
      </c>
      <c r="F324" s="29"/>
      <c r="G324" s="29" t="s">
        <v>200</v>
      </c>
      <c r="H324" s="36">
        <f>I324/AJ324</f>
        <v>140762.32879766371</v>
      </c>
      <c r="I324" s="37">
        <f>SUM(J324:Q324)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3476750.9474888337</v>
      </c>
      <c r="J324" s="21">
        <f>S324*(1+IF($AK324+IF(입력란!$C$9=1,10,0)+IF(입력란!$C$26=1,10,0)&gt;100,100,$AK324+IF(입력란!$C$9=1,10,0)+IF(입력란!$C$26=1,10,0))/100*(($AL324+IF(입력란!$C$30=1,IF(OR(입력란!$C$9=1,입력란!$C$10=1),55,17),IF(입력란!$C$30=2,IF(OR(입력란!$C$9=1,입력란!$C$10=1),60,20),IF(입력란!$C$30=3,IF(OR(입력란!$C$9=1,입력란!$C$10=1),65,22),0))))/100-1))</f>
        <v>738605.71583734604</v>
      </c>
      <c r="K324" s="21">
        <f>T324*(1+IF($AK324+IF(입력란!$C$9=1,10,0)+IF(입력란!$C$26=1,10,0)&gt;100,100,$AK324+IF(입력란!$C$9=1,10,0)+IF(입력란!$C$26=1,10,0))/100*(($AL324+IF(입력란!$C$30=1,IF(OR(입력란!$C$9=1,입력란!$C$10=1),55,17),IF(입력란!$C$30=2,IF(OR(입력란!$C$9=1,입력란!$C$10=1),60,20),IF(입력란!$C$30=3,IF(OR(입력란!$C$9=1,입력란!$C$10=1),65,22),0))))/100-1))</f>
        <v>738605.71583734604</v>
      </c>
      <c r="L324" s="21">
        <f>U324*(1+IF($AK324+IF(입력란!$C$9=1,10,0)+IF(입력란!$C$26=1,10,0)&gt;100,100,$AK324+IF(입력란!$C$9=1,10,0)+IF(입력란!$C$26=1,10,0))/100*(($AL324+IF(입력란!$C$30=1,IF(OR(입력란!$C$9=1,입력란!$C$10=1),55,17),IF(입력란!$C$30=2,IF(OR(입력란!$C$9=1,입력란!$C$10=1),60,20),IF(입력란!$C$30=3,IF(OR(입력란!$C$9=1,입력란!$C$10=1),65,22),0))))/100-1))</f>
        <v>984902.40409390349</v>
      </c>
      <c r="M324" s="21"/>
      <c r="N324" s="21"/>
      <c r="O324" s="21"/>
      <c r="P324" s="21"/>
      <c r="Q324" s="20"/>
      <c r="R324" s="19">
        <f>SUM(S324:Z324)</f>
        <v>1518120.5976144159</v>
      </c>
      <c r="S324" s="21">
        <f>AN324*IF(G324="근접",IF(MID(E324,3,1)="1",트라이포드!$J$19,트라이포드!$I$19),1)*IF(MID(E324,3,1)="2",트라이포드!$L$19,트라이포드!$K$19)*IF(MID(E324,5,1)="2",트라이포드!$R$19,트라이포드!$Q$19)*(1+입력란!$P$17/100)*IF(입력란!$C$9=1,IF(입력란!$C$15=0,1.05,IF(입력란!$C$15=1,1.05*1.05,IF(입력란!$C$15=2,1.05*1.12,IF(입력란!$C$15=3,1.05*1.25)))),1)</f>
        <v>455418.64654620341</v>
      </c>
      <c r="T324" s="21">
        <f>AO324*IF(G324="근접",IF(MID(E324,3,1)="1",트라이포드!$J$19,트라이포드!$I$19),1)*IF(MID(E324,3,1)="2",트라이포드!$L$19,트라이포드!$K$19)*IF(MID(E324,5,1)="2",트라이포드!$R$19,트라이포드!$Q$19)*(1+입력란!$P$17/100)*IF(입력란!$C$9=1,IF(입력란!$C$15=0,1.05,IF(입력란!$C$15=1,1.05*1.05,IF(입력란!$C$15=2,1.05*1.12,IF(입력란!$C$15=3,1.05*1.25)))),1)</f>
        <v>455418.64654620341</v>
      </c>
      <c r="U324" s="21">
        <f>AP324*IF(G324="근접",IF(MID(E324,3,1)="1",트라이포드!$J$19,트라이포드!$I$19),1)*IF(MID(E324,3,1)="2",트라이포드!$L$19,트라이포드!$K$19)*IF(MID(E324,5,1)="1",트라이포드!$P$19,트라이포드!$O$19)*IF(MID(E324,5,1)="2",트라이포드!$R$19,트라이포드!$Q$19)*(1+입력란!$P$17/100)*IF(입력란!$C$9=1,IF(입력란!$C$15=0,1.05,IF(입력란!$C$15=1,1.05*1.05,IF(입력란!$C$15=2,1.05*1.12,IF(입력란!$C$15=3,1.05*1.25)))),1)</f>
        <v>607283.30452200898</v>
      </c>
      <c r="V324" s="21"/>
      <c r="W324" s="21"/>
      <c r="X324" s="21"/>
      <c r="Y324" s="21"/>
      <c r="Z324" s="20"/>
      <c r="AA324" s="21">
        <f>SUM(AB324:AI324)</f>
        <v>3036241.1952288318</v>
      </c>
      <c r="AB324" s="21">
        <f>S324*2</f>
        <v>910837.29309240682</v>
      </c>
      <c r="AC324" s="21">
        <f>T324*2</f>
        <v>910837.29309240682</v>
      </c>
      <c r="AD324" s="21">
        <f>U324*2</f>
        <v>1214566.609044018</v>
      </c>
      <c r="AE324" s="21"/>
      <c r="AF324" s="21"/>
      <c r="AG324" s="21"/>
      <c r="AH324" s="21"/>
      <c r="AI324" s="20"/>
      <c r="AJ324" s="21">
        <f>(AQ324-IF(MID(E324,3,1)="3",트라이포드!$N$19,트라이포드!$M$19))*(1-입력란!$P$10/100)</f>
        <v>24.699441797999999</v>
      </c>
      <c r="AK3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4" s="21">
        <f>입력란!$P$24+IF(입력란!$C$18=1,10,IF(입력란!$C$18=2,25,IF(입력란!$C$18=3,50,0)))+IF(입력란!$C$23&lt;&gt;0,-12)</f>
        <v>200</v>
      </c>
      <c r="AM324" s="21">
        <f>SUM(AN324:AP324)</f>
        <v>902460.07110723678</v>
      </c>
      <c r="AN324" s="21">
        <f>(VLOOKUP(C324,$B$4:$AJ$7,20,FALSE)+VLOOKUP(C324,$B$8:$AJ$11,20,FALSE)*입력란!$P$4)*IF(G324="근접",입력란!$P$27,IF(MID(E324,1,1)="2",입력란!$P$27,입력란!$P$26))*입력란!$P$25/100</f>
        <v>270727.59884260298</v>
      </c>
      <c r="AO324" s="21">
        <f>(VLOOKUP(C324,$B$4:$AJ$7,21,FALSE)+VLOOKUP(C324,$B$8:$AJ$11,21,FALSE)*입력란!$P$4)*IF(G324="근접",입력란!$P$27,IF(MID(E324,1,1)="2",입력란!$P$27,입력란!$P$26))*입력란!$P$25/100</f>
        <v>270727.59884260298</v>
      </c>
      <c r="AP324" s="21">
        <f>(VLOOKUP(C324,$B$4:$AJ$7,22,FALSE)+VLOOKUP(C324,$B$8:$AJ$11,22,FALSE)*입력란!$P$4)*IF(G324="근접",입력란!$P$27,IF(MID(E324,1,1)="2",입력란!$P$27,입력란!$P$26))*입력란!$P$25/100</f>
        <v>361004.87342203083</v>
      </c>
      <c r="AQ324" s="22">
        <v>36</v>
      </c>
    </row>
    <row r="325" spans="2:43" ht="13.5" customHeight="1" x14ac:dyDescent="0.55000000000000004">
      <c r="B325" s="66">
        <v>310</v>
      </c>
      <c r="C325" s="29">
        <v>10</v>
      </c>
      <c r="D325" s="67" t="s">
        <v>208</v>
      </c>
      <c r="E325" s="27" t="s">
        <v>184</v>
      </c>
      <c r="F325" s="29"/>
      <c r="G325" s="29" t="s">
        <v>200</v>
      </c>
      <c r="H325" s="36">
        <f>I325/AJ325</f>
        <v>97789.571439041945</v>
      </c>
      <c r="I325" s="37">
        <f>SUM(J325:Q325)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3478100.8726223703</v>
      </c>
      <c r="J325" s="21">
        <f>S325*(1+IF($AK325+IF(입력란!$C$9=1,10,0)+IF(입력란!$C$26=1,10,0)&gt;100,100,$AK325+IF(입력란!$C$9=1,10,0)+IF(입력란!$C$26=1,10,0))/100*(($AL325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K325" s="21">
        <f>T325*(1+IF($AK325+IF(입력란!$C$9=1,10,0)+IF(입력란!$C$26=1,10,0)&gt;100,100,$AK325+IF(입력란!$C$9=1,10,0)+IF(입력란!$C$26=1,10,0))/100*(($AL325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L325" s="21">
        <f>U325*(1+IF($AK325+IF(입력란!$C$9=1,10,0)+IF(입력란!$C$26=1,10,0)&gt;100,100,$AK325+IF(입력란!$C$9=1,10,0)+IF(입력란!$C$26=1,10,0))/100*(($AL325+IF(입력란!$C$30=1,IF(OR(입력란!$C$9=1,입력란!$C$10=1),55,17),IF(입력란!$C$30=2,IF(OR(입력란!$C$9=1,입력란!$C$10=1),60,20),IF(입력란!$C$30=3,IF(OR(입력란!$C$9=1,입력란!$C$10=1),65,22),0))))/100-1))</f>
        <v>985282.17296890588</v>
      </c>
      <c r="M325" s="21"/>
      <c r="N325" s="21"/>
      <c r="O325" s="21"/>
      <c r="P325" s="21"/>
      <c r="Q325" s="20"/>
      <c r="R325" s="19">
        <f>SUM(S325:Z325)</f>
        <v>1518710.0413742396</v>
      </c>
      <c r="S325" s="21">
        <f>AN325*IF(G325="근접",IF(MID(E325,3,1)="1",트라이포드!$J$19,트라이포드!$I$19),1)*IF(MID(E325,3,1)="2",트라이포드!$L$19,트라이포드!$K$19)*IF(MID(E325,5,1)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T325" s="21">
        <f>AO325*IF(G325="근접",IF(MID(E325,3,1)="1",트라이포드!$J$19,트라이포드!$I$19),1)*IF(MID(E325,3,1)="2",트라이포드!$L$19,트라이포드!$K$19)*IF(MID(E325,5,1)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U325" s="21">
        <f>AP325*IF(G325="근접",IF(MID(E325,3,1)="1",트라이포드!$J$19,트라이포드!$I$19),1)*IF(MID(E325,3,1)="2",트라이포드!$L$19,트라이포드!$K$19)*IF(MID(E325,5,1)="1",트라이포드!$P$19,트라이포드!$O$19)*IF(MID(E325,5,1)="2",트라이포드!$R$19,트라이포드!$Q$19)*(1+입력란!$P$17/100)*IF(입력란!$C$9=1,IF(입력란!$C$15=0,1.05,IF(입력란!$C$15=1,1.05*1.05,IF(입력란!$C$15=2,1.05*1.12,IF(입력란!$C$15=3,1.05*1.25)))),1)</f>
        <v>607517.46711152792</v>
      </c>
      <c r="V325" s="21"/>
      <c r="W325" s="21"/>
      <c r="X325" s="21"/>
      <c r="Y325" s="21"/>
      <c r="Z325" s="20"/>
      <c r="AA325" s="21">
        <f>SUM(AB325:AI325)</f>
        <v>3037420.0827484792</v>
      </c>
      <c r="AB325" s="21">
        <f>S325*2</f>
        <v>911192.57426271157</v>
      </c>
      <c r="AC325" s="21">
        <f>T325*2</f>
        <v>911192.57426271157</v>
      </c>
      <c r="AD325" s="21">
        <f>U325*2</f>
        <v>1215034.9342230558</v>
      </c>
      <c r="AE325" s="21"/>
      <c r="AF325" s="21"/>
      <c r="AG325" s="21"/>
      <c r="AH325" s="21"/>
      <c r="AI325" s="20"/>
      <c r="AJ325" s="21">
        <f>(AQ325-IF(MID(E325,3,1)="3",트라이포드!$N$19,트라이포드!$M$19))*(1-입력란!$P$10/100)</f>
        <v>35.567196189119997</v>
      </c>
      <c r="AK3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5" s="21">
        <f>입력란!$P$24+IF(입력란!$C$18=1,10,IF(입력란!$C$18=2,25,IF(입력란!$C$18=3,50,0)))+IF(입력란!$C$23&lt;&gt;0,-12)</f>
        <v>200</v>
      </c>
      <c r="AM325" s="21">
        <f>SUM(AN325:AP325)</f>
        <v>902810.47110723681</v>
      </c>
      <c r="AN325" s="21">
        <f>(VLOOKUP(C325,$B$4:$AJ$7,20,FALSE)+VLOOKUP(C325,$B$8:$AJ$11,20,FALSE)*입력란!$P$4)*IF(G325="근접",입력란!$P$27,IF(MID(E325,1,1)="2",입력란!$P$27,입력란!$P$26))*입력란!$P$25/100</f>
        <v>270833.19884260301</v>
      </c>
      <c r="AO325" s="21">
        <f>(VLOOKUP(C325,$B$4:$AJ$7,21,FALSE)+VLOOKUP(C325,$B$8:$AJ$11,21,FALSE)*입력란!$P$4)*IF(G325="근접",입력란!$P$27,IF(MID(E325,1,1)="2",입력란!$P$27,입력란!$P$26))*입력란!$P$25/100</f>
        <v>270833.19884260301</v>
      </c>
      <c r="AP325" s="21">
        <f>(VLOOKUP(C325,$B$4:$AJ$7,22,FALSE)+VLOOKUP(C325,$B$8:$AJ$11,22,FALSE)*입력란!$P$4)*IF(G325="근접",입력란!$P$27,IF(MID(E325,1,1)="2",입력란!$P$27,입력란!$P$26))*입력란!$P$25/100</f>
        <v>361144.07342203078</v>
      </c>
      <c r="AQ325" s="22">
        <v>36</v>
      </c>
    </row>
    <row r="326" spans="2:43" ht="13.5" customHeight="1" x14ac:dyDescent="0.55000000000000004">
      <c r="B326" s="66">
        <v>311</v>
      </c>
      <c r="C326" s="29">
        <v>10</v>
      </c>
      <c r="D326" s="67" t="s">
        <v>208</v>
      </c>
      <c r="E326" s="27" t="s">
        <v>190</v>
      </c>
      <c r="F326" s="29"/>
      <c r="G326" s="29" t="s">
        <v>200</v>
      </c>
      <c r="H326" s="36">
        <f>I326/AJ326</f>
        <v>143557.61090974233</v>
      </c>
      <c r="I326" s="37">
        <f>SUM(J326:Q326)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5105941.7116681589</v>
      </c>
      <c r="J326" s="21">
        <f>S326*(1+IF($AK326+IF(입력란!$C$9=1,10,0)+IF(입력란!$C$26=1,10,0)&gt;100,100,$AK326+IF(입력란!$C$9=1,10,0)+IF(입력란!$C$26=1,10,0))/100*(($AL326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K326" s="21">
        <f>T326*(1+IF($AK326+IF(입력란!$C$9=1,10,0)+IF(입력란!$C$26=1,10,0)&gt;100,100,$AK326+IF(입력란!$C$9=1,10,0)+IF(입력란!$C$26=1,10,0))/100*(($AL326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L326" s="21">
        <f>U326*(1+IF($AK326+IF(입력란!$C$9=1,10,0)+IF(입력란!$C$26=1,10,0)&gt;100,100,$AK326+IF(입력란!$C$9=1,10,0)+IF(입력란!$C$26=1,10,0))/100*(($AL326+IF(입력란!$C$30=1,IF(OR(입력란!$C$9=1,입력란!$C$10=1),55,17),IF(입력란!$C$30=2,IF(OR(입력란!$C$9=1,입력란!$C$10=1),60,20),IF(입력란!$C$30=3,IF(OR(입력란!$C$9=1,입력란!$C$10=1),65,22),0))))/100-1))</f>
        <v>2138062.3153425255</v>
      </c>
      <c r="M326" s="21"/>
      <c r="N326" s="21"/>
      <c r="O326" s="21"/>
      <c r="P326" s="21"/>
      <c r="Q326" s="20"/>
      <c r="R326" s="19">
        <f>SUM(S326:Z326)</f>
        <v>2229505.4778947271</v>
      </c>
      <c r="S326" s="21">
        <f>AN326*IF(G326="근접",IF(MID(E326,3,1)="1",트라이포드!$J$19,트라이포드!$I$19),1)*IF(MID(E326,3,1)="2",트라이포드!$L$19,트라이포드!$K$19)*IF(MID(E326,5,1)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T326" s="21">
        <f>AO326*IF(G326="근접",IF(MID(E326,3,1)="1",트라이포드!$J$19,트라이포드!$I$19),1)*IF(MID(E326,3,1)="2",트라이포드!$L$19,트라이포드!$K$19)*IF(MID(E326,5,1)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U326" s="21">
        <f>AP326*IF(G326="근접",IF(MID(E326,3,1)="1",트라이포드!$J$19,트라이포드!$I$19),1)*IF(MID(E326,3,1)="2",트라이포드!$L$19,트라이포드!$K$19)*IF(MID(E326,5,1)="1",트라이포드!$P$19,트라이포드!$O$19)*IF(MID(E326,5,1)="2",트라이포드!$R$19,트라이포드!$Q$19)*(1+입력란!$P$17/100)*IF(입력란!$C$9=1,IF(입력란!$C$15=0,1.05,IF(입력란!$C$15=1,1.05*1.05,IF(입력란!$C$15=2,1.05*1.12,IF(입력란!$C$15=3,1.05*1.25)))),1)</f>
        <v>1318312.9036320155</v>
      </c>
      <c r="V326" s="21"/>
      <c r="W326" s="21"/>
      <c r="X326" s="21"/>
      <c r="Y326" s="21"/>
      <c r="Z326" s="20"/>
      <c r="AA326" s="21">
        <f>SUM(AB326:AI326)</f>
        <v>4459010.9557894543</v>
      </c>
      <c r="AB326" s="21">
        <f>S326*2</f>
        <v>911192.57426271157</v>
      </c>
      <c r="AC326" s="21">
        <f>T326*2</f>
        <v>911192.57426271157</v>
      </c>
      <c r="AD326" s="21">
        <f>U326*2</f>
        <v>2636625.8072640309</v>
      </c>
      <c r="AE326" s="21"/>
      <c r="AF326" s="21"/>
      <c r="AG326" s="21"/>
      <c r="AH326" s="21"/>
      <c r="AI326" s="20"/>
      <c r="AJ326" s="21">
        <f>(AQ326-IF(MID(E326,3,1)="3",트라이포드!$N$19,트라이포드!$M$19))*(1-입력란!$P$10/100)</f>
        <v>35.567196189119997</v>
      </c>
      <c r="AK3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6" s="21">
        <f>입력란!$P$24+IF(입력란!$C$18=1,10,IF(입력란!$C$18=2,25,IF(입력란!$C$18=3,50,0)))+IF(입력란!$C$23&lt;&gt;0,-12)</f>
        <v>200</v>
      </c>
      <c r="AM326" s="21">
        <f>SUM(AN326:AP326)</f>
        <v>902810.47110723681</v>
      </c>
      <c r="AN326" s="21">
        <f>(VLOOKUP(C326,$B$4:$AJ$7,20,FALSE)+VLOOKUP(C326,$B$8:$AJ$11,20,FALSE)*입력란!$P$4)*IF(G326="근접",입력란!$P$27,IF(MID(E326,1,1)="2",입력란!$P$27,입력란!$P$26))*입력란!$P$25/100</f>
        <v>270833.19884260301</v>
      </c>
      <c r="AO326" s="21">
        <f>(VLOOKUP(C326,$B$4:$AJ$7,21,FALSE)+VLOOKUP(C326,$B$8:$AJ$11,21,FALSE)*입력란!$P$4)*IF(G326="근접",입력란!$P$27,IF(MID(E326,1,1)="2",입력란!$P$27,입력란!$P$26))*입력란!$P$25/100</f>
        <v>270833.19884260301</v>
      </c>
      <c r="AP326" s="21">
        <f>(VLOOKUP(C326,$B$4:$AJ$7,22,FALSE)+VLOOKUP(C326,$B$8:$AJ$11,22,FALSE)*입력란!$P$4)*IF(G326="근접",입력란!$P$27,IF(MID(E326,1,1)="2",입력란!$P$27,입력란!$P$26))*입력란!$P$25/100</f>
        <v>361144.07342203078</v>
      </c>
      <c r="AQ326" s="22">
        <v>36</v>
      </c>
    </row>
    <row r="327" spans="2:43" ht="13.5" customHeight="1" x14ac:dyDescent="0.55000000000000004">
      <c r="B327" s="66">
        <v>312</v>
      </c>
      <c r="C327" s="29">
        <v>10</v>
      </c>
      <c r="D327" s="67" t="s">
        <v>208</v>
      </c>
      <c r="E327" s="27" t="s">
        <v>205</v>
      </c>
      <c r="F327" s="29" t="s">
        <v>216</v>
      </c>
      <c r="G327" s="29" t="s">
        <v>200</v>
      </c>
      <c r="H327" s="36">
        <f>I327/AJ327</f>
        <v>176021.22859027551</v>
      </c>
      <c r="I327" s="37">
        <f>SUM(J327:Q327)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6260581.5707202666</v>
      </c>
      <c r="J327" s="21">
        <f>S327*(1+IF($AK327+IF(입력란!$C$9=1,10,0)+IF(입력란!$C$26=1,10,0)&gt;100,100,$AK327+IF(입력란!$C$9=1,10,0)+IF(입력란!$C$26=1,10,0))/100*(($AL327+IF(입력란!$C$30=1,IF(OR(입력란!$C$9=1,입력란!$C$10=1),55,17),IF(입력란!$C$30=2,IF(OR(입력란!$C$9=1,입력란!$C$10=1),60,20),IF(입력란!$C$30=3,IF(OR(입력란!$C$9=1,입력란!$C$10=1),65,22),0))))/100-1))</f>
        <v>1330008.8694537783</v>
      </c>
      <c r="K327" s="21">
        <f>T327*(1+IF($AK327+IF(입력란!$C$9=1,10,0)+IF(입력란!$C$26=1,10,0)&gt;100,100,$AK327+IF(입력란!$C$9=1,10,0)+IF(입력란!$C$26=1,10,0))/100*(($AL327+IF(입력란!$C$30=1,IF(OR(입력란!$C$9=1,입력란!$C$10=1),55,17),IF(입력란!$C$30=2,IF(OR(입력란!$C$9=1,입력란!$C$10=1),60,20),IF(입력란!$C$30=3,IF(OR(입력란!$C$9=1,입력란!$C$10=1),65,22),0))))/100-1))</f>
        <v>1330008.8694537783</v>
      </c>
      <c r="L327" s="21">
        <f>U327*(1+IF($AK327+IF(입력란!$C$9=1,10,0)+IF(입력란!$C$26=1,10,0)&gt;100,100,$AK327+IF(입력란!$C$9=1,10,0)+IF(입력란!$C$26=1,10,0))/100*(($AL327+IF(입력란!$C$30=1,IF(OR(입력란!$C$9=1,입력란!$C$10=1),55,17),IF(입력란!$C$30=2,IF(OR(입력란!$C$9=1,입력란!$C$10=1),60,20),IF(입력란!$C$30=3,IF(OR(입력란!$C$9=1,입력란!$C$10=1),65,22),0))))/100-1))</f>
        <v>1773507.9113440304</v>
      </c>
      <c r="M327" s="21"/>
      <c r="N327" s="21"/>
      <c r="O327" s="21"/>
      <c r="P327" s="21"/>
      <c r="Q327" s="20"/>
      <c r="R327" s="19">
        <f>SUM(S327:Z327)</f>
        <v>2733678.0744736311</v>
      </c>
      <c r="S327" s="21">
        <f>AN327*IF(G327="근접",IF(MID(E327,3,1)="1",트라이포드!$J$19,트라이포드!$I$19),1)*IF(MID(E327,3,1)="2",트라이포드!$L$19,트라이포드!$K$19)*IF(MID(E327,5,1)="2",트라이포드!$R$19,트라이포드!$Q$19)*(1+입력란!$P$17/100)*IF(입력란!$C$9=1,IF(입력란!$C$15=0,1.05,IF(입력란!$C$15=1,1.05*1.05,IF(입력란!$C$15=2,1.05*1.12,IF(입력란!$C$15=3,1.05*1.25)))),1)</f>
        <v>820073.31683644047</v>
      </c>
      <c r="T327" s="21">
        <f>AO327*IF(G327="근접",IF(MID(E327,3,1)="1",트라이포드!$J$19,트라이포드!$I$19),1)*IF(MID(E327,3,1)="2",트라이포드!$L$19,트라이포드!$K$19)*IF(MID(E327,5,1)="2",트라이포드!$R$19,트라이포드!$Q$19)*(1+입력란!$P$17/100)*IF(입력란!$C$9=1,IF(입력란!$C$15=0,1.05,IF(입력란!$C$15=1,1.05*1.05,IF(입력란!$C$15=2,1.05*1.12,IF(입력란!$C$15=3,1.05*1.25)))),1)</f>
        <v>820073.31683644047</v>
      </c>
      <c r="U327" s="21">
        <f>AP327*IF(G327="근접",IF(MID(E327,3,1)="1",트라이포드!$J$19,트라이포드!$I$19),1)*IF(MID(E327,3,1)="2",트라이포드!$L$19,트라이포드!$K$19)*IF(MID(E327,5,1)="1",트라이포드!$P$19,트라이포드!$O$19)*IF(MID(E327,5,1)="2",트라이포드!$R$19,트라이포드!$Q$19)*(1+입력란!$P$17/100)*IF(입력란!$C$9=1,IF(입력란!$C$15=0,1.05,IF(입력란!$C$15=1,1.05*1.05,IF(입력란!$C$15=2,1.05*1.12,IF(입력란!$C$15=3,1.05*1.25)))),1)</f>
        <v>1093531.4408007502</v>
      </c>
      <c r="V327" s="21"/>
      <c r="W327" s="21"/>
      <c r="X327" s="21"/>
      <c r="Y327" s="21"/>
      <c r="Z327" s="20"/>
      <c r="AA327" s="21">
        <f>SUM(AB327:AI327)</f>
        <v>5467356.1489472622</v>
      </c>
      <c r="AB327" s="21">
        <f>S327*2</f>
        <v>1640146.6336728809</v>
      </c>
      <c r="AC327" s="21">
        <f>T327*2</f>
        <v>1640146.6336728809</v>
      </c>
      <c r="AD327" s="21">
        <f>U327*2</f>
        <v>2187062.8816015003</v>
      </c>
      <c r="AE327" s="21"/>
      <c r="AF327" s="21"/>
      <c r="AG327" s="21"/>
      <c r="AH327" s="21"/>
      <c r="AI327" s="20"/>
      <c r="AJ327" s="21">
        <f>(AQ327-IF(MID(E327,3,1)="3",트라이포드!$N$19,트라이포드!$M$19))*(1-입력란!$P$10/100)</f>
        <v>35.567196189119997</v>
      </c>
      <c r="AK3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7" s="21">
        <f>입력란!$P$24+IF(입력란!$C$18=1,10,IF(입력란!$C$18=2,25,IF(입력란!$C$18=3,50,0)))+IF(입력란!$C$23&lt;&gt;0,-12)</f>
        <v>200</v>
      </c>
      <c r="AM327" s="21">
        <f>SUM(AN327:AP327)</f>
        <v>902810.47110723681</v>
      </c>
      <c r="AN327" s="21">
        <f>(VLOOKUP(C327,$B$4:$AJ$7,20,FALSE)+VLOOKUP(C327,$B$8:$AJ$11,20,FALSE)*입력란!$P$4)*IF(G327="근접",입력란!$P$27,IF(MID(E327,1,1)="2",입력란!$P$27,입력란!$P$26))*입력란!$P$25/100</f>
        <v>270833.19884260301</v>
      </c>
      <c r="AO327" s="21">
        <f>(VLOOKUP(C327,$B$4:$AJ$7,21,FALSE)+VLOOKUP(C327,$B$8:$AJ$11,21,FALSE)*입력란!$P$4)*IF(G327="근접",입력란!$P$27,IF(MID(E327,1,1)="2",입력란!$P$27,입력란!$P$26))*입력란!$P$25/100</f>
        <v>270833.19884260301</v>
      </c>
      <c r="AP327" s="21">
        <f>(VLOOKUP(C327,$B$4:$AJ$7,22,FALSE)+VLOOKUP(C327,$B$8:$AJ$11,22,FALSE)*입력란!$P$4)*IF(G327="근접",입력란!$P$27,IF(MID(E327,1,1)="2",입력란!$P$27,입력란!$P$26))*입력란!$P$25/100</f>
        <v>361144.07342203078</v>
      </c>
      <c r="AQ327" s="22">
        <v>36</v>
      </c>
    </row>
    <row r="328" spans="2:43" ht="13.5" customHeight="1" x14ac:dyDescent="0.55000000000000004">
      <c r="B328" s="66">
        <v>313</v>
      </c>
      <c r="C328" s="29">
        <v>10</v>
      </c>
      <c r="D328" s="67" t="s">
        <v>208</v>
      </c>
      <c r="E328" s="27" t="s">
        <v>96</v>
      </c>
      <c r="F328" s="29"/>
      <c r="G328" s="29" t="s">
        <v>200</v>
      </c>
      <c r="H328" s="36">
        <f>I328/AJ328</f>
        <v>127126.44287075452</v>
      </c>
      <c r="I328" s="37">
        <f>SUM(J328:Q328)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4521531.1344090812</v>
      </c>
      <c r="J328" s="21">
        <f>S328*(1+IF($AK328+IF(입력란!$C$9=1,10,0)+IF(입력란!$C$26=1,10,0)&gt;100,100,$AK328+IF(입력란!$C$9=1,10,0)+IF(입력란!$C$26=1,10,0))/100*(($AL328+IF(입력란!$C$30=1,IF(OR(입력란!$C$9=1,입력란!$C$10=1),55,17),IF(입력란!$C$30=2,IF(OR(입력란!$C$9=1,입력란!$C$10=1),60,20),IF(입력란!$C$30=3,IF(OR(입력란!$C$9=1,입력란!$C$10=1),65,22),0))))/100-1))</f>
        <v>960561.9612721731</v>
      </c>
      <c r="K328" s="21">
        <f>T328*(1+IF($AK328+IF(입력란!$C$9=1,10,0)+IF(입력란!$C$26=1,10,0)&gt;100,100,$AK328+IF(입력란!$C$9=1,10,0)+IF(입력란!$C$26=1,10,0))/100*(($AL328+IF(입력란!$C$30=1,IF(OR(입력란!$C$9=1,입력란!$C$10=1),55,17),IF(입력란!$C$30=2,IF(OR(입력란!$C$9=1,입력란!$C$10=1),60,20),IF(입력란!$C$30=3,IF(OR(입력란!$C$9=1,입력란!$C$10=1),65,22),0))))/100-1))</f>
        <v>960561.9612721731</v>
      </c>
      <c r="L328" s="21">
        <f>U328*(1+IF($AK328+IF(입력란!$C$9=1,10,0)+IF(입력란!$C$26=1,10,0)&gt;100,100,$AK328+IF(입력란!$C$9=1,10,0)+IF(입력란!$C$26=1,10,0))/100*(($AL328+IF(입력란!$C$30=1,IF(OR(입력란!$C$9=1,입력란!$C$10=1),55,17),IF(입력란!$C$30=2,IF(OR(입력란!$C$9=1,입력란!$C$10=1),60,20),IF(입력란!$C$30=3,IF(OR(입력란!$C$9=1,입력란!$C$10=1),65,22),0))))/100-1))</f>
        <v>1280866.8248595777</v>
      </c>
      <c r="M328" s="21"/>
      <c r="N328" s="21"/>
      <c r="O328" s="21"/>
      <c r="P328" s="21"/>
      <c r="Q328" s="20"/>
      <c r="R328" s="19">
        <f>SUM(S328:Z328)</f>
        <v>1974323.0537865115</v>
      </c>
      <c r="S328" s="21">
        <f>AN328*IF(G328="근접",IF(MID(E328,3,1)="1",트라이포드!$J$19,트라이포드!$I$19),1)*IF(MID(E328,3,1)="2",트라이포드!$L$19,트라이포드!$K$19)*IF(MID(E328,5,1)="2",트라이포드!$R$19,트라이포드!$Q$19)*(1+입력란!$P$17/100)*IF(입력란!$C$9=1,IF(입력란!$C$15=0,1.05,IF(입력란!$C$15=1,1.05*1.05,IF(입력란!$C$15=2,1.05*1.12,IF(입력란!$C$15=3,1.05*1.25)))),1)</f>
        <v>592275.17327076255</v>
      </c>
      <c r="T328" s="21">
        <f>AO328*IF(G328="근접",IF(MID(E328,3,1)="1",트라이포드!$J$19,트라이포드!$I$19),1)*IF(MID(E328,3,1)="2",트라이포드!$L$19,트라이포드!$K$19)*IF(MID(E328,5,1)="2",트라이포드!$R$19,트라이포드!$Q$19)*(1+입력란!$P$17/100)*IF(입력란!$C$9=1,IF(입력란!$C$15=0,1.05,IF(입력란!$C$15=1,1.05*1.05,IF(입력란!$C$15=2,1.05*1.12,IF(입력란!$C$15=3,1.05*1.25)))),1)</f>
        <v>592275.17327076255</v>
      </c>
      <c r="U328" s="21">
        <f>AP328*IF(G328="근접",IF(MID(E328,3,1)="1",트라이포드!$J$19,트라이포드!$I$19),1)*IF(MID(E328,3,1)="2",트라이포드!$L$19,트라이포드!$K$19)*IF(MID(E328,5,1)="1",트라이포드!$P$19,트라이포드!$O$19)*IF(MID(E328,5,1)="2",트라이포드!$R$19,트라이포드!$Q$19)*(1+입력란!$P$17/100)*IF(입력란!$C$9=1,IF(입력란!$C$15=0,1.05,IF(입력란!$C$15=1,1.05*1.05,IF(입력란!$C$15=2,1.05*1.12,IF(입력란!$C$15=3,1.05*1.25)))),1)</f>
        <v>789772.70724498632</v>
      </c>
      <c r="V328" s="21"/>
      <c r="W328" s="21"/>
      <c r="X328" s="21"/>
      <c r="Y328" s="21"/>
      <c r="Z328" s="20"/>
      <c r="AA328" s="21">
        <f>SUM(AB328:AI328)</f>
        <v>3948646.1075730231</v>
      </c>
      <c r="AB328" s="21">
        <f>S328*2</f>
        <v>1184550.3465415251</v>
      </c>
      <c r="AC328" s="21">
        <f>T328*2</f>
        <v>1184550.3465415251</v>
      </c>
      <c r="AD328" s="21">
        <f>U328*2</f>
        <v>1579545.4144899726</v>
      </c>
      <c r="AE328" s="21"/>
      <c r="AF328" s="21"/>
      <c r="AG328" s="21"/>
      <c r="AH328" s="21"/>
      <c r="AI328" s="20"/>
      <c r="AJ328" s="21">
        <f>(AQ328-IF(MID(E328,3,1)="3",트라이포드!$N$19,트라이포드!$M$19))*(1-입력란!$P$10/100)</f>
        <v>35.567196189119997</v>
      </c>
      <c r="AK3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8" s="21">
        <f>입력란!$P$24+IF(입력란!$C$18=1,10,IF(입력란!$C$18=2,25,IF(입력란!$C$18=3,50,0)))+IF(입력란!$C$23&lt;&gt;0,-12)</f>
        <v>200</v>
      </c>
      <c r="AM328" s="21">
        <f>SUM(AN328:AP328)</f>
        <v>902810.47110723681</v>
      </c>
      <c r="AN328" s="21">
        <f>(VLOOKUP(C328,$B$4:$AJ$7,20,FALSE)+VLOOKUP(C328,$B$8:$AJ$11,20,FALSE)*입력란!$P$4)*IF(G328="근접",입력란!$P$27,IF(MID(E328,1,1)="2",입력란!$P$27,입력란!$P$26))*입력란!$P$25/100</f>
        <v>270833.19884260301</v>
      </c>
      <c r="AO328" s="21">
        <f>(VLOOKUP(C328,$B$4:$AJ$7,21,FALSE)+VLOOKUP(C328,$B$8:$AJ$11,21,FALSE)*입력란!$P$4)*IF(G328="근접",입력란!$P$27,IF(MID(E328,1,1)="2",입력란!$P$27,입력란!$P$26))*입력란!$P$25/100</f>
        <v>270833.19884260301</v>
      </c>
      <c r="AP328" s="21">
        <f>(VLOOKUP(C328,$B$4:$AJ$7,22,FALSE)+VLOOKUP(C328,$B$8:$AJ$11,22,FALSE)*입력란!$P$4)*IF(G328="근접",입력란!$P$27,IF(MID(E328,1,1)="2",입력란!$P$27,입력란!$P$26))*입력란!$P$25/100</f>
        <v>361144.07342203078</v>
      </c>
      <c r="AQ328" s="22">
        <v>36</v>
      </c>
    </row>
    <row r="329" spans="2:43" ht="13.5" customHeight="1" x14ac:dyDescent="0.55000000000000004">
      <c r="B329" s="66">
        <v>314</v>
      </c>
      <c r="C329" s="29">
        <v>10</v>
      </c>
      <c r="D329" s="67" t="s">
        <v>48</v>
      </c>
      <c r="E329" s="27" t="s">
        <v>145</v>
      </c>
      <c r="F329" s="29"/>
      <c r="G329" s="29" t="s">
        <v>37</v>
      </c>
      <c r="H329" s="36">
        <f>I329/AJ329</f>
        <v>186624.89418266504</v>
      </c>
      <c r="I329" s="37">
        <f>SUM(J329:Q329)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6637724.2251686072</v>
      </c>
      <c r="J329" s="21">
        <f>S329*(1+IF($AK329+IF(입력란!$C$9=1,10,0)+IF(입력란!$C$26=1,10,0)&gt;100,100,$AK329+IF(입력란!$C$9=1,10,0)+IF(입력란!$C$26=1,10,0))/100*(($AL329+IF(입력란!$C$30=1,IF(OR(입력란!$C$9=1,입력란!$C$10=1),55,17),IF(입력란!$C$30=2,IF(OR(입력란!$C$9=1,입력란!$C$10=1),60,20),IF(입력란!$C$30=3,IF(OR(입력란!$C$9=1,입력란!$C$10=1),65,22),0))))/100-1))</f>
        <v>960561.9612721731</v>
      </c>
      <c r="K329" s="21">
        <f>T329*(1+IF($AK329+IF(입력란!$C$9=1,10,0)+IF(입력란!$C$26=1,10,0)&gt;100,100,$AK329+IF(입력란!$C$9=1,10,0)+IF(입력란!$C$26=1,10,0))/100*(($AL329+IF(입력란!$C$30=1,IF(OR(입력란!$C$9=1,입력란!$C$10=1),55,17),IF(입력란!$C$30=2,IF(OR(입력란!$C$9=1,입력란!$C$10=1),60,20),IF(입력란!$C$30=3,IF(OR(입력란!$C$9=1,입력란!$C$10=1),65,22),0))))/100-1))</f>
        <v>960561.9612721731</v>
      </c>
      <c r="L329" s="21">
        <f>U329*(1+IF($AK329+IF(입력란!$C$9=1,10,0)+IF(입력란!$C$26=1,10,0)&gt;100,100,$AK329+IF(입력란!$C$9=1,10,0)+IF(입력란!$C$26=1,10,0))/100*(($AL329+IF(입력란!$C$30=1,IF(OR(입력란!$C$9=1,입력란!$C$10=1),55,17),IF(입력란!$C$30=2,IF(OR(입력란!$C$9=1,입력란!$C$10=1),60,20),IF(입력란!$C$30=3,IF(OR(입력란!$C$9=1,입력란!$C$10=1),65,22),0))))/100-1))</f>
        <v>2779481.0099452832</v>
      </c>
      <c r="M329" s="21"/>
      <c r="N329" s="21"/>
      <c r="O329" s="21"/>
      <c r="P329" s="21"/>
      <c r="Q329" s="20"/>
      <c r="R329" s="19">
        <f>SUM(S329:Z329)</f>
        <v>2898357.1212631455</v>
      </c>
      <c r="S329" s="21">
        <f>AN329*IF(G329="근접",IF(MID(E329,3,1)="1",트라이포드!$J$19,트라이포드!$I$19),1)*IF(MID(E329,3,1)="2",트라이포드!$L$19,트라이포드!$K$19)*IF(MID(E329,5,1)="2",트라이포드!$R$19,트라이포드!$Q$19)*(1+입력란!$P$17/100)*IF(입력란!$C$9=1,IF(입력란!$C$15=0,1.05,IF(입력란!$C$15=1,1.05*1.05,IF(입력란!$C$15=2,1.05*1.12,IF(입력란!$C$15=3,1.05*1.25)))),1)</f>
        <v>592275.17327076255</v>
      </c>
      <c r="T329" s="21">
        <f>AO329*IF(G329="근접",IF(MID(E329,3,1)="1",트라이포드!$J$19,트라이포드!$I$19),1)*IF(MID(E329,3,1)="2",트라이포드!$L$19,트라이포드!$K$19)*IF(MID(E329,5,1)="2",트라이포드!$R$19,트라이포드!$Q$19)*(1+입력란!$P$17/100)*IF(입력란!$C$9=1,IF(입력란!$C$15=0,1.05,IF(입력란!$C$15=1,1.05*1.05,IF(입력란!$C$15=2,1.05*1.12,IF(입력란!$C$15=3,1.05*1.25)))),1)</f>
        <v>592275.17327076255</v>
      </c>
      <c r="U329" s="21">
        <f>AP329*IF(G329="근접",IF(MID(E329,3,1)="1",트라이포드!$J$19,트라이포드!$I$19),1)*IF(MID(E329,3,1)="2",트라이포드!$L$19,트라이포드!$K$19)*IF(MID(E329,5,1)="1",트라이포드!$P$19,트라이포드!$O$19)*IF(MID(E329,5,1)="2",트라이포드!$R$19,트라이포드!$Q$19)*(1+입력란!$P$17/100)*IF(입력란!$C$9=1,IF(입력란!$C$15=0,1.05,IF(입력란!$C$15=1,1.05*1.05,IF(입력란!$C$15=2,1.05*1.12,IF(입력란!$C$15=3,1.05*1.25)))),1)</f>
        <v>1713806.7747216201</v>
      </c>
      <c r="V329" s="21"/>
      <c r="W329" s="21"/>
      <c r="X329" s="21"/>
      <c r="Y329" s="21"/>
      <c r="Z329" s="20"/>
      <c r="AA329" s="21">
        <f>SUM(AB329:AI329)</f>
        <v>5796714.2425262909</v>
      </c>
      <c r="AB329" s="21">
        <f>S329*2</f>
        <v>1184550.3465415251</v>
      </c>
      <c r="AC329" s="21">
        <f>T329*2</f>
        <v>1184550.3465415251</v>
      </c>
      <c r="AD329" s="21">
        <f>U329*2</f>
        <v>3427613.5494432403</v>
      </c>
      <c r="AE329" s="21"/>
      <c r="AF329" s="21"/>
      <c r="AG329" s="21"/>
      <c r="AH329" s="21"/>
      <c r="AI329" s="20"/>
      <c r="AJ329" s="21">
        <f>(AQ329-IF(MID(E329,3,1)="3",트라이포드!$N$19,트라이포드!$M$19))*(1-입력란!$P$10/100)</f>
        <v>35.567196189119997</v>
      </c>
      <c r="AK3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29" s="21">
        <f>입력란!$P$24+IF(입력란!$C$18=1,10,IF(입력란!$C$18=2,25,IF(입력란!$C$18=3,50,0)))+IF(입력란!$C$23&lt;&gt;0,-12)</f>
        <v>200</v>
      </c>
      <c r="AM329" s="21">
        <f>SUM(AN329:AP329)</f>
        <v>902810.47110723681</v>
      </c>
      <c r="AN329" s="21">
        <f>(VLOOKUP(C329,$B$4:$AJ$7,20,FALSE)+VLOOKUP(C329,$B$8:$AJ$11,20,FALSE)*입력란!$P$4)*IF(G329="근접",입력란!$P$27,IF(MID(E329,1,1)="2",입력란!$P$27,입력란!$P$26))*입력란!$P$25/100</f>
        <v>270833.19884260301</v>
      </c>
      <c r="AO329" s="21">
        <f>(VLOOKUP(C329,$B$4:$AJ$7,21,FALSE)+VLOOKUP(C329,$B$8:$AJ$11,21,FALSE)*입력란!$P$4)*IF(G329="근접",입력란!$P$27,IF(MID(E329,1,1)="2",입력란!$P$27,입력란!$P$26))*입력란!$P$25/100</f>
        <v>270833.19884260301</v>
      </c>
      <c r="AP329" s="21">
        <f>(VLOOKUP(C329,$B$4:$AJ$7,22,FALSE)+VLOOKUP(C329,$B$8:$AJ$11,22,FALSE)*입력란!$P$4)*IF(G329="근접",입력란!$P$27,IF(MID(E329,1,1)="2",입력란!$P$27,입력란!$P$26))*입력란!$P$25/100</f>
        <v>361144.07342203078</v>
      </c>
      <c r="AQ329" s="22">
        <v>36</v>
      </c>
    </row>
    <row r="330" spans="2:43" ht="13.5" customHeight="1" x14ac:dyDescent="0.55000000000000004">
      <c r="B330" s="66">
        <v>315</v>
      </c>
      <c r="C330" s="29">
        <v>10</v>
      </c>
      <c r="D330" s="67" t="s">
        <v>208</v>
      </c>
      <c r="E330" s="27" t="s">
        <v>146</v>
      </c>
      <c r="F330" s="29" t="s">
        <v>216</v>
      </c>
      <c r="G330" s="29" t="s">
        <v>200</v>
      </c>
      <c r="H330" s="36">
        <f>I330/AJ330</f>
        <v>228827.59716735812</v>
      </c>
      <c r="I330" s="37">
        <f>SUM(J330:Q330)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8138756.0419363454</v>
      </c>
      <c r="J330" s="21">
        <f>S330*(1+IF($AK330+IF(입력란!$C$9=1,10,0)+IF(입력란!$C$26=1,10,0)&gt;100,100,$AK330+IF(입력란!$C$9=1,10,0)+IF(입력란!$C$26=1,10,0))/100*(($AL330+IF(입력란!$C$30=1,IF(OR(입력란!$C$9=1,입력란!$C$10=1),55,17),IF(입력란!$C$30=2,IF(OR(입력란!$C$9=1,입력란!$C$10=1),60,20),IF(입력란!$C$30=3,IF(OR(입력란!$C$9=1,입력란!$C$10=1),65,22),0))))/100-1))</f>
        <v>1729011.5302899114</v>
      </c>
      <c r="K330" s="21">
        <f>T330*(1+IF($AK330+IF(입력란!$C$9=1,10,0)+IF(입력란!$C$26=1,10,0)&gt;100,100,$AK330+IF(입력란!$C$9=1,10,0)+IF(입력란!$C$26=1,10,0))/100*(($AL330+IF(입력란!$C$30=1,IF(OR(입력란!$C$9=1,입력란!$C$10=1),55,17),IF(입력란!$C$30=2,IF(OR(입력란!$C$9=1,입력란!$C$10=1),60,20),IF(입력란!$C$30=3,IF(OR(입력란!$C$9=1,입력란!$C$10=1),65,22),0))))/100-1))</f>
        <v>1729011.5302899114</v>
      </c>
      <c r="L330" s="21">
        <f>U330*(1+IF($AK330+IF(입력란!$C$9=1,10,0)+IF(입력란!$C$26=1,10,0)&gt;100,100,$AK330+IF(입력란!$C$9=1,10,0)+IF(입력란!$C$26=1,10,0))/100*(($AL330+IF(입력란!$C$30=1,IF(OR(입력란!$C$9=1,입력란!$C$10=1),55,17),IF(입력란!$C$30=2,IF(OR(입력란!$C$9=1,입력란!$C$10=1),60,20),IF(입력란!$C$30=3,IF(OR(입력란!$C$9=1,입력란!$C$10=1),65,22),0))))/100-1))</f>
        <v>2305560.2847472397</v>
      </c>
      <c r="M330" s="21"/>
      <c r="N330" s="21"/>
      <c r="O330" s="21"/>
      <c r="P330" s="21"/>
      <c r="Q330" s="20"/>
      <c r="R330" s="19">
        <f>SUM(S330:Z330)</f>
        <v>3553781.4968157206</v>
      </c>
      <c r="S330" s="21">
        <f>AN330*IF(G330="근접",IF(MID(E330,3,1)="1",트라이포드!$J$19,트라이포드!$I$19),1)*IF(MID(E330,3,1)="2",트라이포드!$L$19,트라이포드!$K$19)*IF(MID(E330,5,1)="2",트라이포드!$R$19,트라이포드!$Q$19)*(1+입력란!$P$17/100)*IF(입력란!$C$9=1,IF(입력란!$C$15=0,1.05,IF(입력란!$C$15=1,1.05*1.05,IF(입력란!$C$15=2,1.05*1.12,IF(입력란!$C$15=3,1.05*1.25)))),1)</f>
        <v>1066095.3118873725</v>
      </c>
      <c r="T330" s="21">
        <f>AO330*IF(G330="근접",IF(MID(E330,3,1)="1",트라이포드!$J$19,트라이포드!$I$19),1)*IF(MID(E330,3,1)="2",트라이포드!$L$19,트라이포드!$K$19)*IF(MID(E330,5,1)="2",트라이포드!$R$19,트라이포드!$Q$19)*(1+입력란!$P$17/100)*IF(입력란!$C$9=1,IF(입력란!$C$15=0,1.05,IF(입력란!$C$15=1,1.05*1.05,IF(입력란!$C$15=2,1.05*1.12,IF(입력란!$C$15=3,1.05*1.25)))),1)</f>
        <v>1066095.3118873725</v>
      </c>
      <c r="U330" s="21">
        <f>AP330*IF(G330="근접",IF(MID(E330,3,1)="1",트라이포드!$J$19,트라이포드!$I$19),1)*IF(MID(E330,3,1)="2",트라이포드!$L$19,트라이포드!$K$19)*IF(MID(E330,5,1)="1",트라이포드!$P$19,트라이포드!$O$19)*IF(MID(E330,5,1)="2",트라이포드!$R$19,트라이포드!$Q$19)*(1+입력란!$P$17/100)*IF(입력란!$C$9=1,IF(입력란!$C$15=0,1.05,IF(입력란!$C$15=1,1.05*1.05,IF(입력란!$C$15=2,1.05*1.12,IF(입력란!$C$15=3,1.05*1.25)))),1)</f>
        <v>1421590.8730409753</v>
      </c>
      <c r="V330" s="21"/>
      <c r="W330" s="21"/>
      <c r="X330" s="21"/>
      <c r="Y330" s="21"/>
      <c r="Z330" s="20"/>
      <c r="AA330" s="21">
        <f>SUM(AB330:AI330)</f>
        <v>7107562.9936314411</v>
      </c>
      <c r="AB330" s="21">
        <f>S330*2</f>
        <v>2132190.623774745</v>
      </c>
      <c r="AC330" s="21">
        <f>T330*2</f>
        <v>2132190.623774745</v>
      </c>
      <c r="AD330" s="21">
        <f>U330*2</f>
        <v>2843181.7460819506</v>
      </c>
      <c r="AE330" s="21"/>
      <c r="AF330" s="21"/>
      <c r="AG330" s="21"/>
      <c r="AH330" s="21"/>
      <c r="AI330" s="20"/>
      <c r="AJ330" s="21">
        <f>(AQ330-IF(MID(E330,3,1)="3",트라이포드!$N$19,트라이포드!$M$19))*(1-입력란!$P$10/100)</f>
        <v>35.567196189119997</v>
      </c>
      <c r="AK3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0" s="21">
        <f>입력란!$P$24+IF(입력란!$C$18=1,10,IF(입력란!$C$18=2,25,IF(입력란!$C$18=3,50,0)))+IF(입력란!$C$23&lt;&gt;0,-12)</f>
        <v>200</v>
      </c>
      <c r="AM330" s="21">
        <f>SUM(AN330:AP330)</f>
        <v>902810.47110723681</v>
      </c>
      <c r="AN330" s="21">
        <f>(VLOOKUP(C330,$B$4:$AJ$7,20,FALSE)+VLOOKUP(C330,$B$8:$AJ$11,20,FALSE)*입력란!$P$4)*IF(G330="근접",입력란!$P$27,IF(MID(E330,1,1)="2",입력란!$P$27,입력란!$P$26))*입력란!$P$25/100</f>
        <v>270833.19884260301</v>
      </c>
      <c r="AO330" s="21">
        <f>(VLOOKUP(C330,$B$4:$AJ$7,21,FALSE)+VLOOKUP(C330,$B$8:$AJ$11,21,FALSE)*입력란!$P$4)*IF(G330="근접",입력란!$P$27,IF(MID(E330,1,1)="2",입력란!$P$27,입력란!$P$26))*입력란!$P$25/100</f>
        <v>270833.19884260301</v>
      </c>
      <c r="AP330" s="21">
        <f>(VLOOKUP(C330,$B$4:$AJ$7,22,FALSE)+VLOOKUP(C330,$B$8:$AJ$11,22,FALSE)*입력란!$P$4)*IF(G330="근접",입력란!$P$27,IF(MID(E330,1,1)="2",입력란!$P$27,입력란!$P$26))*입력란!$P$25/100</f>
        <v>361144.07342203078</v>
      </c>
      <c r="AQ330" s="22">
        <v>36</v>
      </c>
    </row>
    <row r="331" spans="2:43" ht="13.5" customHeight="1" x14ac:dyDescent="0.55000000000000004">
      <c r="B331" s="66">
        <v>316</v>
      </c>
      <c r="C331" s="29">
        <v>10</v>
      </c>
      <c r="D331" s="67" t="s">
        <v>48</v>
      </c>
      <c r="E331" s="27" t="s">
        <v>78</v>
      </c>
      <c r="F331" s="29"/>
      <c r="G331" s="29" t="s">
        <v>37</v>
      </c>
      <c r="H331" s="36">
        <f>I331/AJ331</f>
        <v>117347.48572685033</v>
      </c>
      <c r="I331" s="37">
        <f>SUM(J331:Q331)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4173721.0471468442</v>
      </c>
      <c r="J331" s="21">
        <f>S331*(1+IF($AK331+IF(입력란!$C$9=1,10,0)+IF(입력란!$C$26=1,10,0)&gt;100,100,$AK331+IF(입력란!$C$9=1,10,0)+IF(입력란!$C$26=1,10,0))/100*(($AL331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K331" s="21">
        <f>T331*(1+IF($AK331+IF(입력란!$C$9=1,10,0)+IF(입력란!$C$26=1,10,0)&gt;100,100,$AK331+IF(입력란!$C$9=1,10,0)+IF(입력란!$C$26=1,10,0))/100*(($AL331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L331" s="21">
        <f>U331*(1+IF($AK331+IF(입력란!$C$9=1,10,0)+IF(입력란!$C$26=1,10,0)&gt;100,100,$AK331+IF(입력란!$C$9=1,10,0)+IF(입력란!$C$26=1,10,0))/100*(($AL331+IF(입력란!$C$30=1,IF(OR(입력란!$C$9=1,입력란!$C$10=1),55,17),IF(입력란!$C$30=2,IF(OR(입력란!$C$9=1,입력란!$C$10=1),60,20),IF(입력란!$C$30=3,IF(OR(입력란!$C$9=1,입력란!$C$10=1),65,22),0))))/100-1))</f>
        <v>1182338.607562687</v>
      </c>
      <c r="M331" s="21"/>
      <c r="N331" s="21"/>
      <c r="O331" s="21"/>
      <c r="P331" s="21"/>
      <c r="Q331" s="20"/>
      <c r="R331" s="19">
        <f>SUM(S331:Z331)</f>
        <v>1822452.0496490872</v>
      </c>
      <c r="S331" s="21">
        <f>AN331*IF(G331="근접",IF(MID(E331,3,1)="1",트라이포드!$J$19,트라이포드!$I$19),1)*IF(MID(E331,3,1)="2",트라이포드!$L$19,트라이포드!$K$19)*IF(MID(E331,5,1)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T331" s="21">
        <f>AO331*IF(G331="근접",IF(MID(E331,3,1)="1",트라이포드!$J$19,트라이포드!$I$19),1)*IF(MID(E331,3,1)="2",트라이포드!$L$19,트라이포드!$K$19)*IF(MID(E331,5,1)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U331" s="21">
        <f>AP331*IF(G331="근접",IF(MID(E331,3,1)="1",트라이포드!$J$19,트라이포드!$I$19),1)*IF(MID(E331,3,1)="2",트라이포드!$L$19,트라이포드!$K$19)*IF(MID(E331,5,1)="1",트라이포드!$P$19,트라이포드!$O$19)*IF(MID(E331,5,1)="2",트라이포드!$R$19,트라이포드!$Q$19)*(1+입력란!$P$17/100)*IF(입력란!$C$9=1,IF(입력란!$C$15=0,1.05,IF(입력란!$C$15=1,1.05*1.05,IF(입력란!$C$15=2,1.05*1.12,IF(입력란!$C$15=3,1.05*1.25)))),1)</f>
        <v>729020.96053383348</v>
      </c>
      <c r="V331" s="21"/>
      <c r="W331" s="21"/>
      <c r="X331" s="21"/>
      <c r="Y331" s="21"/>
      <c r="Z331" s="20"/>
      <c r="AA331" s="21">
        <f>SUM(AB331:AI331)</f>
        <v>3644904.0992981745</v>
      </c>
      <c r="AB331" s="21">
        <f>S331*2</f>
        <v>1093431.0891152539</v>
      </c>
      <c r="AC331" s="21">
        <f>T331*2</f>
        <v>1093431.0891152539</v>
      </c>
      <c r="AD331" s="21">
        <f>U331*2</f>
        <v>1458041.921067667</v>
      </c>
      <c r="AE331" s="21"/>
      <c r="AF331" s="21"/>
      <c r="AG331" s="21"/>
      <c r="AH331" s="21"/>
      <c r="AI331" s="20"/>
      <c r="AJ331" s="21">
        <f>(AQ331-IF(MID(E331,3,1)="3",트라이포드!$N$19,트라이포드!$M$19))*(1-입력란!$P$10/100)</f>
        <v>35.567196189119997</v>
      </c>
      <c r="AK3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1" s="21">
        <f>입력란!$P$24+IF(입력란!$C$18=1,10,IF(입력란!$C$18=2,25,IF(입력란!$C$18=3,50,0)))+IF(입력란!$C$23&lt;&gt;0,-12)</f>
        <v>200</v>
      </c>
      <c r="AM331" s="21">
        <f>SUM(AN331:AP331)</f>
        <v>902810.47110723681</v>
      </c>
      <c r="AN331" s="21">
        <f>(VLOOKUP(C331,$B$4:$AJ$7,20,FALSE)+VLOOKUP(C331,$B$8:$AJ$11,20,FALSE)*입력란!$P$4)*IF(G331="근접",입력란!$P$27,IF(MID(E331,1,1)="2",입력란!$P$27,입력란!$P$26))*입력란!$P$25/100</f>
        <v>270833.19884260301</v>
      </c>
      <c r="AO331" s="21">
        <f>(VLOOKUP(C331,$B$4:$AJ$7,21,FALSE)+VLOOKUP(C331,$B$8:$AJ$11,21,FALSE)*입력란!$P$4)*IF(G331="근접",입력란!$P$27,IF(MID(E331,1,1)="2",입력란!$P$27,입력란!$P$26))*입력란!$P$25/100</f>
        <v>270833.19884260301</v>
      </c>
      <c r="AP331" s="21">
        <f>(VLOOKUP(C331,$B$4:$AJ$7,22,FALSE)+VLOOKUP(C331,$B$8:$AJ$11,22,FALSE)*입력란!$P$4)*IF(G331="근접",입력란!$P$27,IF(MID(E331,1,1)="2",입력란!$P$27,입력란!$P$26))*입력란!$P$25/100</f>
        <v>361144.07342203078</v>
      </c>
      <c r="AQ331" s="22">
        <v>36</v>
      </c>
    </row>
    <row r="332" spans="2:43" ht="13.5" customHeight="1" x14ac:dyDescent="0.55000000000000004">
      <c r="B332" s="66">
        <v>317</v>
      </c>
      <c r="C332" s="29">
        <v>10</v>
      </c>
      <c r="D332" s="67" t="s">
        <v>208</v>
      </c>
      <c r="E332" s="27" t="s">
        <v>140</v>
      </c>
      <c r="F332" s="29"/>
      <c r="G332" s="29" t="s">
        <v>200</v>
      </c>
      <c r="H332" s="36">
        <f>I332/AJ332</f>
        <v>172269.1330916908</v>
      </c>
      <c r="I332" s="37">
        <f>SUM(J332:Q332)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6127130.0540017905</v>
      </c>
      <c r="J332" s="21">
        <f>S332*(1+IF($AK332+IF(입력란!$C$9=1,10,0)+IF(입력란!$C$26=1,10,0)&gt;100,100,$AK332+IF(입력란!$C$9=1,10,0)+IF(입력란!$C$26=1,10,0))/100*(($AL332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K332" s="21">
        <f>T332*(1+IF($AK332+IF(입력란!$C$9=1,10,0)+IF(입력란!$C$26=1,10,0)&gt;100,100,$AK332+IF(입력란!$C$9=1,10,0)+IF(입력란!$C$26=1,10,0))/100*(($AL332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L332" s="21">
        <f>U332*(1+IF($AK332+IF(입력란!$C$9=1,10,0)+IF(입력란!$C$26=1,10,0)&gt;100,100,$AK332+IF(입력란!$C$9=1,10,0)+IF(입력란!$C$26=1,10,0))/100*(($AL332+IF(입력란!$C$30=1,IF(OR(입력란!$C$9=1,입력란!$C$10=1),55,17),IF(입력란!$C$30=2,IF(OR(입력란!$C$9=1,입력란!$C$10=1),60,20),IF(입력란!$C$30=3,IF(OR(입력란!$C$9=1,입력란!$C$10=1),65,22),0))))/100-1))</f>
        <v>2565674.7784110303</v>
      </c>
      <c r="M332" s="21"/>
      <c r="N332" s="21"/>
      <c r="O332" s="21"/>
      <c r="P332" s="21"/>
      <c r="Q332" s="20"/>
      <c r="R332" s="19">
        <f>SUM(S332:Z332)</f>
        <v>2675406.5734736724</v>
      </c>
      <c r="S332" s="21">
        <f>AN332*IF(G332="근접",IF(MID(E332,3,1)="1",트라이포드!$J$19,트라이포드!$I$19),1)*IF(MID(E332,3,1)="2",트라이포드!$L$19,트라이포드!$K$19)*IF(MID(E332,5,1)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T332" s="21">
        <f>AO332*IF(G332="근접",IF(MID(E332,3,1)="1",트라이포드!$J$19,트라이포드!$I$19),1)*IF(MID(E332,3,1)="2",트라이포드!$L$19,트라이포드!$K$19)*IF(MID(E332,5,1)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U332" s="21">
        <f>AP332*IF(G332="근접",IF(MID(E332,3,1)="1",트라이포드!$J$19,트라이포드!$I$19),1)*IF(MID(E332,3,1)="2",트라이포드!$L$19,트라이포드!$K$19)*IF(MID(E332,5,1)="1",트라이포드!$P$19,트라이포드!$O$19)*IF(MID(E332,5,1)="2",트라이포드!$R$19,트라이포드!$Q$19)*(1+입력란!$P$17/100)*IF(입력란!$C$9=1,IF(입력란!$C$15=0,1.05,IF(입력란!$C$15=1,1.05*1.05,IF(입력란!$C$15=2,1.05*1.12,IF(입력란!$C$15=3,1.05*1.25)))),1)</f>
        <v>1581975.4843584183</v>
      </c>
      <c r="V332" s="21"/>
      <c r="W332" s="21"/>
      <c r="X332" s="21"/>
      <c r="Y332" s="21"/>
      <c r="Z332" s="20"/>
      <c r="AA332" s="21">
        <f>SUM(AB332:AI332)</f>
        <v>5350813.1469473448</v>
      </c>
      <c r="AB332" s="21">
        <f>S332*2</f>
        <v>1093431.0891152539</v>
      </c>
      <c r="AC332" s="21">
        <f>T332*2</f>
        <v>1093431.0891152539</v>
      </c>
      <c r="AD332" s="21">
        <f>U332*2</f>
        <v>3163950.9687168365</v>
      </c>
      <c r="AE332" s="21"/>
      <c r="AF332" s="21"/>
      <c r="AG332" s="21"/>
      <c r="AH332" s="21"/>
      <c r="AI332" s="20"/>
      <c r="AJ332" s="21">
        <f>(AQ332-IF(MID(E332,3,1)="3",트라이포드!$N$19,트라이포드!$M$19))*(1-입력란!$P$10/100)</f>
        <v>35.567196189119997</v>
      </c>
      <c r="AK3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2" s="21">
        <f>입력란!$P$24+IF(입력란!$C$18=1,10,IF(입력란!$C$18=2,25,IF(입력란!$C$18=3,50,0)))+IF(입력란!$C$23&lt;&gt;0,-12)</f>
        <v>200</v>
      </c>
      <c r="AM332" s="21">
        <f>SUM(AN332:AP332)</f>
        <v>902810.47110723681</v>
      </c>
      <c r="AN332" s="21">
        <f>(VLOOKUP(C332,$B$4:$AJ$7,20,FALSE)+VLOOKUP(C332,$B$8:$AJ$11,20,FALSE)*입력란!$P$4)*IF(G332="근접",입력란!$P$27,IF(MID(E332,1,1)="2",입력란!$P$27,입력란!$P$26))*입력란!$P$25/100</f>
        <v>270833.19884260301</v>
      </c>
      <c r="AO332" s="21">
        <f>(VLOOKUP(C332,$B$4:$AJ$7,21,FALSE)+VLOOKUP(C332,$B$8:$AJ$11,21,FALSE)*입력란!$P$4)*IF(G332="근접",입력란!$P$27,IF(MID(E332,1,1)="2",입력란!$P$27,입력란!$P$26))*입력란!$P$25/100</f>
        <v>270833.19884260301</v>
      </c>
      <c r="AP332" s="21">
        <f>(VLOOKUP(C332,$B$4:$AJ$7,22,FALSE)+VLOOKUP(C332,$B$8:$AJ$11,22,FALSE)*입력란!$P$4)*IF(G332="근접",입력란!$P$27,IF(MID(E332,1,1)="2",입력란!$P$27,입력란!$P$26))*입력란!$P$25/100</f>
        <v>361144.07342203078</v>
      </c>
      <c r="AQ332" s="22">
        <v>36</v>
      </c>
    </row>
    <row r="333" spans="2:43" ht="13.5" customHeight="1" x14ac:dyDescent="0.55000000000000004">
      <c r="B333" s="66">
        <v>318</v>
      </c>
      <c r="C333" s="29">
        <v>10</v>
      </c>
      <c r="D333" s="67" t="s">
        <v>48</v>
      </c>
      <c r="E333" s="27" t="s">
        <v>147</v>
      </c>
      <c r="F333" s="29" t="s">
        <v>413</v>
      </c>
      <c r="G333" s="29" t="s">
        <v>37</v>
      </c>
      <c r="H333" s="36">
        <f>I333/AJ333</f>
        <v>211225.47430833062</v>
      </c>
      <c r="I333" s="37">
        <f>SUM(J333:Q333)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7512697.884864321</v>
      </c>
      <c r="J333" s="21">
        <f>S333*(1+IF($AK333+IF(입력란!$C$9=1,10,0)+IF(입력란!$C$26=1,10,0)&gt;100,100,$AK333+IF(입력란!$C$9=1,10,0)+IF(입력란!$C$26=1,10,0))/100*(($AL333+IF(입력란!$C$30=1,IF(OR(입력란!$C$9=1,입력란!$C$10=1),55,17),IF(입력란!$C$30=2,IF(OR(입력란!$C$9=1,입력란!$C$10=1),60,20),IF(입력란!$C$30=3,IF(OR(입력란!$C$9=1,입력란!$C$10=1),65,22),0))))/100-1))</f>
        <v>1596010.6433445341</v>
      </c>
      <c r="K333" s="21">
        <f>T333*(1+IF($AK333+IF(입력란!$C$9=1,10,0)+IF(입력란!$C$26=1,10,0)&gt;100,100,$AK333+IF(입력란!$C$9=1,10,0)+IF(입력란!$C$26=1,10,0))/100*(($AL333+IF(입력란!$C$30=1,IF(OR(입력란!$C$9=1,입력란!$C$10=1),55,17),IF(입력란!$C$30=2,IF(OR(입력란!$C$9=1,입력란!$C$10=1),60,20),IF(입력란!$C$30=3,IF(OR(입력란!$C$9=1,입력란!$C$10=1),65,22),0))))/100-1))</f>
        <v>1596010.6433445341</v>
      </c>
      <c r="L333" s="21">
        <f>U333*(1+IF($AK333+IF(입력란!$C$9=1,10,0)+IF(입력란!$C$26=1,10,0)&gt;100,100,$AK333+IF(입력란!$C$9=1,10,0)+IF(입력란!$C$26=1,10,0))/100*(($AL333+IF(입력란!$C$30=1,IF(OR(입력란!$C$9=1,입력란!$C$10=1),55,17),IF(입력란!$C$30=2,IF(OR(입력란!$C$9=1,입력란!$C$10=1),60,20),IF(입력란!$C$30=3,IF(OR(입력란!$C$9=1,입력란!$C$10=1),65,22),0))))/100-1))</f>
        <v>2128209.493612837</v>
      </c>
      <c r="M333" s="21"/>
      <c r="N333" s="21"/>
      <c r="O333" s="21"/>
      <c r="P333" s="21"/>
      <c r="Q333" s="20"/>
      <c r="R333" s="19">
        <f>SUM(S333:Z333)</f>
        <v>3280413.6893683579</v>
      </c>
      <c r="S333" s="21">
        <f>AN333*IF(G333="근접",IF(MID(E333,3,1)="1",트라이포드!$J$19,트라이포드!$I$19),1)*IF(MID(E333,3,1)="2",트라이포드!$L$19,트라이포드!$K$19)*IF(MID(E333,5,1)="2",트라이포드!$R$19,트라이포드!$Q$19)*(1+입력란!$P$17/100)*IF(입력란!$C$9=1,IF(입력란!$C$15=0,1.05,IF(입력란!$C$15=1,1.05*1.05,IF(입력란!$C$15=2,1.05*1.12,IF(입력란!$C$15=3,1.05*1.25)))),1)</f>
        <v>984087.98020372866</v>
      </c>
      <c r="T333" s="21">
        <f>AO333*IF(G333="근접",IF(MID(E333,3,1)="1",트라이포드!$J$19,트라이포드!$I$19),1)*IF(MID(E333,3,1)="2",트라이포드!$L$19,트라이포드!$K$19)*IF(MID(E333,5,1)="2",트라이포드!$R$19,트라이포드!$Q$19)*(1+입력란!$P$17/100)*IF(입력란!$C$9=1,IF(입력란!$C$15=0,1.05,IF(입력란!$C$15=1,1.05*1.05,IF(입력란!$C$15=2,1.05*1.12,IF(입력란!$C$15=3,1.05*1.25)))),1)</f>
        <v>984087.98020372866</v>
      </c>
      <c r="U333" s="21">
        <f>AP333*IF(G333="근접",IF(MID(E333,3,1)="1",트라이포드!$J$19,트라이포드!$I$19),1)*IF(MID(E333,3,1)="2",트라이포드!$L$19,트라이포드!$K$19)*IF(MID(E333,5,1)="1",트라이포드!$P$19,트라이포드!$O$19)*IF(MID(E333,5,1)="2",트라이포드!$R$19,트라이포드!$Q$19)*(1+입력란!$P$17/100)*IF(입력란!$C$9=1,IF(입력란!$C$15=0,1.05,IF(입력란!$C$15=1,1.05*1.05,IF(입력란!$C$15=2,1.05*1.12,IF(입력란!$C$15=3,1.05*1.25)))),1)</f>
        <v>1312237.7289609003</v>
      </c>
      <c r="V333" s="21"/>
      <c r="W333" s="21"/>
      <c r="X333" s="21"/>
      <c r="Y333" s="21"/>
      <c r="Z333" s="20"/>
      <c r="AA333" s="21">
        <f>SUM(AB333:AI333)</f>
        <v>6560827.3787367158</v>
      </c>
      <c r="AB333" s="21">
        <f>S333*2</f>
        <v>1968175.9604074573</v>
      </c>
      <c r="AC333" s="21">
        <f>T333*2</f>
        <v>1968175.9604074573</v>
      </c>
      <c r="AD333" s="21">
        <f>U333*2</f>
        <v>2624475.4579218007</v>
      </c>
      <c r="AE333" s="21"/>
      <c r="AF333" s="21"/>
      <c r="AG333" s="21"/>
      <c r="AH333" s="21"/>
      <c r="AI333" s="20"/>
      <c r="AJ333" s="21">
        <f>(AQ333-IF(MID(E333,3,1)="3",트라이포드!$N$19,트라이포드!$M$19))*(1-입력란!$P$10/100)</f>
        <v>35.567196189119997</v>
      </c>
      <c r="AK3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3" s="21">
        <f>입력란!$P$24+IF(입력란!$C$18=1,10,IF(입력란!$C$18=2,25,IF(입력란!$C$18=3,50,0)))+IF(입력란!$C$23&lt;&gt;0,-12)</f>
        <v>200</v>
      </c>
      <c r="AM333" s="21">
        <f>SUM(AN333:AP333)</f>
        <v>902810.47110723681</v>
      </c>
      <c r="AN333" s="21">
        <f>(VLOOKUP(C333,$B$4:$AJ$7,20,FALSE)+VLOOKUP(C333,$B$8:$AJ$11,20,FALSE)*입력란!$P$4)*IF(G333="근접",입력란!$P$27,IF(MID(E333,1,1)="2",입력란!$P$27,입력란!$P$26))*입력란!$P$25/100</f>
        <v>270833.19884260301</v>
      </c>
      <c r="AO333" s="21">
        <f>(VLOOKUP(C333,$B$4:$AJ$7,21,FALSE)+VLOOKUP(C333,$B$8:$AJ$11,21,FALSE)*입력란!$P$4)*IF(G333="근접",입력란!$P$27,IF(MID(E333,1,1)="2",입력란!$P$27,입력란!$P$26))*입력란!$P$25/100</f>
        <v>270833.19884260301</v>
      </c>
      <c r="AP333" s="21">
        <f>(VLOOKUP(C333,$B$4:$AJ$7,22,FALSE)+VLOOKUP(C333,$B$8:$AJ$11,22,FALSE)*입력란!$P$4)*IF(G333="근접",입력란!$P$27,IF(MID(E333,1,1)="2",입력란!$P$27,입력란!$P$26))*입력란!$P$25/100</f>
        <v>361144.07342203078</v>
      </c>
      <c r="AQ333" s="22">
        <v>36</v>
      </c>
    </row>
    <row r="334" spans="2:43" ht="13.5" customHeight="1" x14ac:dyDescent="0.55000000000000004">
      <c r="B334" s="66">
        <v>319</v>
      </c>
      <c r="C334" s="29">
        <v>10</v>
      </c>
      <c r="D334" s="67" t="s">
        <v>208</v>
      </c>
      <c r="E334" s="27" t="s">
        <v>79</v>
      </c>
      <c r="F334" s="29"/>
      <c r="G334" s="29" t="s">
        <v>200</v>
      </c>
      <c r="H334" s="36">
        <f>I334/AJ334</f>
        <v>140816.9828722204</v>
      </c>
      <c r="I334" s="37">
        <f>SUM(J334:Q334)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3478100.8726223703</v>
      </c>
      <c r="J334" s="21">
        <f>S334*(1+IF($AK334+IF(입력란!$C$9=1,10,0)+IF(입력란!$C$26=1,10,0)&gt;100,100,$AK334+IF(입력란!$C$9=1,10,0)+IF(입력란!$C$26=1,10,0))/100*(($AL334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K334" s="21">
        <f>T334*(1+IF($AK334+IF(입력란!$C$9=1,10,0)+IF(입력란!$C$26=1,10,0)&gt;100,100,$AK334+IF(입력란!$C$9=1,10,0)+IF(입력란!$C$26=1,10,0))/100*(($AL334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L334" s="21">
        <f>U334*(1+IF($AK334+IF(입력란!$C$9=1,10,0)+IF(입력란!$C$26=1,10,0)&gt;100,100,$AK334+IF(입력란!$C$9=1,10,0)+IF(입력란!$C$26=1,10,0))/100*(($AL334+IF(입력란!$C$30=1,IF(OR(입력란!$C$9=1,입력란!$C$10=1),55,17),IF(입력란!$C$30=2,IF(OR(입력란!$C$9=1,입력란!$C$10=1),60,20),IF(입력란!$C$30=3,IF(OR(입력란!$C$9=1,입력란!$C$10=1),65,22),0))))/100-1))</f>
        <v>985282.17296890588</v>
      </c>
      <c r="M334" s="21"/>
      <c r="N334" s="21"/>
      <c r="O334" s="21"/>
      <c r="P334" s="21"/>
      <c r="Q334" s="20"/>
      <c r="R334" s="19">
        <f>SUM(S334:Z334)</f>
        <v>1518710.0413742396</v>
      </c>
      <c r="S334" s="21">
        <f>AN334*IF(G334="근접",IF(MID(E334,3,1)="1",트라이포드!$J$19,트라이포드!$I$19),1)*IF(MID(E334,3,1)="2",트라이포드!$L$19,트라이포드!$K$19)*IF(MID(E334,5,1)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T334" s="21">
        <f>AO334*IF(G334="근접",IF(MID(E334,3,1)="1",트라이포드!$J$19,트라이포드!$I$19),1)*IF(MID(E334,3,1)="2",트라이포드!$L$19,트라이포드!$K$19)*IF(MID(E334,5,1)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U334" s="21">
        <f>AP334*IF(G334="근접",IF(MID(E334,3,1)="1",트라이포드!$J$19,트라이포드!$I$19),1)*IF(MID(E334,3,1)="2",트라이포드!$L$19,트라이포드!$K$19)*IF(MID(E334,5,1)="1",트라이포드!$P$19,트라이포드!$O$19)*IF(MID(E334,5,1)="2",트라이포드!$R$19,트라이포드!$Q$19)*(1+입력란!$P$17/100)*IF(입력란!$C$9=1,IF(입력란!$C$15=0,1.05,IF(입력란!$C$15=1,1.05*1.05,IF(입력란!$C$15=2,1.05*1.12,IF(입력란!$C$15=3,1.05*1.25)))),1)</f>
        <v>607517.46711152792</v>
      </c>
      <c r="V334" s="21"/>
      <c r="W334" s="21"/>
      <c r="X334" s="21"/>
      <c r="Y334" s="21"/>
      <c r="Z334" s="20"/>
      <c r="AA334" s="21">
        <f>SUM(AB334:AI334)</f>
        <v>3037420.0827484792</v>
      </c>
      <c r="AB334" s="21">
        <f>S334*2</f>
        <v>911192.57426271157</v>
      </c>
      <c r="AC334" s="21">
        <f>T334*2</f>
        <v>911192.57426271157</v>
      </c>
      <c r="AD334" s="21">
        <f>U334*2</f>
        <v>1215034.9342230558</v>
      </c>
      <c r="AE334" s="21"/>
      <c r="AF334" s="21"/>
      <c r="AG334" s="21"/>
      <c r="AH334" s="21"/>
      <c r="AI334" s="20"/>
      <c r="AJ334" s="21">
        <f>(AQ334-IF(MID(E334,3,1)="3",트라이포드!$N$19,트라이포드!$M$19))*(1-입력란!$P$10/100)</f>
        <v>24.699441797999999</v>
      </c>
      <c r="AK3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4" s="21">
        <f>입력란!$P$24+IF(입력란!$C$18=1,10,IF(입력란!$C$18=2,25,IF(입력란!$C$18=3,50,0)))+IF(입력란!$C$23&lt;&gt;0,-12)</f>
        <v>200</v>
      </c>
      <c r="AM334" s="21">
        <f>SUM(AN334:AP334)</f>
        <v>902810.47110723681</v>
      </c>
      <c r="AN334" s="21">
        <f>(VLOOKUP(C334,$B$4:$AJ$7,20,FALSE)+VLOOKUP(C334,$B$8:$AJ$11,20,FALSE)*입력란!$P$4)*IF(G334="근접",입력란!$P$27,IF(MID(E334,1,1)="2",입력란!$P$27,입력란!$P$26))*입력란!$P$25/100</f>
        <v>270833.19884260301</v>
      </c>
      <c r="AO334" s="21">
        <f>(VLOOKUP(C334,$B$4:$AJ$7,21,FALSE)+VLOOKUP(C334,$B$8:$AJ$11,21,FALSE)*입력란!$P$4)*IF(G334="근접",입력란!$P$27,IF(MID(E334,1,1)="2",입력란!$P$27,입력란!$P$26))*입력란!$P$25/100</f>
        <v>270833.19884260301</v>
      </c>
      <c r="AP334" s="21">
        <f>(VLOOKUP(C334,$B$4:$AJ$7,22,FALSE)+VLOOKUP(C334,$B$8:$AJ$11,22,FALSE)*입력란!$P$4)*IF(G334="근접",입력란!$P$27,IF(MID(E334,1,1)="2",입력란!$P$27,입력란!$P$26))*입력란!$P$25/100</f>
        <v>361144.07342203078</v>
      </c>
      <c r="AQ334" s="22">
        <v>36</v>
      </c>
    </row>
    <row r="335" spans="2:43" ht="13.5" customHeight="1" x14ac:dyDescent="0.55000000000000004">
      <c r="B335" s="66">
        <v>320</v>
      </c>
      <c r="C335" s="29">
        <v>10</v>
      </c>
      <c r="D335" s="67" t="s">
        <v>48</v>
      </c>
      <c r="E335" s="27" t="s">
        <v>126</v>
      </c>
      <c r="F335" s="29"/>
      <c r="G335" s="29" t="s">
        <v>37</v>
      </c>
      <c r="H335" s="36">
        <f>I335/AJ335</f>
        <v>206722.95971002895</v>
      </c>
      <c r="I335" s="37">
        <f>SUM(J335:Q335)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5105941.7116681589</v>
      </c>
      <c r="J335" s="21">
        <f>S335*(1+IF($AK335+IF(입력란!$C$9=1,10,0)+IF(입력란!$C$26=1,10,0)&gt;100,100,$AK335+IF(입력란!$C$9=1,10,0)+IF(입력란!$C$26=1,10,0))/100*(($AL335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K335" s="21">
        <f>T335*(1+IF($AK335+IF(입력란!$C$9=1,10,0)+IF(입력란!$C$26=1,10,0)&gt;100,100,$AK335+IF(입력란!$C$9=1,10,0)+IF(입력란!$C$26=1,10,0))/100*(($AL335+IF(입력란!$C$30=1,IF(OR(입력란!$C$9=1,입력란!$C$10=1),55,17),IF(입력란!$C$30=2,IF(OR(입력란!$C$9=1,입력란!$C$10=1),60,20),IF(입력란!$C$30=3,IF(OR(입력란!$C$9=1,입력란!$C$10=1),65,22),0))))/100-1))</f>
        <v>738893.81636321009</v>
      </c>
      <c r="L335" s="21">
        <f>U335*(1+IF($AK335+IF(입력란!$C$9=1,10,0)+IF(입력란!$C$26=1,10,0)&gt;100,100,$AK335+IF(입력란!$C$9=1,10,0)+IF(입력란!$C$26=1,10,0))/100*(($AL335+IF(입력란!$C$30=1,IF(OR(입력란!$C$9=1,입력란!$C$10=1),55,17),IF(입력란!$C$30=2,IF(OR(입력란!$C$9=1,입력란!$C$10=1),60,20),IF(입력란!$C$30=3,IF(OR(입력란!$C$9=1,입력란!$C$10=1),65,22),0))))/100-1))</f>
        <v>2138062.3153425255</v>
      </c>
      <c r="M335" s="21"/>
      <c r="N335" s="21"/>
      <c r="O335" s="21"/>
      <c r="P335" s="21"/>
      <c r="Q335" s="20"/>
      <c r="R335" s="19">
        <f>SUM(S335:Z335)</f>
        <v>2229505.4778947271</v>
      </c>
      <c r="S335" s="21">
        <f>AN335*IF(G335="근접",IF(MID(E335,3,1)="1",트라이포드!$J$19,트라이포드!$I$19),1)*IF(MID(E335,3,1)="2",트라이포드!$L$19,트라이포드!$K$19)*IF(MID(E335,5,1)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T335" s="21">
        <f>AO335*IF(G335="근접",IF(MID(E335,3,1)="1",트라이포드!$J$19,트라이포드!$I$19),1)*IF(MID(E335,3,1)="2",트라이포드!$L$19,트라이포드!$K$19)*IF(MID(E335,5,1)="2",트라이포드!$R$19,트라이포드!$Q$19)*(1+입력란!$P$17/100)*IF(입력란!$C$9=1,IF(입력란!$C$15=0,1.05,IF(입력란!$C$15=1,1.05*1.05,IF(입력란!$C$15=2,1.05*1.12,IF(입력란!$C$15=3,1.05*1.25)))),1)</f>
        <v>455596.28713135578</v>
      </c>
      <c r="U335" s="21">
        <f>AP335*IF(G335="근접",IF(MID(E335,3,1)="1",트라이포드!$J$19,트라이포드!$I$19),1)*IF(MID(E335,3,1)="2",트라이포드!$L$19,트라이포드!$K$19)*IF(MID(E335,5,1)="1",트라이포드!$P$19,트라이포드!$O$19)*IF(MID(E335,5,1)="2",트라이포드!$R$19,트라이포드!$Q$19)*(1+입력란!$P$17/100)*IF(입력란!$C$9=1,IF(입력란!$C$15=0,1.05,IF(입력란!$C$15=1,1.05*1.05,IF(입력란!$C$15=2,1.05*1.12,IF(입력란!$C$15=3,1.05*1.25)))),1)</f>
        <v>1318312.9036320155</v>
      </c>
      <c r="V335" s="21"/>
      <c r="W335" s="21"/>
      <c r="X335" s="21"/>
      <c r="Y335" s="21"/>
      <c r="Z335" s="20"/>
      <c r="AA335" s="21">
        <f>SUM(AB335:AI335)</f>
        <v>4459010.9557894543</v>
      </c>
      <c r="AB335" s="21">
        <f>S335*2</f>
        <v>911192.57426271157</v>
      </c>
      <c r="AC335" s="21">
        <f>T335*2</f>
        <v>911192.57426271157</v>
      </c>
      <c r="AD335" s="21">
        <f>U335*2</f>
        <v>2636625.8072640309</v>
      </c>
      <c r="AE335" s="21"/>
      <c r="AF335" s="21"/>
      <c r="AG335" s="21"/>
      <c r="AH335" s="21"/>
      <c r="AI335" s="20"/>
      <c r="AJ335" s="21">
        <f>(AQ335-IF(MID(E335,3,1)="3",트라이포드!$N$19,트라이포드!$M$19))*(1-입력란!$P$10/100)</f>
        <v>24.699441797999999</v>
      </c>
      <c r="AK3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5" s="21">
        <f>입력란!$P$24+IF(입력란!$C$18=1,10,IF(입력란!$C$18=2,25,IF(입력란!$C$18=3,50,0)))+IF(입력란!$C$23&lt;&gt;0,-12)</f>
        <v>200</v>
      </c>
      <c r="AM335" s="21">
        <f>SUM(AN335:AP335)</f>
        <v>902810.47110723681</v>
      </c>
      <c r="AN335" s="21">
        <f>(VLOOKUP(C335,$B$4:$AJ$7,20,FALSE)+VLOOKUP(C335,$B$8:$AJ$11,20,FALSE)*입력란!$P$4)*IF(G335="근접",입력란!$P$27,IF(MID(E335,1,1)="2",입력란!$P$27,입력란!$P$26))*입력란!$P$25/100</f>
        <v>270833.19884260301</v>
      </c>
      <c r="AO335" s="21">
        <f>(VLOOKUP(C335,$B$4:$AJ$7,21,FALSE)+VLOOKUP(C335,$B$8:$AJ$11,21,FALSE)*입력란!$P$4)*IF(G335="근접",입력란!$P$27,IF(MID(E335,1,1)="2",입력란!$P$27,입력란!$P$26))*입력란!$P$25/100</f>
        <v>270833.19884260301</v>
      </c>
      <c r="AP335" s="21">
        <f>(VLOOKUP(C335,$B$4:$AJ$7,22,FALSE)+VLOOKUP(C335,$B$8:$AJ$11,22,FALSE)*입력란!$P$4)*IF(G335="근접",입력란!$P$27,IF(MID(E335,1,1)="2",입력란!$P$27,입력란!$P$26))*입력란!$P$25/100</f>
        <v>361144.07342203078</v>
      </c>
      <c r="AQ335" s="22">
        <v>36</v>
      </c>
    </row>
    <row r="336" spans="2:43" ht="13.5" customHeight="1" x14ac:dyDescent="0.55000000000000004">
      <c r="B336" s="66">
        <v>321</v>
      </c>
      <c r="C336" s="29">
        <v>10</v>
      </c>
      <c r="D336" s="67" t="s">
        <v>208</v>
      </c>
      <c r="E336" s="27" t="s">
        <v>127</v>
      </c>
      <c r="F336" s="29" t="s">
        <v>136</v>
      </c>
      <c r="G336" s="29" t="s">
        <v>200</v>
      </c>
      <c r="H336" s="36">
        <f>I336/AJ336</f>
        <v>253470.56916999671</v>
      </c>
      <c r="I336" s="37">
        <f>SUM(J336:Q336)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6260581.5707202666</v>
      </c>
      <c r="J336" s="21">
        <f>S336*(1+IF($AK336+IF(입력란!$C$9=1,10,0)+IF(입력란!$C$26=1,10,0)&gt;100,100,$AK336+IF(입력란!$C$9=1,10,0)+IF(입력란!$C$26=1,10,0))/100*(($AL336+IF(입력란!$C$30=1,IF(OR(입력란!$C$9=1,입력란!$C$10=1),55,17),IF(입력란!$C$30=2,IF(OR(입력란!$C$9=1,입력란!$C$10=1),60,20),IF(입력란!$C$30=3,IF(OR(입력란!$C$9=1,입력란!$C$10=1),65,22),0))))/100-1))</f>
        <v>1330008.8694537783</v>
      </c>
      <c r="K336" s="21">
        <f>T336*(1+IF($AK336+IF(입력란!$C$9=1,10,0)+IF(입력란!$C$26=1,10,0)&gt;100,100,$AK336+IF(입력란!$C$9=1,10,0)+IF(입력란!$C$26=1,10,0))/100*(($AL336+IF(입력란!$C$30=1,IF(OR(입력란!$C$9=1,입력란!$C$10=1),55,17),IF(입력란!$C$30=2,IF(OR(입력란!$C$9=1,입력란!$C$10=1),60,20),IF(입력란!$C$30=3,IF(OR(입력란!$C$9=1,입력란!$C$10=1),65,22),0))))/100-1))</f>
        <v>1330008.8694537783</v>
      </c>
      <c r="L336" s="21">
        <f>U336*(1+IF($AK336+IF(입력란!$C$9=1,10,0)+IF(입력란!$C$26=1,10,0)&gt;100,100,$AK336+IF(입력란!$C$9=1,10,0)+IF(입력란!$C$26=1,10,0))/100*(($AL336+IF(입력란!$C$30=1,IF(OR(입력란!$C$9=1,입력란!$C$10=1),55,17),IF(입력란!$C$30=2,IF(OR(입력란!$C$9=1,입력란!$C$10=1),60,20),IF(입력란!$C$30=3,IF(OR(입력란!$C$9=1,입력란!$C$10=1),65,22),0))))/100-1))</f>
        <v>1773507.9113440304</v>
      </c>
      <c r="M336" s="21"/>
      <c r="N336" s="21"/>
      <c r="O336" s="21"/>
      <c r="P336" s="21"/>
      <c r="Q336" s="20"/>
      <c r="R336" s="19">
        <f>SUM(S336:Z336)</f>
        <v>2733678.0744736311</v>
      </c>
      <c r="S336" s="21">
        <f>AN336*IF(G336="근접",IF(MID(E336,3,1)="1",트라이포드!$J$19,트라이포드!$I$19),1)*IF(MID(E336,3,1)="2",트라이포드!$L$19,트라이포드!$K$19)*IF(MID(E336,5,1)="2",트라이포드!$R$19,트라이포드!$Q$19)*(1+입력란!$P$17/100)*IF(입력란!$C$9=1,IF(입력란!$C$15=0,1.05,IF(입력란!$C$15=1,1.05*1.05,IF(입력란!$C$15=2,1.05*1.12,IF(입력란!$C$15=3,1.05*1.25)))),1)</f>
        <v>820073.31683644047</v>
      </c>
      <c r="T336" s="21">
        <f>AO336*IF(G336="근접",IF(MID(E336,3,1)="1",트라이포드!$J$19,트라이포드!$I$19),1)*IF(MID(E336,3,1)="2",트라이포드!$L$19,트라이포드!$K$19)*IF(MID(E336,5,1)="2",트라이포드!$R$19,트라이포드!$Q$19)*(1+입력란!$P$17/100)*IF(입력란!$C$9=1,IF(입력란!$C$15=0,1.05,IF(입력란!$C$15=1,1.05*1.05,IF(입력란!$C$15=2,1.05*1.12,IF(입력란!$C$15=3,1.05*1.25)))),1)</f>
        <v>820073.31683644047</v>
      </c>
      <c r="U336" s="21">
        <f>AP336*IF(G336="근접",IF(MID(E336,3,1)="1",트라이포드!$J$19,트라이포드!$I$19),1)*IF(MID(E336,3,1)="2",트라이포드!$L$19,트라이포드!$K$19)*IF(MID(E336,5,1)="1",트라이포드!$P$19,트라이포드!$O$19)*IF(MID(E336,5,1)="2",트라이포드!$R$19,트라이포드!$Q$19)*(1+입력란!$P$17/100)*IF(입력란!$C$9=1,IF(입력란!$C$15=0,1.05,IF(입력란!$C$15=1,1.05*1.05,IF(입력란!$C$15=2,1.05*1.12,IF(입력란!$C$15=3,1.05*1.25)))),1)</f>
        <v>1093531.4408007502</v>
      </c>
      <c r="V336" s="21"/>
      <c r="W336" s="21"/>
      <c r="X336" s="21"/>
      <c r="Y336" s="21"/>
      <c r="Z336" s="20"/>
      <c r="AA336" s="21">
        <f>SUM(AB336:AI336)</f>
        <v>5467356.1489472622</v>
      </c>
      <c r="AB336" s="21">
        <f>S336*2</f>
        <v>1640146.6336728809</v>
      </c>
      <c r="AC336" s="21">
        <f>T336*2</f>
        <v>1640146.6336728809</v>
      </c>
      <c r="AD336" s="21">
        <f>U336*2</f>
        <v>2187062.8816015003</v>
      </c>
      <c r="AE336" s="21"/>
      <c r="AF336" s="21"/>
      <c r="AG336" s="21"/>
      <c r="AH336" s="21"/>
      <c r="AI336" s="20"/>
      <c r="AJ336" s="21">
        <f>(AQ336-IF(MID(E336,3,1)="3",트라이포드!$N$19,트라이포드!$M$19))*(1-입력란!$P$10/100)</f>
        <v>24.699441797999999</v>
      </c>
      <c r="AK3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6" s="21">
        <f>입력란!$P$24+IF(입력란!$C$18=1,10,IF(입력란!$C$18=2,25,IF(입력란!$C$18=3,50,0)))+IF(입력란!$C$23&lt;&gt;0,-12)</f>
        <v>200</v>
      </c>
      <c r="AM336" s="21">
        <f>SUM(AN336:AP336)</f>
        <v>902810.47110723681</v>
      </c>
      <c r="AN336" s="21">
        <f>(VLOOKUP(C336,$B$4:$AJ$7,20,FALSE)+VLOOKUP(C336,$B$8:$AJ$11,20,FALSE)*입력란!$P$4)*IF(G336="근접",입력란!$P$27,IF(MID(E336,1,1)="2",입력란!$P$27,입력란!$P$26))*입력란!$P$25/100</f>
        <v>270833.19884260301</v>
      </c>
      <c r="AO336" s="21">
        <f>(VLOOKUP(C336,$B$4:$AJ$7,21,FALSE)+VLOOKUP(C336,$B$8:$AJ$11,21,FALSE)*입력란!$P$4)*IF(G336="근접",입력란!$P$27,IF(MID(E336,1,1)="2",입력란!$P$27,입력란!$P$26))*입력란!$P$25/100</f>
        <v>270833.19884260301</v>
      </c>
      <c r="AP336" s="21">
        <f>(VLOOKUP(C336,$B$4:$AJ$7,22,FALSE)+VLOOKUP(C336,$B$8:$AJ$11,22,FALSE)*입력란!$P$4)*IF(G336="근접",입력란!$P$27,IF(MID(E336,1,1)="2",입력란!$P$27,입력란!$P$26))*입력란!$P$25/100</f>
        <v>361144.07342203078</v>
      </c>
      <c r="AQ336" s="22">
        <v>36</v>
      </c>
    </row>
    <row r="337" spans="2:43" ht="13.5" customHeight="1" x14ac:dyDescent="0.55000000000000004">
      <c r="B337" s="66">
        <v>322</v>
      </c>
      <c r="C337" s="29">
        <v>1</v>
      </c>
      <c r="D337" s="67" t="s">
        <v>48</v>
      </c>
      <c r="E337" s="27" t="s">
        <v>76</v>
      </c>
      <c r="F337" s="29"/>
      <c r="G337" s="29" t="s">
        <v>36</v>
      </c>
      <c r="H337" s="36">
        <f>I337/AJ337</f>
        <v>48781.962905795743</v>
      </c>
      <c r="I337" s="37">
        <f>SUM(J337:Q337)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1735037.6451608115</v>
      </c>
      <c r="J337" s="21">
        <f>S337*(1+IF($AK337+IF(입력란!$C$9=1,10,0)+IF(입력란!$C$26=1,10,0)&gt;100,100,$AK337+IF(입력란!$C$9=1,10,0)+IF(입력란!$C$26=1,10,0))/100*(($AL337+IF(입력란!$C$30=1,IF(OR(입력란!$C$9=1,입력란!$C$10=1),55,17),IF(입력란!$C$30=2,IF(OR(입력란!$C$9=1,입력란!$C$10=1),60,20),IF(입력란!$C$30=3,IF(OR(입력란!$C$9=1,입력란!$C$10=1),65,22),0))))/100-1))</f>
        <v>368593.51950272027</v>
      </c>
      <c r="K337" s="21">
        <f>T337*(1+IF($AK337+IF(입력란!$C$9=1,10,0)+IF(입력란!$C$26=1,10,0)&gt;100,100,$AK337+IF(입력란!$C$9=1,10,0)+IF(입력란!$C$26=1,10,0))/100*(($AL337+IF(입력란!$C$30=1,IF(OR(입력란!$C$9=1,입력란!$C$10=1),55,17),IF(입력란!$C$30=2,IF(OR(입력란!$C$9=1,입력란!$C$10=1),60,20),IF(입력란!$C$30=3,IF(OR(입력란!$C$9=1,입력란!$C$10=1),65,22),0))))/100-1))</f>
        <v>368593.51950272027</v>
      </c>
      <c r="L337" s="21">
        <f>U337*(1+IF($AK337+IF(입력란!$C$9=1,10,0)+IF(입력란!$C$26=1,10,0)&gt;100,100,$AK337+IF(입력란!$C$9=1,10,0)+IF(입력란!$C$26=1,10,0))/100*(($AL337+IF(입력란!$C$30=1,IF(OR(입력란!$C$9=1,입력란!$C$10=1),55,17),IF(입력란!$C$30=2,IF(OR(입력란!$C$9=1,입력란!$C$10=1),60,20),IF(입력란!$C$30=3,IF(OR(입력란!$C$9=1,입력란!$C$10=1),65,22),0))))/100-1))</f>
        <v>491506.14501892845</v>
      </c>
      <c r="M337" s="21"/>
      <c r="N337" s="21"/>
      <c r="O337" s="21"/>
      <c r="P337" s="21"/>
      <c r="Q337" s="20"/>
      <c r="R337" s="19">
        <f>SUM(S337:Z337)</f>
        <v>757602.83855175367</v>
      </c>
      <c r="S337" s="21">
        <f>AN337*IF(G337="근접",IF(MID(E337,3,1)="1",트라이포드!$J$19,트라이포드!$I$19),1)*IF(MID(E337,3,1)="2",트라이포드!$L$19,트라이포드!$K$19)*IF(MID(E337,5,1)="2",트라이포드!$R$19,트라이포드!$Q$19)*(1+입력란!$P$17/100)*IF(입력란!$C$9=1,IF(입력란!$C$15=0,1.05,IF(입력란!$C$15=1,1.05*1.05,IF(입력란!$C$15=2,1.05*1.12,IF(입력란!$C$15=3,1.05*1.25)))),1)</f>
        <v>227271.9506202646</v>
      </c>
      <c r="T337" s="21">
        <f>AO337*IF(G337="근접",IF(MID(E337,3,1)="1",트라이포드!$J$19,트라이포드!$I$19),1)*IF(MID(E337,3,1)="2",트라이포드!$L$19,트라이포드!$K$19)*IF(MID(E337,5,1)="2",트라이포드!$R$19,트라이포드!$Q$19)*(1+입력란!$P$17/100)*IF(입력란!$C$9=1,IF(입력란!$C$15=0,1.05,IF(입력란!$C$15=1,1.05*1.05,IF(입력란!$C$15=2,1.05*1.12,IF(입력란!$C$15=3,1.05*1.25)))),1)</f>
        <v>227271.9506202646</v>
      </c>
      <c r="U337" s="21">
        <f>AP337*IF(G337="근접",IF(MID(E337,3,1)="1",트라이포드!$J$19,트라이포드!$I$19),1)*IF(MID(E337,3,1)="2",트라이포드!$L$19,트라이포드!$K$19)*IF(MID(E337,5,1)="1",트라이포드!$P$19,트라이포드!$O$19)*IF(MID(E337,5,1)="2",트라이포드!$R$19,트라이포드!$Q$19)*(1+입력란!$P$17/100)*IF(입력란!$C$9=1,IF(입력란!$C$15=0,1.05,IF(입력란!$C$15=1,1.05*1.05,IF(입력란!$C$15=2,1.05*1.12,IF(입력란!$C$15=3,1.05*1.25)))),1)</f>
        <v>303058.93731122452</v>
      </c>
      <c r="V337" s="21"/>
      <c r="W337" s="21"/>
      <c r="X337" s="21"/>
      <c r="Y337" s="21"/>
      <c r="Z337" s="20"/>
      <c r="AA337" s="21">
        <f>SUM(AB337:AI337)</f>
        <v>1515205.6771035073</v>
      </c>
      <c r="AB337" s="21">
        <f>S337*2</f>
        <v>454543.9012405292</v>
      </c>
      <c r="AC337" s="21">
        <f>T337*2</f>
        <v>454543.9012405292</v>
      </c>
      <c r="AD337" s="21">
        <f>U337*2</f>
        <v>606117.87462244905</v>
      </c>
      <c r="AE337" s="21"/>
      <c r="AF337" s="21"/>
      <c r="AG337" s="21"/>
      <c r="AH337" s="21"/>
      <c r="AI337" s="20"/>
      <c r="AJ337" s="21">
        <f>(AQ337-IF(MID(E337,3,1)="3",트라이포드!$N$19,트라이포드!$M$19))*(1-입력란!$P$10/100)</f>
        <v>35.567196189119997</v>
      </c>
      <c r="AK3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7" s="21">
        <f>입력란!$P$24+IF(입력란!$C$18=1,10,IF(입력란!$C$18=2,25,IF(입력란!$C$18=3,50,0)))+IF(입력란!$C$23&lt;&gt;0,-12)</f>
        <v>200</v>
      </c>
      <c r="AM337" s="21">
        <f>SUM(AN337:AP337)</f>
        <v>450363.63555361837</v>
      </c>
      <c r="AN337" s="21">
        <f>(VLOOKUP(C337,$B$4:$AJ$7,20,FALSE)+VLOOKUP(C337,$B$8:$AJ$11,20,FALSE)*입력란!$P$4)*IF(G337="근접",입력란!$P$27,IF(MID(E337,3,1)="2",입력란!$P$27,입력란!$P$26))*입력란!$P$25/100</f>
        <v>135103.79942130149</v>
      </c>
      <c r="AO337" s="21">
        <f>(VLOOKUP(C337,$B$4:$AJ$7,21,FALSE)+VLOOKUP(C337,$B$8:$AJ$11,21,FALSE)*입력란!$P$4)*IF(G337="근접",입력란!$P$27,IF(MID(E337,3,1)="2",입력란!$P$27,입력란!$P$26))*입력란!$P$25/100</f>
        <v>135103.79942130149</v>
      </c>
      <c r="AP337" s="21">
        <f>(VLOOKUP(C337,$B$4:$AJ$7,22,FALSE)+VLOOKUP(C337,$B$8:$AJ$11,22,FALSE)*입력란!$P$4)*IF(G337="근접",입력란!$P$27,IF(MID(E337,3,1)="2",입력란!$P$27,입력란!$P$26))*입력란!$P$25/100</f>
        <v>180156.03671101539</v>
      </c>
      <c r="AQ337" s="22">
        <v>36</v>
      </c>
    </row>
    <row r="338" spans="2:43" ht="13.5" customHeight="1" x14ac:dyDescent="0.55000000000000004">
      <c r="B338" s="66">
        <v>323</v>
      </c>
      <c r="C338" s="29">
        <v>4</v>
      </c>
      <c r="D338" s="67" t="s">
        <v>48</v>
      </c>
      <c r="E338" s="27" t="s">
        <v>76</v>
      </c>
      <c r="F338" s="29"/>
      <c r="G338" s="29" t="s">
        <v>36</v>
      </c>
      <c r="H338" s="36">
        <f>I338/AJ338</f>
        <v>48847.108833376064</v>
      </c>
      <c r="I338" s="37">
        <f>SUM(J338:Q338)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1737354.7031479829</v>
      </c>
      <c r="J338" s="21">
        <f>S338*(1+IF($AK338+IF(입력란!$C$9=1,10,0)+IF(입력란!$C$26=1,10,0)&gt;100,100,$AK338+IF(입력란!$C$9=1,10,0)+IF(입력란!$C$26=1,10,0))/100*(($AL338+IF(입력란!$C$30=1,IF(OR(입력란!$C$9=1,입력란!$C$10=1),55,17),IF(입력란!$C$30=2,IF(OR(입력란!$C$9=1,입력란!$C$10=1),60,20),IF(입력란!$C$30=3,IF(OR(입력란!$C$9=1,입력란!$C$10=1),65,22),0))))/100-1))</f>
        <v>369091.47319762933</v>
      </c>
      <c r="K338" s="21">
        <f>T338*(1+IF($AK338+IF(입력란!$C$9=1,10,0)+IF(입력란!$C$26=1,10,0)&gt;100,100,$AK338+IF(입력란!$C$9=1,10,0)+IF(입력란!$C$26=1,10,0))/100*(($AL338+IF(입력란!$C$30=1,IF(OR(입력란!$C$9=1,입력란!$C$10=1),55,17),IF(입력란!$C$30=2,IF(OR(입력란!$C$9=1,입력란!$C$10=1),60,20),IF(입력란!$C$30=3,IF(OR(입력란!$C$9=1,입력란!$C$10=1),65,22),0))))/100-1))</f>
        <v>369091.47319762933</v>
      </c>
      <c r="L338" s="21">
        <f>U338*(1+IF($AK338+IF(입력란!$C$9=1,10,0)+IF(입력란!$C$26=1,10,0)&gt;100,100,$AK338+IF(입력란!$C$9=1,10,0)+IF(입력란!$C$26=1,10,0))/100*(($AL338+IF(입력란!$C$30=1,IF(OR(입력란!$C$9=1,입력란!$C$10=1),55,17),IF(입력란!$C$30=2,IF(OR(입력란!$C$9=1,입력란!$C$10=1),60,20),IF(입력란!$C$30=3,IF(OR(입력란!$C$9=1,입력란!$C$10=1),65,22),0))))/100-1))</f>
        <v>492151.09733251034</v>
      </c>
      <c r="M338" s="21"/>
      <c r="N338" s="21"/>
      <c r="O338" s="21"/>
      <c r="P338" s="21"/>
      <c r="Q338" s="20"/>
      <c r="R338" s="19">
        <f>SUM(S338:Z338)</f>
        <v>758614.58012005105</v>
      </c>
      <c r="S338" s="21">
        <f>AN338*IF(G338="근접",IF(MID(E338,3,1)="1",트라이포드!$J$19,트라이포드!$I$19),1)*IF(MID(E338,3,1)="2",트라이포드!$L$19,트라이포드!$K$19)*IF(MID(E338,5,1)="2",트라이포드!$R$19,트라이포드!$Q$19)*(1+입력란!$P$17/100)*IF(입력란!$C$9=1,IF(입력란!$C$15=0,1.05,IF(입력란!$C$15=1,1.05*1.05,IF(입력란!$C$15=2,1.05*1.12,IF(입력란!$C$15=3,1.05*1.25)))),1)</f>
        <v>227578.98506762338</v>
      </c>
      <c r="T338" s="21">
        <f>AO338*IF(G338="근접",IF(MID(E338,3,1)="1",트라이포드!$J$19,트라이포드!$I$19),1)*IF(MID(E338,3,1)="2",트라이포드!$L$19,트라이포드!$K$19)*IF(MID(E338,5,1)="2",트라이포드!$R$19,트라이포드!$Q$19)*(1+입력란!$P$17/100)*IF(입력란!$C$9=1,IF(입력란!$C$15=0,1.05,IF(입력란!$C$15=1,1.05*1.05,IF(입력란!$C$15=2,1.05*1.12,IF(입력란!$C$15=3,1.05*1.25)))),1)</f>
        <v>227578.98506762338</v>
      </c>
      <c r="U338" s="21">
        <f>AP338*IF(G338="근접",IF(MID(E338,3,1)="1",트라이포드!$J$19,트라이포드!$I$19),1)*IF(MID(E338,3,1)="2",트라이포드!$L$19,트라이포드!$K$19)*IF(MID(E338,5,1)="1",트라이포드!$P$19,트라이포드!$O$19)*IF(MID(E338,5,1)="2",트라이포드!$R$19,트라이포드!$Q$19)*(1+입력란!$P$17/100)*IF(입력란!$C$9=1,IF(입력란!$C$15=0,1.05,IF(입력란!$C$15=1,1.05*1.05,IF(입력란!$C$15=2,1.05*1.12,IF(입력란!$C$15=3,1.05*1.25)))),1)</f>
        <v>303456.60998480424</v>
      </c>
      <c r="V338" s="21"/>
      <c r="W338" s="21"/>
      <c r="X338" s="21"/>
      <c r="Y338" s="21"/>
      <c r="Z338" s="20"/>
      <c r="AA338" s="21">
        <f>SUM(AB338:AI338)</f>
        <v>1517229.1602401021</v>
      </c>
      <c r="AB338" s="21">
        <f>S338*2</f>
        <v>455157.97013524675</v>
      </c>
      <c r="AC338" s="21">
        <f>T338*2</f>
        <v>455157.97013524675</v>
      </c>
      <c r="AD338" s="21">
        <f>U338*2</f>
        <v>606913.21996960847</v>
      </c>
      <c r="AE338" s="21"/>
      <c r="AF338" s="21"/>
      <c r="AG338" s="21"/>
      <c r="AH338" s="21"/>
      <c r="AI338" s="20"/>
      <c r="AJ338" s="21">
        <f>(AQ338-IF(MID(E338,3,1)="3",트라이포드!$N$19,트라이포드!$M$19))*(1-입력란!$P$10/100)</f>
        <v>35.567196189119997</v>
      </c>
      <c r="AK3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8" s="21">
        <f>입력란!$P$24+IF(입력란!$C$18=1,10,IF(입력란!$C$18=2,25,IF(입력란!$C$18=3,50,0)))+IF(입력란!$C$23&lt;&gt;0,-12)</f>
        <v>200</v>
      </c>
      <c r="AM338" s="21">
        <f>SUM(AN338:AP338)</f>
        <v>450965.07418049849</v>
      </c>
      <c r="AN338" s="21">
        <f>(VLOOKUP(C338,$B$4:$AJ$7,20,FALSE)+VLOOKUP(C338,$B$8:$AJ$11,20,FALSE)*입력란!$P$4)*IF(G338="근접",입력란!$P$27,IF(MID(E338,3,1)="2",입력란!$P$27,입력란!$P$26))*입력란!$P$25/100</f>
        <v>135286.31873474154</v>
      </c>
      <c r="AO338" s="21">
        <f>(VLOOKUP(C338,$B$4:$AJ$7,21,FALSE)+VLOOKUP(C338,$B$8:$AJ$11,21,FALSE)*입력란!$P$4)*IF(G338="근접",입력란!$P$27,IF(MID(E338,3,1)="2",입력란!$P$27,입력란!$P$26))*입력란!$P$25/100</f>
        <v>135286.31873474154</v>
      </c>
      <c r="AP338" s="21">
        <f>(VLOOKUP(C338,$B$4:$AJ$7,22,FALSE)+VLOOKUP(C338,$B$8:$AJ$11,22,FALSE)*입력란!$P$4)*IF(G338="근접",입력란!$P$27,IF(MID(E338,3,1)="2",입력란!$P$27,입력란!$P$26))*입력란!$P$25/100</f>
        <v>180392.43671101541</v>
      </c>
      <c r="AQ338" s="22">
        <v>36</v>
      </c>
    </row>
    <row r="339" spans="2:43" ht="13.5" customHeight="1" x14ac:dyDescent="0.55000000000000004">
      <c r="B339" s="66">
        <v>324</v>
      </c>
      <c r="C339" s="29">
        <v>7</v>
      </c>
      <c r="D339" s="67" t="s">
        <v>48</v>
      </c>
      <c r="E339" s="27" t="s">
        <v>76</v>
      </c>
      <c r="F339" s="29"/>
      <c r="G339" s="29" t="s">
        <v>36</v>
      </c>
      <c r="H339" s="36">
        <f>I339/AJ339</f>
        <v>48875.8086102999</v>
      </c>
      <c r="I339" s="37">
        <f>SUM(J339:Q339)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1738375.4737444168</v>
      </c>
      <c r="J339" s="21">
        <f>S339*(1+IF($AK339+IF(입력란!$C$9=1,10,0)+IF(입력란!$C$26=1,10,0)&gt;100,100,$AK339+IF(입력란!$C$9=1,10,0)+IF(입력란!$C$26=1,10,0))/100*(($AL339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K339" s="21">
        <f>T339*(1+IF($AK339+IF(입력란!$C$9=1,10,0)+IF(입력란!$C$26=1,10,0)&gt;100,100,$AK339+IF(입력란!$C$9=1,10,0)+IF(입력란!$C$26=1,10,0))/100*(($AL339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L339" s="21">
        <f>U339*(1+IF($AK339+IF(입력란!$C$9=1,10,0)+IF(입력란!$C$26=1,10,0)&gt;100,100,$AK339+IF(입력란!$C$9=1,10,0)+IF(입력란!$C$26=1,10,0))/100*(($AL339+IF(입력란!$C$30=1,IF(OR(입력란!$C$9=1,입력란!$C$10=1),55,17),IF(입력란!$C$30=2,IF(OR(입력란!$C$9=1,입력란!$C$10=1),60,20),IF(입력란!$C$30=3,IF(OR(입력란!$C$9=1,입력란!$C$10=1),65,22),0))))/100-1))</f>
        <v>492451.20204695174</v>
      </c>
      <c r="M339" s="21"/>
      <c r="N339" s="21"/>
      <c r="O339" s="21"/>
      <c r="P339" s="21"/>
      <c r="Q339" s="20"/>
      <c r="R339" s="19">
        <f>SUM(S339:Z339)</f>
        <v>759060.29880720796</v>
      </c>
      <c r="S339" s="21">
        <f>AN339*IF(G339="근접",IF(MID(E339,3,1)="1",트라이포드!$J$19,트라이포드!$I$19),1)*IF(MID(E339,3,1)="2",트라이포드!$L$19,트라이포드!$K$19)*IF(MID(E339,5,1)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T339" s="21">
        <f>AO339*IF(G339="근접",IF(MID(E339,3,1)="1",트라이포드!$J$19,트라이포드!$I$19),1)*IF(MID(E339,3,1)="2",트라이포드!$L$19,트라이포드!$K$19)*IF(MID(E339,5,1)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U339" s="21">
        <f>AP339*IF(G339="근접",IF(MID(E339,3,1)="1",트라이포드!$J$19,트라이포드!$I$19),1)*IF(MID(E339,3,1)="2",트라이포드!$L$19,트라이포드!$K$19)*IF(MID(E339,5,1)="1",트라이포드!$P$19,트라이포드!$O$19)*IF(MID(E339,5,1)="2",트라이포드!$R$19,트라이포드!$Q$19)*(1+입력란!$P$17/100)*IF(입력란!$C$9=1,IF(입력란!$C$15=0,1.05,IF(입력란!$C$15=1,1.05*1.05,IF(입력란!$C$15=2,1.05*1.12,IF(입력란!$C$15=3,1.05*1.25)))),1)</f>
        <v>303641.65226100449</v>
      </c>
      <c r="V339" s="21"/>
      <c r="W339" s="21"/>
      <c r="X339" s="21"/>
      <c r="Y339" s="21"/>
      <c r="Z339" s="20"/>
      <c r="AA339" s="21">
        <f>SUM(AB339:AI339)</f>
        <v>1518120.5976144159</v>
      </c>
      <c r="AB339" s="21">
        <f>S339*2</f>
        <v>455418.64654620341</v>
      </c>
      <c r="AC339" s="21">
        <f>T339*2</f>
        <v>455418.64654620341</v>
      </c>
      <c r="AD339" s="21">
        <f>U339*2</f>
        <v>607283.30452200898</v>
      </c>
      <c r="AE339" s="21"/>
      <c r="AF339" s="21"/>
      <c r="AG339" s="21"/>
      <c r="AH339" s="21"/>
      <c r="AI339" s="20"/>
      <c r="AJ339" s="21">
        <f>(AQ339-IF(MID(E339,3,1)="3",트라이포드!$N$19,트라이포드!$M$19))*(1-입력란!$P$10/100)</f>
        <v>35.567196189119997</v>
      </c>
      <c r="AK3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39" s="21">
        <f>입력란!$P$24+IF(입력란!$C$18=1,10,IF(입력란!$C$18=2,25,IF(입력란!$C$18=3,50,0)))+IF(입력란!$C$23&lt;&gt;0,-12)</f>
        <v>200</v>
      </c>
      <c r="AM339" s="21">
        <f>SUM(AN339:AP339)</f>
        <v>451230.03555361839</v>
      </c>
      <c r="AN339" s="21">
        <f>(VLOOKUP(C339,$B$4:$AJ$7,20,FALSE)+VLOOKUP(C339,$B$8:$AJ$11,20,FALSE)*입력란!$P$4)*IF(G339="근접",입력란!$P$27,IF(MID(E339,3,1)="2",입력란!$P$27,입력란!$P$26))*입력란!$P$25/100</f>
        <v>135363.79942130149</v>
      </c>
      <c r="AO339" s="21">
        <f>(VLOOKUP(C339,$B$4:$AJ$7,21,FALSE)+VLOOKUP(C339,$B$8:$AJ$11,21,FALSE)*입력란!$P$4)*IF(G339="근접",입력란!$P$27,IF(MID(E339,3,1)="2",입력란!$P$27,입력란!$P$26))*입력란!$P$25/100</f>
        <v>135363.79942130149</v>
      </c>
      <c r="AP339" s="21">
        <f>(VLOOKUP(C339,$B$4:$AJ$7,22,FALSE)+VLOOKUP(C339,$B$8:$AJ$11,22,FALSE)*입력란!$P$4)*IF(G339="근접",입력란!$P$27,IF(MID(E339,3,1)="2",입력란!$P$27,입력란!$P$26))*입력란!$P$25/100</f>
        <v>180502.43671101541</v>
      </c>
      <c r="AQ339" s="22">
        <v>36</v>
      </c>
    </row>
    <row r="340" spans="2:43" ht="13.5" customHeight="1" x14ac:dyDescent="0.55000000000000004">
      <c r="B340" s="66">
        <v>325</v>
      </c>
      <c r="C340" s="29">
        <v>7</v>
      </c>
      <c r="D340" s="67" t="s">
        <v>48</v>
      </c>
      <c r="E340" s="27" t="s">
        <v>96</v>
      </c>
      <c r="F340" s="29"/>
      <c r="G340" s="29" t="s">
        <v>36</v>
      </c>
      <c r="H340" s="36">
        <f>I340/AJ340</f>
        <v>48875.8086102999</v>
      </c>
      <c r="I340" s="37">
        <f>SUM(J340:Q340)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1738375.4737444168</v>
      </c>
      <c r="J340" s="21">
        <f>S340*(1+IF($AK340+IF(입력란!$C$9=1,10,0)+IF(입력란!$C$26=1,10,0)&gt;100,100,$AK340+IF(입력란!$C$9=1,10,0)+IF(입력란!$C$26=1,10,0))/100*(($AL340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K340" s="21">
        <f>T340*(1+IF($AK340+IF(입력란!$C$9=1,10,0)+IF(입력란!$C$26=1,10,0)&gt;100,100,$AK340+IF(입력란!$C$9=1,10,0)+IF(입력란!$C$26=1,10,0))/100*(($AL340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L340" s="21">
        <f>U340*(1+IF($AK340+IF(입력란!$C$9=1,10,0)+IF(입력란!$C$26=1,10,0)&gt;100,100,$AK340+IF(입력란!$C$9=1,10,0)+IF(입력란!$C$26=1,10,0))/100*(($AL340+IF(입력란!$C$30=1,IF(OR(입력란!$C$9=1,입력란!$C$10=1),55,17),IF(입력란!$C$30=2,IF(OR(입력란!$C$9=1,입력란!$C$10=1),60,20),IF(입력란!$C$30=3,IF(OR(입력란!$C$9=1,입력란!$C$10=1),65,22),0))))/100-1))</f>
        <v>492451.20204695174</v>
      </c>
      <c r="M340" s="21"/>
      <c r="N340" s="21"/>
      <c r="O340" s="21"/>
      <c r="P340" s="21"/>
      <c r="Q340" s="20"/>
      <c r="R340" s="19">
        <f>SUM(S340:Z340)</f>
        <v>759060.29880720796</v>
      </c>
      <c r="S340" s="21">
        <f>AN340*IF(G340="근접",IF(MID(E340,3,1)="1",트라이포드!$J$19,트라이포드!$I$19),1)*IF(MID(E340,3,1)="2",트라이포드!$L$19,트라이포드!$K$19)*IF(MID(E340,5,1)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T340" s="21">
        <f>AO340*IF(G340="근접",IF(MID(E340,3,1)="1",트라이포드!$J$19,트라이포드!$I$19),1)*IF(MID(E340,3,1)="2",트라이포드!$L$19,트라이포드!$K$19)*IF(MID(E340,5,1)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U340" s="21">
        <f>AP340*IF(G340="근접",IF(MID(E340,3,1)="1",트라이포드!$J$19,트라이포드!$I$19),1)*IF(MID(E340,3,1)="2",트라이포드!$L$19,트라이포드!$K$19)*IF(MID(E340,5,1)="1",트라이포드!$P$19,트라이포드!$O$19)*IF(MID(E340,5,1)="2",트라이포드!$R$19,트라이포드!$Q$19)*(1+입력란!$P$17/100)*IF(입력란!$C$9=1,IF(입력란!$C$15=0,1.05,IF(입력란!$C$15=1,1.05*1.05,IF(입력란!$C$15=2,1.05*1.12,IF(입력란!$C$15=3,1.05*1.25)))),1)</f>
        <v>303641.65226100449</v>
      </c>
      <c r="V340" s="21"/>
      <c r="W340" s="21"/>
      <c r="X340" s="21"/>
      <c r="Y340" s="21"/>
      <c r="Z340" s="20"/>
      <c r="AA340" s="21">
        <f>SUM(AB340:AI340)</f>
        <v>1518120.5976144159</v>
      </c>
      <c r="AB340" s="21">
        <f>S340*2</f>
        <v>455418.64654620341</v>
      </c>
      <c r="AC340" s="21">
        <f>T340*2</f>
        <v>455418.64654620341</v>
      </c>
      <c r="AD340" s="21">
        <f>U340*2</f>
        <v>607283.30452200898</v>
      </c>
      <c r="AE340" s="21"/>
      <c r="AF340" s="21"/>
      <c r="AG340" s="21"/>
      <c r="AH340" s="21"/>
      <c r="AI340" s="20"/>
      <c r="AJ340" s="21">
        <f>(AQ340-IF(MID(E340,3,1)="3",트라이포드!$N$19,트라이포드!$M$19))*(1-입력란!$P$10/100)</f>
        <v>35.567196189119997</v>
      </c>
      <c r="AK34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0" s="21">
        <f>입력란!$P$24+IF(입력란!$C$18=1,10,IF(입력란!$C$18=2,25,IF(입력란!$C$18=3,50,0)))+IF(입력란!$C$23&lt;&gt;0,-12)</f>
        <v>200</v>
      </c>
      <c r="AM340" s="21">
        <f>SUM(AN340:AP340)</f>
        <v>451230.03555361839</v>
      </c>
      <c r="AN340" s="21">
        <f>(VLOOKUP(C340,$B$4:$AJ$7,20,FALSE)+VLOOKUP(C340,$B$8:$AJ$11,20,FALSE)*입력란!$P$4)*IF(G340="근접",입력란!$P$27,IF(MID(E340,3,1)="2",입력란!$P$27,입력란!$P$26))*입력란!$P$25/100</f>
        <v>135363.79942130149</v>
      </c>
      <c r="AO340" s="21">
        <f>(VLOOKUP(C340,$B$4:$AJ$7,21,FALSE)+VLOOKUP(C340,$B$8:$AJ$11,21,FALSE)*입력란!$P$4)*IF(G340="근접",입력란!$P$27,IF(MID(E340,3,1)="2",입력란!$P$27,입력란!$P$26))*입력란!$P$25/100</f>
        <v>135363.79942130149</v>
      </c>
      <c r="AP340" s="21">
        <f>(VLOOKUP(C340,$B$4:$AJ$7,22,FALSE)+VLOOKUP(C340,$B$8:$AJ$11,22,FALSE)*입력란!$P$4)*IF(G340="근접",입력란!$P$27,IF(MID(E340,3,1)="2",입력란!$P$27,입력란!$P$26))*입력란!$P$25/100</f>
        <v>180502.43671101541</v>
      </c>
      <c r="AQ340" s="22">
        <v>36</v>
      </c>
    </row>
    <row r="341" spans="2:43" ht="13.5" customHeight="1" x14ac:dyDescent="0.55000000000000004">
      <c r="B341" s="66">
        <v>326</v>
      </c>
      <c r="C341" s="29">
        <v>7</v>
      </c>
      <c r="D341" s="67" t="s">
        <v>48</v>
      </c>
      <c r="E341" s="27" t="s">
        <v>78</v>
      </c>
      <c r="F341" s="29"/>
      <c r="G341" s="29" t="s">
        <v>36</v>
      </c>
      <c r="H341" s="36">
        <f>I341/AJ341</f>
        <v>117301.94066471978</v>
      </c>
      <c r="I341" s="37">
        <f>SUM(J341:Q341)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4172101.1369866012</v>
      </c>
      <c r="J341" s="21">
        <f>S341*(1+IF($AK341+IF(입력란!$C$9=1,10,0)+IF(입력란!$C$26=1,10,0)&gt;100,100,$AK341+IF(입력란!$C$9=1,10,0)+IF(입력란!$C$26=1,10,0))/100*(($AL341+IF(입력란!$C$30=1,IF(OR(입력란!$C$9=1,입력란!$C$10=1),55,17),IF(입력란!$C$30=2,IF(OR(입력란!$C$9=1,입력란!$C$10=1),60,20),IF(입력란!$C$30=3,IF(OR(입력란!$C$9=1,입력란!$C$10=1),65,22),0))))/100-1))</f>
        <v>886326.85900481534</v>
      </c>
      <c r="K341" s="21">
        <f>T341*(1+IF($AK341+IF(입력란!$C$9=1,10,0)+IF(입력란!$C$26=1,10,0)&gt;100,100,$AK341+IF(입력란!$C$9=1,10,0)+IF(입력란!$C$26=1,10,0))/100*(($AL341+IF(입력란!$C$30=1,IF(OR(입력란!$C$9=1,입력란!$C$10=1),55,17),IF(입력란!$C$30=2,IF(OR(입력란!$C$9=1,입력란!$C$10=1),60,20),IF(입력란!$C$30=3,IF(OR(입력란!$C$9=1,입력란!$C$10=1),65,22),0))))/100-1))</f>
        <v>886326.85900481534</v>
      </c>
      <c r="L341" s="21">
        <f>U341*(1+IF($AK341+IF(입력란!$C$9=1,10,0)+IF(입력란!$C$26=1,10,0)&gt;100,100,$AK341+IF(입력란!$C$9=1,10,0)+IF(입력란!$C$26=1,10,0))/100*(($AL341+IF(입력란!$C$30=1,IF(OR(입력란!$C$9=1,입력란!$C$10=1),55,17),IF(입력란!$C$30=2,IF(OR(입력란!$C$9=1,입력란!$C$10=1),60,20),IF(입력란!$C$30=3,IF(OR(입력란!$C$9=1,입력란!$C$10=1),65,22),0))))/100-1))</f>
        <v>1181882.8849126843</v>
      </c>
      <c r="M341" s="21"/>
      <c r="N341" s="21"/>
      <c r="O341" s="21"/>
      <c r="P341" s="21"/>
      <c r="Q341" s="20"/>
      <c r="R341" s="19">
        <f>SUM(S341:Z341)</f>
        <v>1821744.717137299</v>
      </c>
      <c r="S341" s="21">
        <f>AN341*IF(G341="근접",IF(MID(E341,3,1)="1",트라이포드!$J$19,트라이포드!$I$19),1)*IF(MID(E341,3,1)="2",트라이포드!$L$19,트라이포드!$K$19)*IF(MID(E341,5,1)="2",트라이포드!$R$19,트라이포드!$Q$19)*(1+입력란!$P$17/100)*IF(입력란!$C$9=1,IF(입력란!$C$15=0,1.05,IF(입력란!$C$15=1,1.05*1.05,IF(입력란!$C$15=2,1.05*1.12,IF(입력란!$C$15=3,1.05*1.25)))),1)</f>
        <v>546502.37585544412</v>
      </c>
      <c r="T341" s="21">
        <f>AO341*IF(G341="근접",IF(MID(E341,3,1)="1",트라이포드!$J$19,트라이포드!$I$19),1)*IF(MID(E341,3,1)="2",트라이포드!$L$19,트라이포드!$K$19)*IF(MID(E341,5,1)="2",트라이포드!$R$19,트라이포드!$Q$19)*(1+입력란!$P$17/100)*IF(입력란!$C$9=1,IF(입력란!$C$15=0,1.05,IF(입력란!$C$15=1,1.05*1.05,IF(입력란!$C$15=2,1.05*1.12,IF(입력란!$C$15=3,1.05*1.25)))),1)</f>
        <v>546502.37585544412</v>
      </c>
      <c r="U341" s="21">
        <f>AP341*IF(G341="근접",IF(MID(E341,3,1)="1",트라이포드!$J$19,트라이포드!$I$19),1)*IF(MID(E341,3,1)="2",트라이포드!$L$19,트라이포드!$K$19)*IF(MID(E341,5,1)="1",트라이포드!$P$19,트라이포드!$O$19)*IF(MID(E341,5,1)="2",트라이포드!$R$19,트라이포드!$Q$19)*(1+입력란!$P$17/100)*IF(입력란!$C$9=1,IF(입력란!$C$15=0,1.05,IF(입력란!$C$15=1,1.05*1.05,IF(입력란!$C$15=2,1.05*1.12,IF(입력란!$C$15=3,1.05*1.25)))),1)</f>
        <v>728739.96542641078</v>
      </c>
      <c r="V341" s="21"/>
      <c r="W341" s="21"/>
      <c r="X341" s="21"/>
      <c r="Y341" s="21"/>
      <c r="Z341" s="20"/>
      <c r="AA341" s="21">
        <f>SUM(AB341:AI341)</f>
        <v>3643489.434274598</v>
      </c>
      <c r="AB341" s="21">
        <f>S341*2</f>
        <v>1093004.7517108882</v>
      </c>
      <c r="AC341" s="21">
        <f>T341*2</f>
        <v>1093004.7517108882</v>
      </c>
      <c r="AD341" s="21">
        <f>U341*2</f>
        <v>1457479.9308528216</v>
      </c>
      <c r="AE341" s="21"/>
      <c r="AF341" s="21"/>
      <c r="AG341" s="21"/>
      <c r="AH341" s="21"/>
      <c r="AI341" s="20"/>
      <c r="AJ341" s="21">
        <f>(AQ341-IF(MID(E341,3,1)="3",트라이포드!$N$19,트라이포드!$M$19))*(1-입력란!$P$10/100)</f>
        <v>35.567196189119997</v>
      </c>
      <c r="AK34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1" s="21">
        <f>입력란!$P$24+IF(입력란!$C$18=1,10,IF(입력란!$C$18=2,25,IF(입력란!$C$18=3,50,0)))+IF(입력란!$C$23&lt;&gt;0,-12)</f>
        <v>200</v>
      </c>
      <c r="AM341" s="21">
        <f>SUM(AN341:AP341)</f>
        <v>902460.07110723678</v>
      </c>
      <c r="AN341" s="21">
        <f>(VLOOKUP(C341,$B$4:$AJ$7,20,FALSE)+VLOOKUP(C341,$B$8:$AJ$11,20,FALSE)*입력란!$P$4)*IF(G341="근접",입력란!$P$27,IF(MID(E341,3,1)="2",입력란!$P$27,입력란!$P$26))*입력란!$P$25/100</f>
        <v>270727.59884260298</v>
      </c>
      <c r="AO341" s="21">
        <f>(VLOOKUP(C341,$B$4:$AJ$7,21,FALSE)+VLOOKUP(C341,$B$8:$AJ$11,21,FALSE)*입력란!$P$4)*IF(G341="근접",입력란!$P$27,IF(MID(E341,3,1)="2",입력란!$P$27,입력란!$P$26))*입력란!$P$25/100</f>
        <v>270727.59884260298</v>
      </c>
      <c r="AP341" s="21">
        <f>(VLOOKUP(C341,$B$4:$AJ$7,22,FALSE)+VLOOKUP(C341,$B$8:$AJ$11,22,FALSE)*입력란!$P$4)*IF(G341="근접",입력란!$P$27,IF(MID(E341,3,1)="2",입력란!$P$27,입력란!$P$26))*입력란!$P$25/100</f>
        <v>361004.87342203083</v>
      </c>
      <c r="AQ341" s="22">
        <v>36</v>
      </c>
    </row>
    <row r="342" spans="2:43" ht="13.5" customHeight="1" x14ac:dyDescent="0.55000000000000004">
      <c r="B342" s="66">
        <v>327</v>
      </c>
      <c r="C342" s="29">
        <v>7</v>
      </c>
      <c r="D342" s="67" t="s">
        <v>48</v>
      </c>
      <c r="E342" s="27" t="s">
        <v>79</v>
      </c>
      <c r="F342" s="29"/>
      <c r="G342" s="29" t="s">
        <v>36</v>
      </c>
      <c r="H342" s="36">
        <f>I342/AJ342</f>
        <v>70381.164398831854</v>
      </c>
      <c r="I342" s="37">
        <f>SUM(J342:Q342)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1738375.4737444168</v>
      </c>
      <c r="J342" s="21">
        <f>S342*(1+IF($AK342+IF(입력란!$C$9=1,10,0)+IF(입력란!$C$26=1,10,0)&gt;100,100,$AK342+IF(입력란!$C$9=1,10,0)+IF(입력란!$C$26=1,10,0))/100*(($AL342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K342" s="21">
        <f>T342*(1+IF($AK342+IF(입력란!$C$9=1,10,0)+IF(입력란!$C$26=1,10,0)&gt;100,100,$AK342+IF(입력란!$C$9=1,10,0)+IF(입력란!$C$26=1,10,0))/100*(($AL342+IF(입력란!$C$30=1,IF(OR(입력란!$C$9=1,입력란!$C$10=1),55,17),IF(입력란!$C$30=2,IF(OR(입력란!$C$9=1,입력란!$C$10=1),60,20),IF(입력란!$C$30=3,IF(OR(입력란!$C$9=1,입력란!$C$10=1),65,22),0))))/100-1))</f>
        <v>369302.85791867302</v>
      </c>
      <c r="L342" s="21">
        <f>U342*(1+IF($AK342+IF(입력란!$C$9=1,10,0)+IF(입력란!$C$26=1,10,0)&gt;100,100,$AK342+IF(입력란!$C$9=1,10,0)+IF(입력란!$C$26=1,10,0))/100*(($AL342+IF(입력란!$C$30=1,IF(OR(입력란!$C$9=1,입력란!$C$10=1),55,17),IF(입력란!$C$30=2,IF(OR(입력란!$C$9=1,입력란!$C$10=1),60,20),IF(입력란!$C$30=3,IF(OR(입력란!$C$9=1,입력란!$C$10=1),65,22),0))))/100-1))</f>
        <v>492451.20204695174</v>
      </c>
      <c r="M342" s="21"/>
      <c r="N342" s="21"/>
      <c r="O342" s="21"/>
      <c r="P342" s="21"/>
      <c r="Q342" s="20"/>
      <c r="R342" s="19">
        <f>SUM(S342:Z342)</f>
        <v>759060.29880720796</v>
      </c>
      <c r="S342" s="21">
        <f>AN342*IF(G342="근접",IF(MID(E342,3,1)="1",트라이포드!$J$19,트라이포드!$I$19),1)*IF(MID(E342,3,1)="2",트라이포드!$L$19,트라이포드!$K$19)*IF(MID(E342,5,1)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T342" s="21">
        <f>AO342*IF(G342="근접",IF(MID(E342,3,1)="1",트라이포드!$J$19,트라이포드!$I$19),1)*IF(MID(E342,3,1)="2",트라이포드!$L$19,트라이포드!$K$19)*IF(MID(E342,5,1)="2",트라이포드!$R$19,트라이포드!$Q$19)*(1+입력란!$P$17/100)*IF(입력란!$C$9=1,IF(입력란!$C$15=0,1.05,IF(입력란!$C$15=1,1.05*1.05,IF(입력란!$C$15=2,1.05*1.12,IF(입력란!$C$15=3,1.05*1.25)))),1)</f>
        <v>227709.32327310171</v>
      </c>
      <c r="U342" s="21">
        <f>AP342*IF(G342="근접",IF(MID(E342,3,1)="1",트라이포드!$J$19,트라이포드!$I$19),1)*IF(MID(E342,3,1)="2",트라이포드!$L$19,트라이포드!$K$19)*IF(MID(E342,5,1)="1",트라이포드!$P$19,트라이포드!$O$19)*IF(MID(E342,5,1)="2",트라이포드!$R$19,트라이포드!$Q$19)*(1+입력란!$P$17/100)*IF(입력란!$C$9=1,IF(입력란!$C$15=0,1.05,IF(입력란!$C$15=1,1.05*1.05,IF(입력란!$C$15=2,1.05*1.12,IF(입력란!$C$15=3,1.05*1.25)))),1)</f>
        <v>303641.65226100449</v>
      </c>
      <c r="V342" s="21"/>
      <c r="W342" s="21"/>
      <c r="X342" s="21"/>
      <c r="Y342" s="21"/>
      <c r="Z342" s="20"/>
      <c r="AA342" s="21">
        <f>SUM(AB342:AI342)</f>
        <v>1518120.5976144159</v>
      </c>
      <c r="AB342" s="21">
        <f>S342*2</f>
        <v>455418.64654620341</v>
      </c>
      <c r="AC342" s="21">
        <f>T342*2</f>
        <v>455418.64654620341</v>
      </c>
      <c r="AD342" s="21">
        <f>U342*2</f>
        <v>607283.30452200898</v>
      </c>
      <c r="AE342" s="21"/>
      <c r="AF342" s="21"/>
      <c r="AG342" s="21"/>
      <c r="AH342" s="21"/>
      <c r="AI342" s="20"/>
      <c r="AJ342" s="21">
        <f>(AQ342-IF(MID(E342,3,1)="3",트라이포드!$N$19,트라이포드!$M$19))*(1-입력란!$P$10/100)</f>
        <v>24.699441797999999</v>
      </c>
      <c r="AK34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2" s="21">
        <f>입력란!$P$24+IF(입력란!$C$18=1,10,IF(입력란!$C$18=2,25,IF(입력란!$C$18=3,50,0)))+IF(입력란!$C$23&lt;&gt;0,-12)</f>
        <v>200</v>
      </c>
      <c r="AM342" s="21">
        <f>SUM(AN342:AP342)</f>
        <v>451230.03555361839</v>
      </c>
      <c r="AN342" s="21">
        <f>(VLOOKUP(C342,$B$4:$AJ$7,20,FALSE)+VLOOKUP(C342,$B$8:$AJ$11,20,FALSE)*입력란!$P$4)*IF(G342="근접",입력란!$P$27,IF(MID(E342,3,1)="2",입력란!$P$27,입력란!$P$26))*입력란!$P$25/100</f>
        <v>135363.79942130149</v>
      </c>
      <c r="AO342" s="21">
        <f>(VLOOKUP(C342,$B$4:$AJ$7,21,FALSE)+VLOOKUP(C342,$B$8:$AJ$11,21,FALSE)*입력란!$P$4)*IF(G342="근접",입력란!$P$27,IF(MID(E342,3,1)="2",입력란!$P$27,입력란!$P$26))*입력란!$P$25/100</f>
        <v>135363.79942130149</v>
      </c>
      <c r="AP342" s="21">
        <f>(VLOOKUP(C342,$B$4:$AJ$7,22,FALSE)+VLOOKUP(C342,$B$8:$AJ$11,22,FALSE)*입력란!$P$4)*IF(G342="근접",입력란!$P$27,IF(MID(E342,3,1)="2",입력란!$P$27,입력란!$P$26))*입력란!$P$25/100</f>
        <v>180502.43671101541</v>
      </c>
      <c r="AQ342" s="22">
        <v>36</v>
      </c>
    </row>
    <row r="343" spans="2:43" ht="13.5" customHeight="1" x14ac:dyDescent="0.55000000000000004">
      <c r="B343" s="66">
        <v>328</v>
      </c>
      <c r="C343" s="29">
        <v>10</v>
      </c>
      <c r="D343" s="67" t="s">
        <v>48</v>
      </c>
      <c r="E343" s="27" t="s">
        <v>76</v>
      </c>
      <c r="F343" s="29"/>
      <c r="G343" s="29" t="s">
        <v>36</v>
      </c>
      <c r="H343" s="36">
        <f>I343/AJ343</f>
        <v>48894.785719520973</v>
      </c>
      <c r="I343" s="37">
        <f>SUM(J343:Q343)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1739050.4363111851</v>
      </c>
      <c r="J343" s="21">
        <f>S343*(1+IF($AK343+IF(입력란!$C$9=1,10,0)+IF(입력란!$C$26=1,10,0)&gt;100,100,$AK343+IF(입력란!$C$9=1,10,0)+IF(입력란!$C$26=1,10,0))/100*(($AL343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43" s="21">
        <f>T343*(1+IF($AK343+IF(입력란!$C$9=1,10,0)+IF(입력란!$C$26=1,10,0)&gt;100,100,$AK343+IF(입력란!$C$9=1,10,0)+IF(입력란!$C$26=1,10,0))/100*(($AL343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43" s="21">
        <f>U343*(1+IF($AK343+IF(입력란!$C$9=1,10,0)+IF(입력란!$C$26=1,10,0)&gt;100,100,$AK343+IF(입력란!$C$9=1,10,0)+IF(입력란!$C$26=1,10,0))/100*(($AL343+IF(입력란!$C$30=1,IF(OR(입력란!$C$9=1,입력란!$C$10=1),55,17),IF(입력란!$C$30=2,IF(OR(입력란!$C$9=1,입력란!$C$10=1),60,20),IF(입력란!$C$30=3,IF(OR(입력란!$C$9=1,입력란!$C$10=1),65,22),0))))/100-1))</f>
        <v>492641.08648445294</v>
      </c>
      <c r="M343" s="21"/>
      <c r="N343" s="21"/>
      <c r="O343" s="21"/>
      <c r="P343" s="21"/>
      <c r="Q343" s="20"/>
      <c r="R343" s="19">
        <f>SUM(S343:Z343)</f>
        <v>759355.0206871198</v>
      </c>
      <c r="S343" s="21">
        <f>AN343*IF(G343="근접",IF(MID(E343,3,1)="1",트라이포드!$J$19,트라이포드!$I$19),1)*IF(MID(E343,3,1)="2",트라이포드!$L$19,트라이포드!$K$19)*IF(MID(E343,5,1)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43" s="21">
        <f>AO343*IF(G343="근접",IF(MID(E343,3,1)="1",트라이포드!$J$19,트라이포드!$I$19),1)*IF(MID(E343,3,1)="2",트라이포드!$L$19,트라이포드!$K$19)*IF(MID(E343,5,1)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43" s="21">
        <f>AP343*IF(G343="근접",IF(MID(E343,3,1)="1",트라이포드!$J$19,트라이포드!$I$19),1)*IF(MID(E343,3,1)="2",트라이포드!$L$19,트라이포드!$K$19)*IF(MID(E343,5,1)="1",트라이포드!$P$19,트라이포드!$O$19)*IF(MID(E343,5,1)="2",트라이포드!$R$19,트라이포드!$Q$19)*(1+입력란!$P$17/100)*IF(입력란!$C$9=1,IF(입력란!$C$15=0,1.05,IF(입력란!$C$15=1,1.05*1.05,IF(입력란!$C$15=2,1.05*1.12,IF(입력란!$C$15=3,1.05*1.25)))),1)</f>
        <v>303758.73355576396</v>
      </c>
      <c r="V343" s="21"/>
      <c r="W343" s="21"/>
      <c r="X343" s="21"/>
      <c r="Y343" s="21"/>
      <c r="Z343" s="20"/>
      <c r="AA343" s="21">
        <f>SUM(AB343:AI343)</f>
        <v>1518710.0413742396</v>
      </c>
      <c r="AB343" s="21">
        <f>S343*2</f>
        <v>455596.28713135578</v>
      </c>
      <c r="AC343" s="21">
        <f>T343*2</f>
        <v>455596.28713135578</v>
      </c>
      <c r="AD343" s="21">
        <f>U343*2</f>
        <v>607517.46711152792</v>
      </c>
      <c r="AE343" s="21"/>
      <c r="AF343" s="21"/>
      <c r="AG343" s="21"/>
      <c r="AH343" s="21"/>
      <c r="AI343" s="20"/>
      <c r="AJ343" s="21">
        <f>(AQ343-IF(MID(E343,3,1)="3",트라이포드!$N$19,트라이포드!$M$19))*(1-입력란!$P$10/100)</f>
        <v>35.567196189119997</v>
      </c>
      <c r="AK34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3" s="21">
        <f>입력란!$P$24+IF(입력란!$C$18=1,10,IF(입력란!$C$18=2,25,IF(입력란!$C$18=3,50,0)))+IF(입력란!$C$23&lt;&gt;0,-12)</f>
        <v>200</v>
      </c>
      <c r="AM343" s="21">
        <f>SUM(AN343:AP343)</f>
        <v>451405.2355536184</v>
      </c>
      <c r="AN343" s="21">
        <f>(VLOOKUP(C343,$B$4:$AJ$7,20,FALSE)+VLOOKUP(C343,$B$8:$AJ$11,20,FALSE)*입력란!$P$4)*IF(G343="근접",입력란!$P$27,IF(MID(E343,3,1)="2",입력란!$P$27,입력란!$P$26))*입력란!$P$25/100</f>
        <v>135416.59942130151</v>
      </c>
      <c r="AO343" s="21">
        <f>(VLOOKUP(C343,$B$4:$AJ$7,21,FALSE)+VLOOKUP(C343,$B$8:$AJ$11,21,FALSE)*입력란!$P$4)*IF(G343="근접",입력란!$P$27,IF(MID(E343,3,1)="2",입력란!$P$27,입력란!$P$26))*입력란!$P$25/100</f>
        <v>135416.59942130151</v>
      </c>
      <c r="AP343" s="21">
        <f>(VLOOKUP(C343,$B$4:$AJ$7,22,FALSE)+VLOOKUP(C343,$B$8:$AJ$11,22,FALSE)*입력란!$P$4)*IF(G343="근접",입력란!$P$27,IF(MID(E343,3,1)="2",입력란!$P$27,입력란!$P$26))*입력란!$P$25/100</f>
        <v>180572.03671101539</v>
      </c>
      <c r="AQ343" s="22">
        <v>36</v>
      </c>
    </row>
    <row r="344" spans="2:43" ht="13.5" customHeight="1" x14ac:dyDescent="0.55000000000000004">
      <c r="B344" s="66">
        <v>329</v>
      </c>
      <c r="C344" s="29">
        <v>10</v>
      </c>
      <c r="D344" s="67" t="s">
        <v>48</v>
      </c>
      <c r="E344" s="27" t="s">
        <v>121</v>
      </c>
      <c r="F344" s="29"/>
      <c r="G344" s="29" t="s">
        <v>36</v>
      </c>
      <c r="H344" s="36">
        <f>I344/AJ344</f>
        <v>71778.805454871166</v>
      </c>
      <c r="I344" s="37">
        <f>SUM(J344:Q344)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2552970.8558340794</v>
      </c>
      <c r="J344" s="21">
        <f>S344*(1+IF($AK344+IF(입력란!$C$9=1,10,0)+IF(입력란!$C$26=1,10,0)&gt;100,100,$AK344+IF(입력란!$C$9=1,10,0)+IF(입력란!$C$26=1,10,0))/100*(($AL344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44" s="21">
        <f>T344*(1+IF($AK344+IF(입력란!$C$9=1,10,0)+IF(입력란!$C$26=1,10,0)&gt;100,100,$AK344+IF(입력란!$C$9=1,10,0)+IF(입력란!$C$26=1,10,0))/100*(($AL344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44" s="21">
        <f>U344*(1+IF($AK344+IF(입력란!$C$9=1,10,0)+IF(입력란!$C$26=1,10,0)&gt;100,100,$AK344+IF(입력란!$C$9=1,10,0)+IF(입력란!$C$26=1,10,0))/100*(($AL344+IF(입력란!$C$30=1,IF(OR(입력란!$C$9=1,입력란!$C$10=1),55,17),IF(입력란!$C$30=2,IF(OR(입력란!$C$9=1,입력란!$C$10=1),60,20),IF(입력란!$C$30=3,IF(OR(입력란!$C$9=1,입력란!$C$10=1),65,22),0))))/100-1))</f>
        <v>1069031.1576712627</v>
      </c>
      <c r="M344" s="21"/>
      <c r="N344" s="21"/>
      <c r="O344" s="21"/>
      <c r="P344" s="21"/>
      <c r="Q344" s="20"/>
      <c r="R344" s="19">
        <f>SUM(S344:Z344)</f>
        <v>1114752.7389473636</v>
      </c>
      <c r="S344" s="21">
        <f>AN344*IF(G344="근접",IF(MID(E344,3,1)="1",트라이포드!$J$19,트라이포드!$I$19),1)*IF(MID(E344,3,1)="2",트라이포드!$L$19,트라이포드!$K$19)*IF(MID(E344,5,1)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44" s="21">
        <f>AO344*IF(G344="근접",IF(MID(E344,3,1)="1",트라이포드!$J$19,트라이포드!$I$19),1)*IF(MID(E344,3,1)="2",트라이포드!$L$19,트라이포드!$K$19)*IF(MID(E344,5,1)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44" s="21">
        <f>AP344*IF(G344="근접",IF(MID(E344,3,1)="1",트라이포드!$J$19,트라이포드!$I$19),1)*IF(MID(E344,3,1)="2",트라이포드!$L$19,트라이포드!$K$19)*IF(MID(E344,5,1)="1",트라이포드!$P$19,트라이포드!$O$19)*IF(MID(E344,5,1)="2",트라이포드!$R$19,트라이포드!$Q$19)*(1+입력란!$P$17/100)*IF(입력란!$C$9=1,IF(입력란!$C$15=0,1.05,IF(입력란!$C$15=1,1.05*1.05,IF(입력란!$C$15=2,1.05*1.12,IF(입력란!$C$15=3,1.05*1.25)))),1)</f>
        <v>659156.45181600773</v>
      </c>
      <c r="V344" s="21"/>
      <c r="W344" s="21"/>
      <c r="X344" s="21"/>
      <c r="Y344" s="21"/>
      <c r="Z344" s="20"/>
      <c r="AA344" s="21">
        <f>SUM(AB344:AI344)</f>
        <v>2229505.4778947271</v>
      </c>
      <c r="AB344" s="21">
        <f>S344*2</f>
        <v>455596.28713135578</v>
      </c>
      <c r="AC344" s="21">
        <f>T344*2</f>
        <v>455596.28713135578</v>
      </c>
      <c r="AD344" s="21">
        <f>U344*2</f>
        <v>1318312.9036320155</v>
      </c>
      <c r="AE344" s="21"/>
      <c r="AF344" s="21"/>
      <c r="AG344" s="21"/>
      <c r="AH344" s="21"/>
      <c r="AI344" s="20"/>
      <c r="AJ344" s="21">
        <f>(AQ344-IF(MID(E344,3,1)="3",트라이포드!$N$19,트라이포드!$M$19))*(1-입력란!$P$10/100)</f>
        <v>35.567196189119997</v>
      </c>
      <c r="AK34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4" s="21">
        <f>입력란!$P$24+IF(입력란!$C$18=1,10,IF(입력란!$C$18=2,25,IF(입력란!$C$18=3,50,0)))+IF(입력란!$C$23&lt;&gt;0,-12)</f>
        <v>200</v>
      </c>
      <c r="AM344" s="21">
        <f>SUM(AN344:AP344)</f>
        <v>451405.2355536184</v>
      </c>
      <c r="AN344" s="21">
        <f>(VLOOKUP(C344,$B$4:$AJ$7,20,FALSE)+VLOOKUP(C344,$B$8:$AJ$11,20,FALSE)*입력란!$P$4)*IF(G344="근접",입력란!$P$27,IF(MID(E344,3,1)="2",입력란!$P$27,입력란!$P$26))*입력란!$P$25/100</f>
        <v>135416.59942130151</v>
      </c>
      <c r="AO344" s="21">
        <f>(VLOOKUP(C344,$B$4:$AJ$7,21,FALSE)+VLOOKUP(C344,$B$8:$AJ$11,21,FALSE)*입력란!$P$4)*IF(G344="근접",입력란!$P$27,IF(MID(E344,3,1)="2",입력란!$P$27,입력란!$P$26))*입력란!$P$25/100</f>
        <v>135416.59942130151</v>
      </c>
      <c r="AP344" s="21">
        <f>(VLOOKUP(C344,$B$4:$AJ$7,22,FALSE)+VLOOKUP(C344,$B$8:$AJ$11,22,FALSE)*입력란!$P$4)*IF(G344="근접",입력란!$P$27,IF(MID(E344,3,1)="2",입력란!$P$27,입력란!$P$26))*입력란!$P$25/100</f>
        <v>180572.03671101539</v>
      </c>
      <c r="AQ344" s="22">
        <v>36</v>
      </c>
    </row>
    <row r="345" spans="2:43" ht="13.5" customHeight="1" x14ac:dyDescent="0.55000000000000004">
      <c r="B345" s="66">
        <v>330</v>
      </c>
      <c r="C345" s="29">
        <v>10</v>
      </c>
      <c r="D345" s="67" t="s">
        <v>48</v>
      </c>
      <c r="E345" s="27" t="s">
        <v>122</v>
      </c>
      <c r="F345" s="29" t="s">
        <v>136</v>
      </c>
      <c r="G345" s="29" t="s">
        <v>36</v>
      </c>
      <c r="H345" s="36">
        <f>I345/AJ345</f>
        <v>88010.614295137755</v>
      </c>
      <c r="I345" s="37">
        <f>SUM(J345:Q345)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3130290.7853601333</v>
      </c>
      <c r="J345" s="21">
        <f>S345*(1+IF($AK345+IF(입력란!$C$9=1,10,0)+IF(입력란!$C$26=1,10,0)&gt;100,100,$AK345+IF(입력란!$C$9=1,10,0)+IF(입력란!$C$26=1,10,0))/100*(($AL345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K345" s="21">
        <f>T345*(1+IF($AK345+IF(입력란!$C$9=1,10,0)+IF(입력란!$C$26=1,10,0)&gt;100,100,$AK345+IF(입력란!$C$9=1,10,0)+IF(입력란!$C$26=1,10,0))/100*(($AL345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L345" s="21">
        <f>U345*(1+IF($AK345+IF(입력란!$C$9=1,10,0)+IF(입력란!$C$26=1,10,0)&gt;100,100,$AK345+IF(입력란!$C$9=1,10,0)+IF(입력란!$C$26=1,10,0))/100*(($AL345+IF(입력란!$C$30=1,IF(OR(입력란!$C$9=1,입력란!$C$10=1),55,17),IF(입력란!$C$30=2,IF(OR(입력란!$C$9=1,입력란!$C$10=1),60,20),IF(입력란!$C$30=3,IF(OR(입력란!$C$9=1,입력란!$C$10=1),65,22),0))))/100-1))</f>
        <v>886753.9556720152</v>
      </c>
      <c r="M345" s="21"/>
      <c r="N345" s="21"/>
      <c r="O345" s="21"/>
      <c r="P345" s="21"/>
      <c r="Q345" s="20"/>
      <c r="R345" s="19">
        <f>SUM(S345:Z345)</f>
        <v>1366839.0372368156</v>
      </c>
      <c r="S345" s="21">
        <f>AN345*IF(G345="근접",IF(MID(E345,3,1)="1",트라이포드!$J$19,트라이포드!$I$19),1)*IF(MID(E345,3,1)="2",트라이포드!$L$19,트라이포드!$K$19)*IF(MID(E345,5,1)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T345" s="21">
        <f>AO345*IF(G345="근접",IF(MID(E345,3,1)="1",트라이포드!$J$19,트라이포드!$I$19),1)*IF(MID(E345,3,1)="2",트라이포드!$L$19,트라이포드!$K$19)*IF(MID(E345,5,1)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U345" s="21">
        <f>AP345*IF(G345="근접",IF(MID(E345,3,1)="1",트라이포드!$J$19,트라이포드!$I$19),1)*IF(MID(E345,3,1)="2",트라이포드!$L$19,트라이포드!$K$19)*IF(MID(E345,5,1)="1",트라이포드!$P$19,트라이포드!$O$19)*IF(MID(E345,5,1)="2",트라이포드!$R$19,트라이포드!$Q$19)*(1+입력란!$P$17/100)*IF(입력란!$C$9=1,IF(입력란!$C$15=0,1.05,IF(입력란!$C$15=1,1.05*1.05,IF(입력란!$C$15=2,1.05*1.12,IF(입력란!$C$15=3,1.05*1.25)))),1)</f>
        <v>546765.72040037508</v>
      </c>
      <c r="V345" s="21"/>
      <c r="W345" s="21"/>
      <c r="X345" s="21"/>
      <c r="Y345" s="21"/>
      <c r="Z345" s="20"/>
      <c r="AA345" s="21">
        <f>SUM(AB345:AI345)</f>
        <v>2733678.0744736311</v>
      </c>
      <c r="AB345" s="21">
        <f>S345*2</f>
        <v>820073.31683644047</v>
      </c>
      <c r="AC345" s="21">
        <f>T345*2</f>
        <v>820073.31683644047</v>
      </c>
      <c r="AD345" s="21">
        <f>U345*2</f>
        <v>1093531.4408007502</v>
      </c>
      <c r="AE345" s="21"/>
      <c r="AF345" s="21"/>
      <c r="AG345" s="21"/>
      <c r="AH345" s="21"/>
      <c r="AI345" s="20"/>
      <c r="AJ345" s="21">
        <f>(AQ345-IF(MID(E345,3,1)="3",트라이포드!$N$19,트라이포드!$M$19))*(1-입력란!$P$10/100)</f>
        <v>35.567196189119997</v>
      </c>
      <c r="AK3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5" s="21">
        <f>입력란!$P$24+IF(입력란!$C$18=1,10,IF(입력란!$C$18=2,25,IF(입력란!$C$18=3,50,0)))+IF(입력란!$C$23&lt;&gt;0,-12)</f>
        <v>200</v>
      </c>
      <c r="AM345" s="21">
        <f>SUM(AN345:AP345)</f>
        <v>451405.2355536184</v>
      </c>
      <c r="AN345" s="21">
        <f>(VLOOKUP(C345,$B$4:$AJ$7,20,FALSE)+VLOOKUP(C345,$B$8:$AJ$11,20,FALSE)*입력란!$P$4)*IF(G345="근접",입력란!$P$27,IF(MID(E345,3,1)="2",입력란!$P$27,입력란!$P$26))*입력란!$P$25/100</f>
        <v>135416.59942130151</v>
      </c>
      <c r="AO345" s="21">
        <f>(VLOOKUP(C345,$B$4:$AJ$7,21,FALSE)+VLOOKUP(C345,$B$8:$AJ$11,21,FALSE)*입력란!$P$4)*IF(G345="근접",입력란!$P$27,IF(MID(E345,3,1)="2",입력란!$P$27,입력란!$P$26))*입력란!$P$25/100</f>
        <v>135416.59942130151</v>
      </c>
      <c r="AP345" s="21">
        <f>(VLOOKUP(C345,$B$4:$AJ$7,22,FALSE)+VLOOKUP(C345,$B$8:$AJ$11,22,FALSE)*입력란!$P$4)*IF(G345="근접",입력란!$P$27,IF(MID(E345,3,1)="2",입력란!$P$27,입력란!$P$26))*입력란!$P$25/100</f>
        <v>180572.03671101539</v>
      </c>
      <c r="AQ345" s="22">
        <v>36</v>
      </c>
    </row>
    <row r="346" spans="2:43" ht="13.5" customHeight="1" x14ac:dyDescent="0.55000000000000004">
      <c r="B346" s="66">
        <v>331</v>
      </c>
      <c r="C346" s="29">
        <v>10</v>
      </c>
      <c r="D346" s="67" t="s">
        <v>48</v>
      </c>
      <c r="E346" s="27" t="s">
        <v>96</v>
      </c>
      <c r="F346" s="29"/>
      <c r="G346" s="29" t="s">
        <v>36</v>
      </c>
      <c r="H346" s="36">
        <f>I346/AJ346</f>
        <v>48894.785719520973</v>
      </c>
      <c r="I346" s="37">
        <f>SUM(J346:Q346)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1739050.4363111851</v>
      </c>
      <c r="J346" s="21">
        <f>S346*(1+IF($AK346+IF(입력란!$C$9=1,10,0)+IF(입력란!$C$26=1,10,0)&gt;100,100,$AK346+IF(입력란!$C$9=1,10,0)+IF(입력란!$C$26=1,10,0))/100*(($AL346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46" s="21">
        <f>T346*(1+IF($AK346+IF(입력란!$C$9=1,10,0)+IF(입력란!$C$26=1,10,0)&gt;100,100,$AK346+IF(입력란!$C$9=1,10,0)+IF(입력란!$C$26=1,10,0))/100*(($AL346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46" s="21">
        <f>U346*(1+IF($AK346+IF(입력란!$C$9=1,10,0)+IF(입력란!$C$26=1,10,0)&gt;100,100,$AK346+IF(입력란!$C$9=1,10,0)+IF(입력란!$C$26=1,10,0))/100*(($AL346+IF(입력란!$C$30=1,IF(OR(입력란!$C$9=1,입력란!$C$10=1),55,17),IF(입력란!$C$30=2,IF(OR(입력란!$C$9=1,입력란!$C$10=1),60,20),IF(입력란!$C$30=3,IF(OR(입력란!$C$9=1,입력란!$C$10=1),65,22),0))))/100-1))</f>
        <v>492641.08648445294</v>
      </c>
      <c r="M346" s="21"/>
      <c r="N346" s="21"/>
      <c r="O346" s="21"/>
      <c r="P346" s="21"/>
      <c r="Q346" s="20"/>
      <c r="R346" s="19">
        <f>SUM(S346:Z346)</f>
        <v>759355.0206871198</v>
      </c>
      <c r="S346" s="21">
        <f>AN346*IF(G346="근접",IF(MID(E346,3,1)="1",트라이포드!$J$19,트라이포드!$I$19),1)*IF(MID(E346,3,1)="2",트라이포드!$L$19,트라이포드!$K$19)*IF(MID(E346,5,1)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46" s="21">
        <f>AO346*IF(G346="근접",IF(MID(E346,3,1)="1",트라이포드!$J$19,트라이포드!$I$19),1)*IF(MID(E346,3,1)="2",트라이포드!$L$19,트라이포드!$K$19)*IF(MID(E346,5,1)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46" s="21">
        <f>AP346*IF(G346="근접",IF(MID(E346,3,1)="1",트라이포드!$J$19,트라이포드!$I$19),1)*IF(MID(E346,3,1)="2",트라이포드!$L$19,트라이포드!$K$19)*IF(MID(E346,5,1)="1",트라이포드!$P$19,트라이포드!$O$19)*IF(MID(E346,5,1)="2",트라이포드!$R$19,트라이포드!$Q$19)*(1+입력란!$P$17/100)*IF(입력란!$C$9=1,IF(입력란!$C$15=0,1.05,IF(입력란!$C$15=1,1.05*1.05,IF(입력란!$C$15=2,1.05*1.12,IF(입력란!$C$15=3,1.05*1.25)))),1)</f>
        <v>303758.73355576396</v>
      </c>
      <c r="V346" s="21"/>
      <c r="W346" s="21"/>
      <c r="X346" s="21"/>
      <c r="Y346" s="21"/>
      <c r="Z346" s="20"/>
      <c r="AA346" s="21">
        <f>SUM(AB346:AI346)</f>
        <v>1518710.0413742396</v>
      </c>
      <c r="AB346" s="21">
        <f>S346*2</f>
        <v>455596.28713135578</v>
      </c>
      <c r="AC346" s="21">
        <f>T346*2</f>
        <v>455596.28713135578</v>
      </c>
      <c r="AD346" s="21">
        <f>U346*2</f>
        <v>607517.46711152792</v>
      </c>
      <c r="AE346" s="21"/>
      <c r="AF346" s="21"/>
      <c r="AG346" s="21"/>
      <c r="AH346" s="21"/>
      <c r="AI346" s="20"/>
      <c r="AJ346" s="21">
        <f>(AQ346-IF(MID(E346,3,1)="3",트라이포드!$N$19,트라이포드!$M$19))*(1-입력란!$P$10/100)</f>
        <v>35.567196189119997</v>
      </c>
      <c r="AK3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6" s="21">
        <f>입력란!$P$24+IF(입력란!$C$18=1,10,IF(입력란!$C$18=2,25,IF(입력란!$C$18=3,50,0)))+IF(입력란!$C$23&lt;&gt;0,-12)</f>
        <v>200</v>
      </c>
      <c r="AM346" s="21">
        <f>SUM(AN346:AP346)</f>
        <v>451405.2355536184</v>
      </c>
      <c r="AN346" s="21">
        <f>(VLOOKUP(C346,$B$4:$AJ$7,20,FALSE)+VLOOKUP(C346,$B$8:$AJ$11,20,FALSE)*입력란!$P$4)*IF(G346="근접",입력란!$P$27,IF(MID(E346,3,1)="2",입력란!$P$27,입력란!$P$26))*입력란!$P$25/100</f>
        <v>135416.59942130151</v>
      </c>
      <c r="AO346" s="21">
        <f>(VLOOKUP(C346,$B$4:$AJ$7,21,FALSE)+VLOOKUP(C346,$B$8:$AJ$11,21,FALSE)*입력란!$P$4)*IF(G346="근접",입력란!$P$27,IF(MID(E346,3,1)="2",입력란!$P$27,입력란!$P$26))*입력란!$P$25/100</f>
        <v>135416.59942130151</v>
      </c>
      <c r="AP346" s="21">
        <f>(VLOOKUP(C346,$B$4:$AJ$7,22,FALSE)+VLOOKUP(C346,$B$8:$AJ$11,22,FALSE)*입력란!$P$4)*IF(G346="근접",입력란!$P$27,IF(MID(E346,3,1)="2",입력란!$P$27,입력란!$P$26))*입력란!$P$25/100</f>
        <v>180572.03671101539</v>
      </c>
      <c r="AQ346" s="22">
        <v>36</v>
      </c>
    </row>
    <row r="347" spans="2:43" ht="13.5" customHeight="1" x14ac:dyDescent="0.55000000000000004">
      <c r="B347" s="66">
        <v>332</v>
      </c>
      <c r="C347" s="29">
        <v>10</v>
      </c>
      <c r="D347" s="67" t="s">
        <v>48</v>
      </c>
      <c r="E347" s="27" t="s">
        <v>145</v>
      </c>
      <c r="F347" s="29"/>
      <c r="G347" s="29" t="s">
        <v>36</v>
      </c>
      <c r="H347" s="36">
        <f>I347/AJ347</f>
        <v>71778.805454871166</v>
      </c>
      <c r="I347" s="37">
        <f>SUM(J347:Q347)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2552970.8558340794</v>
      </c>
      <c r="J347" s="21">
        <f>S347*(1+IF($AK347+IF(입력란!$C$9=1,10,0)+IF(입력란!$C$26=1,10,0)&gt;100,100,$AK347+IF(입력란!$C$9=1,10,0)+IF(입력란!$C$26=1,10,0))/100*(($AL347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47" s="21">
        <f>T347*(1+IF($AK347+IF(입력란!$C$9=1,10,0)+IF(입력란!$C$26=1,10,0)&gt;100,100,$AK347+IF(입력란!$C$9=1,10,0)+IF(입력란!$C$26=1,10,0))/100*(($AL347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47" s="21">
        <f>U347*(1+IF($AK347+IF(입력란!$C$9=1,10,0)+IF(입력란!$C$26=1,10,0)&gt;100,100,$AK347+IF(입력란!$C$9=1,10,0)+IF(입력란!$C$26=1,10,0))/100*(($AL347+IF(입력란!$C$30=1,IF(OR(입력란!$C$9=1,입력란!$C$10=1),55,17),IF(입력란!$C$30=2,IF(OR(입력란!$C$9=1,입력란!$C$10=1),60,20),IF(입력란!$C$30=3,IF(OR(입력란!$C$9=1,입력란!$C$10=1),65,22),0))))/100-1))</f>
        <v>1069031.1576712627</v>
      </c>
      <c r="M347" s="21"/>
      <c r="N347" s="21"/>
      <c r="O347" s="21"/>
      <c r="P347" s="21"/>
      <c r="Q347" s="20"/>
      <c r="R347" s="19">
        <f>SUM(S347:Z347)</f>
        <v>1114752.7389473636</v>
      </c>
      <c r="S347" s="21">
        <f>AN347*IF(G347="근접",IF(MID(E347,3,1)="1",트라이포드!$J$19,트라이포드!$I$19),1)*IF(MID(E347,3,1)="2",트라이포드!$L$19,트라이포드!$K$19)*IF(MID(E347,5,1)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47" s="21">
        <f>AO347*IF(G347="근접",IF(MID(E347,3,1)="1",트라이포드!$J$19,트라이포드!$I$19),1)*IF(MID(E347,3,1)="2",트라이포드!$L$19,트라이포드!$K$19)*IF(MID(E347,5,1)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47" s="21">
        <f>AP347*IF(G347="근접",IF(MID(E347,3,1)="1",트라이포드!$J$19,트라이포드!$I$19),1)*IF(MID(E347,3,1)="2",트라이포드!$L$19,트라이포드!$K$19)*IF(MID(E347,5,1)="1",트라이포드!$P$19,트라이포드!$O$19)*IF(MID(E347,5,1)="2",트라이포드!$R$19,트라이포드!$Q$19)*(1+입력란!$P$17/100)*IF(입력란!$C$9=1,IF(입력란!$C$15=0,1.05,IF(입력란!$C$15=1,1.05*1.05,IF(입력란!$C$15=2,1.05*1.12,IF(입력란!$C$15=3,1.05*1.25)))),1)</f>
        <v>659156.45181600773</v>
      </c>
      <c r="V347" s="21"/>
      <c r="W347" s="21"/>
      <c r="X347" s="21"/>
      <c r="Y347" s="21"/>
      <c r="Z347" s="20"/>
      <c r="AA347" s="21">
        <f>SUM(AB347:AI347)</f>
        <v>2229505.4778947271</v>
      </c>
      <c r="AB347" s="21">
        <f>S347*2</f>
        <v>455596.28713135578</v>
      </c>
      <c r="AC347" s="21">
        <f>T347*2</f>
        <v>455596.28713135578</v>
      </c>
      <c r="AD347" s="21">
        <f>U347*2</f>
        <v>1318312.9036320155</v>
      </c>
      <c r="AE347" s="21"/>
      <c r="AF347" s="21"/>
      <c r="AG347" s="21"/>
      <c r="AH347" s="21"/>
      <c r="AI347" s="20"/>
      <c r="AJ347" s="21">
        <f>(AQ347-IF(MID(E347,3,1)="3",트라이포드!$N$19,트라이포드!$M$19))*(1-입력란!$P$10/100)</f>
        <v>35.567196189119997</v>
      </c>
      <c r="AK3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7" s="21">
        <f>입력란!$P$24+IF(입력란!$C$18=1,10,IF(입력란!$C$18=2,25,IF(입력란!$C$18=3,50,0)))+IF(입력란!$C$23&lt;&gt;0,-12)</f>
        <v>200</v>
      </c>
      <c r="AM347" s="21">
        <f>SUM(AN347:AP347)</f>
        <v>451405.2355536184</v>
      </c>
      <c r="AN347" s="21">
        <f>(VLOOKUP(C347,$B$4:$AJ$7,20,FALSE)+VLOOKUP(C347,$B$8:$AJ$11,20,FALSE)*입력란!$P$4)*IF(G347="근접",입력란!$P$27,IF(MID(E347,3,1)="2",입력란!$P$27,입력란!$P$26))*입력란!$P$25/100</f>
        <v>135416.59942130151</v>
      </c>
      <c r="AO347" s="21">
        <f>(VLOOKUP(C347,$B$4:$AJ$7,21,FALSE)+VLOOKUP(C347,$B$8:$AJ$11,21,FALSE)*입력란!$P$4)*IF(G347="근접",입력란!$P$27,IF(MID(E347,3,1)="2",입력란!$P$27,입력란!$P$26))*입력란!$P$25/100</f>
        <v>135416.59942130151</v>
      </c>
      <c r="AP347" s="21">
        <f>(VLOOKUP(C347,$B$4:$AJ$7,22,FALSE)+VLOOKUP(C347,$B$8:$AJ$11,22,FALSE)*입력란!$P$4)*IF(G347="근접",입력란!$P$27,IF(MID(E347,3,1)="2",입력란!$P$27,입력란!$P$26))*입력란!$P$25/100</f>
        <v>180572.03671101539</v>
      </c>
      <c r="AQ347" s="22">
        <v>36</v>
      </c>
    </row>
    <row r="348" spans="2:43" ht="13.5" customHeight="1" x14ac:dyDescent="0.55000000000000004">
      <c r="B348" s="66">
        <v>333</v>
      </c>
      <c r="C348" s="29">
        <v>10</v>
      </c>
      <c r="D348" s="67" t="s">
        <v>48</v>
      </c>
      <c r="E348" s="27" t="s">
        <v>146</v>
      </c>
      <c r="F348" s="29" t="s">
        <v>136</v>
      </c>
      <c r="G348" s="29" t="s">
        <v>36</v>
      </c>
      <c r="H348" s="36">
        <f>I348/AJ348</f>
        <v>88010.614295137755</v>
      </c>
      <c r="I348" s="37">
        <f>SUM(J348:Q348)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3130290.7853601333</v>
      </c>
      <c r="J348" s="21">
        <f>S348*(1+IF($AK348+IF(입력란!$C$9=1,10,0)+IF(입력란!$C$26=1,10,0)&gt;100,100,$AK348+IF(입력란!$C$9=1,10,0)+IF(입력란!$C$26=1,10,0))/100*(($AL348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K348" s="21">
        <f>T348*(1+IF($AK348+IF(입력란!$C$9=1,10,0)+IF(입력란!$C$26=1,10,0)&gt;100,100,$AK348+IF(입력란!$C$9=1,10,0)+IF(입력란!$C$26=1,10,0))/100*(($AL348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L348" s="21">
        <f>U348*(1+IF($AK348+IF(입력란!$C$9=1,10,0)+IF(입력란!$C$26=1,10,0)&gt;100,100,$AK348+IF(입력란!$C$9=1,10,0)+IF(입력란!$C$26=1,10,0))/100*(($AL348+IF(입력란!$C$30=1,IF(OR(입력란!$C$9=1,입력란!$C$10=1),55,17),IF(입력란!$C$30=2,IF(OR(입력란!$C$9=1,입력란!$C$10=1),60,20),IF(입력란!$C$30=3,IF(OR(입력란!$C$9=1,입력란!$C$10=1),65,22),0))))/100-1))</f>
        <v>886753.9556720152</v>
      </c>
      <c r="M348" s="21"/>
      <c r="N348" s="21"/>
      <c r="O348" s="21"/>
      <c r="P348" s="21"/>
      <c r="Q348" s="20"/>
      <c r="R348" s="19">
        <f>SUM(S348:Z348)</f>
        <v>1366839.0372368156</v>
      </c>
      <c r="S348" s="21">
        <f>AN348*IF(G348="근접",IF(MID(E348,3,1)="1",트라이포드!$J$19,트라이포드!$I$19),1)*IF(MID(E348,3,1)="2",트라이포드!$L$19,트라이포드!$K$19)*IF(MID(E348,5,1)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T348" s="21">
        <f>AO348*IF(G348="근접",IF(MID(E348,3,1)="1",트라이포드!$J$19,트라이포드!$I$19),1)*IF(MID(E348,3,1)="2",트라이포드!$L$19,트라이포드!$K$19)*IF(MID(E348,5,1)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U348" s="21">
        <f>AP348*IF(G348="근접",IF(MID(E348,3,1)="1",트라이포드!$J$19,트라이포드!$I$19),1)*IF(MID(E348,3,1)="2",트라이포드!$L$19,트라이포드!$K$19)*IF(MID(E348,5,1)="1",트라이포드!$P$19,트라이포드!$O$19)*IF(MID(E348,5,1)="2",트라이포드!$R$19,트라이포드!$Q$19)*(1+입력란!$P$17/100)*IF(입력란!$C$9=1,IF(입력란!$C$15=0,1.05,IF(입력란!$C$15=1,1.05*1.05,IF(입력란!$C$15=2,1.05*1.12,IF(입력란!$C$15=3,1.05*1.25)))),1)</f>
        <v>546765.72040037508</v>
      </c>
      <c r="V348" s="21"/>
      <c r="W348" s="21"/>
      <c r="X348" s="21"/>
      <c r="Y348" s="21"/>
      <c r="Z348" s="20"/>
      <c r="AA348" s="21">
        <f>SUM(AB348:AI348)</f>
        <v>2733678.0744736311</v>
      </c>
      <c r="AB348" s="21">
        <f>S348*2</f>
        <v>820073.31683644047</v>
      </c>
      <c r="AC348" s="21">
        <f>T348*2</f>
        <v>820073.31683644047</v>
      </c>
      <c r="AD348" s="21">
        <f>U348*2</f>
        <v>1093531.4408007502</v>
      </c>
      <c r="AE348" s="21"/>
      <c r="AF348" s="21"/>
      <c r="AG348" s="21"/>
      <c r="AH348" s="21"/>
      <c r="AI348" s="20"/>
      <c r="AJ348" s="21">
        <f>(AQ348-IF(MID(E348,3,1)="3",트라이포드!$N$19,트라이포드!$M$19))*(1-입력란!$P$10/100)</f>
        <v>35.567196189119997</v>
      </c>
      <c r="AK3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8" s="21">
        <f>입력란!$P$24+IF(입력란!$C$18=1,10,IF(입력란!$C$18=2,25,IF(입력란!$C$18=3,50,0)))+IF(입력란!$C$23&lt;&gt;0,-12)</f>
        <v>200</v>
      </c>
      <c r="AM348" s="21">
        <f>SUM(AN348:AP348)</f>
        <v>451405.2355536184</v>
      </c>
      <c r="AN348" s="21">
        <f>(VLOOKUP(C348,$B$4:$AJ$7,20,FALSE)+VLOOKUP(C348,$B$8:$AJ$11,20,FALSE)*입력란!$P$4)*IF(G348="근접",입력란!$P$27,IF(MID(E348,3,1)="2",입력란!$P$27,입력란!$P$26))*입력란!$P$25/100</f>
        <v>135416.59942130151</v>
      </c>
      <c r="AO348" s="21">
        <f>(VLOOKUP(C348,$B$4:$AJ$7,21,FALSE)+VLOOKUP(C348,$B$8:$AJ$11,21,FALSE)*입력란!$P$4)*IF(G348="근접",입력란!$P$27,IF(MID(E348,3,1)="2",입력란!$P$27,입력란!$P$26))*입력란!$P$25/100</f>
        <v>135416.59942130151</v>
      </c>
      <c r="AP348" s="21">
        <f>(VLOOKUP(C348,$B$4:$AJ$7,22,FALSE)+VLOOKUP(C348,$B$8:$AJ$11,22,FALSE)*입력란!$P$4)*IF(G348="근접",입력란!$P$27,IF(MID(E348,3,1)="2",입력란!$P$27,입력란!$P$26))*입력란!$P$25/100</f>
        <v>180572.03671101539</v>
      </c>
      <c r="AQ348" s="22">
        <v>36</v>
      </c>
    </row>
    <row r="349" spans="2:43" ht="13.5" customHeight="1" x14ac:dyDescent="0.55000000000000004">
      <c r="B349" s="66">
        <v>334</v>
      </c>
      <c r="C349" s="29">
        <v>10</v>
      </c>
      <c r="D349" s="67" t="s">
        <v>48</v>
      </c>
      <c r="E349" s="27" t="s">
        <v>78</v>
      </c>
      <c r="F349" s="29"/>
      <c r="G349" s="29" t="s">
        <v>36</v>
      </c>
      <c r="H349" s="36">
        <f>I349/AJ349</f>
        <v>117347.48572685033</v>
      </c>
      <c r="I349" s="37">
        <f>SUM(J349:Q349)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4173721.0471468442</v>
      </c>
      <c r="J349" s="21">
        <f>S349*(1+IF($AK349+IF(입력란!$C$9=1,10,0)+IF(입력란!$C$26=1,10,0)&gt;100,100,$AK349+IF(입력란!$C$9=1,10,0)+IF(입력란!$C$26=1,10,0))/100*(($AL349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K349" s="21">
        <f>T349*(1+IF($AK349+IF(입력란!$C$9=1,10,0)+IF(입력란!$C$26=1,10,0)&gt;100,100,$AK349+IF(입력란!$C$9=1,10,0)+IF(입력란!$C$26=1,10,0))/100*(($AL349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L349" s="21">
        <f>U349*(1+IF($AK349+IF(입력란!$C$9=1,10,0)+IF(입력란!$C$26=1,10,0)&gt;100,100,$AK349+IF(입력란!$C$9=1,10,0)+IF(입력란!$C$26=1,10,0))/100*(($AL349+IF(입력란!$C$30=1,IF(OR(입력란!$C$9=1,입력란!$C$10=1),55,17),IF(입력란!$C$30=2,IF(OR(입력란!$C$9=1,입력란!$C$10=1),60,20),IF(입력란!$C$30=3,IF(OR(입력란!$C$9=1,입력란!$C$10=1),65,22),0))))/100-1))</f>
        <v>1182338.607562687</v>
      </c>
      <c r="M349" s="21"/>
      <c r="N349" s="21"/>
      <c r="O349" s="21"/>
      <c r="P349" s="21"/>
      <c r="Q349" s="20"/>
      <c r="R349" s="19">
        <f>SUM(S349:Z349)</f>
        <v>1822452.0496490872</v>
      </c>
      <c r="S349" s="21">
        <f>AN349*IF(G349="근접",IF(MID(E349,3,1)="1",트라이포드!$J$19,트라이포드!$I$19),1)*IF(MID(E349,3,1)="2",트라이포드!$L$19,트라이포드!$K$19)*IF(MID(E349,5,1)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T349" s="21">
        <f>AO349*IF(G349="근접",IF(MID(E349,3,1)="1",트라이포드!$J$19,트라이포드!$I$19),1)*IF(MID(E349,3,1)="2",트라이포드!$L$19,트라이포드!$K$19)*IF(MID(E349,5,1)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U349" s="21">
        <f>AP349*IF(G349="근접",IF(MID(E349,3,1)="1",트라이포드!$J$19,트라이포드!$I$19),1)*IF(MID(E349,3,1)="2",트라이포드!$L$19,트라이포드!$K$19)*IF(MID(E349,5,1)="1",트라이포드!$P$19,트라이포드!$O$19)*IF(MID(E349,5,1)="2",트라이포드!$R$19,트라이포드!$Q$19)*(1+입력란!$P$17/100)*IF(입력란!$C$9=1,IF(입력란!$C$15=0,1.05,IF(입력란!$C$15=1,1.05*1.05,IF(입력란!$C$15=2,1.05*1.12,IF(입력란!$C$15=3,1.05*1.25)))),1)</f>
        <v>729020.96053383348</v>
      </c>
      <c r="V349" s="21"/>
      <c r="W349" s="21"/>
      <c r="X349" s="21"/>
      <c r="Y349" s="21"/>
      <c r="Z349" s="20"/>
      <c r="AA349" s="21">
        <f>SUM(AB349:AI349)</f>
        <v>3644904.0992981745</v>
      </c>
      <c r="AB349" s="21">
        <f>S349*2</f>
        <v>1093431.0891152539</v>
      </c>
      <c r="AC349" s="21">
        <f>T349*2</f>
        <v>1093431.0891152539</v>
      </c>
      <c r="AD349" s="21">
        <f>U349*2</f>
        <v>1458041.921067667</v>
      </c>
      <c r="AE349" s="21"/>
      <c r="AF349" s="21"/>
      <c r="AG349" s="21"/>
      <c r="AH349" s="21"/>
      <c r="AI349" s="20"/>
      <c r="AJ349" s="21">
        <f>(AQ349-IF(MID(E349,3,1)="3",트라이포드!$N$19,트라이포드!$M$19))*(1-입력란!$P$10/100)</f>
        <v>35.567196189119997</v>
      </c>
      <c r="AK3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49" s="21">
        <f>입력란!$P$24+IF(입력란!$C$18=1,10,IF(입력란!$C$18=2,25,IF(입력란!$C$18=3,50,0)))+IF(입력란!$C$23&lt;&gt;0,-12)</f>
        <v>200</v>
      </c>
      <c r="AM349" s="21">
        <f>SUM(AN349:AP349)</f>
        <v>902810.47110723681</v>
      </c>
      <c r="AN349" s="21">
        <f>(VLOOKUP(C349,$B$4:$AJ$7,20,FALSE)+VLOOKUP(C349,$B$8:$AJ$11,20,FALSE)*입력란!$P$4)*IF(G349="근접",입력란!$P$27,IF(MID(E349,3,1)="2",입력란!$P$27,입력란!$P$26))*입력란!$P$25/100</f>
        <v>270833.19884260301</v>
      </c>
      <c r="AO349" s="21">
        <f>(VLOOKUP(C349,$B$4:$AJ$7,21,FALSE)+VLOOKUP(C349,$B$8:$AJ$11,21,FALSE)*입력란!$P$4)*IF(G349="근접",입력란!$P$27,IF(MID(E349,3,1)="2",입력란!$P$27,입력란!$P$26))*입력란!$P$25/100</f>
        <v>270833.19884260301</v>
      </c>
      <c r="AP349" s="21">
        <f>(VLOOKUP(C349,$B$4:$AJ$7,22,FALSE)+VLOOKUP(C349,$B$8:$AJ$11,22,FALSE)*입력란!$P$4)*IF(G349="근접",입력란!$P$27,IF(MID(E349,3,1)="2",입력란!$P$27,입력란!$P$26))*입력란!$P$25/100</f>
        <v>361144.07342203078</v>
      </c>
      <c r="AQ349" s="22">
        <v>36</v>
      </c>
    </row>
    <row r="350" spans="2:43" ht="13.5" customHeight="1" x14ac:dyDescent="0.55000000000000004">
      <c r="B350" s="66">
        <v>335</v>
      </c>
      <c r="C350" s="29">
        <v>10</v>
      </c>
      <c r="D350" s="67" t="s">
        <v>48</v>
      </c>
      <c r="E350" s="27" t="s">
        <v>140</v>
      </c>
      <c r="F350" s="29"/>
      <c r="G350" s="29" t="s">
        <v>36</v>
      </c>
      <c r="H350" s="36">
        <f>I350/AJ350</f>
        <v>172269.1330916908</v>
      </c>
      <c r="I350" s="37">
        <f>SUM(J350:Q350)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6127130.0540017905</v>
      </c>
      <c r="J350" s="21">
        <f>S350*(1+IF($AK350+IF(입력란!$C$9=1,10,0)+IF(입력란!$C$26=1,10,0)&gt;100,100,$AK350+IF(입력란!$C$9=1,10,0)+IF(입력란!$C$26=1,10,0))/100*(($AL350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K350" s="21">
        <f>T350*(1+IF($AK350+IF(입력란!$C$9=1,10,0)+IF(입력란!$C$26=1,10,0)&gt;100,100,$AK350+IF(입력란!$C$9=1,10,0)+IF(입력란!$C$26=1,10,0))/100*(($AL350+IF(입력란!$C$30=1,IF(OR(입력란!$C$9=1,입력란!$C$10=1),55,17),IF(입력란!$C$30=2,IF(OR(입력란!$C$9=1,입력란!$C$10=1),60,20),IF(입력란!$C$30=3,IF(OR(입력란!$C$9=1,입력란!$C$10=1),65,22),0))))/100-1))</f>
        <v>886672.57963585202</v>
      </c>
      <c r="L350" s="21">
        <f>U350*(1+IF($AK350+IF(입력란!$C$9=1,10,0)+IF(입력란!$C$26=1,10,0)&gt;100,100,$AK350+IF(입력란!$C$9=1,10,0)+IF(입력란!$C$26=1,10,0))/100*(($AL350+IF(입력란!$C$30=1,IF(OR(입력란!$C$9=1,입력란!$C$10=1),55,17),IF(입력란!$C$30=2,IF(OR(입력란!$C$9=1,입력란!$C$10=1),60,20),IF(입력란!$C$30=3,IF(OR(입력란!$C$9=1,입력란!$C$10=1),65,22),0))))/100-1))</f>
        <v>2565674.7784110303</v>
      </c>
      <c r="M350" s="21"/>
      <c r="N350" s="21"/>
      <c r="O350" s="21"/>
      <c r="P350" s="21"/>
      <c r="Q350" s="20"/>
      <c r="R350" s="19">
        <f>SUM(S350:Z350)</f>
        <v>2675406.5734736724</v>
      </c>
      <c r="S350" s="21">
        <f>AN350*IF(G350="근접",IF(MID(E350,3,1)="1",트라이포드!$J$19,트라이포드!$I$19),1)*IF(MID(E350,3,1)="2",트라이포드!$L$19,트라이포드!$K$19)*IF(MID(E350,5,1)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T350" s="21">
        <f>AO350*IF(G350="근접",IF(MID(E350,3,1)="1",트라이포드!$J$19,트라이포드!$I$19),1)*IF(MID(E350,3,1)="2",트라이포드!$L$19,트라이포드!$K$19)*IF(MID(E350,5,1)="2",트라이포드!$R$19,트라이포드!$Q$19)*(1+입력란!$P$17/100)*IF(입력란!$C$9=1,IF(입력란!$C$15=0,1.05,IF(입력란!$C$15=1,1.05*1.05,IF(입력란!$C$15=2,1.05*1.12,IF(입력란!$C$15=3,1.05*1.25)))),1)</f>
        <v>546715.54455762694</v>
      </c>
      <c r="U350" s="21">
        <f>AP350*IF(G350="근접",IF(MID(E350,3,1)="1",트라이포드!$J$19,트라이포드!$I$19),1)*IF(MID(E350,3,1)="2",트라이포드!$L$19,트라이포드!$K$19)*IF(MID(E350,5,1)="1",트라이포드!$P$19,트라이포드!$O$19)*IF(MID(E350,5,1)="2",트라이포드!$R$19,트라이포드!$Q$19)*(1+입력란!$P$17/100)*IF(입력란!$C$9=1,IF(입력란!$C$15=0,1.05,IF(입력란!$C$15=1,1.05*1.05,IF(입력란!$C$15=2,1.05*1.12,IF(입력란!$C$15=3,1.05*1.25)))),1)</f>
        <v>1581975.4843584183</v>
      </c>
      <c r="V350" s="21"/>
      <c r="W350" s="21"/>
      <c r="X350" s="21"/>
      <c r="Y350" s="21"/>
      <c r="Z350" s="20"/>
      <c r="AA350" s="21">
        <f>SUM(AB350:AI350)</f>
        <v>5350813.1469473448</v>
      </c>
      <c r="AB350" s="21">
        <f>S350*2</f>
        <v>1093431.0891152539</v>
      </c>
      <c r="AC350" s="21">
        <f>T350*2</f>
        <v>1093431.0891152539</v>
      </c>
      <c r="AD350" s="21">
        <f>U350*2</f>
        <v>3163950.9687168365</v>
      </c>
      <c r="AE350" s="21"/>
      <c r="AF350" s="21"/>
      <c r="AG350" s="21"/>
      <c r="AH350" s="21"/>
      <c r="AI350" s="20"/>
      <c r="AJ350" s="21">
        <f>(AQ350-IF(MID(E350,3,1)="3",트라이포드!$N$19,트라이포드!$M$19))*(1-입력란!$P$10/100)</f>
        <v>35.567196189119997</v>
      </c>
      <c r="AK3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0" s="21">
        <f>입력란!$P$24+IF(입력란!$C$18=1,10,IF(입력란!$C$18=2,25,IF(입력란!$C$18=3,50,0)))+IF(입력란!$C$23&lt;&gt;0,-12)</f>
        <v>200</v>
      </c>
      <c r="AM350" s="21">
        <f>SUM(AN350:AP350)</f>
        <v>902810.47110723681</v>
      </c>
      <c r="AN350" s="21">
        <f>(VLOOKUP(C350,$B$4:$AJ$7,20,FALSE)+VLOOKUP(C350,$B$8:$AJ$11,20,FALSE)*입력란!$P$4)*IF(G350="근접",입력란!$P$27,IF(MID(E350,3,1)="2",입력란!$P$27,입력란!$P$26))*입력란!$P$25/100</f>
        <v>270833.19884260301</v>
      </c>
      <c r="AO350" s="21">
        <f>(VLOOKUP(C350,$B$4:$AJ$7,21,FALSE)+VLOOKUP(C350,$B$8:$AJ$11,21,FALSE)*입력란!$P$4)*IF(G350="근접",입력란!$P$27,IF(MID(E350,3,1)="2",입력란!$P$27,입력란!$P$26))*입력란!$P$25/100</f>
        <v>270833.19884260301</v>
      </c>
      <c r="AP350" s="21">
        <f>(VLOOKUP(C350,$B$4:$AJ$7,22,FALSE)+VLOOKUP(C350,$B$8:$AJ$11,22,FALSE)*입력란!$P$4)*IF(G350="근접",입력란!$P$27,IF(MID(E350,3,1)="2",입력란!$P$27,입력란!$P$26))*입력란!$P$25/100</f>
        <v>361144.07342203078</v>
      </c>
      <c r="AQ350" s="22">
        <v>36</v>
      </c>
    </row>
    <row r="351" spans="2:43" ht="13.5" customHeight="1" x14ac:dyDescent="0.55000000000000004">
      <c r="B351" s="66">
        <v>336</v>
      </c>
      <c r="C351" s="29">
        <v>10</v>
      </c>
      <c r="D351" s="67" t="s">
        <v>48</v>
      </c>
      <c r="E351" s="27" t="s">
        <v>147</v>
      </c>
      <c r="F351" s="29" t="s">
        <v>413</v>
      </c>
      <c r="G351" s="29" t="s">
        <v>36</v>
      </c>
      <c r="H351" s="36">
        <f>I351/AJ351</f>
        <v>211225.47430833062</v>
      </c>
      <c r="I351" s="37">
        <f>SUM(J351:Q351)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7512697.884864321</v>
      </c>
      <c r="J351" s="21">
        <f>S351*(1+IF($AK351+IF(입력란!$C$9=1,10,0)+IF(입력란!$C$26=1,10,0)&gt;100,100,$AK351+IF(입력란!$C$9=1,10,0)+IF(입력란!$C$26=1,10,0))/100*(($AL351+IF(입력란!$C$30=1,IF(OR(입력란!$C$9=1,입력란!$C$10=1),55,17),IF(입력란!$C$30=2,IF(OR(입력란!$C$9=1,입력란!$C$10=1),60,20),IF(입력란!$C$30=3,IF(OR(입력란!$C$9=1,입력란!$C$10=1),65,22),0))))/100-1))</f>
        <v>1596010.6433445341</v>
      </c>
      <c r="K351" s="21">
        <f>T351*(1+IF($AK351+IF(입력란!$C$9=1,10,0)+IF(입력란!$C$26=1,10,0)&gt;100,100,$AK351+IF(입력란!$C$9=1,10,0)+IF(입력란!$C$26=1,10,0))/100*(($AL351+IF(입력란!$C$30=1,IF(OR(입력란!$C$9=1,입력란!$C$10=1),55,17),IF(입력란!$C$30=2,IF(OR(입력란!$C$9=1,입력란!$C$10=1),60,20),IF(입력란!$C$30=3,IF(OR(입력란!$C$9=1,입력란!$C$10=1),65,22),0))))/100-1))</f>
        <v>1596010.6433445341</v>
      </c>
      <c r="L351" s="21">
        <f>U351*(1+IF($AK351+IF(입력란!$C$9=1,10,0)+IF(입력란!$C$26=1,10,0)&gt;100,100,$AK351+IF(입력란!$C$9=1,10,0)+IF(입력란!$C$26=1,10,0))/100*(($AL351+IF(입력란!$C$30=1,IF(OR(입력란!$C$9=1,입력란!$C$10=1),55,17),IF(입력란!$C$30=2,IF(OR(입력란!$C$9=1,입력란!$C$10=1),60,20),IF(입력란!$C$30=3,IF(OR(입력란!$C$9=1,입력란!$C$10=1),65,22),0))))/100-1))</f>
        <v>2128209.493612837</v>
      </c>
      <c r="M351" s="21"/>
      <c r="N351" s="21"/>
      <c r="O351" s="21"/>
      <c r="P351" s="21"/>
      <c r="Q351" s="20"/>
      <c r="R351" s="19">
        <f>SUM(S351:Z351)</f>
        <v>3280413.6893683579</v>
      </c>
      <c r="S351" s="21">
        <f>AN351*IF(G351="근접",IF(MID(E351,3,1)="1",트라이포드!$J$19,트라이포드!$I$19),1)*IF(MID(E351,3,1)="2",트라이포드!$L$19,트라이포드!$K$19)*IF(MID(E351,5,1)="2",트라이포드!$R$19,트라이포드!$Q$19)*(1+입력란!$P$17/100)*IF(입력란!$C$9=1,IF(입력란!$C$15=0,1.05,IF(입력란!$C$15=1,1.05*1.05,IF(입력란!$C$15=2,1.05*1.12,IF(입력란!$C$15=3,1.05*1.25)))),1)</f>
        <v>984087.98020372866</v>
      </c>
      <c r="T351" s="21">
        <f>AO351*IF(G351="근접",IF(MID(E351,3,1)="1",트라이포드!$J$19,트라이포드!$I$19),1)*IF(MID(E351,3,1)="2",트라이포드!$L$19,트라이포드!$K$19)*IF(MID(E351,5,1)="2",트라이포드!$R$19,트라이포드!$Q$19)*(1+입력란!$P$17/100)*IF(입력란!$C$9=1,IF(입력란!$C$15=0,1.05,IF(입력란!$C$15=1,1.05*1.05,IF(입력란!$C$15=2,1.05*1.12,IF(입력란!$C$15=3,1.05*1.25)))),1)</f>
        <v>984087.98020372866</v>
      </c>
      <c r="U351" s="21">
        <f>AP351*IF(G351="근접",IF(MID(E351,3,1)="1",트라이포드!$J$19,트라이포드!$I$19),1)*IF(MID(E351,3,1)="2",트라이포드!$L$19,트라이포드!$K$19)*IF(MID(E351,5,1)="1",트라이포드!$P$19,트라이포드!$O$19)*IF(MID(E351,5,1)="2",트라이포드!$R$19,트라이포드!$Q$19)*(1+입력란!$P$17/100)*IF(입력란!$C$9=1,IF(입력란!$C$15=0,1.05,IF(입력란!$C$15=1,1.05*1.05,IF(입력란!$C$15=2,1.05*1.12,IF(입력란!$C$15=3,1.05*1.25)))),1)</f>
        <v>1312237.7289609003</v>
      </c>
      <c r="V351" s="21"/>
      <c r="W351" s="21"/>
      <c r="X351" s="21"/>
      <c r="Y351" s="21"/>
      <c r="Z351" s="20"/>
      <c r="AA351" s="21">
        <f>SUM(AB351:AI351)</f>
        <v>6560827.3787367158</v>
      </c>
      <c r="AB351" s="21">
        <f>S351*2</f>
        <v>1968175.9604074573</v>
      </c>
      <c r="AC351" s="21">
        <f>T351*2</f>
        <v>1968175.9604074573</v>
      </c>
      <c r="AD351" s="21">
        <f>U351*2</f>
        <v>2624475.4579218007</v>
      </c>
      <c r="AE351" s="21"/>
      <c r="AF351" s="21"/>
      <c r="AG351" s="21"/>
      <c r="AH351" s="21"/>
      <c r="AI351" s="20"/>
      <c r="AJ351" s="21">
        <f>(AQ351-IF(MID(E351,3,1)="3",트라이포드!$N$19,트라이포드!$M$19))*(1-입력란!$P$10/100)</f>
        <v>35.567196189119997</v>
      </c>
      <c r="AK3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1" s="21">
        <f>입력란!$P$24+IF(입력란!$C$18=1,10,IF(입력란!$C$18=2,25,IF(입력란!$C$18=3,50,0)))+IF(입력란!$C$23&lt;&gt;0,-12)</f>
        <v>200</v>
      </c>
      <c r="AM351" s="21">
        <f>SUM(AN351:AP351)</f>
        <v>902810.47110723681</v>
      </c>
      <c r="AN351" s="21">
        <f>(VLOOKUP(C351,$B$4:$AJ$7,20,FALSE)+VLOOKUP(C351,$B$8:$AJ$11,20,FALSE)*입력란!$P$4)*IF(G351="근접",입력란!$P$27,IF(MID(E351,3,1)="2",입력란!$P$27,입력란!$P$26))*입력란!$P$25/100</f>
        <v>270833.19884260301</v>
      </c>
      <c r="AO351" s="21">
        <f>(VLOOKUP(C351,$B$4:$AJ$7,21,FALSE)+VLOOKUP(C351,$B$8:$AJ$11,21,FALSE)*입력란!$P$4)*IF(G351="근접",입력란!$P$27,IF(MID(E351,3,1)="2",입력란!$P$27,입력란!$P$26))*입력란!$P$25/100</f>
        <v>270833.19884260301</v>
      </c>
      <c r="AP351" s="21">
        <f>(VLOOKUP(C351,$B$4:$AJ$7,22,FALSE)+VLOOKUP(C351,$B$8:$AJ$11,22,FALSE)*입력란!$P$4)*IF(G351="근접",입력란!$P$27,IF(MID(E351,3,1)="2",입력란!$P$27,입력란!$P$26))*입력란!$P$25/100</f>
        <v>361144.07342203078</v>
      </c>
      <c r="AQ351" s="22">
        <v>36</v>
      </c>
    </row>
    <row r="352" spans="2:43" ht="13.5" customHeight="1" x14ac:dyDescent="0.55000000000000004">
      <c r="B352" s="66">
        <v>337</v>
      </c>
      <c r="C352" s="29">
        <v>10</v>
      </c>
      <c r="D352" s="67" t="s">
        <v>48</v>
      </c>
      <c r="E352" s="27" t="s">
        <v>79</v>
      </c>
      <c r="F352" s="29"/>
      <c r="G352" s="29" t="s">
        <v>36</v>
      </c>
      <c r="H352" s="36">
        <f>I352/AJ352</f>
        <v>70408.491436110198</v>
      </c>
      <c r="I352" s="37">
        <f>SUM(J352:Q352)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1739050.4363111851</v>
      </c>
      <c r="J352" s="21">
        <f>S352*(1+IF($AK352+IF(입력란!$C$9=1,10,0)+IF(입력란!$C$26=1,10,0)&gt;100,100,$AK352+IF(입력란!$C$9=1,10,0)+IF(입력란!$C$26=1,10,0))/100*(($AL352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52" s="21">
        <f>T352*(1+IF($AK352+IF(입력란!$C$9=1,10,0)+IF(입력란!$C$26=1,10,0)&gt;100,100,$AK352+IF(입력란!$C$9=1,10,0)+IF(입력란!$C$26=1,10,0))/100*(($AL352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52" s="21">
        <f>U352*(1+IF($AK352+IF(입력란!$C$9=1,10,0)+IF(입력란!$C$26=1,10,0)&gt;100,100,$AK352+IF(입력란!$C$9=1,10,0)+IF(입력란!$C$26=1,10,0))/100*(($AL352+IF(입력란!$C$30=1,IF(OR(입력란!$C$9=1,입력란!$C$10=1),55,17),IF(입력란!$C$30=2,IF(OR(입력란!$C$9=1,입력란!$C$10=1),60,20),IF(입력란!$C$30=3,IF(OR(입력란!$C$9=1,입력란!$C$10=1),65,22),0))))/100-1))</f>
        <v>492641.08648445294</v>
      </c>
      <c r="M352" s="21"/>
      <c r="N352" s="21"/>
      <c r="O352" s="21"/>
      <c r="P352" s="21"/>
      <c r="Q352" s="20"/>
      <c r="R352" s="19">
        <f>SUM(S352:Z352)</f>
        <v>759355.0206871198</v>
      </c>
      <c r="S352" s="21">
        <f>AN352*IF(G352="근접",IF(MID(E352,3,1)="1",트라이포드!$J$19,트라이포드!$I$19),1)*IF(MID(E352,3,1)="2",트라이포드!$L$19,트라이포드!$K$19)*IF(MID(E352,5,1)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52" s="21">
        <f>AO352*IF(G352="근접",IF(MID(E352,3,1)="1",트라이포드!$J$19,트라이포드!$I$19),1)*IF(MID(E352,3,1)="2",트라이포드!$L$19,트라이포드!$K$19)*IF(MID(E352,5,1)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52" s="21">
        <f>AP352*IF(G352="근접",IF(MID(E352,3,1)="1",트라이포드!$J$19,트라이포드!$I$19),1)*IF(MID(E352,3,1)="2",트라이포드!$L$19,트라이포드!$K$19)*IF(MID(E352,5,1)="1",트라이포드!$P$19,트라이포드!$O$19)*IF(MID(E352,5,1)="2",트라이포드!$R$19,트라이포드!$Q$19)*(1+입력란!$P$17/100)*IF(입력란!$C$9=1,IF(입력란!$C$15=0,1.05,IF(입력란!$C$15=1,1.05*1.05,IF(입력란!$C$15=2,1.05*1.12,IF(입력란!$C$15=3,1.05*1.25)))),1)</f>
        <v>303758.73355576396</v>
      </c>
      <c r="V352" s="21"/>
      <c r="W352" s="21"/>
      <c r="X352" s="21"/>
      <c r="Y352" s="21"/>
      <c r="Z352" s="20"/>
      <c r="AA352" s="21">
        <f>SUM(AB352:AI352)</f>
        <v>1518710.0413742396</v>
      </c>
      <c r="AB352" s="21">
        <f>S352*2</f>
        <v>455596.28713135578</v>
      </c>
      <c r="AC352" s="21">
        <f>T352*2</f>
        <v>455596.28713135578</v>
      </c>
      <c r="AD352" s="21">
        <f>U352*2</f>
        <v>607517.46711152792</v>
      </c>
      <c r="AE352" s="21"/>
      <c r="AF352" s="21"/>
      <c r="AG352" s="21"/>
      <c r="AH352" s="21"/>
      <c r="AI352" s="20"/>
      <c r="AJ352" s="21">
        <f>(AQ352-IF(MID(E352,3,1)="3",트라이포드!$N$19,트라이포드!$M$19))*(1-입력란!$P$10/100)</f>
        <v>24.699441797999999</v>
      </c>
      <c r="AK3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2" s="21">
        <f>입력란!$P$24+IF(입력란!$C$18=1,10,IF(입력란!$C$18=2,25,IF(입력란!$C$18=3,50,0)))+IF(입력란!$C$23&lt;&gt;0,-12)</f>
        <v>200</v>
      </c>
      <c r="AM352" s="21">
        <f>SUM(AN352:AP352)</f>
        <v>451405.2355536184</v>
      </c>
      <c r="AN352" s="21">
        <f>(VLOOKUP(C352,$B$4:$AJ$7,20,FALSE)+VLOOKUP(C352,$B$8:$AJ$11,20,FALSE)*입력란!$P$4)*IF(G352="근접",입력란!$P$27,IF(MID(E352,3,1)="2",입력란!$P$27,입력란!$P$26))*입력란!$P$25/100</f>
        <v>135416.59942130151</v>
      </c>
      <c r="AO352" s="21">
        <f>(VLOOKUP(C352,$B$4:$AJ$7,21,FALSE)+VLOOKUP(C352,$B$8:$AJ$11,21,FALSE)*입력란!$P$4)*IF(G352="근접",입력란!$P$27,IF(MID(E352,3,1)="2",입력란!$P$27,입력란!$P$26))*입력란!$P$25/100</f>
        <v>135416.59942130151</v>
      </c>
      <c r="AP352" s="21">
        <f>(VLOOKUP(C352,$B$4:$AJ$7,22,FALSE)+VLOOKUP(C352,$B$8:$AJ$11,22,FALSE)*입력란!$P$4)*IF(G352="근접",입력란!$P$27,IF(MID(E352,3,1)="2",입력란!$P$27,입력란!$P$26))*입력란!$P$25/100</f>
        <v>180572.03671101539</v>
      </c>
      <c r="AQ352" s="22">
        <v>36</v>
      </c>
    </row>
    <row r="353" spans="2:43" ht="13.5" customHeight="1" x14ac:dyDescent="0.55000000000000004">
      <c r="B353" s="66">
        <v>338</v>
      </c>
      <c r="C353" s="29">
        <v>10</v>
      </c>
      <c r="D353" s="67" t="s">
        <v>48</v>
      </c>
      <c r="E353" s="27" t="s">
        <v>126</v>
      </c>
      <c r="F353" s="29"/>
      <c r="G353" s="29" t="s">
        <v>36</v>
      </c>
      <c r="H353" s="36">
        <f>I353/AJ353</f>
        <v>103361.47985501448</v>
      </c>
      <c r="I353" s="37">
        <f>SUM(J353:Q353)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2552970.8558340794</v>
      </c>
      <c r="J353" s="21">
        <f>S353*(1+IF($AK353+IF(입력란!$C$9=1,10,0)+IF(입력란!$C$26=1,10,0)&gt;100,100,$AK353+IF(입력란!$C$9=1,10,0)+IF(입력란!$C$26=1,10,0))/100*(($AL353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K353" s="21">
        <f>T353*(1+IF($AK353+IF(입력란!$C$9=1,10,0)+IF(입력란!$C$26=1,10,0)&gt;100,100,$AK353+IF(입력란!$C$9=1,10,0)+IF(입력란!$C$26=1,10,0))/100*(($AL353+IF(입력란!$C$30=1,IF(OR(입력란!$C$9=1,입력란!$C$10=1),55,17),IF(입력란!$C$30=2,IF(OR(입력란!$C$9=1,입력란!$C$10=1),60,20),IF(입력란!$C$30=3,IF(OR(입력란!$C$9=1,입력란!$C$10=1),65,22),0))))/100-1))</f>
        <v>369446.90818160505</v>
      </c>
      <c r="L353" s="21">
        <f>U353*(1+IF($AK353+IF(입력란!$C$9=1,10,0)+IF(입력란!$C$26=1,10,0)&gt;100,100,$AK353+IF(입력란!$C$9=1,10,0)+IF(입력란!$C$26=1,10,0))/100*(($AL353+IF(입력란!$C$30=1,IF(OR(입력란!$C$9=1,입력란!$C$10=1),55,17),IF(입력란!$C$30=2,IF(OR(입력란!$C$9=1,입력란!$C$10=1),60,20),IF(입력란!$C$30=3,IF(OR(입력란!$C$9=1,입력란!$C$10=1),65,22),0))))/100-1))</f>
        <v>1069031.1576712627</v>
      </c>
      <c r="M353" s="21"/>
      <c r="N353" s="21"/>
      <c r="O353" s="21"/>
      <c r="P353" s="21"/>
      <c r="Q353" s="20"/>
      <c r="R353" s="19">
        <f>SUM(S353:Z353)</f>
        <v>1114752.7389473636</v>
      </c>
      <c r="S353" s="21">
        <f>AN353*IF(G353="근접",IF(MID(E353,3,1)="1",트라이포드!$J$19,트라이포드!$I$19),1)*IF(MID(E353,3,1)="2",트라이포드!$L$19,트라이포드!$K$19)*IF(MID(E353,5,1)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T353" s="21">
        <f>AO353*IF(G353="근접",IF(MID(E353,3,1)="1",트라이포드!$J$19,트라이포드!$I$19),1)*IF(MID(E353,3,1)="2",트라이포드!$L$19,트라이포드!$K$19)*IF(MID(E353,5,1)="2",트라이포드!$R$19,트라이포드!$Q$19)*(1+입력란!$P$17/100)*IF(입력란!$C$9=1,IF(입력란!$C$15=0,1.05,IF(입력란!$C$15=1,1.05*1.05,IF(입력란!$C$15=2,1.05*1.12,IF(입력란!$C$15=3,1.05*1.25)))),1)</f>
        <v>227798.14356567789</v>
      </c>
      <c r="U353" s="21">
        <f>AP353*IF(G353="근접",IF(MID(E353,3,1)="1",트라이포드!$J$19,트라이포드!$I$19),1)*IF(MID(E353,3,1)="2",트라이포드!$L$19,트라이포드!$K$19)*IF(MID(E353,5,1)="1",트라이포드!$P$19,트라이포드!$O$19)*IF(MID(E353,5,1)="2",트라이포드!$R$19,트라이포드!$Q$19)*(1+입력란!$P$17/100)*IF(입력란!$C$9=1,IF(입력란!$C$15=0,1.05,IF(입력란!$C$15=1,1.05*1.05,IF(입력란!$C$15=2,1.05*1.12,IF(입력란!$C$15=3,1.05*1.25)))),1)</f>
        <v>659156.45181600773</v>
      </c>
      <c r="V353" s="21"/>
      <c r="W353" s="21"/>
      <c r="X353" s="21"/>
      <c r="Y353" s="21"/>
      <c r="Z353" s="20"/>
      <c r="AA353" s="21">
        <f>SUM(AB353:AI353)</f>
        <v>2229505.4778947271</v>
      </c>
      <c r="AB353" s="21">
        <f>S353*2</f>
        <v>455596.28713135578</v>
      </c>
      <c r="AC353" s="21">
        <f>T353*2</f>
        <v>455596.28713135578</v>
      </c>
      <c r="AD353" s="21">
        <f>U353*2</f>
        <v>1318312.9036320155</v>
      </c>
      <c r="AE353" s="21"/>
      <c r="AF353" s="21"/>
      <c r="AG353" s="21"/>
      <c r="AH353" s="21"/>
      <c r="AI353" s="20"/>
      <c r="AJ353" s="21">
        <f>(AQ353-IF(MID(E353,3,1)="3",트라이포드!$N$19,트라이포드!$M$19))*(1-입력란!$P$10/100)</f>
        <v>24.699441797999999</v>
      </c>
      <c r="AK3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3" s="21">
        <f>입력란!$P$24+IF(입력란!$C$18=1,10,IF(입력란!$C$18=2,25,IF(입력란!$C$18=3,50,0)))+IF(입력란!$C$23&lt;&gt;0,-12)</f>
        <v>200</v>
      </c>
      <c r="AM353" s="21">
        <f>SUM(AN353:AP353)</f>
        <v>451405.2355536184</v>
      </c>
      <c r="AN353" s="21">
        <f>(VLOOKUP(C353,$B$4:$AJ$7,20,FALSE)+VLOOKUP(C353,$B$8:$AJ$11,20,FALSE)*입력란!$P$4)*IF(G353="근접",입력란!$P$27,IF(MID(E353,3,1)="2",입력란!$P$27,입력란!$P$26))*입력란!$P$25/100</f>
        <v>135416.59942130151</v>
      </c>
      <c r="AO353" s="21">
        <f>(VLOOKUP(C353,$B$4:$AJ$7,21,FALSE)+VLOOKUP(C353,$B$8:$AJ$11,21,FALSE)*입력란!$P$4)*IF(G353="근접",입력란!$P$27,IF(MID(E353,3,1)="2",입력란!$P$27,입력란!$P$26))*입력란!$P$25/100</f>
        <v>135416.59942130151</v>
      </c>
      <c r="AP353" s="21">
        <f>(VLOOKUP(C353,$B$4:$AJ$7,22,FALSE)+VLOOKUP(C353,$B$8:$AJ$11,22,FALSE)*입력란!$P$4)*IF(G353="근접",입력란!$P$27,IF(MID(E353,3,1)="2",입력란!$P$27,입력란!$P$26))*입력란!$P$25/100</f>
        <v>180572.03671101539</v>
      </c>
      <c r="AQ353" s="22">
        <v>36</v>
      </c>
    </row>
    <row r="354" spans="2:43" ht="13.5" customHeight="1" x14ac:dyDescent="0.55000000000000004">
      <c r="B354" s="66">
        <v>339</v>
      </c>
      <c r="C354" s="29">
        <v>10</v>
      </c>
      <c r="D354" s="67" t="s">
        <v>48</v>
      </c>
      <c r="E354" s="27" t="s">
        <v>127</v>
      </c>
      <c r="F354" s="29" t="s">
        <v>136</v>
      </c>
      <c r="G354" s="29" t="s">
        <v>36</v>
      </c>
      <c r="H354" s="36">
        <f>I354/AJ354</f>
        <v>126735.28458499836</v>
      </c>
      <c r="I354" s="37">
        <f>SUM(J354:Q354)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3130290.7853601333</v>
      </c>
      <c r="J354" s="21">
        <f>S354*(1+IF($AK354+IF(입력란!$C$9=1,10,0)+IF(입력란!$C$26=1,10,0)&gt;100,100,$AK354+IF(입력란!$C$9=1,10,0)+IF(입력란!$C$26=1,10,0))/100*(($AL354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K354" s="21">
        <f>T354*(1+IF($AK354+IF(입력란!$C$9=1,10,0)+IF(입력란!$C$26=1,10,0)&gt;100,100,$AK354+IF(입력란!$C$9=1,10,0)+IF(입력란!$C$26=1,10,0))/100*(($AL354+IF(입력란!$C$30=1,IF(OR(입력란!$C$9=1,입력란!$C$10=1),55,17),IF(입력란!$C$30=2,IF(OR(입력란!$C$9=1,입력란!$C$10=1),60,20),IF(입력란!$C$30=3,IF(OR(입력란!$C$9=1,입력란!$C$10=1),65,22),0))))/100-1))</f>
        <v>665004.43472688913</v>
      </c>
      <c r="L354" s="21">
        <f>U354*(1+IF($AK354+IF(입력란!$C$9=1,10,0)+IF(입력란!$C$26=1,10,0)&gt;100,100,$AK354+IF(입력란!$C$9=1,10,0)+IF(입력란!$C$26=1,10,0))/100*(($AL354+IF(입력란!$C$30=1,IF(OR(입력란!$C$9=1,입력란!$C$10=1),55,17),IF(입력란!$C$30=2,IF(OR(입력란!$C$9=1,입력란!$C$10=1),60,20),IF(입력란!$C$30=3,IF(OR(입력란!$C$9=1,입력란!$C$10=1),65,22),0))))/100-1))</f>
        <v>886753.9556720152</v>
      </c>
      <c r="M354" s="21"/>
      <c r="N354" s="21"/>
      <c r="O354" s="21"/>
      <c r="P354" s="21"/>
      <c r="Q354" s="20"/>
      <c r="R354" s="19">
        <f>SUM(S354:Z354)</f>
        <v>1366839.0372368156</v>
      </c>
      <c r="S354" s="21">
        <f>AN354*IF(G354="근접",IF(MID(E354,3,1)="1",트라이포드!$J$19,트라이포드!$I$19),1)*IF(MID(E354,3,1)="2",트라이포드!$L$19,트라이포드!$K$19)*IF(MID(E354,5,1)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T354" s="21">
        <f>AO354*IF(G354="근접",IF(MID(E354,3,1)="1",트라이포드!$J$19,트라이포드!$I$19),1)*IF(MID(E354,3,1)="2",트라이포드!$L$19,트라이포드!$K$19)*IF(MID(E354,5,1)="2",트라이포드!$R$19,트라이포드!$Q$19)*(1+입력란!$P$17/100)*IF(입력란!$C$9=1,IF(입력란!$C$15=0,1.05,IF(입력란!$C$15=1,1.05*1.05,IF(입력란!$C$15=2,1.05*1.12,IF(입력란!$C$15=3,1.05*1.25)))),1)</f>
        <v>410036.65841822024</v>
      </c>
      <c r="U354" s="21">
        <f>AP354*IF(G354="근접",IF(MID(E354,3,1)="1",트라이포드!$J$19,트라이포드!$I$19),1)*IF(MID(E354,3,1)="2",트라이포드!$L$19,트라이포드!$K$19)*IF(MID(E354,5,1)="1",트라이포드!$P$19,트라이포드!$O$19)*IF(MID(E354,5,1)="2",트라이포드!$R$19,트라이포드!$Q$19)*(1+입력란!$P$17/100)*IF(입력란!$C$9=1,IF(입력란!$C$15=0,1.05,IF(입력란!$C$15=1,1.05*1.05,IF(입력란!$C$15=2,1.05*1.12,IF(입력란!$C$15=3,1.05*1.25)))),1)</f>
        <v>546765.72040037508</v>
      </c>
      <c r="V354" s="21"/>
      <c r="W354" s="21"/>
      <c r="X354" s="21"/>
      <c r="Y354" s="21"/>
      <c r="Z354" s="20"/>
      <c r="AA354" s="21">
        <f>SUM(AB354:AI354)</f>
        <v>2733678.0744736311</v>
      </c>
      <c r="AB354" s="21">
        <f>S354*2</f>
        <v>820073.31683644047</v>
      </c>
      <c r="AC354" s="21">
        <f>T354*2</f>
        <v>820073.31683644047</v>
      </c>
      <c r="AD354" s="21">
        <f>U354*2</f>
        <v>1093531.4408007502</v>
      </c>
      <c r="AE354" s="21"/>
      <c r="AF354" s="21"/>
      <c r="AG354" s="21"/>
      <c r="AH354" s="21"/>
      <c r="AI354" s="20"/>
      <c r="AJ354" s="21">
        <f>(AQ354-IF(MID(E354,3,1)="3",트라이포드!$N$19,트라이포드!$M$19))*(1-입력란!$P$10/100)</f>
        <v>24.699441797999999</v>
      </c>
      <c r="AK3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4" s="21">
        <f>입력란!$P$24+IF(입력란!$C$18=1,10,IF(입력란!$C$18=2,25,IF(입력란!$C$18=3,50,0)))+IF(입력란!$C$23&lt;&gt;0,-12)</f>
        <v>200</v>
      </c>
      <c r="AM354" s="21">
        <f>SUM(AN354:AP354)</f>
        <v>451405.2355536184</v>
      </c>
      <c r="AN354" s="21">
        <f>(VLOOKUP(C354,$B$4:$AJ$7,20,FALSE)+VLOOKUP(C354,$B$8:$AJ$11,20,FALSE)*입력란!$P$4)*IF(G354="근접",입력란!$P$27,IF(MID(E354,3,1)="2",입력란!$P$27,입력란!$P$26))*입력란!$P$25/100</f>
        <v>135416.59942130151</v>
      </c>
      <c r="AO354" s="21">
        <f>(VLOOKUP(C354,$B$4:$AJ$7,21,FALSE)+VLOOKUP(C354,$B$8:$AJ$11,21,FALSE)*입력란!$P$4)*IF(G354="근접",입력란!$P$27,IF(MID(E354,3,1)="2",입력란!$P$27,입력란!$P$26))*입력란!$P$25/100</f>
        <v>135416.59942130151</v>
      </c>
      <c r="AP354" s="21">
        <f>(VLOOKUP(C354,$B$4:$AJ$7,22,FALSE)+VLOOKUP(C354,$B$8:$AJ$11,22,FALSE)*입력란!$P$4)*IF(G354="근접",입력란!$P$27,IF(MID(E354,3,1)="2",입력란!$P$27,입력란!$P$26))*입력란!$P$25/100</f>
        <v>180572.03671101539</v>
      </c>
      <c r="AQ354" s="22">
        <v>36</v>
      </c>
    </row>
    <row r="355" spans="2:43" ht="13.5" customHeight="1" x14ac:dyDescent="0.55000000000000004">
      <c r="B355" s="66">
        <v>340</v>
      </c>
      <c r="C355" s="29">
        <v>1</v>
      </c>
      <c r="D355" s="67" t="s">
        <v>210</v>
      </c>
      <c r="E355" s="27" t="s">
        <v>184</v>
      </c>
      <c r="F355" s="29"/>
      <c r="G355" s="29" t="s">
        <v>200</v>
      </c>
      <c r="H355" s="36">
        <f>I355/AJ355</f>
        <v>63863.741160450729</v>
      </c>
      <c r="I355" s="37">
        <f>SUM(J355:Q355)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1514302.8074832861</v>
      </c>
      <c r="J355" s="21">
        <f>S355*(1+IF($AK355+IF(입력란!$C$9=1,10,0)+IF(입력란!$C$26=1,10,0)&gt;100,100,$AK355+IF(입력란!$C$9=1,10,0)+IF(입력란!$C$26=1,10,0))/100*(($AL355+IF(입력란!$C$30=1,IF(OR(입력란!$C$9=1,입력란!$C$10=1),55,17),IF(입력란!$C$30=2,IF(OR(입력란!$C$9=1,입력란!$C$10=1),60,20),IF(입력란!$C$30=3,IF(OR(입력란!$C$9=1,입력란!$C$10=1),65,22),0))))/100-1))</f>
        <v>643407.4412652381</v>
      </c>
      <c r="K355" s="21">
        <f>T355*(1+IF($AK355+IF(입력란!$C$9=1,10,0)+IF(입력란!$C$26=1,10,0)&gt;100,100,$AK355+IF(입력란!$C$9=1,10,0)+IF(입력란!$C$26=1,10,0))/100*(($AL355+IF(입력란!$C$30=1,IF(OR(입력란!$C$9=1,입력란!$C$10=1),55,17),IF(입력란!$C$30=2,IF(OR(입력란!$C$9=1,입력란!$C$10=1),60,20),IF(입력란!$C$30=3,IF(OR(입력란!$C$9=1,입력란!$C$10=1),65,22),0))))/100-1))</f>
        <v>428969.02462477394</v>
      </c>
      <c r="L355" s="21"/>
      <c r="M355" s="21"/>
      <c r="N355" s="21"/>
      <c r="O355" s="21"/>
      <c r="P355" s="21"/>
      <c r="Q355" s="20"/>
      <c r="R355" s="19">
        <f>SUM(S355:Z355)</f>
        <v>661219.14332867158</v>
      </c>
      <c r="S355" s="21">
        <f>AN355*IF(G355="근접",IF(MID(E355,1,1)="3",트라이포드!$H$20,트라이포드!$G$20),1)*IF(입력란!$C$9=1,IF(MID(E355,1,1)="2",트라이포드!$F$20,트라이포드!$E$20),1)*IF(MID(E355,1,1)="1",트라이포드!$D$20,트라이포드!$C$20)*IF(MID(E355,3,1)="1",트라이포드!$J$20,트라이포드!$I$20)*IF(MID(E355,3,1)="2",트라이포드!$L$20,트라이포드!$K$20)*IF(MID(E355,5,1)="1",트라이포드!$P$20,트라이포드!$O$20)*(1+입력란!$P$17/100)*IF(입력란!$C$9=1,IF(입력란!$C$15=0,1.05,IF(입력란!$C$15=1,1.05*1.05,IF(입력란!$C$15=2,1.05*1.12,IF(입력란!$C$15=3,1.05*1.25)))),1)</f>
        <v>396720.11710142071</v>
      </c>
      <c r="T355" s="21">
        <f>AO355*IF(G355="근접",IF(MID(E355,1,1)="3",트라이포드!$H$20,트라이포드!$G$20),1)*IF(입력란!$C$9=1,IF(MID(E355,1,1)="2",트라이포드!$F$20,트라이포드!$E$20),1)*IF(MID(E355,1,1)="1",트라이포드!$D$20,트라이포드!$C$20)*IF(MID(E355,3,1)="1",트라이포드!$J$20,트라이포드!$I$20)*IF(MID(E355,3,1)="2",트라이포드!$L$20,트라이포드!$K$20)*IF(MID(E355,5,1)="1",0,IF(MID(E355,5,1)="2",트라이포드!$R$20,트라이포드!$Q$20))*(1+입력란!$P$17/100)*IF(입력란!$C$9=1,IF(입력란!$C$15=0,1.05,IF(입력란!$C$15=1,1.05*1.05,IF(입력란!$C$15=2,1.05*1.12,IF(입력란!$C$15=3,1.05*1.25)))),1)</f>
        <v>264499.02622725081</v>
      </c>
      <c r="U355" s="21"/>
      <c r="V355" s="21"/>
      <c r="W355" s="21"/>
      <c r="X355" s="21"/>
      <c r="Y355" s="21"/>
      <c r="Z355" s="20"/>
      <c r="AA355" s="21">
        <f>SUM(AB355:AI355)</f>
        <v>1322438.2866573432</v>
      </c>
      <c r="AB355" s="21">
        <f>S355*2</f>
        <v>793440.23420284141</v>
      </c>
      <c r="AC355" s="21">
        <f>T355*2</f>
        <v>528998.05245450162</v>
      </c>
      <c r="AD355" s="21"/>
      <c r="AE355" s="21"/>
      <c r="AF355" s="21"/>
      <c r="AG355" s="21"/>
      <c r="AH355" s="21"/>
      <c r="AI355" s="20"/>
      <c r="AJ355" s="21">
        <f>AQ355*(1-입력란!$P$10/100)</f>
        <v>23.711464126079999</v>
      </c>
      <c r="AK3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5" s="21">
        <f>입력란!$P$24+IF(입력란!$C$18=1,10,IF(입력란!$C$18=2,25,IF(입력란!$C$18=3,50,0)))+IF(입력란!$C$23&lt;&gt;0,-12)</f>
        <v>200</v>
      </c>
      <c r="AM355" s="21">
        <f>SUM(AN355:AP355)</f>
        <v>393067.5046788475</v>
      </c>
      <c r="AN355" s="21">
        <f>(VLOOKUP(C355,$B$4:$AJ$7,23,FALSE)+VLOOKUP(C355,$B$8:$AJ$11,23,FALSE)*입력란!$P$4)*IF(G355="근접",입력란!$P$27,IF(MID(E355,1,1)="1",입력란!$P$27,입력란!$P$26))*입력란!$P$25/100</f>
        <v>235833.74446774565</v>
      </c>
      <c r="AO355" s="21">
        <f>(VLOOKUP(C355,$B$4:$AJ$7,24,FALSE)+VLOOKUP(C355,$B$8:$AJ$11,24,FALSE)*입력란!$P$4)*IF(G355="근접",입력란!$P$27,IF(MID(E355,1,1)="1",입력란!$P$27,입력란!$P$26))*입력란!$P$25/100</f>
        <v>157233.76021110182</v>
      </c>
      <c r="AP355" s="21"/>
      <c r="AQ355" s="22">
        <v>24</v>
      </c>
    </row>
    <row r="356" spans="2:43" ht="13.5" customHeight="1" x14ac:dyDescent="0.55000000000000004">
      <c r="B356" s="66">
        <v>341</v>
      </c>
      <c r="C356" s="29">
        <v>4</v>
      </c>
      <c r="D356" s="67" t="s">
        <v>210</v>
      </c>
      <c r="E356" s="27" t="s">
        <v>184</v>
      </c>
      <c r="F356" s="29"/>
      <c r="G356" s="29" t="s">
        <v>200</v>
      </c>
      <c r="H356" s="36">
        <f>I356/AJ356</f>
        <v>63947.968330144206</v>
      </c>
      <c r="I356" s="37">
        <f>SUM(J356:Q356)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1516299.9569959142</v>
      </c>
      <c r="J356" s="21">
        <f>S356*(1+IF($AK356+IF(입력란!$C$9=1,10,0)+IF(입력란!$C$26=1,10,0)&gt;100,100,$AK356+IF(입력란!$C$9=1,10,0)+IF(입력란!$C$26=1,10,0))/100*(($AL356+IF(입력란!$C$30=1,IF(OR(입력란!$C$9=1,입력란!$C$10=1),55,17),IF(입력란!$C$30=2,IF(OR(입력란!$C$9=1,입력란!$C$10=1),60,20),IF(입력란!$C$30=3,IF(OR(입력란!$C$9=1,입력란!$C$10=1),65,22),0))))/100-1))</f>
        <v>644258.64736438147</v>
      </c>
      <c r="K356" s="21">
        <f>T356*(1+IF($AK356+IF(입력란!$C$9=1,10,0)+IF(입력란!$C$26=1,10,0)&gt;100,100,$AK356+IF(입력란!$C$9=1,10,0)+IF(입력란!$C$26=1,10,0))/100*(($AL356+IF(입력란!$C$30=1,IF(OR(입력란!$C$9=1,입력란!$C$10=1),55,17),IF(입력란!$C$30=2,IF(OR(입력란!$C$9=1,입력란!$C$10=1),60,20),IF(입력란!$C$30=3,IF(OR(입력란!$C$9=1,입력란!$C$10=1),65,22),0))))/100-1))</f>
        <v>429532.13019805338</v>
      </c>
      <c r="L356" s="21"/>
      <c r="M356" s="21"/>
      <c r="N356" s="21"/>
      <c r="O356" s="21"/>
      <c r="P356" s="21"/>
      <c r="Q356" s="20"/>
      <c r="R356" s="19">
        <f>SUM(S356:Z356)</f>
        <v>662091.19711032836</v>
      </c>
      <c r="S356" s="21">
        <f>AN356*IF(G356="근접",IF(MID(E356,1,1)="3",트라이포드!$H$20,트라이포드!$G$20),1)*IF(입력란!$C$9=1,IF(MID(E356,1,1)="2",트라이포드!$F$20,트라이포드!$E$20),1)*IF(MID(E356,1,1)="1",트라이포드!$D$20,트라이포드!$C$20)*IF(MID(E356,3,1)="1",트라이포드!$J$20,트라이포드!$I$20)*IF(MID(E356,3,1)="2",트라이포드!$L$20,트라이포드!$K$20)*IF(MID(E356,5,1)="1",트라이포드!$P$20,트라이포드!$O$20)*(1+입력란!$P$17/100)*IF(입력란!$C$9=1,IF(입력란!$C$15=0,1.05,IF(입력란!$C$15=1,1.05*1.05,IF(입력란!$C$15=2,1.05*1.12,IF(입력란!$C$15=3,1.05*1.25)))),1)</f>
        <v>397244.96428482526</v>
      </c>
      <c r="T356" s="21">
        <f>AO356*IF(G356="근접",IF(MID(E356,1,1)="3",트라이포드!$H$20,트라이포드!$G$20),1)*IF(입력란!$C$9=1,IF(MID(E356,1,1)="2",트라이포드!$F$20,트라이포드!$E$20),1)*IF(MID(E356,1,1)="1",트라이포드!$D$20,트라이포드!$C$20)*IF(MID(E356,3,1)="1",트라이포드!$J$20,트라이포드!$I$20)*IF(MID(E356,3,1)="2",트라이포드!$L$20,트라이포드!$K$20)*IF(MID(E356,5,1)="1",0,IF(MID(E356,5,1)="2",트라이포드!$R$20,트라이포드!$Q$20))*(1+입력란!$P$17/100)*IF(입력란!$C$9=1,IF(입력란!$C$15=0,1.05,IF(입력란!$C$15=1,1.05*1.05,IF(입력란!$C$15=2,1.05*1.12,IF(입력란!$C$15=3,1.05*1.25)))),1)</f>
        <v>264846.23282550304</v>
      </c>
      <c r="U356" s="21"/>
      <c r="V356" s="21"/>
      <c r="W356" s="21"/>
      <c r="X356" s="21"/>
      <c r="Y356" s="21"/>
      <c r="Z356" s="20"/>
      <c r="AA356" s="21">
        <f>SUM(AB356:AI356)</f>
        <v>1324182.3942206567</v>
      </c>
      <c r="AB356" s="21">
        <f>S356*2</f>
        <v>794489.92856965051</v>
      </c>
      <c r="AC356" s="21">
        <f>T356*2</f>
        <v>529692.46565100609</v>
      </c>
      <c r="AD356" s="21"/>
      <c r="AE356" s="21"/>
      <c r="AF356" s="21"/>
      <c r="AG356" s="21"/>
      <c r="AH356" s="21"/>
      <c r="AI356" s="20"/>
      <c r="AJ356" s="21">
        <f>AQ356*(1-입력란!$P$10/100)</f>
        <v>23.711464126079999</v>
      </c>
      <c r="AK3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6" s="21">
        <f>입력란!$P$24+IF(입력란!$C$18=1,10,IF(입력란!$C$18=2,25,IF(입력란!$C$18=3,50,0)))+IF(입력란!$C$23&lt;&gt;0,-12)</f>
        <v>200</v>
      </c>
      <c r="AM356" s="21">
        <f>SUM(AN356:AP356)</f>
        <v>393585.90467884747</v>
      </c>
      <c r="AN356" s="21">
        <f>(VLOOKUP(C356,$B$4:$AJ$7,23,FALSE)+VLOOKUP(C356,$B$8:$AJ$11,23,FALSE)*입력란!$P$4)*IF(G356="근접",입력란!$P$27,IF(MID(E356,1,1)="1",입력란!$P$27,입력란!$P$26))*입력란!$P$25/100</f>
        <v>236145.74446774565</v>
      </c>
      <c r="AO356" s="21">
        <f>(VLOOKUP(C356,$B$4:$AJ$7,24,FALSE)+VLOOKUP(C356,$B$8:$AJ$11,24,FALSE)*입력란!$P$4)*IF(G356="근접",입력란!$P$27,IF(MID(E356,1,1)="1",입력란!$P$27,입력란!$P$26))*입력란!$P$25/100</f>
        <v>157440.16021110181</v>
      </c>
      <c r="AP356" s="21"/>
      <c r="AQ356" s="22">
        <v>24</v>
      </c>
    </row>
    <row r="357" spans="2:43" ht="13.5" customHeight="1" x14ac:dyDescent="0.55000000000000004">
      <c r="B357" s="66">
        <v>342</v>
      </c>
      <c r="C357" s="29">
        <v>4</v>
      </c>
      <c r="D357" s="67" t="s">
        <v>210</v>
      </c>
      <c r="E357" s="27" t="s">
        <v>185</v>
      </c>
      <c r="F357" s="29"/>
      <c r="G357" s="29" t="s">
        <v>200</v>
      </c>
      <c r="H357" s="36">
        <f>I357/AJ357</f>
        <v>70342.765163158649</v>
      </c>
      <c r="I357" s="37">
        <f>SUM(J357:Q357)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1667929.9526955062</v>
      </c>
      <c r="J357" s="21">
        <f>S357*(1+IF($AK357+IF(입력란!$C$9=1,10,0)+IF(입력란!$C$26=1,10,0)&gt;100,100,$AK357+IF(입력란!$C$9=1,10,0)+IF(입력란!$C$26=1,10,0))/100*(($AL357+IF(입력란!$C$30=1,IF(OR(입력란!$C$9=1,입력란!$C$10=1),55,17),IF(입력란!$C$30=2,IF(OR(입력란!$C$9=1,입력란!$C$10=1),60,20),IF(입력란!$C$30=3,IF(OR(입력란!$C$9=1,입력란!$C$10=1),65,22),0))))/100-1))</f>
        <v>708684.51210081961</v>
      </c>
      <c r="K357" s="21">
        <f>T357*(1+IF($AK357+IF(입력란!$C$9=1,10,0)+IF(입력란!$C$26=1,10,0)&gt;100,100,$AK357+IF(입력란!$C$9=1,10,0)+IF(입력란!$C$26=1,10,0))/100*(($AL357+IF(입력란!$C$30=1,IF(OR(입력란!$C$9=1,입력란!$C$10=1),55,17),IF(입력란!$C$30=2,IF(OR(입력란!$C$9=1,입력란!$C$10=1),60,20),IF(입력란!$C$30=3,IF(OR(입력란!$C$9=1,입력란!$C$10=1),65,22),0))))/100-1))</f>
        <v>472485.34321785881</v>
      </c>
      <c r="L357" s="21"/>
      <c r="M357" s="21"/>
      <c r="N357" s="21"/>
      <c r="O357" s="21"/>
      <c r="P357" s="21"/>
      <c r="Q357" s="20"/>
      <c r="R357" s="19">
        <f>SUM(S357:Z357)</f>
        <v>728300.31682136119</v>
      </c>
      <c r="S357" s="21">
        <f>AN357*IF(G357="근접",IF(MID(E357,1,1)="3",트라이포드!$H$20,트라이포드!$G$20),1)*IF(입력란!$C$9=1,IF(MID(E357,1,1)="2",트라이포드!$F$20,트라이포드!$E$20),1)*IF(MID(E357,1,1)="1",트라이포드!$D$20,트라이포드!$C$20)*IF(MID(E357,3,1)="1",트라이포드!$J$20,트라이포드!$I$20)*IF(MID(E357,3,1)="2",트라이포드!$L$20,트라이포드!$K$20)*IF(MID(E357,5,1)="1",트라이포드!$P$20,트라이포드!$O$20)*(1+입력란!$P$17/100)*IF(입력란!$C$9=1,IF(입력란!$C$15=0,1.05,IF(입력란!$C$15=1,1.05*1.05,IF(입력란!$C$15=2,1.05*1.12,IF(입력란!$C$15=3,1.05*1.25)))),1)</f>
        <v>436969.46071330784</v>
      </c>
      <c r="T357" s="21">
        <f>AO357*IF(G357="근접",IF(MID(E357,1,1)="3",트라이포드!$H$20,트라이포드!$G$20),1)*IF(입력란!$C$9=1,IF(MID(E357,1,1)="2",트라이포드!$F$20,트라이포드!$E$20),1)*IF(MID(E357,1,1)="1",트라이포드!$D$20,트라이포드!$C$20)*IF(MID(E357,3,1)="1",트라이포드!$J$20,트라이포드!$I$20)*IF(MID(E357,3,1)="2",트라이포드!$L$20,트라이포드!$K$20)*IF(MID(E357,5,1)="1",0,IF(MID(E357,5,1)="2",트라이포드!$R$20,트라이포드!$Q$20))*(1+입력란!$P$17/100)*IF(입력란!$C$9=1,IF(입력란!$C$15=0,1.05,IF(입력란!$C$15=1,1.05*1.05,IF(입력란!$C$15=2,1.05*1.12,IF(입력란!$C$15=3,1.05*1.25)))),1)</f>
        <v>291330.85610805341</v>
      </c>
      <c r="U357" s="21"/>
      <c r="V357" s="21"/>
      <c r="W357" s="21"/>
      <c r="X357" s="21"/>
      <c r="Y357" s="21"/>
      <c r="Z357" s="20"/>
      <c r="AA357" s="21">
        <f>SUM(AB357:AI357)</f>
        <v>1456600.6336427224</v>
      </c>
      <c r="AB357" s="21">
        <f>S357*2</f>
        <v>873938.92142661568</v>
      </c>
      <c r="AC357" s="21">
        <f>T357*2</f>
        <v>582661.71221610683</v>
      </c>
      <c r="AD357" s="21"/>
      <c r="AE357" s="21"/>
      <c r="AF357" s="21"/>
      <c r="AG357" s="21"/>
      <c r="AH357" s="21"/>
      <c r="AI357" s="20"/>
      <c r="AJ357" s="21">
        <f>AQ357*(1-입력란!$P$10/100)</f>
        <v>23.711464126079999</v>
      </c>
      <c r="AK3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7" s="21">
        <f>입력란!$P$24+IF(입력란!$C$18=1,10,IF(입력란!$C$18=2,25,IF(입력란!$C$18=3,50,0)))+IF(입력란!$C$23&lt;&gt;0,-12)</f>
        <v>200</v>
      </c>
      <c r="AM357" s="21">
        <f>SUM(AN357:AP357)</f>
        <v>393585.90467884747</v>
      </c>
      <c r="AN357" s="21">
        <f>(VLOOKUP(C357,$B$4:$AJ$7,23,FALSE)+VLOOKUP(C357,$B$8:$AJ$11,23,FALSE)*입력란!$P$4)*IF(G357="근접",입력란!$P$27,IF(MID(E357,1,1)="1",입력란!$P$27,입력란!$P$26))*입력란!$P$25/100</f>
        <v>236145.74446774565</v>
      </c>
      <c r="AO357" s="21">
        <f>(VLOOKUP(C357,$B$4:$AJ$7,24,FALSE)+VLOOKUP(C357,$B$8:$AJ$11,24,FALSE)*입력란!$P$4)*IF(G357="근접",입력란!$P$27,IF(MID(E357,1,1)="1",입력란!$P$27,입력란!$P$26))*입력란!$P$25/100</f>
        <v>157440.16021110181</v>
      </c>
      <c r="AP357" s="21"/>
      <c r="AQ357" s="22">
        <v>24</v>
      </c>
    </row>
    <row r="358" spans="2:43" ht="13.5" customHeight="1" x14ac:dyDescent="0.55000000000000004">
      <c r="B358" s="66">
        <v>343</v>
      </c>
      <c r="C358" s="29">
        <v>4</v>
      </c>
      <c r="D358" s="67" t="s">
        <v>49</v>
      </c>
      <c r="E358" s="27" t="s">
        <v>77</v>
      </c>
      <c r="F358" s="29"/>
      <c r="G358" s="29" t="s">
        <v>37</v>
      </c>
      <c r="H358" s="36">
        <f>I358/AJ358</f>
        <v>79934.960412680273</v>
      </c>
      <c r="I358" s="37">
        <f>SUM(J358:Q358)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1895374.9462448931</v>
      </c>
      <c r="J358" s="21">
        <f>S358*(1+IF($AK358+IF(입력란!$C$9=1,10,0)+IF(입력란!$C$26=1,10,0)&gt;100,100,$AK358+IF(입력란!$C$9=1,10,0)+IF(입력란!$C$26=1,10,0))/100*(($AL358+IF(입력란!$C$30=1,IF(OR(입력란!$C$9=1,입력란!$C$10=1),55,17),IF(입력란!$C$30=2,IF(OR(입력란!$C$9=1,입력란!$C$10=1),60,20),IF(입력란!$C$30=3,IF(OR(입력란!$C$9=1,입력란!$C$10=1),65,22),0))))/100-1))</f>
        <v>805323.30920547678</v>
      </c>
      <c r="K358" s="21">
        <f>T358*(1+IF($AK358+IF(입력란!$C$9=1,10,0)+IF(입력란!$C$26=1,10,0)&gt;100,100,$AK358+IF(입력란!$C$9=1,10,0)+IF(입력란!$C$26=1,10,0))/100*(($AL358+IF(입력란!$C$30=1,IF(OR(입력란!$C$9=1,입력란!$C$10=1),55,17),IF(입력란!$C$30=2,IF(OR(입력란!$C$9=1,입력란!$C$10=1),60,20),IF(입력란!$C$30=3,IF(OR(입력란!$C$9=1,입력란!$C$10=1),65,22),0))))/100-1))</f>
        <v>536915.16274756682</v>
      </c>
      <c r="L358" s="21"/>
      <c r="M358" s="21"/>
      <c r="N358" s="21"/>
      <c r="O358" s="21"/>
      <c r="P358" s="21"/>
      <c r="Q358" s="20"/>
      <c r="R358" s="19">
        <f>SUM(S358:Z358)</f>
        <v>827613.99638791033</v>
      </c>
      <c r="S358" s="21">
        <f>AN358*IF(G358="근접",IF(MID(E358,1,1)="3",트라이포드!$H$20,트라이포드!$G$20),1)*IF(입력란!$C$9=1,IF(MID(E358,1,1)="2",트라이포드!$F$20,트라이포드!$E$20),1)*IF(MID(E358,1,1)="1",트라이포드!$D$20,트라이포드!$C$20)*IF(MID(E358,3,1)="1",트라이포드!$J$20,트라이포드!$I$20)*IF(MID(E358,3,1)="2",트라이포드!$L$20,트라이포드!$K$20)*IF(MID(E358,5,1)="1",트라이포드!$P$20,트라이포드!$O$20)*(1+입력란!$P$17/100)*IF(입력란!$C$9=1,IF(입력란!$C$15=0,1.05,IF(입력란!$C$15=1,1.05*1.05,IF(입력란!$C$15=2,1.05*1.12,IF(입력란!$C$15=3,1.05*1.25)))),1)</f>
        <v>496556.20535603154</v>
      </c>
      <c r="T358" s="21">
        <f>AO358*IF(G358="근접",IF(MID(E358,1,1)="3",트라이포드!$H$20,트라이포드!$G$20),1)*IF(입력란!$C$9=1,IF(MID(E358,1,1)="2",트라이포드!$F$20,트라이포드!$E$20),1)*IF(MID(E358,1,1)="1",트라이포드!$D$20,트라이포드!$C$20)*IF(MID(E358,3,1)="1",트라이포드!$J$20,트라이포드!$I$20)*IF(MID(E358,3,1)="2",트라이포드!$L$20,트라이포드!$K$20)*IF(MID(E358,5,1)="1",0,IF(MID(E358,5,1)="2",트라이포드!$R$20,트라이포드!$Q$20))*(1+입력란!$P$17/100)*IF(입력란!$C$9=1,IF(입력란!$C$15=0,1.05,IF(입력란!$C$15=1,1.05*1.05,IF(입력란!$C$15=2,1.05*1.12,IF(입력란!$C$15=3,1.05*1.25)))),1)</f>
        <v>331057.79103187885</v>
      </c>
      <c r="U358" s="21"/>
      <c r="V358" s="21"/>
      <c r="W358" s="21"/>
      <c r="X358" s="21"/>
      <c r="Y358" s="21"/>
      <c r="Z358" s="20"/>
      <c r="AA358" s="21">
        <f>SUM(AB358:AI358)</f>
        <v>1655227.9927758207</v>
      </c>
      <c r="AB358" s="21">
        <f>S358*2</f>
        <v>993112.41071206308</v>
      </c>
      <c r="AC358" s="21">
        <f>T358*2</f>
        <v>662115.5820637577</v>
      </c>
      <c r="AD358" s="21"/>
      <c r="AE358" s="21"/>
      <c r="AF358" s="21"/>
      <c r="AG358" s="21"/>
      <c r="AH358" s="21"/>
      <c r="AI358" s="20"/>
      <c r="AJ358" s="21">
        <f>AQ358*(1-입력란!$P$10/100)</f>
        <v>23.711464126079999</v>
      </c>
      <c r="AK3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8" s="21">
        <f>입력란!$P$24+IF(입력란!$C$18=1,10,IF(입력란!$C$18=2,25,IF(입력란!$C$18=3,50,0)))+IF(입력란!$C$23&lt;&gt;0,-12)</f>
        <v>200</v>
      </c>
      <c r="AM358" s="21">
        <f>SUM(AN358:AP358)</f>
        <v>393585.90467884747</v>
      </c>
      <c r="AN358" s="21">
        <f>(VLOOKUP(C358,$B$4:$AJ$7,23,FALSE)+VLOOKUP(C358,$B$8:$AJ$11,23,FALSE)*입력란!$P$4)*IF(G358="근접",입력란!$P$27,IF(MID(E358,1,1)="1",입력란!$P$27,입력란!$P$26))*입력란!$P$25/100</f>
        <v>236145.74446774565</v>
      </c>
      <c r="AO358" s="21">
        <f>(VLOOKUP(C358,$B$4:$AJ$7,24,FALSE)+VLOOKUP(C358,$B$8:$AJ$11,24,FALSE)*입력란!$P$4)*IF(G358="근접",입력란!$P$27,IF(MID(E358,1,1)="1",입력란!$P$27,입력란!$P$26))*입력란!$P$25/100</f>
        <v>157440.16021110181</v>
      </c>
      <c r="AP358" s="21"/>
      <c r="AQ358" s="22">
        <v>24</v>
      </c>
    </row>
    <row r="359" spans="2:43" ht="13.5" customHeight="1" x14ac:dyDescent="0.55000000000000004">
      <c r="B359" s="66">
        <v>344</v>
      </c>
      <c r="C359" s="29">
        <v>4</v>
      </c>
      <c r="D359" s="67" t="s">
        <v>210</v>
      </c>
      <c r="E359" s="27" t="s">
        <v>211</v>
      </c>
      <c r="F359" s="29"/>
      <c r="G359" s="29" t="s">
        <v>200</v>
      </c>
      <c r="H359" s="36">
        <f>I359/AJ359</f>
        <v>79934.960412680273</v>
      </c>
      <c r="I359" s="37">
        <f>SUM(J359:Q359)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1895374.9462448931</v>
      </c>
      <c r="J359" s="21">
        <f>S359*(1+IF($AK359+IF(입력란!$C$9=1,10,0)+IF(입력란!$C$26=1,10,0)&gt;100,100,$AK359+IF(입력란!$C$9=1,10,0)+IF(입력란!$C$26=1,10,0))/100*(($AL359+IF(입력란!$C$30=1,IF(OR(입력란!$C$9=1,입력란!$C$10=1),55,17),IF(입력란!$C$30=2,IF(OR(입력란!$C$9=1,입력란!$C$10=1),60,20),IF(입력란!$C$30=3,IF(OR(입력란!$C$9=1,입력란!$C$10=1),65,22),0))))/100-1))</f>
        <v>805323.30920547678</v>
      </c>
      <c r="K359" s="21">
        <f>T359*(1+IF($AK359+IF(입력란!$C$9=1,10,0)+IF(입력란!$C$26=1,10,0)&gt;100,100,$AK359+IF(입력란!$C$9=1,10,0)+IF(입력란!$C$26=1,10,0))/100*(($AL359+IF(입력란!$C$30=1,IF(OR(입력란!$C$9=1,입력란!$C$10=1),55,17),IF(입력란!$C$30=2,IF(OR(입력란!$C$9=1,입력란!$C$10=1),60,20),IF(입력란!$C$30=3,IF(OR(입력란!$C$9=1,입력란!$C$10=1),65,22),0))))/100-1))</f>
        <v>536915.16274756682</v>
      </c>
      <c r="L359" s="21"/>
      <c r="M359" s="21"/>
      <c r="N359" s="21"/>
      <c r="O359" s="21"/>
      <c r="P359" s="21"/>
      <c r="Q359" s="20"/>
      <c r="R359" s="19">
        <f>SUM(S359:Z359)</f>
        <v>827613.99638791033</v>
      </c>
      <c r="S359" s="21">
        <f>AN359*IF(G359="근접",IF(MID(E359,1,1)="3",트라이포드!$H$20,트라이포드!$G$20),1)*IF(입력란!$C$9=1,IF(MID(E359,1,1)="2",트라이포드!$F$20,트라이포드!$E$20),1)*IF(MID(E359,1,1)="1",트라이포드!$D$20,트라이포드!$C$20)*IF(MID(E359,3,1)="1",트라이포드!$J$20,트라이포드!$I$20)*IF(MID(E359,3,1)="2",트라이포드!$L$20,트라이포드!$K$20)*IF(MID(E359,5,1)="1",트라이포드!$P$20,트라이포드!$O$20)*(1+입력란!$P$17/100)*IF(입력란!$C$9=1,IF(입력란!$C$15=0,1.05,IF(입력란!$C$15=1,1.05*1.05,IF(입력란!$C$15=2,1.05*1.12,IF(입력란!$C$15=3,1.05*1.25)))),1)</f>
        <v>496556.20535603154</v>
      </c>
      <c r="T359" s="21">
        <f>AO359*IF(G359="근접",IF(MID(E359,1,1)="3",트라이포드!$H$20,트라이포드!$G$20),1)*IF(입력란!$C$9=1,IF(MID(E359,1,1)="2",트라이포드!$F$20,트라이포드!$E$20),1)*IF(MID(E359,1,1)="1",트라이포드!$D$20,트라이포드!$C$20)*IF(MID(E359,3,1)="1",트라이포드!$J$20,트라이포드!$I$20)*IF(MID(E359,3,1)="2",트라이포드!$L$20,트라이포드!$K$20)*IF(MID(E359,5,1)="1",0,IF(MID(E359,5,1)="2",트라이포드!$R$20,트라이포드!$Q$20))*(1+입력란!$P$17/100)*IF(입력란!$C$9=1,IF(입력란!$C$15=0,1.05,IF(입력란!$C$15=1,1.05*1.05,IF(입력란!$C$15=2,1.05*1.12,IF(입력란!$C$15=3,1.05*1.25)))),1)</f>
        <v>331057.79103187885</v>
      </c>
      <c r="U359" s="21"/>
      <c r="V359" s="21"/>
      <c r="W359" s="21"/>
      <c r="X359" s="21"/>
      <c r="Y359" s="21"/>
      <c r="Z359" s="20"/>
      <c r="AA359" s="21">
        <f>SUM(AB359:AI359)</f>
        <v>1655227.9927758207</v>
      </c>
      <c r="AB359" s="21">
        <f>S359*2</f>
        <v>993112.41071206308</v>
      </c>
      <c r="AC359" s="21">
        <f>T359*2</f>
        <v>662115.5820637577</v>
      </c>
      <c r="AD359" s="21"/>
      <c r="AE359" s="21"/>
      <c r="AF359" s="21"/>
      <c r="AG359" s="21"/>
      <c r="AH359" s="21"/>
      <c r="AI359" s="20"/>
      <c r="AJ359" s="21">
        <f>AQ359*(1-입력란!$P$10/100)</f>
        <v>23.711464126079999</v>
      </c>
      <c r="AK3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59" s="21">
        <f>입력란!$P$24+IF(입력란!$C$18=1,10,IF(입력란!$C$18=2,25,IF(입력란!$C$18=3,50,0)))+IF(입력란!$C$23&lt;&gt;0,-12)</f>
        <v>200</v>
      </c>
      <c r="AM359" s="21">
        <f>SUM(AN359:AP359)</f>
        <v>393585.90467884747</v>
      </c>
      <c r="AN359" s="21">
        <f>(VLOOKUP(C359,$B$4:$AJ$7,23,FALSE)+VLOOKUP(C359,$B$8:$AJ$11,23,FALSE)*입력란!$P$4)*IF(G359="근접",입력란!$P$27,IF(MID(E359,1,1)="1",입력란!$P$27,입력란!$P$26))*입력란!$P$25/100</f>
        <v>236145.74446774565</v>
      </c>
      <c r="AO359" s="21">
        <f>(VLOOKUP(C359,$B$4:$AJ$7,24,FALSE)+VLOOKUP(C359,$B$8:$AJ$11,24,FALSE)*입력란!$P$4)*IF(G359="근접",입력란!$P$27,IF(MID(E359,1,1)="1",입력란!$P$27,입력란!$P$26))*입력란!$P$25/100</f>
        <v>157440.16021110181</v>
      </c>
      <c r="AP359" s="21"/>
      <c r="AQ359" s="22">
        <v>24</v>
      </c>
    </row>
    <row r="360" spans="2:43" ht="13.5" customHeight="1" x14ac:dyDescent="0.55000000000000004">
      <c r="B360" s="66">
        <v>345</v>
      </c>
      <c r="C360" s="29">
        <v>7</v>
      </c>
      <c r="D360" s="67" t="s">
        <v>210</v>
      </c>
      <c r="E360" s="27" t="s">
        <v>184</v>
      </c>
      <c r="F360" s="29"/>
      <c r="G360" s="29" t="s">
        <v>200</v>
      </c>
      <c r="H360" s="36">
        <f>I360/AJ360</f>
        <v>63987.352330787908</v>
      </c>
      <c r="I360" s="37">
        <f>SUM(J360:Q360)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1517233.8093143189</v>
      </c>
      <c r="J360" s="21">
        <f>S360*(1+IF($AK360+IF(입력란!$C$9=1,10,0)+IF(입력란!$C$26=1,10,0)&gt;100,100,$AK360+IF(입력란!$C$9=1,10,0)+IF(입력란!$C$26=1,10,0))/100*(($AL360+IF(입력란!$C$30=1,IF(OR(입력란!$C$9=1,입력란!$C$10=1),55,17),IF(입력란!$C$30=2,IF(OR(입력란!$C$9=1,입력란!$C$10=1),60,20),IF(입력란!$C$30=3,IF(OR(입력란!$C$9=1,입력란!$C$10=1),65,22),0))))/100-1))</f>
        <v>644655.87687731499</v>
      </c>
      <c r="K360" s="21">
        <f>T360*(1+IF($AK360+IF(입력란!$C$9=1,10,0)+IF(입력란!$C$26=1,10,0)&gt;100,100,$AK360+IF(입력란!$C$9=1,10,0)+IF(입력란!$C$26=1,10,0))/100*(($AL360+IF(입력란!$C$30=1,IF(OR(입력란!$C$9=1,입력란!$C$10=1),55,17),IF(입력란!$C$30=2,IF(OR(입력란!$C$9=1,입력란!$C$10=1),60,20),IF(입력란!$C$30=3,IF(OR(입력란!$C$9=1,입력란!$C$10=1),65,22),0))))/100-1))</f>
        <v>429796.2223467619</v>
      </c>
      <c r="L360" s="21"/>
      <c r="M360" s="21"/>
      <c r="N360" s="21"/>
      <c r="O360" s="21"/>
      <c r="P360" s="21"/>
      <c r="Q360" s="20"/>
      <c r="R360" s="19">
        <f>SUM(S360:Z360)</f>
        <v>662498.96299897344</v>
      </c>
      <c r="S360" s="21">
        <f>AN360*IF(G360="근접",IF(MID(E360,1,1)="3",트라이포드!$H$20,트라이포드!$G$20),1)*IF(입력란!$C$9=1,IF(MID(E360,1,1)="2",트라이포드!$F$20,트라이포드!$E$20),1)*IF(MID(E360,1,1)="1",트라이포드!$D$20,트라이포드!$C$20)*IF(MID(E360,3,1)="1",트라이포드!$J$20,트라이포드!$I$20)*IF(MID(E360,3,1)="2",트라이포드!$L$20,트라이포드!$K$20)*IF(MID(E360,5,1)="1",트라이포드!$P$20,트라이포드!$O$20)*(1+입력란!$P$17/100)*IF(입력란!$C$9=1,IF(입력란!$C$15=0,1.05,IF(입력란!$C$15=1,1.05*1.05,IF(입력란!$C$15=2,1.05*1.12,IF(입력란!$C$15=3,1.05*1.25)))),1)</f>
        <v>397489.89297041408</v>
      </c>
      <c r="T360" s="21">
        <f>AO360*IF(G360="근접",IF(MID(E360,1,1)="3",트라이포드!$H$20,트라이포드!$G$20),1)*IF(입력란!$C$9=1,IF(MID(E360,1,1)="2",트라이포드!$F$20,트라이포드!$E$20),1)*IF(MID(E360,1,1)="1",트라이포드!$D$20,트라이포드!$C$20)*IF(MID(E360,3,1)="1",트라이포드!$J$20,트라이포드!$I$20)*IF(MID(E360,3,1)="2",트라이포드!$L$20,트라이포드!$K$20)*IF(MID(E360,5,1)="1",0,IF(MID(E360,5,1)="2",트라이포드!$R$20,트라이포드!$Q$20))*(1+입력란!$P$17/100)*IF(입력란!$C$9=1,IF(입력란!$C$15=0,1.05,IF(입력란!$C$15=1,1.05*1.05,IF(입력란!$C$15=2,1.05*1.12,IF(입력란!$C$15=3,1.05*1.25)))),1)</f>
        <v>265009.0700285593</v>
      </c>
      <c r="U360" s="21"/>
      <c r="V360" s="21"/>
      <c r="W360" s="21"/>
      <c r="X360" s="21"/>
      <c r="Y360" s="21"/>
      <c r="Z360" s="20"/>
      <c r="AA360" s="21">
        <f>SUM(AB360:AI360)</f>
        <v>1324997.9259979469</v>
      </c>
      <c r="AB360" s="21">
        <f>S360*2</f>
        <v>794979.78594082815</v>
      </c>
      <c r="AC360" s="21">
        <f>T360*2</f>
        <v>530018.14005711861</v>
      </c>
      <c r="AD360" s="21"/>
      <c r="AE360" s="21"/>
      <c r="AF360" s="21"/>
      <c r="AG360" s="21"/>
      <c r="AH360" s="21"/>
      <c r="AI360" s="20"/>
      <c r="AJ360" s="21">
        <f>AQ360*(1-입력란!$P$10/100)</f>
        <v>23.711464126079999</v>
      </c>
      <c r="AK3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0" s="21">
        <f>입력란!$P$24+IF(입력란!$C$18=1,10,IF(입력란!$C$18=2,25,IF(입력란!$C$18=3,50,0)))+IF(입력란!$C$23&lt;&gt;0,-12)</f>
        <v>200</v>
      </c>
      <c r="AM360" s="21">
        <f>SUM(AN360:AP360)</f>
        <v>393828.30467884743</v>
      </c>
      <c r="AN360" s="21">
        <f>(VLOOKUP(C360,$B$4:$AJ$7,23,FALSE)+VLOOKUP(C360,$B$8:$AJ$11,23,FALSE)*입력란!$P$4)*IF(G360="근접",입력란!$P$27,IF(MID(E360,1,1)="1",입력란!$P$27,입력란!$P$26))*입력란!$P$25/100</f>
        <v>236291.34446774566</v>
      </c>
      <c r="AO360" s="21">
        <f>(VLOOKUP(C360,$B$4:$AJ$7,24,FALSE)+VLOOKUP(C360,$B$8:$AJ$11,24,FALSE)*입력란!$P$4)*IF(G360="근접",입력란!$P$27,IF(MID(E360,1,1)="1",입력란!$P$27,입력란!$P$26))*입력란!$P$25/100</f>
        <v>157536.9602111018</v>
      </c>
      <c r="AP360" s="21"/>
      <c r="AQ360" s="22">
        <v>24</v>
      </c>
    </row>
    <row r="361" spans="2:43" ht="13.5" customHeight="1" x14ac:dyDescent="0.55000000000000004">
      <c r="B361" s="66">
        <v>346</v>
      </c>
      <c r="C361" s="29">
        <v>7</v>
      </c>
      <c r="D361" s="67" t="s">
        <v>210</v>
      </c>
      <c r="E361" s="27" t="s">
        <v>186</v>
      </c>
      <c r="F361" s="29" t="s">
        <v>216</v>
      </c>
      <c r="G361" s="29" t="s">
        <v>200</v>
      </c>
      <c r="H361" s="36">
        <f>I361/AJ361</f>
        <v>89582.293263103071</v>
      </c>
      <c r="I361" s="37">
        <f>SUM(J361:Q361)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2124127.3330400465</v>
      </c>
      <c r="J361" s="21">
        <f>S361*(1+IF($AK361+IF(입력란!$C$9=1,10,0)+IF(입력란!$C$26=1,10,0)&gt;100,100,$AK361+IF(입력란!$C$9=1,10,0)+IF(입력란!$C$26=1,10,0))/100*(($AL361+IF(입력란!$C$30=1,IF(OR(입력란!$C$9=1,입력란!$C$10=1),55,17),IF(입력란!$C$30=2,IF(OR(입력란!$C$9=1,입력란!$C$10=1),60,20),IF(입력란!$C$30=3,IF(OR(입력란!$C$9=1,입력란!$C$10=1),65,22),0))))/100-1))</f>
        <v>902518.22762824094</v>
      </c>
      <c r="K361" s="21">
        <f>T361*(1+IF($AK361+IF(입력란!$C$9=1,10,0)+IF(입력란!$C$26=1,10,0)&gt;100,100,$AK361+IF(입력란!$C$9=1,10,0)+IF(입력란!$C$26=1,10,0))/100*(($AL361+IF(입력란!$C$30=1,IF(OR(입력란!$C$9=1,입력란!$C$10=1),55,17),IF(입력란!$C$30=2,IF(OR(입력란!$C$9=1,입력란!$C$10=1),60,20),IF(입력란!$C$30=3,IF(OR(입력란!$C$9=1,입력란!$C$10=1),65,22),0))))/100-1))</f>
        <v>601714.71128546656</v>
      </c>
      <c r="L361" s="21"/>
      <c r="M361" s="21"/>
      <c r="N361" s="21"/>
      <c r="O361" s="21"/>
      <c r="P361" s="21"/>
      <c r="Q361" s="20"/>
      <c r="R361" s="19">
        <f>SUM(S361:Z361)</f>
        <v>927498.54819856258</v>
      </c>
      <c r="S361" s="21">
        <f>AN361*IF(G361="근접",IF(MID(E361,1,1)="3",트라이포드!$H$20,트라이포드!$G$20),1)*IF(입력란!$C$9=1,IF(MID(E361,1,1)="2",트라이포드!$F$20,트라이포드!$E$20),1)*IF(MID(E361,1,1)="1",트라이포드!$D$20,트라이포드!$C$20)*IF(MID(E361,3,1)="1",트라이포드!$J$20,트라이포드!$I$20)*IF(MID(E361,3,1)="2",트라이포드!$L$20,트라이포드!$K$20)*IF(MID(E361,5,1)="1",트라이포드!$P$20,트라이포드!$O$20)*(1+입력란!$P$17/100)*IF(입력란!$C$9=1,IF(입력란!$C$15=0,1.05,IF(입력란!$C$15=1,1.05*1.05,IF(입력란!$C$15=2,1.05*1.12,IF(입력란!$C$15=3,1.05*1.25)))),1)</f>
        <v>556485.85015857965</v>
      </c>
      <c r="T361" s="21">
        <f>AO361*IF(G361="근접",IF(MID(E361,1,1)="3",트라이포드!$H$20,트라이포드!$G$20),1)*IF(입력란!$C$9=1,IF(MID(E361,1,1)="2",트라이포드!$F$20,트라이포드!$E$20),1)*IF(MID(E361,1,1)="1",트라이포드!$D$20,트라이포드!$C$20)*IF(MID(E361,3,1)="1",트라이포드!$J$20,트라이포드!$I$20)*IF(MID(E361,3,1)="2",트라이포드!$L$20,트라이포드!$K$20)*IF(MID(E361,5,1)="1",0,IF(MID(E361,5,1)="2",트라이포드!$R$20,트라이포드!$Q$20))*(1+입력란!$P$17/100)*IF(입력란!$C$9=1,IF(입력란!$C$15=0,1.05,IF(입력란!$C$15=1,1.05*1.05,IF(입력란!$C$15=2,1.05*1.12,IF(입력란!$C$15=3,1.05*1.25)))),1)</f>
        <v>371012.69803998299</v>
      </c>
      <c r="U361" s="21"/>
      <c r="V361" s="21"/>
      <c r="W361" s="21"/>
      <c r="X361" s="21"/>
      <c r="Y361" s="21"/>
      <c r="Z361" s="20"/>
      <c r="AA361" s="21">
        <f>SUM(AB361:AI361)</f>
        <v>1854997.0963971252</v>
      </c>
      <c r="AB361" s="21">
        <f>S361*2</f>
        <v>1112971.7003171593</v>
      </c>
      <c r="AC361" s="21">
        <f>T361*2</f>
        <v>742025.39607996598</v>
      </c>
      <c r="AD361" s="21"/>
      <c r="AE361" s="21"/>
      <c r="AF361" s="21"/>
      <c r="AG361" s="21"/>
      <c r="AH361" s="21"/>
      <c r="AI361" s="20"/>
      <c r="AJ361" s="21">
        <f>AQ361*(1-입력란!$P$10/100)</f>
        <v>23.711464126079999</v>
      </c>
      <c r="AK3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1" s="21">
        <f>입력란!$P$24+IF(입력란!$C$18=1,10,IF(입력란!$C$18=2,25,IF(입력란!$C$18=3,50,0)))+IF(입력란!$C$23&lt;&gt;0,-12)</f>
        <v>200</v>
      </c>
      <c r="AM361" s="21">
        <f>SUM(AN361:AP361)</f>
        <v>393828.30467884743</v>
      </c>
      <c r="AN361" s="21">
        <f>(VLOOKUP(C361,$B$4:$AJ$7,23,FALSE)+VLOOKUP(C361,$B$8:$AJ$11,23,FALSE)*입력란!$P$4)*IF(G361="근접",입력란!$P$27,IF(MID(E361,1,1)="1",입력란!$P$27,입력란!$P$26))*입력란!$P$25/100</f>
        <v>236291.34446774566</v>
      </c>
      <c r="AO361" s="21">
        <f>(VLOOKUP(C361,$B$4:$AJ$7,24,FALSE)+VLOOKUP(C361,$B$8:$AJ$11,24,FALSE)*입력란!$P$4)*IF(G361="근접",입력란!$P$27,IF(MID(E361,1,1)="1",입력란!$P$27,입력란!$P$26))*입력란!$P$25/100</f>
        <v>157536.9602111018</v>
      </c>
      <c r="AP361" s="21"/>
      <c r="AQ361" s="22">
        <v>24</v>
      </c>
    </row>
    <row r="362" spans="2:43" ht="13.5" customHeight="1" x14ac:dyDescent="0.55000000000000004">
      <c r="B362" s="66">
        <v>347</v>
      </c>
      <c r="C362" s="29">
        <v>7</v>
      </c>
      <c r="D362" s="67" t="s">
        <v>210</v>
      </c>
      <c r="E362" s="27" t="s">
        <v>188</v>
      </c>
      <c r="F362" s="29" t="s">
        <v>216</v>
      </c>
      <c r="G362" s="29" t="s">
        <v>200</v>
      </c>
      <c r="H362" s="36">
        <f>I362/AJ362</f>
        <v>98540.522589413406</v>
      </c>
      <c r="I362" s="37">
        <f>SUM(J362:Q362)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2336540.0663440516</v>
      </c>
      <c r="J362" s="21">
        <f>S362*(1+IF($AK362+IF(입력란!$C$9=1,10,0)+IF(입력란!$C$26=1,10,0)&gt;100,100,$AK362+IF(입력란!$C$9=1,10,0)+IF(입력란!$C$26=1,10,0))/100*(($AL362+IF(입력란!$C$30=1,IF(OR(입력란!$C$9=1,입력란!$C$10=1),55,17),IF(입력란!$C$30=2,IF(OR(입력란!$C$9=1,입력란!$C$10=1),60,20),IF(입력란!$C$30=3,IF(OR(입력란!$C$9=1,입력란!$C$10=1),65,22),0))))/100-1))</f>
        <v>992770.05039106519</v>
      </c>
      <c r="K362" s="21">
        <f>T362*(1+IF($AK362+IF(입력란!$C$9=1,10,0)+IF(입력란!$C$26=1,10,0)&gt;100,100,$AK362+IF(입력란!$C$9=1,10,0)+IF(입력란!$C$26=1,10,0))/100*(($AL362+IF(입력란!$C$30=1,IF(OR(입력란!$C$9=1,입력란!$C$10=1),55,17),IF(입력란!$C$30=2,IF(OR(입력란!$C$9=1,입력란!$C$10=1),60,20),IF(입력란!$C$30=3,IF(OR(입력란!$C$9=1,입력란!$C$10=1),65,22),0))))/100-1))</f>
        <v>661886.18241401331</v>
      </c>
      <c r="L362" s="21"/>
      <c r="M362" s="21"/>
      <c r="N362" s="21"/>
      <c r="O362" s="21"/>
      <c r="P362" s="21"/>
      <c r="Q362" s="20"/>
      <c r="R362" s="19">
        <f>SUM(S362:Z362)</f>
        <v>1020248.403018419</v>
      </c>
      <c r="S362" s="21">
        <f>AN362*IF(G362="근접",IF(MID(E362,1,1)="3",트라이포드!$H$20,트라이포드!$G$20),1)*IF(입력란!$C$9=1,IF(MID(E362,1,1)="2",트라이포드!$F$20,트라이포드!$E$20),1)*IF(MID(E362,1,1)="1",트라이포드!$D$20,트라이포드!$C$20)*IF(MID(E362,3,1)="1",트라이포드!$J$20,트라이포드!$I$20)*IF(MID(E362,3,1)="2",트라이포드!$L$20,트라이포드!$K$20)*IF(MID(E362,5,1)="1",트라이포드!$P$20,트라이포드!$O$20)*(1+입력란!$P$17/100)*IF(입력란!$C$9=1,IF(입력란!$C$15=0,1.05,IF(입력란!$C$15=1,1.05*1.05,IF(입력란!$C$15=2,1.05*1.12,IF(입력란!$C$15=3,1.05*1.25)))),1)</f>
        <v>612134.43517443771</v>
      </c>
      <c r="T362" s="21">
        <f>AO362*IF(G362="근접",IF(MID(E362,1,1)="3",트라이포드!$H$20,트라이포드!$G$20),1)*IF(입력란!$C$9=1,IF(MID(E362,1,1)="2",트라이포드!$F$20,트라이포드!$E$20),1)*IF(MID(E362,1,1)="1",트라이포드!$D$20,트라이포드!$C$20)*IF(MID(E362,3,1)="1",트라이포드!$J$20,트라이포드!$I$20)*IF(MID(E362,3,1)="2",트라이포드!$L$20,트라이포드!$K$20)*IF(MID(E362,5,1)="1",0,IF(MID(E362,5,1)="2",트라이포드!$R$20,트라이포드!$Q$20))*(1+입력란!$P$17/100)*IF(입력란!$C$9=1,IF(입력란!$C$15=0,1.05,IF(입력란!$C$15=1,1.05*1.05,IF(입력란!$C$15=2,1.05*1.12,IF(입력란!$C$15=3,1.05*1.25)))),1)</f>
        <v>408113.96784398134</v>
      </c>
      <c r="U362" s="21"/>
      <c r="V362" s="21"/>
      <c r="W362" s="21"/>
      <c r="X362" s="21"/>
      <c r="Y362" s="21"/>
      <c r="Z362" s="20"/>
      <c r="AA362" s="21">
        <f>SUM(AB362:AI362)</f>
        <v>2040496.8060368381</v>
      </c>
      <c r="AB362" s="21">
        <f>S362*2</f>
        <v>1224268.8703488754</v>
      </c>
      <c r="AC362" s="21">
        <f>T362*2</f>
        <v>816227.93568796269</v>
      </c>
      <c r="AD362" s="21"/>
      <c r="AE362" s="21"/>
      <c r="AF362" s="21"/>
      <c r="AG362" s="21"/>
      <c r="AH362" s="21"/>
      <c r="AI362" s="20"/>
      <c r="AJ362" s="21">
        <f>AQ362*(1-입력란!$P$10/100)</f>
        <v>23.711464126079999</v>
      </c>
      <c r="AK3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2" s="21">
        <f>입력란!$P$24+IF(입력란!$C$18=1,10,IF(입력란!$C$18=2,25,IF(입력란!$C$18=3,50,0)))+IF(입력란!$C$23&lt;&gt;0,-12)</f>
        <v>200</v>
      </c>
      <c r="AM362" s="21">
        <f>SUM(AN362:AP362)</f>
        <v>393828.30467884743</v>
      </c>
      <c r="AN362" s="21">
        <f>(VLOOKUP(C362,$B$4:$AJ$7,23,FALSE)+VLOOKUP(C362,$B$8:$AJ$11,23,FALSE)*입력란!$P$4)*IF(G362="근접",입력란!$P$27,IF(MID(E362,1,1)="1",입력란!$P$27,입력란!$P$26))*입력란!$P$25/100</f>
        <v>236291.34446774566</v>
      </c>
      <c r="AO362" s="21">
        <f>(VLOOKUP(C362,$B$4:$AJ$7,24,FALSE)+VLOOKUP(C362,$B$8:$AJ$11,24,FALSE)*입력란!$P$4)*IF(G362="근접",입력란!$P$27,IF(MID(E362,1,1)="1",입력란!$P$27,입력란!$P$26))*입력란!$P$25/100</f>
        <v>157536.9602111018</v>
      </c>
      <c r="AP362" s="21"/>
      <c r="AQ362" s="22">
        <v>24</v>
      </c>
    </row>
    <row r="363" spans="2:43" ht="13.5" customHeight="1" x14ac:dyDescent="0.55000000000000004">
      <c r="B363" s="66">
        <v>348</v>
      </c>
      <c r="C363" s="29">
        <v>7</v>
      </c>
      <c r="D363" s="67" t="s">
        <v>49</v>
      </c>
      <c r="E363" s="27" t="s">
        <v>144</v>
      </c>
      <c r="F363" s="29" t="s">
        <v>136</v>
      </c>
      <c r="G363" s="29" t="s">
        <v>37</v>
      </c>
      <c r="H363" s="36">
        <f>I363/AJ363</f>
        <v>111977.86657887886</v>
      </c>
      <c r="I363" s="37">
        <f>SUM(J363:Q363)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2655159.1663000588</v>
      </c>
      <c r="J363" s="21">
        <f>S363*(1+IF($AK363+IF(입력란!$C$9=1,10,0)+IF(입력란!$C$26=1,10,0)&gt;100,100,$AK363+IF(입력란!$C$9=1,10,0)+IF(입력란!$C$26=1,10,0))/100*(($AL363+IF(입력란!$C$30=1,IF(OR(입력란!$C$9=1,입력란!$C$10=1),55,17),IF(입력란!$C$30=2,IF(OR(입력란!$C$9=1,입력란!$C$10=1),60,20),IF(입력란!$C$30=3,IF(OR(입력란!$C$9=1,입력란!$C$10=1),65,22),0))))/100-1))</f>
        <v>1128147.7845353014</v>
      </c>
      <c r="K363" s="21">
        <f>T363*(1+IF($AK363+IF(입력란!$C$9=1,10,0)+IF(입력란!$C$26=1,10,0)&gt;100,100,$AK363+IF(입력란!$C$9=1,10,0)+IF(입력란!$C$26=1,10,0))/100*(($AL363+IF(입력란!$C$30=1,IF(OR(입력란!$C$9=1,입력란!$C$10=1),55,17),IF(입력란!$C$30=2,IF(OR(입력란!$C$9=1,입력란!$C$10=1),60,20),IF(입력란!$C$30=3,IF(OR(입력란!$C$9=1,입력란!$C$10=1),65,22),0))))/100-1))</f>
        <v>752143.38910683326</v>
      </c>
      <c r="L363" s="21"/>
      <c r="M363" s="21"/>
      <c r="N363" s="21"/>
      <c r="O363" s="21"/>
      <c r="P363" s="21"/>
      <c r="Q363" s="20"/>
      <c r="R363" s="19">
        <f>SUM(S363:Z363)</f>
        <v>1159373.1852482033</v>
      </c>
      <c r="S363" s="21">
        <f>AN363*IF(G363="근접",IF(MID(E363,1,1)="3",트라이포드!$H$20,트라이포드!$G$20),1)*IF(입력란!$C$9=1,IF(MID(E363,1,1)="2",트라이포드!$F$20,트라이포드!$E$20),1)*IF(MID(E363,1,1)="1",트라이포드!$D$20,트라이포드!$C$20)*IF(MID(E363,3,1)="1",트라이포드!$J$20,트라이포드!$I$20)*IF(MID(E363,3,1)="2",트라이포드!$L$20,트라이포드!$K$20)*IF(MID(E363,5,1)="1",트라이포드!$P$20,트라이포드!$O$20)*(1+입력란!$P$17/100)*IF(입력란!$C$9=1,IF(입력란!$C$15=0,1.05,IF(입력란!$C$15=1,1.05*1.05,IF(입력란!$C$15=2,1.05*1.12,IF(입력란!$C$15=3,1.05*1.25)))),1)</f>
        <v>695607.31269822468</v>
      </c>
      <c r="T363" s="21">
        <f>AO363*IF(G363="근접",IF(MID(E363,1,1)="3",트라이포드!$H$20,트라이포드!$G$20),1)*IF(입력란!$C$9=1,IF(MID(E363,1,1)="2",트라이포드!$F$20,트라이포드!$E$20),1)*IF(MID(E363,1,1)="1",트라이포드!$D$20,트라이포드!$C$20)*IF(MID(E363,3,1)="1",트라이포드!$J$20,트라이포드!$I$20)*IF(MID(E363,3,1)="2",트라이포드!$L$20,트라이포드!$K$20)*IF(MID(E363,5,1)="1",0,IF(MID(E363,5,1)="2",트라이포드!$R$20,트라이포드!$Q$20))*(1+입력란!$P$17/100)*IF(입력란!$C$9=1,IF(입력란!$C$15=0,1.05,IF(입력란!$C$15=1,1.05*1.05,IF(입력란!$C$15=2,1.05*1.12,IF(입력란!$C$15=3,1.05*1.25)))),1)</f>
        <v>463765.87254997873</v>
      </c>
      <c r="U363" s="21"/>
      <c r="V363" s="21"/>
      <c r="W363" s="21"/>
      <c r="X363" s="21"/>
      <c r="Y363" s="21"/>
      <c r="Z363" s="20"/>
      <c r="AA363" s="21">
        <f>SUM(AB363:AI363)</f>
        <v>2318746.3704964067</v>
      </c>
      <c r="AB363" s="21">
        <f>S363*2</f>
        <v>1391214.6253964494</v>
      </c>
      <c r="AC363" s="21">
        <f>T363*2</f>
        <v>927531.74509995745</v>
      </c>
      <c r="AD363" s="21"/>
      <c r="AE363" s="21"/>
      <c r="AF363" s="21"/>
      <c r="AG363" s="21"/>
      <c r="AH363" s="21"/>
      <c r="AI363" s="20"/>
      <c r="AJ363" s="21">
        <f>AQ363*(1-입력란!$P$10/100)</f>
        <v>23.711464126079999</v>
      </c>
      <c r="AK3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3" s="21">
        <f>입력란!$P$24+IF(입력란!$C$18=1,10,IF(입력란!$C$18=2,25,IF(입력란!$C$18=3,50,0)))+IF(입력란!$C$23&lt;&gt;0,-12)</f>
        <v>200</v>
      </c>
      <c r="AM363" s="21">
        <f>SUM(AN363:AP363)</f>
        <v>393828.30467884743</v>
      </c>
      <c r="AN363" s="21">
        <f>(VLOOKUP(C363,$B$4:$AJ$7,23,FALSE)+VLOOKUP(C363,$B$8:$AJ$11,23,FALSE)*입력란!$P$4)*IF(G363="근접",입력란!$P$27,IF(MID(E363,1,1)="1",입력란!$P$27,입력란!$P$26))*입력란!$P$25/100</f>
        <v>236291.34446774566</v>
      </c>
      <c r="AO363" s="21">
        <f>(VLOOKUP(C363,$B$4:$AJ$7,24,FALSE)+VLOOKUP(C363,$B$8:$AJ$11,24,FALSE)*입력란!$P$4)*IF(G363="근접",입력란!$P$27,IF(MID(E363,1,1)="1",입력란!$P$27,입력란!$P$26))*입력란!$P$25/100</f>
        <v>157536.9602111018</v>
      </c>
      <c r="AP363" s="21"/>
      <c r="AQ363" s="22">
        <v>24</v>
      </c>
    </row>
    <row r="364" spans="2:43" ht="13.5" customHeight="1" x14ac:dyDescent="0.55000000000000004">
      <c r="B364" s="66">
        <v>349</v>
      </c>
      <c r="C364" s="29">
        <v>7</v>
      </c>
      <c r="D364" s="67" t="s">
        <v>210</v>
      </c>
      <c r="E364" s="27" t="s">
        <v>213</v>
      </c>
      <c r="F364" s="29" t="s">
        <v>216</v>
      </c>
      <c r="G364" s="29" t="s">
        <v>200</v>
      </c>
      <c r="H364" s="36">
        <f>I364/AJ364</f>
        <v>111977.86657887886</v>
      </c>
      <c r="I364" s="37">
        <f>SUM(J364:Q364)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2655159.1663000588</v>
      </c>
      <c r="J364" s="21">
        <f>S364*(1+IF($AK364+IF(입력란!$C$9=1,10,0)+IF(입력란!$C$26=1,10,0)&gt;100,100,$AK364+IF(입력란!$C$9=1,10,0)+IF(입력란!$C$26=1,10,0))/100*(($AL364+IF(입력란!$C$30=1,IF(OR(입력란!$C$9=1,입력란!$C$10=1),55,17),IF(입력란!$C$30=2,IF(OR(입력란!$C$9=1,입력란!$C$10=1),60,20),IF(입력란!$C$30=3,IF(OR(입력란!$C$9=1,입력란!$C$10=1),65,22),0))))/100-1))</f>
        <v>1128147.7845353014</v>
      </c>
      <c r="K364" s="21">
        <f>T364*(1+IF($AK364+IF(입력란!$C$9=1,10,0)+IF(입력란!$C$26=1,10,0)&gt;100,100,$AK364+IF(입력란!$C$9=1,10,0)+IF(입력란!$C$26=1,10,0))/100*(($AL364+IF(입력란!$C$30=1,IF(OR(입력란!$C$9=1,입력란!$C$10=1),55,17),IF(입력란!$C$30=2,IF(OR(입력란!$C$9=1,입력란!$C$10=1),60,20),IF(입력란!$C$30=3,IF(OR(입력란!$C$9=1,입력란!$C$10=1),65,22),0))))/100-1))</f>
        <v>752143.38910683326</v>
      </c>
      <c r="L364" s="21"/>
      <c r="M364" s="21"/>
      <c r="N364" s="21"/>
      <c r="O364" s="21"/>
      <c r="P364" s="21"/>
      <c r="Q364" s="20"/>
      <c r="R364" s="19">
        <f>SUM(S364:Z364)</f>
        <v>1159373.1852482033</v>
      </c>
      <c r="S364" s="21">
        <f>AN364*IF(G364="근접",IF(MID(E364,1,1)="3",트라이포드!$H$20,트라이포드!$G$20),1)*IF(입력란!$C$9=1,IF(MID(E364,1,1)="2",트라이포드!$F$20,트라이포드!$E$20),1)*IF(MID(E364,1,1)="1",트라이포드!$D$20,트라이포드!$C$20)*IF(MID(E364,3,1)="1",트라이포드!$J$20,트라이포드!$I$20)*IF(MID(E364,3,1)="2",트라이포드!$L$20,트라이포드!$K$20)*IF(MID(E364,5,1)="1",트라이포드!$P$20,트라이포드!$O$20)*(1+입력란!$P$17/100)*IF(입력란!$C$9=1,IF(입력란!$C$15=0,1.05,IF(입력란!$C$15=1,1.05*1.05,IF(입력란!$C$15=2,1.05*1.12,IF(입력란!$C$15=3,1.05*1.25)))),1)</f>
        <v>695607.31269822468</v>
      </c>
      <c r="T364" s="21">
        <f>AO364*IF(G364="근접",IF(MID(E364,1,1)="3",트라이포드!$H$20,트라이포드!$G$20),1)*IF(입력란!$C$9=1,IF(MID(E364,1,1)="2",트라이포드!$F$20,트라이포드!$E$20),1)*IF(MID(E364,1,1)="1",트라이포드!$D$20,트라이포드!$C$20)*IF(MID(E364,3,1)="1",트라이포드!$J$20,트라이포드!$I$20)*IF(MID(E364,3,1)="2",트라이포드!$L$20,트라이포드!$K$20)*IF(MID(E364,5,1)="1",0,IF(MID(E364,5,1)="2",트라이포드!$R$20,트라이포드!$Q$20))*(1+입력란!$P$17/100)*IF(입력란!$C$9=1,IF(입력란!$C$15=0,1.05,IF(입력란!$C$15=1,1.05*1.05,IF(입력란!$C$15=2,1.05*1.12,IF(입력란!$C$15=3,1.05*1.25)))),1)</f>
        <v>463765.87254997873</v>
      </c>
      <c r="U364" s="21"/>
      <c r="V364" s="21"/>
      <c r="W364" s="21"/>
      <c r="X364" s="21"/>
      <c r="Y364" s="21"/>
      <c r="Z364" s="20"/>
      <c r="AA364" s="21">
        <f>SUM(AB364:AI364)</f>
        <v>2318746.3704964067</v>
      </c>
      <c r="AB364" s="21">
        <f>S364*2</f>
        <v>1391214.6253964494</v>
      </c>
      <c r="AC364" s="21">
        <f>T364*2</f>
        <v>927531.74509995745</v>
      </c>
      <c r="AD364" s="21"/>
      <c r="AE364" s="21"/>
      <c r="AF364" s="21"/>
      <c r="AG364" s="21"/>
      <c r="AH364" s="21"/>
      <c r="AI364" s="20"/>
      <c r="AJ364" s="21">
        <f>AQ364*(1-입력란!$P$10/100)</f>
        <v>23.711464126079999</v>
      </c>
      <c r="AK3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4" s="21">
        <f>입력란!$P$24+IF(입력란!$C$18=1,10,IF(입력란!$C$18=2,25,IF(입력란!$C$18=3,50,0)))+IF(입력란!$C$23&lt;&gt;0,-12)</f>
        <v>200</v>
      </c>
      <c r="AM364" s="21">
        <f>SUM(AN364:AP364)</f>
        <v>393828.30467884743</v>
      </c>
      <c r="AN364" s="21">
        <f>(VLOOKUP(C364,$B$4:$AJ$7,23,FALSE)+VLOOKUP(C364,$B$8:$AJ$11,23,FALSE)*입력란!$P$4)*IF(G364="근접",입력란!$P$27,IF(MID(E364,1,1)="1",입력란!$P$27,입력란!$P$26))*입력란!$P$25/100</f>
        <v>236291.34446774566</v>
      </c>
      <c r="AO364" s="21">
        <f>(VLOOKUP(C364,$B$4:$AJ$7,24,FALSE)+VLOOKUP(C364,$B$8:$AJ$11,24,FALSE)*입력란!$P$4)*IF(G364="근접",입력란!$P$27,IF(MID(E364,1,1)="1",입력란!$P$27,입력란!$P$26))*입력란!$P$25/100</f>
        <v>157536.9602111018</v>
      </c>
      <c r="AP364" s="21"/>
      <c r="AQ364" s="22">
        <v>24</v>
      </c>
    </row>
    <row r="365" spans="2:43" ht="13.5" customHeight="1" x14ac:dyDescent="0.55000000000000004">
      <c r="B365" s="66">
        <v>350</v>
      </c>
      <c r="C365" s="29">
        <v>7</v>
      </c>
      <c r="D365" s="67" t="s">
        <v>49</v>
      </c>
      <c r="E365" s="27" t="s">
        <v>78</v>
      </c>
      <c r="F365" s="29"/>
      <c r="G365" s="29" t="s">
        <v>37</v>
      </c>
      <c r="H365" s="36">
        <f>I365/AJ365</f>
        <v>83183.558030024287</v>
      </c>
      <c r="I365" s="37">
        <f>SUM(J365:Q365)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1972403.9521086146</v>
      </c>
      <c r="J365" s="21">
        <f>S365*(1+IF($AK365+IF(입력란!$C$9=1,10,0)+IF(입력란!$C$26=1,10,0)&gt;100,100,$AK365+IF(입력란!$C$9=1,10,0)+IF(입력란!$C$26=1,10,0))/100*(($AL365+IF(입력란!$C$30=1,IF(OR(입력란!$C$9=1,입력란!$C$10=1),55,17),IF(입력란!$C$30=2,IF(OR(입력란!$C$9=1,입력란!$C$10=1),60,20),IF(입력란!$C$30=3,IF(OR(입력란!$C$9=1,입력란!$C$10=1),65,22),0))))/100-1))</f>
        <v>838052.63994050957</v>
      </c>
      <c r="K365" s="21">
        <f>T365*(1+IF($AK365+IF(입력란!$C$9=1,10,0)+IF(입력란!$C$26=1,10,0)&gt;100,100,$AK365+IF(입력란!$C$9=1,10,0)+IF(입력란!$C$26=1,10,0))/100*(($AL365+IF(입력란!$C$30=1,IF(OR(입력란!$C$9=1,입력란!$C$10=1),55,17),IF(입력란!$C$30=2,IF(OR(입력란!$C$9=1,입력란!$C$10=1),60,20),IF(입력란!$C$30=3,IF(OR(입력란!$C$9=1,입력란!$C$10=1),65,22),0))))/100-1))</f>
        <v>558735.08905079041</v>
      </c>
      <c r="L365" s="21"/>
      <c r="M365" s="21"/>
      <c r="N365" s="21"/>
      <c r="O365" s="21"/>
      <c r="P365" s="21"/>
      <c r="Q365" s="20"/>
      <c r="R365" s="19">
        <f>SUM(S365:Z365)</f>
        <v>861248.65189866535</v>
      </c>
      <c r="S365" s="21">
        <f>AN365*IF(G365="근접",IF(MID(E365,1,1)="3",트라이포드!$H$20,트라이포드!$G$20),1)*IF(입력란!$C$9=1,IF(MID(E365,1,1)="2",트라이포드!$F$20,트라이포드!$E$20),1)*IF(MID(E365,1,1)="1",트라이포드!$D$20,트라이포드!$C$20)*IF(MID(E365,3,1)="1",트라이포드!$J$20,트라이포드!$I$20)*IF(MID(E365,3,1)="2",트라이포드!$L$20,트라이포드!$K$20)*IF(MID(E365,5,1)="1",트라이포드!$P$20,트라이포드!$O$20)*(1+입력란!$P$17/100)*IF(입력란!$C$9=1,IF(입력란!$C$15=0,1.05,IF(입력란!$C$15=1,1.05*1.05,IF(입력란!$C$15=2,1.05*1.12,IF(입력란!$C$15=3,1.05*1.25)))),1)</f>
        <v>516736.86086153833</v>
      </c>
      <c r="T365" s="21">
        <f>AO365*IF(G365="근접",IF(MID(E365,1,1)="3",트라이포드!$H$20,트라이포드!$G$20),1)*IF(입력란!$C$9=1,IF(MID(E365,1,1)="2",트라이포드!$F$20,트라이포드!$E$20),1)*IF(MID(E365,1,1)="1",트라이포드!$D$20,트라이포드!$C$20)*IF(MID(E365,3,1)="1",트라이포드!$J$20,트라이포드!$I$20)*IF(MID(E365,3,1)="2",트라이포드!$L$20,트라이포드!$K$20)*IF(MID(E365,5,1)="1",0,IF(MID(E365,5,1)="2",트라이포드!$R$20,트라이포드!$Q$20))*(1+입력란!$P$17/100)*IF(입력란!$C$9=1,IF(입력란!$C$15=0,1.05,IF(입력란!$C$15=1,1.05*1.05,IF(입력란!$C$15=2,1.05*1.12,IF(입력란!$C$15=3,1.05*1.25)))),1)</f>
        <v>344511.79103712708</v>
      </c>
      <c r="U365" s="21"/>
      <c r="V365" s="21"/>
      <c r="W365" s="21"/>
      <c r="X365" s="21"/>
      <c r="Y365" s="21"/>
      <c r="Z365" s="20"/>
      <c r="AA365" s="21">
        <f>SUM(AB365:AI365)</f>
        <v>1722497.3037973307</v>
      </c>
      <c r="AB365" s="21">
        <f>S365*2</f>
        <v>1033473.7217230767</v>
      </c>
      <c r="AC365" s="21">
        <f>T365*2</f>
        <v>689023.58207425417</v>
      </c>
      <c r="AD365" s="21"/>
      <c r="AE365" s="21"/>
      <c r="AF365" s="21"/>
      <c r="AG365" s="21"/>
      <c r="AH365" s="21"/>
      <c r="AI365" s="20"/>
      <c r="AJ365" s="21">
        <f>AQ365*(1-입력란!$P$10/100)</f>
        <v>23.711464126079999</v>
      </c>
      <c r="AK3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5" s="21">
        <f>입력란!$P$24+IF(입력란!$C$18=1,10,IF(입력란!$C$18=2,25,IF(입력란!$C$18=3,50,0)))+IF(입력란!$C$23&lt;&gt;0,-12)</f>
        <v>200</v>
      </c>
      <c r="AM365" s="21">
        <f>SUM(AN365:AP365)</f>
        <v>393828.30467884743</v>
      </c>
      <c r="AN365" s="21">
        <f>(VLOOKUP(C365,$B$4:$AJ$7,23,FALSE)+VLOOKUP(C365,$B$8:$AJ$11,23,FALSE)*입력란!$P$4)*IF(G365="근접",입력란!$P$27,IF(MID(E365,1,1)="1",입력란!$P$27,입력란!$P$26))*입력란!$P$25/100</f>
        <v>236291.34446774566</v>
      </c>
      <c r="AO365" s="21">
        <f>(VLOOKUP(C365,$B$4:$AJ$7,24,FALSE)+VLOOKUP(C365,$B$8:$AJ$11,24,FALSE)*입력란!$P$4)*IF(G365="근접",입력란!$P$27,IF(MID(E365,1,1)="1",입력란!$P$27,입력란!$P$26))*입력란!$P$25/100</f>
        <v>157536.9602111018</v>
      </c>
      <c r="AP365" s="21"/>
      <c r="AQ365" s="22">
        <v>24</v>
      </c>
    </row>
    <row r="366" spans="2:43" ht="13.5" customHeight="1" x14ac:dyDescent="0.55000000000000004">
      <c r="B366" s="66">
        <v>351</v>
      </c>
      <c r="C366" s="29">
        <v>7</v>
      </c>
      <c r="D366" s="67" t="s">
        <v>49</v>
      </c>
      <c r="E366" s="27" t="s">
        <v>173</v>
      </c>
      <c r="F366" s="29"/>
      <c r="G366" s="29" t="s">
        <v>37</v>
      </c>
      <c r="H366" s="36">
        <f>I366/AJ366</f>
        <v>91501.913833026745</v>
      </c>
      <c r="I366" s="37">
        <f>SUM(J366:Q366)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2169644.3473194768</v>
      </c>
      <c r="J366" s="21">
        <f>S366*(1+IF($AK366+IF(입력란!$C$9=1,10,0)+IF(입력란!$C$26=1,10,0)&gt;100,100,$AK366+IF(입력란!$C$9=1,10,0)+IF(입력란!$C$26=1,10,0))/100*(($AL366+IF(입력란!$C$30=1,IF(OR(입력란!$C$9=1,입력란!$C$10=1),55,17),IF(입력란!$C$30=2,IF(OR(입력란!$C$9=1,입력란!$C$10=1),60,20),IF(입력란!$C$30=3,IF(OR(입력란!$C$9=1,입력란!$C$10=1),65,22),0))))/100-1))</f>
        <v>921857.9039345606</v>
      </c>
      <c r="K366" s="21">
        <f>T366*(1+IF($AK366+IF(입력란!$C$9=1,10,0)+IF(입력란!$C$26=1,10,0)&gt;100,100,$AK366+IF(입력란!$C$9=1,10,0)+IF(입력란!$C$26=1,10,0))/100*(($AL366+IF(입력란!$C$30=1,IF(OR(입력란!$C$9=1,입력란!$C$10=1),55,17),IF(입력란!$C$30=2,IF(OR(입력란!$C$9=1,입력란!$C$10=1),60,20),IF(입력란!$C$30=3,IF(OR(입력란!$C$9=1,입력란!$C$10=1),65,22),0))))/100-1))</f>
        <v>614608.59795586951</v>
      </c>
      <c r="L366" s="21"/>
      <c r="M366" s="21"/>
      <c r="N366" s="21"/>
      <c r="O366" s="21"/>
      <c r="P366" s="21"/>
      <c r="Q366" s="20"/>
      <c r="R366" s="19">
        <f>SUM(S366:Z366)</f>
        <v>947373.51708853198</v>
      </c>
      <c r="S366" s="21">
        <f>AN366*IF(G366="근접",IF(MID(E366,1,1)="3",트라이포드!$H$20,트라이포드!$G$20),1)*IF(입력란!$C$9=1,IF(MID(E366,1,1)="2",트라이포드!$F$20,트라이포드!$E$20),1)*IF(MID(E366,1,1)="1",트라이포드!$D$20,트라이포드!$C$20)*IF(MID(E366,3,1)="1",트라이포드!$J$20,트라이포드!$I$20)*IF(MID(E366,3,1)="2",트라이포드!$L$20,트라이포드!$K$20)*IF(MID(E366,5,1)="1",트라이포드!$P$20,트라이포드!$O$20)*(1+입력란!$P$17/100)*IF(입력란!$C$9=1,IF(입력란!$C$15=0,1.05,IF(입력란!$C$15=1,1.05*1.05,IF(입력란!$C$15=2,1.05*1.12,IF(입력란!$C$15=3,1.05*1.25)))),1)</f>
        <v>568410.54694769217</v>
      </c>
      <c r="T366" s="21">
        <f>AO366*IF(G366="근접",IF(MID(E366,1,1)="3",트라이포드!$H$20,트라이포드!$G$20),1)*IF(입력란!$C$9=1,IF(MID(E366,1,1)="2",트라이포드!$F$20,트라이포드!$E$20),1)*IF(MID(E366,1,1)="1",트라이포드!$D$20,트라이포드!$C$20)*IF(MID(E366,3,1)="1",트라이포드!$J$20,트라이포드!$I$20)*IF(MID(E366,3,1)="2",트라이포드!$L$20,트라이포드!$K$20)*IF(MID(E366,5,1)="1",0,IF(MID(E366,5,1)="2",트라이포드!$R$20,트라이포드!$Q$20))*(1+입력란!$P$17/100)*IF(입력란!$C$9=1,IF(입력란!$C$15=0,1.05,IF(입력란!$C$15=1,1.05*1.05,IF(입력란!$C$15=2,1.05*1.12,IF(입력란!$C$15=3,1.05*1.25)))),1)</f>
        <v>378962.97014083981</v>
      </c>
      <c r="U366" s="21"/>
      <c r="V366" s="21"/>
      <c r="W366" s="21"/>
      <c r="X366" s="21"/>
      <c r="Y366" s="21"/>
      <c r="Z366" s="20"/>
      <c r="AA366" s="21">
        <f>SUM(AB366:AI366)</f>
        <v>1894747.034177064</v>
      </c>
      <c r="AB366" s="21">
        <f>S366*2</f>
        <v>1136821.0938953843</v>
      </c>
      <c r="AC366" s="21">
        <f>T366*2</f>
        <v>757925.94028167962</v>
      </c>
      <c r="AD366" s="21"/>
      <c r="AE366" s="21"/>
      <c r="AF366" s="21"/>
      <c r="AG366" s="21"/>
      <c r="AH366" s="21"/>
      <c r="AI366" s="20"/>
      <c r="AJ366" s="21">
        <f>AQ366*(1-입력란!$P$10/100)</f>
        <v>23.711464126079999</v>
      </c>
      <c r="AK3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6" s="21">
        <f>입력란!$P$24+IF(입력란!$C$18=1,10,IF(입력란!$C$18=2,25,IF(입력란!$C$18=3,50,0)))+IF(입력란!$C$23&lt;&gt;0,-12)</f>
        <v>200</v>
      </c>
      <c r="AM366" s="21">
        <f>SUM(AN366:AP366)</f>
        <v>393828.30467884743</v>
      </c>
      <c r="AN366" s="21">
        <f>(VLOOKUP(C366,$B$4:$AJ$7,23,FALSE)+VLOOKUP(C366,$B$8:$AJ$11,23,FALSE)*입력란!$P$4)*IF(G366="근접",입력란!$P$27,IF(MID(E366,1,1)="1",입력란!$P$27,입력란!$P$26))*입력란!$P$25/100</f>
        <v>236291.34446774566</v>
      </c>
      <c r="AO366" s="21">
        <f>(VLOOKUP(C366,$B$4:$AJ$7,24,FALSE)+VLOOKUP(C366,$B$8:$AJ$11,24,FALSE)*입력란!$P$4)*IF(G366="근접",입력란!$P$27,IF(MID(E366,1,1)="1",입력란!$P$27,입력란!$P$26))*입력란!$P$25/100</f>
        <v>157536.9602111018</v>
      </c>
      <c r="AP366" s="21"/>
      <c r="AQ366" s="22">
        <v>24</v>
      </c>
    </row>
    <row r="367" spans="2:43" ht="13.5" customHeight="1" x14ac:dyDescent="0.55000000000000004">
      <c r="B367" s="66">
        <v>352</v>
      </c>
      <c r="C367" s="29">
        <v>7</v>
      </c>
      <c r="D367" s="67" t="s">
        <v>49</v>
      </c>
      <c r="E367" s="27" t="s">
        <v>80</v>
      </c>
      <c r="F367" s="29"/>
      <c r="G367" s="29" t="s">
        <v>37</v>
      </c>
      <c r="H367" s="36">
        <f>I367/AJ367</f>
        <v>103979.44753753039</v>
      </c>
      <c r="I367" s="37">
        <f>SUM(J367:Q367)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2465504.9401357691</v>
      </c>
      <c r="J367" s="21">
        <f>S367*(1+IF($AK367+IF(입력란!$C$9=1,10,0)+IF(입력란!$C$26=1,10,0)&gt;100,100,$AK367+IF(입력란!$C$9=1,10,0)+IF(입력란!$C$26=1,10,0))/100*(($AL367+IF(입력란!$C$30=1,IF(OR(입력란!$C$9=1,입력란!$C$10=1),55,17),IF(입력란!$C$30=2,IF(OR(입력란!$C$9=1,입력란!$C$10=1),60,20),IF(입력란!$C$30=3,IF(OR(입력란!$C$9=1,입력란!$C$10=1),65,22),0))))/100-1))</f>
        <v>1047565.7999256372</v>
      </c>
      <c r="K367" s="21">
        <f>T367*(1+IF($AK367+IF(입력란!$C$9=1,10,0)+IF(입력란!$C$26=1,10,0)&gt;100,100,$AK367+IF(입력란!$C$9=1,10,0)+IF(입력란!$C$26=1,10,0))/100*(($AL367+IF(입력란!$C$30=1,IF(OR(입력란!$C$9=1,입력란!$C$10=1),55,17),IF(입력란!$C$30=2,IF(OR(입력란!$C$9=1,입력란!$C$10=1),60,20),IF(입력란!$C$30=3,IF(OR(입력란!$C$9=1,입력란!$C$10=1),65,22),0))))/100-1))</f>
        <v>698418.8613134881</v>
      </c>
      <c r="L367" s="21"/>
      <c r="M367" s="21"/>
      <c r="N367" s="21"/>
      <c r="O367" s="21"/>
      <c r="P367" s="21"/>
      <c r="Q367" s="20"/>
      <c r="R367" s="19">
        <f>SUM(S367:Z367)</f>
        <v>1076560.8148733319</v>
      </c>
      <c r="S367" s="21">
        <f>AN367*IF(G367="근접",IF(MID(E367,1,1)="3",트라이포드!$H$20,트라이포드!$G$20),1)*IF(입력란!$C$9=1,IF(MID(E367,1,1)="2",트라이포드!$F$20,트라이포드!$E$20),1)*IF(MID(E367,1,1)="1",트라이포드!$D$20,트라이포드!$C$20)*IF(MID(E367,3,1)="1",트라이포드!$J$20,트라이포드!$I$20)*IF(MID(E367,3,1)="2",트라이포드!$L$20,트라이포드!$K$20)*IF(MID(E367,5,1)="1",트라이포드!$P$20,트라이포드!$O$20)*(1+입력란!$P$17/100)*IF(입력란!$C$9=1,IF(입력란!$C$15=0,1.05,IF(입력란!$C$15=1,1.05*1.05,IF(입력란!$C$15=2,1.05*1.12,IF(입력란!$C$15=3,1.05*1.25)))),1)</f>
        <v>645921.07607692305</v>
      </c>
      <c r="T367" s="21">
        <f>AO367*IF(G367="근접",IF(MID(E367,1,1)="3",트라이포드!$H$20,트라이포드!$G$20),1)*IF(입력란!$C$9=1,IF(MID(E367,1,1)="2",트라이포드!$F$20,트라이포드!$E$20),1)*IF(MID(E367,1,1)="1",트라이포드!$D$20,트라이포드!$C$20)*IF(MID(E367,3,1)="1",트라이포드!$J$20,트라이포드!$I$20)*IF(MID(E367,3,1)="2",트라이포드!$L$20,트라이포드!$K$20)*IF(MID(E367,5,1)="1",0,IF(MID(E367,5,1)="2",트라이포드!$R$20,트라이포드!$Q$20))*(1+입력란!$P$17/100)*IF(입력란!$C$9=1,IF(입력란!$C$15=0,1.05,IF(입력란!$C$15=1,1.05*1.05,IF(입력란!$C$15=2,1.05*1.12,IF(입력란!$C$15=3,1.05*1.25)))),1)</f>
        <v>430639.73879640887</v>
      </c>
      <c r="U367" s="21"/>
      <c r="V367" s="21"/>
      <c r="W367" s="21"/>
      <c r="X367" s="21"/>
      <c r="Y367" s="21"/>
      <c r="Z367" s="20"/>
      <c r="AA367" s="21">
        <f>SUM(AB367:AI367)</f>
        <v>2153121.6297466638</v>
      </c>
      <c r="AB367" s="21">
        <f>S367*2</f>
        <v>1291842.1521538461</v>
      </c>
      <c r="AC367" s="21">
        <f>T367*2</f>
        <v>861279.47759281774</v>
      </c>
      <c r="AD367" s="21"/>
      <c r="AE367" s="21"/>
      <c r="AF367" s="21"/>
      <c r="AG367" s="21"/>
      <c r="AH367" s="21"/>
      <c r="AI367" s="20"/>
      <c r="AJ367" s="21">
        <f>AQ367*(1-입력란!$P$10/100)</f>
        <v>23.711464126079999</v>
      </c>
      <c r="AK3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7" s="21">
        <f>입력란!$P$24+IF(입력란!$C$18=1,10,IF(입력란!$C$18=2,25,IF(입력란!$C$18=3,50,0)))+IF(입력란!$C$23&lt;&gt;0,-12)</f>
        <v>200</v>
      </c>
      <c r="AM367" s="21">
        <f>SUM(AN367:AP367)</f>
        <v>393828.30467884743</v>
      </c>
      <c r="AN367" s="21">
        <f>(VLOOKUP(C367,$B$4:$AJ$7,23,FALSE)+VLOOKUP(C367,$B$8:$AJ$11,23,FALSE)*입력란!$P$4)*IF(G367="근접",입력란!$P$27,IF(MID(E367,1,1)="1",입력란!$P$27,입력란!$P$26))*입력란!$P$25/100</f>
        <v>236291.34446774566</v>
      </c>
      <c r="AO367" s="21">
        <f>(VLOOKUP(C367,$B$4:$AJ$7,24,FALSE)+VLOOKUP(C367,$B$8:$AJ$11,24,FALSE)*입력란!$P$4)*IF(G367="근접",입력란!$P$27,IF(MID(E367,1,1)="1",입력란!$P$27,입력란!$P$26))*입력란!$P$25/100</f>
        <v>157536.9602111018</v>
      </c>
      <c r="AP367" s="21"/>
      <c r="AQ367" s="22">
        <v>24</v>
      </c>
    </row>
    <row r="368" spans="2:43" ht="13.5" customHeight="1" x14ac:dyDescent="0.55000000000000004">
      <c r="B368" s="66">
        <v>353</v>
      </c>
      <c r="C368" s="29">
        <v>7</v>
      </c>
      <c r="D368" s="67" t="s">
        <v>49</v>
      </c>
      <c r="E368" s="27" t="s">
        <v>108</v>
      </c>
      <c r="F368" s="29"/>
      <c r="G368" s="29" t="s">
        <v>37</v>
      </c>
      <c r="H368" s="36">
        <f>I368/AJ368</f>
        <v>103979.44753753039</v>
      </c>
      <c r="I368" s="37">
        <f>SUM(J368:Q368)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2465504.9401357691</v>
      </c>
      <c r="J368" s="21">
        <f>S368*(1+IF($AK368+IF(입력란!$C$9=1,10,0)+IF(입력란!$C$26=1,10,0)&gt;100,100,$AK368+IF(입력란!$C$9=1,10,0)+IF(입력란!$C$26=1,10,0))/100*(($AL368+IF(입력란!$C$30=1,IF(OR(입력란!$C$9=1,입력란!$C$10=1),55,17),IF(입력란!$C$30=2,IF(OR(입력란!$C$9=1,입력란!$C$10=1),60,20),IF(입력란!$C$30=3,IF(OR(입력란!$C$9=1,입력란!$C$10=1),65,22),0))))/100-1))</f>
        <v>1047565.7999256372</v>
      </c>
      <c r="K368" s="21">
        <f>T368*(1+IF($AK368+IF(입력란!$C$9=1,10,0)+IF(입력란!$C$26=1,10,0)&gt;100,100,$AK368+IF(입력란!$C$9=1,10,0)+IF(입력란!$C$26=1,10,0))/100*(($AL368+IF(입력란!$C$30=1,IF(OR(입력란!$C$9=1,입력란!$C$10=1),55,17),IF(입력란!$C$30=2,IF(OR(입력란!$C$9=1,입력란!$C$10=1),60,20),IF(입력란!$C$30=3,IF(OR(입력란!$C$9=1,입력란!$C$10=1),65,22),0))))/100-1))</f>
        <v>698418.8613134881</v>
      </c>
      <c r="L368" s="21"/>
      <c r="M368" s="21"/>
      <c r="N368" s="21"/>
      <c r="O368" s="21"/>
      <c r="P368" s="21"/>
      <c r="Q368" s="20"/>
      <c r="R368" s="19">
        <f>SUM(S368:Z368)</f>
        <v>1076560.8148733319</v>
      </c>
      <c r="S368" s="21">
        <f>AN368*IF(G368="근접",IF(MID(E368,1,1)="3",트라이포드!$H$20,트라이포드!$G$20),1)*IF(입력란!$C$9=1,IF(MID(E368,1,1)="2",트라이포드!$F$20,트라이포드!$E$20),1)*IF(MID(E368,1,1)="1",트라이포드!$D$20,트라이포드!$C$20)*IF(MID(E368,3,1)="1",트라이포드!$J$20,트라이포드!$I$20)*IF(MID(E368,3,1)="2",트라이포드!$L$20,트라이포드!$K$20)*IF(MID(E368,5,1)="1",트라이포드!$P$20,트라이포드!$O$20)*(1+입력란!$P$17/100)*IF(입력란!$C$9=1,IF(입력란!$C$15=0,1.05,IF(입력란!$C$15=1,1.05*1.05,IF(입력란!$C$15=2,1.05*1.12,IF(입력란!$C$15=3,1.05*1.25)))),1)</f>
        <v>645921.07607692305</v>
      </c>
      <c r="T368" s="21">
        <f>AO368*IF(G368="근접",IF(MID(E368,1,1)="3",트라이포드!$H$20,트라이포드!$G$20),1)*IF(입력란!$C$9=1,IF(MID(E368,1,1)="2",트라이포드!$F$20,트라이포드!$E$20),1)*IF(MID(E368,1,1)="1",트라이포드!$D$20,트라이포드!$C$20)*IF(MID(E368,3,1)="1",트라이포드!$J$20,트라이포드!$I$20)*IF(MID(E368,3,1)="2",트라이포드!$L$20,트라이포드!$K$20)*IF(MID(E368,5,1)="1",0,IF(MID(E368,5,1)="2",트라이포드!$R$20,트라이포드!$Q$20))*(1+입력란!$P$17/100)*IF(입력란!$C$9=1,IF(입력란!$C$15=0,1.05,IF(입력란!$C$15=1,1.05*1.05,IF(입력란!$C$15=2,1.05*1.12,IF(입력란!$C$15=3,1.05*1.25)))),1)</f>
        <v>430639.73879640887</v>
      </c>
      <c r="U368" s="21"/>
      <c r="V368" s="21"/>
      <c r="W368" s="21"/>
      <c r="X368" s="21"/>
      <c r="Y368" s="21"/>
      <c r="Z368" s="20"/>
      <c r="AA368" s="21">
        <f>SUM(AB368:AI368)</f>
        <v>2153121.6297466638</v>
      </c>
      <c r="AB368" s="21">
        <f>S368*2</f>
        <v>1291842.1521538461</v>
      </c>
      <c r="AC368" s="21">
        <f>T368*2</f>
        <v>861279.47759281774</v>
      </c>
      <c r="AD368" s="21"/>
      <c r="AE368" s="21"/>
      <c r="AF368" s="21"/>
      <c r="AG368" s="21"/>
      <c r="AH368" s="21"/>
      <c r="AI368" s="20"/>
      <c r="AJ368" s="21">
        <f>AQ368*(1-입력란!$P$10/100)</f>
        <v>23.711464126079999</v>
      </c>
      <c r="AK3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8" s="21">
        <f>입력란!$P$24+IF(입력란!$C$18=1,10,IF(입력란!$C$18=2,25,IF(입력란!$C$18=3,50,0)))+IF(입력란!$C$23&lt;&gt;0,-12)</f>
        <v>200</v>
      </c>
      <c r="AM368" s="21">
        <f>SUM(AN368:AP368)</f>
        <v>393828.30467884743</v>
      </c>
      <c r="AN368" s="21">
        <f>(VLOOKUP(C368,$B$4:$AJ$7,23,FALSE)+VLOOKUP(C368,$B$8:$AJ$11,23,FALSE)*입력란!$P$4)*IF(G368="근접",입력란!$P$27,IF(MID(E368,1,1)="1",입력란!$P$27,입력란!$P$26))*입력란!$P$25/100</f>
        <v>236291.34446774566</v>
      </c>
      <c r="AO368" s="21">
        <f>(VLOOKUP(C368,$B$4:$AJ$7,24,FALSE)+VLOOKUP(C368,$B$8:$AJ$11,24,FALSE)*입력란!$P$4)*IF(G368="근접",입력란!$P$27,IF(MID(E368,1,1)="1",입력란!$P$27,입력란!$P$26))*입력란!$P$25/100</f>
        <v>157536.9602111018</v>
      </c>
      <c r="AP368" s="21"/>
      <c r="AQ368" s="22">
        <v>24</v>
      </c>
    </row>
    <row r="369" spans="2:43" ht="13.5" customHeight="1" x14ac:dyDescent="0.55000000000000004">
      <c r="B369" s="66">
        <v>354</v>
      </c>
      <c r="C369" s="29">
        <v>10</v>
      </c>
      <c r="D369" s="67" t="s">
        <v>210</v>
      </c>
      <c r="E369" s="27" t="s">
        <v>184</v>
      </c>
      <c r="F369" s="29"/>
      <c r="G369" s="29" t="s">
        <v>200</v>
      </c>
      <c r="H369" s="36">
        <f>I369/AJ369</f>
        <v>64012.5684896159</v>
      </c>
      <c r="I369" s="37">
        <f>SUM(J369:Q369)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1517831.7213597663</v>
      </c>
      <c r="J369" s="21">
        <f>S369*(1+IF($AK369+IF(입력란!$C$9=1,10,0)+IF(입력란!$C$26=1,10,0)&gt;100,100,$AK369+IF(입력란!$C$9=1,10,0)+IF(입력란!$C$26=1,10,0))/100*(($AL369+IF(입력란!$C$30=1,IF(OR(입력란!$C$9=1,입력란!$C$10=1),55,17),IF(입력란!$C$30=2,IF(OR(입력란!$C$9=1,입력란!$C$10=1),60,20),IF(입력란!$C$30=3,IF(OR(입력란!$C$9=1,입력란!$C$10=1),65,22),0))))/100-1))</f>
        <v>644909.05612731655</v>
      </c>
      <c r="K369" s="21">
        <f>T369*(1+IF($AK369+IF(입력란!$C$9=1,10,0)+IF(입력란!$C$26=1,10,0)&gt;100,100,$AK369+IF(입력란!$C$9=1,10,0)+IF(입력란!$C$26=1,10,0))/100*(($AL369+IF(입력란!$C$30=1,IF(OR(입력란!$C$9=1,입력란!$C$10=1),55,17),IF(입력란!$C$30=2,IF(OR(입력란!$C$9=1,입력란!$C$10=1),60,20),IF(입력란!$C$30=3,IF(OR(입력란!$C$9=1,입력란!$C$10=1),65,22),0))))/100-1))</f>
        <v>429966.46356659057</v>
      </c>
      <c r="L369" s="21"/>
      <c r="M369" s="21"/>
      <c r="N369" s="21"/>
      <c r="O369" s="21"/>
      <c r="P369" s="21"/>
      <c r="Q369" s="20"/>
      <c r="R369" s="19">
        <f>SUM(S369:Z369)</f>
        <v>662760.04082866688</v>
      </c>
      <c r="S369" s="21">
        <f>AN369*IF(G369="근접",IF(MID(E369,1,1)="3",트라이포드!$H$20,트라이포드!$G$20),1)*IF(입력란!$C$9=1,IF(MID(E369,1,1)="2",트라이포드!$F$20,트라이포드!$E$20),1)*IF(MID(E369,1,1)="1",트라이포드!$D$20,트라이포드!$C$20)*IF(MID(E369,3,1)="1",트라이포드!$J$20,트라이포드!$I$20)*IF(MID(E369,3,1)="2",트라이포드!$L$20,트라이포드!$K$20)*IF(MID(E369,5,1)="1",트라이포드!$P$20,트라이포드!$O$20)*(1+입력란!$P$17/100)*IF(입력란!$C$9=1,IF(입력란!$C$15=0,1.05,IF(입력란!$C$15=1,1.05*1.05,IF(입력란!$C$15=2,1.05*1.12,IF(입력란!$C$15=3,1.05*1.25)))),1)</f>
        <v>397646.00136342668</v>
      </c>
      <c r="T369" s="21">
        <f>AO369*IF(G369="근접",IF(MID(E369,1,1)="3",트라이포드!$H$20,트라이포드!$G$20),1)*IF(입력란!$C$9=1,IF(MID(E369,1,1)="2",트라이포드!$F$20,트라이포드!$E$20),1)*IF(MID(E369,1,1)="1",트라이포드!$D$20,트라이포드!$C$20)*IF(MID(E369,3,1)="1",트라이포드!$J$20,트라이포드!$I$20)*IF(MID(E369,3,1)="2",트라이포드!$L$20,트라이포드!$K$20)*IF(MID(E369,5,1)="1",0,IF(MID(E369,5,1)="2",트라이포드!$R$20,트라이포드!$Q$20))*(1+입력란!$P$17/100)*IF(입력란!$C$9=1,IF(입력란!$C$15=0,1.05,IF(입력란!$C$15=1,1.05*1.05,IF(입력란!$C$15=2,1.05*1.12,IF(입력란!$C$15=3,1.05*1.25)))),1)</f>
        <v>265114.0394652402</v>
      </c>
      <c r="U369" s="21"/>
      <c r="V369" s="21"/>
      <c r="W369" s="21"/>
      <c r="X369" s="21"/>
      <c r="Y369" s="21"/>
      <c r="Z369" s="20"/>
      <c r="AA369" s="21">
        <f>SUM(AB369:AI369)</f>
        <v>1325520.0816573338</v>
      </c>
      <c r="AB369" s="21">
        <f>S369*2</f>
        <v>795292.00272685336</v>
      </c>
      <c r="AC369" s="21">
        <f>T369*2</f>
        <v>530228.07893048041</v>
      </c>
      <c r="AD369" s="21"/>
      <c r="AE369" s="21"/>
      <c r="AF369" s="21"/>
      <c r="AG369" s="21"/>
      <c r="AH369" s="21"/>
      <c r="AI369" s="20"/>
      <c r="AJ369" s="21">
        <f>AQ369*(1-입력란!$P$10/100)</f>
        <v>23.711464126079999</v>
      </c>
      <c r="AK3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69" s="21">
        <f>입력란!$P$24+IF(입력란!$C$18=1,10,IF(입력란!$C$18=2,25,IF(입력란!$C$18=3,50,0)))+IF(입력란!$C$23&lt;&gt;0,-12)</f>
        <v>200</v>
      </c>
      <c r="AM369" s="21">
        <f>SUM(AN369:AP369)</f>
        <v>393983.50467884744</v>
      </c>
      <c r="AN369" s="21">
        <f>(VLOOKUP(C369,$B$4:$AJ$7,23,FALSE)+VLOOKUP(C369,$B$8:$AJ$11,23,FALSE)*입력란!$P$4)*IF(G369="근접",입력란!$P$27,IF(MID(E369,1,1)="1",입력란!$P$27,입력란!$P$26))*입력란!$P$25/100</f>
        <v>236384.14446774565</v>
      </c>
      <c r="AO369" s="21">
        <f>(VLOOKUP(C369,$B$4:$AJ$7,24,FALSE)+VLOOKUP(C369,$B$8:$AJ$11,24,FALSE)*입력란!$P$4)*IF(G369="근접",입력란!$P$27,IF(MID(E369,1,1)="1",입력란!$P$27,입력란!$P$26))*입력란!$P$25/100</f>
        <v>157599.3602111018</v>
      </c>
      <c r="AP369" s="21"/>
      <c r="AQ369" s="22">
        <v>24</v>
      </c>
    </row>
    <row r="370" spans="2:43" ht="13.5" customHeight="1" x14ac:dyDescent="0.55000000000000004">
      <c r="B370" s="66">
        <v>355</v>
      </c>
      <c r="C370" s="29">
        <v>10</v>
      </c>
      <c r="D370" s="67" t="s">
        <v>210</v>
      </c>
      <c r="E370" s="27" t="s">
        <v>190</v>
      </c>
      <c r="F370" s="29"/>
      <c r="G370" s="29" t="s">
        <v>200</v>
      </c>
      <c r="H370" s="36">
        <f>I370/AJ370</f>
        <v>107538.40443096354</v>
      </c>
      <c r="I370" s="37">
        <f>SUM(J370:Q370)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2549893.0188406743</v>
      </c>
      <c r="J370" s="21">
        <f>S370*(1+IF($AK370+IF(입력란!$C$9=1,10,0)+IF(입력란!$C$26=1,10,0)&gt;100,100,$AK370+IF(입력란!$C$9=1,10,0)+IF(입력란!$C$26=1,10,0))/100*(($AL370+IF(입력란!$C$30=1,IF(OR(입력란!$C$9=1,입력란!$C$10=1),55,17),IF(입력란!$C$30=2,IF(OR(입력란!$C$9=1,입력란!$C$10=1),60,20),IF(입력란!$C$30=3,IF(OR(입력란!$C$9=1,입력란!$C$10=1),65,22),0))))/100-1))</f>
        <v>1805745.3571564863</v>
      </c>
      <c r="K370" s="21">
        <f>T370*(1+IF($AK370+IF(입력란!$C$9=1,10,0)+IF(입력란!$C$26=1,10,0)&gt;100,100,$AK370+IF(입력란!$C$9=1,10,0)+IF(입력란!$C$26=1,10,0))/100*(($AL370+IF(입력란!$C$30=1,IF(OR(입력란!$C$9=1,입력란!$C$10=1),55,17),IF(입력란!$C$30=2,IF(OR(입력란!$C$9=1,입력란!$C$10=1),60,20),IF(입력란!$C$30=3,IF(OR(입력란!$C$9=1,입력란!$C$10=1),65,22),0))))/100-1))</f>
        <v>0</v>
      </c>
      <c r="L370" s="21"/>
      <c r="M370" s="21"/>
      <c r="N370" s="21"/>
      <c r="O370" s="21"/>
      <c r="P370" s="21"/>
      <c r="Q370" s="20"/>
      <c r="R370" s="19">
        <f>SUM(S370:Z370)</f>
        <v>1113408.8038175947</v>
      </c>
      <c r="S370" s="21">
        <f>AN370*IF(G370="근접",IF(MID(E370,1,1)="3",트라이포드!$H$20,트라이포드!$G$20),1)*IF(입력란!$C$9=1,IF(MID(E370,1,1)="2",트라이포드!$F$20,트라이포드!$E$20),1)*IF(MID(E370,1,1)="1",트라이포드!$D$20,트라이포드!$C$20)*IF(MID(E370,3,1)="1",트라이포드!$J$20,트라이포드!$I$20)*IF(MID(E370,3,1)="2",트라이포드!$L$20,트라이포드!$K$20)*IF(MID(E370,5,1)="1",트라이포드!$P$20,트라이포드!$O$20)*(1+입력란!$P$17/100)*IF(입력란!$C$9=1,IF(입력란!$C$15=0,1.05,IF(입력란!$C$15=1,1.05*1.05,IF(입력란!$C$15=2,1.05*1.12,IF(입력란!$C$15=3,1.05*1.25)))),1)</f>
        <v>1113408.8038175947</v>
      </c>
      <c r="T370" s="21">
        <f>AO370*IF(G370="근접",IF(MID(E370,1,1)="3",트라이포드!$H$20,트라이포드!$G$20),1)*IF(입력란!$C$9=1,IF(MID(E370,1,1)="2",트라이포드!$F$20,트라이포드!$E$20),1)*IF(MID(E370,1,1)="1",트라이포드!$D$20,트라이포드!$C$20)*IF(MID(E370,3,1)="1",트라이포드!$J$20,트라이포드!$I$20)*IF(MID(E370,3,1)="2",트라이포드!$L$20,트라이포드!$K$20)*IF(MID(E370,5,1)="1",0,IF(MID(E370,5,1)="2",트라이포드!$R$20,트라이포드!$Q$20))*(1+입력란!$P$17/100)*IF(입력란!$C$9=1,IF(입력란!$C$15=0,1.05,IF(입력란!$C$15=1,1.05*1.05,IF(입력란!$C$15=2,1.05*1.12,IF(입력란!$C$15=3,1.05*1.25)))),1)</f>
        <v>0</v>
      </c>
      <c r="U370" s="21"/>
      <c r="V370" s="21"/>
      <c r="W370" s="21"/>
      <c r="X370" s="21"/>
      <c r="Y370" s="21"/>
      <c r="Z370" s="20"/>
      <c r="AA370" s="21">
        <f>SUM(AB370:AI370)</f>
        <v>2226817.6076351893</v>
      </c>
      <c r="AB370" s="21">
        <f>S370*2</f>
        <v>2226817.6076351893</v>
      </c>
      <c r="AC370" s="21">
        <f>T370*2</f>
        <v>0</v>
      </c>
      <c r="AD370" s="21"/>
      <c r="AE370" s="21"/>
      <c r="AF370" s="21"/>
      <c r="AG370" s="21"/>
      <c r="AH370" s="21"/>
      <c r="AI370" s="20"/>
      <c r="AJ370" s="21">
        <f>AQ370*(1-입력란!$P$10/100)</f>
        <v>23.711464126079999</v>
      </c>
      <c r="AK3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0" s="21">
        <f>입력란!$P$24+IF(입력란!$C$18=1,10,IF(입력란!$C$18=2,25,IF(입력란!$C$18=3,50,0)))+IF(입력란!$C$23&lt;&gt;0,-12)</f>
        <v>200</v>
      </c>
      <c r="AM370" s="21">
        <f>SUM(AN370:AP370)</f>
        <v>393983.50467884744</v>
      </c>
      <c r="AN370" s="21">
        <f>(VLOOKUP(C370,$B$4:$AJ$7,23,FALSE)+VLOOKUP(C370,$B$8:$AJ$11,23,FALSE)*입력란!$P$4)*IF(G370="근접",입력란!$P$27,IF(MID(E370,1,1)="1",입력란!$P$27,입력란!$P$26))*입력란!$P$25/100</f>
        <v>236384.14446774565</v>
      </c>
      <c r="AO370" s="21">
        <f>(VLOOKUP(C370,$B$4:$AJ$7,24,FALSE)+VLOOKUP(C370,$B$8:$AJ$11,24,FALSE)*입력란!$P$4)*IF(G370="근접",입력란!$P$27,IF(MID(E370,1,1)="1",입력란!$P$27,입력란!$P$26))*입력란!$P$25/100</f>
        <v>157599.3602111018</v>
      </c>
      <c r="AP370" s="21"/>
      <c r="AQ370" s="22">
        <v>24</v>
      </c>
    </row>
    <row r="371" spans="2:43" ht="13.5" customHeight="1" x14ac:dyDescent="0.55000000000000004">
      <c r="B371" s="66">
        <v>356</v>
      </c>
      <c r="C371" s="29">
        <v>10</v>
      </c>
      <c r="D371" s="67" t="s">
        <v>210</v>
      </c>
      <c r="E371" s="27" t="s">
        <v>205</v>
      </c>
      <c r="F371" s="29"/>
      <c r="G371" s="29" t="s">
        <v>200</v>
      </c>
      <c r="H371" s="36">
        <f>I371/AJ371</f>
        <v>115224.55944673088</v>
      </c>
      <c r="I371" s="37">
        <f>SUM(J371:Q371)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2732143.0077645318</v>
      </c>
      <c r="J371" s="21">
        <f>S371*(1+IF($AK371+IF(입력란!$C$9=1,10,0)+IF(입력란!$C$26=1,10,0)&gt;100,100,$AK371+IF(입력란!$C$9=1,10,0)+IF(입력란!$C$26=1,10,0))/100*(($AL371+IF(입력란!$C$30=1,IF(OR(입력란!$C$9=1,입력란!$C$10=1),55,17),IF(입력란!$C$30=2,IF(OR(입력란!$C$9=1,입력란!$C$10=1),60,20),IF(입력란!$C$30=3,IF(OR(입력란!$C$9=1,입력란!$C$10=1),65,22),0))))/100-1))</f>
        <v>644909.05612731655</v>
      </c>
      <c r="K371" s="21">
        <f>T371*(1+IF($AK371+IF(입력란!$C$9=1,10,0)+IF(입력란!$C$26=1,10,0)&gt;100,100,$AK371+IF(입력란!$C$9=1,10,0)+IF(입력란!$C$26=1,10,0))/100*(($AL371+IF(입력란!$C$30=1,IF(OR(입력란!$C$9=1,입력란!$C$10=1),55,17),IF(입력란!$C$30=2,IF(OR(입력란!$C$9=1,입력란!$C$10=1),60,20),IF(입력란!$C$30=3,IF(OR(입력란!$C$9=1,입력란!$C$10=1),65,22),0))))/100-1))</f>
        <v>1289899.3906997717</v>
      </c>
      <c r="L371" s="21"/>
      <c r="M371" s="21"/>
      <c r="N371" s="21"/>
      <c r="O371" s="21"/>
      <c r="P371" s="21"/>
      <c r="Q371" s="20"/>
      <c r="R371" s="19">
        <f>SUM(S371:Z371)</f>
        <v>1192988.1197591473</v>
      </c>
      <c r="S371" s="21">
        <f>AN371*IF(G371="근접",IF(MID(E371,1,1)="3",트라이포드!$H$20,트라이포드!$G$20),1)*IF(입력란!$C$9=1,IF(MID(E371,1,1)="2",트라이포드!$F$20,트라이포드!$E$20),1)*IF(MID(E371,1,1)="1",트라이포드!$D$20,트라이포드!$C$20)*IF(MID(E371,3,1)="1",트라이포드!$J$20,트라이포드!$I$20)*IF(MID(E371,3,1)="2",트라이포드!$L$20,트라이포드!$K$20)*IF(MID(E371,5,1)="1",트라이포드!$P$20,트라이포드!$O$20)*(1+입력란!$P$17/100)*IF(입력란!$C$9=1,IF(입력란!$C$15=0,1.05,IF(입력란!$C$15=1,1.05*1.05,IF(입력란!$C$15=2,1.05*1.12,IF(입력란!$C$15=3,1.05*1.25)))),1)</f>
        <v>397646.00136342668</v>
      </c>
      <c r="T371" s="21">
        <f>AO371*IF(G371="근접",IF(MID(E371,1,1)="3",트라이포드!$H$20,트라이포드!$G$20),1)*IF(입력란!$C$9=1,IF(MID(E371,1,1)="2",트라이포드!$F$20,트라이포드!$E$20),1)*IF(MID(E371,1,1)="1",트라이포드!$D$20,트라이포드!$C$20)*IF(MID(E371,3,1)="1",트라이포드!$J$20,트라이포드!$I$20)*IF(MID(E371,3,1)="2",트라이포드!$L$20,트라이포드!$K$20)*IF(MID(E371,5,1)="1",0,IF(MID(E371,5,1)="2",트라이포드!$R$20,트라이포드!$Q$20))*(1+입력란!$P$17/100)*IF(입력란!$C$9=1,IF(입력란!$C$15=0,1.05,IF(입력란!$C$15=1,1.05*1.05,IF(입력란!$C$15=2,1.05*1.12,IF(입력란!$C$15=3,1.05*1.25)))),1)</f>
        <v>795342.11839572061</v>
      </c>
      <c r="U371" s="21"/>
      <c r="V371" s="21"/>
      <c r="W371" s="21"/>
      <c r="X371" s="21"/>
      <c r="Y371" s="21"/>
      <c r="Z371" s="20"/>
      <c r="AA371" s="21">
        <f>SUM(AB371:AI371)</f>
        <v>2385976.2395182946</v>
      </c>
      <c r="AB371" s="21">
        <f>S371*2</f>
        <v>795292.00272685336</v>
      </c>
      <c r="AC371" s="21">
        <f>T371*2</f>
        <v>1590684.2367914412</v>
      </c>
      <c r="AD371" s="21"/>
      <c r="AE371" s="21"/>
      <c r="AF371" s="21"/>
      <c r="AG371" s="21"/>
      <c r="AH371" s="21"/>
      <c r="AI371" s="20"/>
      <c r="AJ371" s="21">
        <f>AQ371*(1-입력란!$P$10/100)</f>
        <v>23.711464126079999</v>
      </c>
      <c r="AK3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1" s="21">
        <f>입력란!$P$24+IF(입력란!$C$18=1,10,IF(입력란!$C$18=2,25,IF(입력란!$C$18=3,50,0)))+IF(입력란!$C$23&lt;&gt;0,-12)</f>
        <v>200</v>
      </c>
      <c r="AM371" s="21">
        <f>SUM(AN371:AP371)</f>
        <v>393983.50467884744</v>
      </c>
      <c r="AN371" s="21">
        <f>(VLOOKUP(C371,$B$4:$AJ$7,23,FALSE)+VLOOKUP(C371,$B$8:$AJ$11,23,FALSE)*입력란!$P$4)*IF(G371="근접",입력란!$P$27,IF(MID(E371,1,1)="1",입력란!$P$27,입력란!$P$26))*입력란!$P$25/100</f>
        <v>236384.14446774565</v>
      </c>
      <c r="AO371" s="21">
        <f>(VLOOKUP(C371,$B$4:$AJ$7,24,FALSE)+VLOOKUP(C371,$B$8:$AJ$11,24,FALSE)*입력란!$P$4)*IF(G371="근접",입력란!$P$27,IF(MID(E371,1,1)="1",입력란!$P$27,입력란!$P$26))*입력란!$P$25/100</f>
        <v>157599.3602111018</v>
      </c>
      <c r="AP371" s="21"/>
      <c r="AQ371" s="22">
        <v>24</v>
      </c>
    </row>
    <row r="372" spans="2:43" ht="13.5" customHeight="1" x14ac:dyDescent="0.55000000000000004">
      <c r="B372" s="66">
        <v>357</v>
      </c>
      <c r="C372" s="29">
        <v>10</v>
      </c>
      <c r="D372" s="67" t="s">
        <v>210</v>
      </c>
      <c r="E372" s="27" t="s">
        <v>192</v>
      </c>
      <c r="F372" s="29" t="s">
        <v>216</v>
      </c>
      <c r="G372" s="29" t="s">
        <v>200</v>
      </c>
      <c r="H372" s="36">
        <f>I372/AJ372</f>
        <v>150553.76620334893</v>
      </c>
      <c r="I372" s="37">
        <f>SUM(J372:Q372)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3569850.2263769438</v>
      </c>
      <c r="J372" s="21">
        <f>S372*(1+IF($AK372+IF(입력란!$C$9=1,10,0)+IF(입력란!$C$26=1,10,0)&gt;100,100,$AK372+IF(입력란!$C$9=1,10,0)+IF(입력란!$C$26=1,10,0))/100*(($AL372+IF(입력란!$C$30=1,IF(OR(입력란!$C$9=1,입력란!$C$10=1),55,17),IF(입력란!$C$30=2,IF(OR(입력란!$C$9=1,입력란!$C$10=1),60,20),IF(입력란!$C$30=3,IF(OR(입력란!$C$9=1,입력란!$C$10=1),65,22),0))))/100-1))</f>
        <v>2528043.5000190805</v>
      </c>
      <c r="K372" s="21">
        <f>T372*(1+IF($AK372+IF(입력란!$C$9=1,10,0)+IF(입력란!$C$26=1,10,0)&gt;100,100,$AK372+IF(입력란!$C$9=1,10,0)+IF(입력란!$C$26=1,10,0))/100*(($AL372+IF(입력란!$C$30=1,IF(OR(입력란!$C$9=1,입력란!$C$10=1),55,17),IF(입력란!$C$30=2,IF(OR(입력란!$C$9=1,입력란!$C$10=1),60,20),IF(입력란!$C$30=3,IF(OR(입력란!$C$9=1,입력란!$C$10=1),65,22),0))))/100-1))</f>
        <v>0</v>
      </c>
      <c r="L372" s="21"/>
      <c r="M372" s="21"/>
      <c r="N372" s="21"/>
      <c r="O372" s="21"/>
      <c r="P372" s="21"/>
      <c r="Q372" s="20"/>
      <c r="R372" s="19">
        <f>SUM(S372:Z372)</f>
        <v>1558772.3253446324</v>
      </c>
      <c r="S372" s="21">
        <f>AN372*IF(G372="근접",IF(MID(E372,1,1)="3",트라이포드!$H$20,트라이포드!$G$20),1)*IF(입력란!$C$9=1,IF(MID(E372,1,1)="2",트라이포드!$F$20,트라이포드!$E$20),1)*IF(MID(E372,1,1)="1",트라이포드!$D$20,트라이포드!$C$20)*IF(MID(E372,3,1)="1",트라이포드!$J$20,트라이포드!$I$20)*IF(MID(E372,3,1)="2",트라이포드!$L$20,트라이포드!$K$20)*IF(MID(E372,5,1)="1",트라이포드!$P$20,트라이포드!$O$20)*(1+입력란!$P$17/100)*IF(입력란!$C$9=1,IF(입력란!$C$15=0,1.05,IF(입력란!$C$15=1,1.05*1.05,IF(입력란!$C$15=2,1.05*1.12,IF(입력란!$C$15=3,1.05*1.25)))),1)</f>
        <v>1558772.3253446324</v>
      </c>
      <c r="T372" s="21">
        <f>AO372*IF(G372="근접",IF(MID(E372,1,1)="3",트라이포드!$H$20,트라이포드!$G$20),1)*IF(입력란!$C$9=1,IF(MID(E372,1,1)="2",트라이포드!$F$20,트라이포드!$E$20),1)*IF(MID(E372,1,1)="1",트라이포드!$D$20,트라이포드!$C$20)*IF(MID(E372,3,1)="1",트라이포드!$J$20,트라이포드!$I$20)*IF(MID(E372,3,1)="2",트라이포드!$L$20,트라이포드!$K$20)*IF(MID(E372,5,1)="1",0,IF(MID(E372,5,1)="2",트라이포드!$R$20,트라이포드!$Q$20))*(1+입력란!$P$17/100)*IF(입력란!$C$9=1,IF(입력란!$C$15=0,1.05,IF(입력란!$C$15=1,1.05*1.05,IF(입력란!$C$15=2,1.05*1.12,IF(입력란!$C$15=3,1.05*1.25)))),1)</f>
        <v>0</v>
      </c>
      <c r="U372" s="21"/>
      <c r="V372" s="21"/>
      <c r="W372" s="21"/>
      <c r="X372" s="21"/>
      <c r="Y372" s="21"/>
      <c r="Z372" s="20"/>
      <c r="AA372" s="21">
        <f>SUM(AB372:AI372)</f>
        <v>3117544.6506892648</v>
      </c>
      <c r="AB372" s="21">
        <f>S372*2</f>
        <v>3117544.6506892648</v>
      </c>
      <c r="AC372" s="21">
        <f>T372*2</f>
        <v>0</v>
      </c>
      <c r="AD372" s="21"/>
      <c r="AE372" s="21"/>
      <c r="AF372" s="21"/>
      <c r="AG372" s="21"/>
      <c r="AH372" s="21"/>
      <c r="AI372" s="20"/>
      <c r="AJ372" s="21">
        <f>AQ372*(1-입력란!$P$10/100)</f>
        <v>23.711464126079999</v>
      </c>
      <c r="AK3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2" s="21">
        <f>입력란!$P$24+IF(입력란!$C$18=1,10,IF(입력란!$C$18=2,25,IF(입력란!$C$18=3,50,0)))+IF(입력란!$C$23&lt;&gt;0,-12)</f>
        <v>200</v>
      </c>
      <c r="AM372" s="21">
        <f>SUM(AN372:AP372)</f>
        <v>393983.50467884744</v>
      </c>
      <c r="AN372" s="21">
        <f>(VLOOKUP(C372,$B$4:$AJ$7,23,FALSE)+VLOOKUP(C372,$B$8:$AJ$11,23,FALSE)*입력란!$P$4)*IF(G372="근접",입력란!$P$27,IF(MID(E372,1,1)="1",입력란!$P$27,입력란!$P$26))*입력란!$P$25/100</f>
        <v>236384.14446774565</v>
      </c>
      <c r="AO372" s="21">
        <f>(VLOOKUP(C372,$B$4:$AJ$7,24,FALSE)+VLOOKUP(C372,$B$8:$AJ$11,24,FALSE)*입력란!$P$4)*IF(G372="근접",입력란!$P$27,IF(MID(E372,1,1)="1",입력란!$P$27,입력란!$P$26))*입력란!$P$25/100</f>
        <v>157599.3602111018</v>
      </c>
      <c r="AP372" s="21"/>
      <c r="AQ372" s="22">
        <v>24</v>
      </c>
    </row>
    <row r="373" spans="2:43" ht="13.5" customHeight="1" x14ac:dyDescent="0.55000000000000004">
      <c r="B373" s="66">
        <v>358</v>
      </c>
      <c r="C373" s="29">
        <v>10</v>
      </c>
      <c r="D373" s="67" t="s">
        <v>210</v>
      </c>
      <c r="E373" s="27" t="s">
        <v>193</v>
      </c>
      <c r="F373" s="29" t="s">
        <v>216</v>
      </c>
      <c r="G373" s="29" t="s">
        <v>200</v>
      </c>
      <c r="H373" s="36">
        <f>I373/AJ373</f>
        <v>161314.38322542323</v>
      </c>
      <c r="I373" s="37">
        <f>SUM(J373:Q373)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3825000.2108703442</v>
      </c>
      <c r="J373" s="21">
        <f>S373*(1+IF($AK373+IF(입력란!$C$9=1,10,0)+IF(입력란!$C$26=1,10,0)&gt;100,100,$AK373+IF(입력란!$C$9=1,10,0)+IF(입력란!$C$26=1,10,0))/100*(($AL373+IF(입력란!$C$30=1,IF(OR(입력란!$C$9=1,입력란!$C$10=1),55,17),IF(입력란!$C$30=2,IF(OR(입력란!$C$9=1,입력란!$C$10=1),60,20),IF(입력란!$C$30=3,IF(OR(입력란!$C$9=1,입력란!$C$10=1),65,22),0))))/100-1))</f>
        <v>902872.67857824313</v>
      </c>
      <c r="K373" s="21">
        <f>T373*(1+IF($AK373+IF(입력란!$C$9=1,10,0)+IF(입력란!$C$26=1,10,0)&gt;100,100,$AK373+IF(입력란!$C$9=1,10,0)+IF(입력란!$C$26=1,10,0))/100*(($AL373+IF(입력란!$C$30=1,IF(OR(입력란!$C$9=1,입력란!$C$10=1),55,17),IF(입력란!$C$30=2,IF(OR(입력란!$C$9=1,입력란!$C$10=1),60,20),IF(입력란!$C$30=3,IF(OR(입력란!$C$9=1,입력란!$C$10=1),65,22),0))))/100-1))</f>
        <v>1805859.1469796803</v>
      </c>
      <c r="L373" s="21"/>
      <c r="M373" s="21"/>
      <c r="N373" s="21"/>
      <c r="O373" s="21"/>
      <c r="P373" s="21"/>
      <c r="Q373" s="20"/>
      <c r="R373" s="19">
        <f>SUM(S373:Z373)</f>
        <v>1670183.3676628061</v>
      </c>
      <c r="S373" s="21">
        <f>AN373*IF(G373="근접",IF(MID(E373,1,1)="3",트라이포드!$H$20,트라이포드!$G$20),1)*IF(입력란!$C$9=1,IF(MID(E373,1,1)="2",트라이포드!$F$20,트라이포드!$E$20),1)*IF(MID(E373,1,1)="1",트라이포드!$D$20,트라이포드!$C$20)*IF(MID(E373,3,1)="1",트라이포드!$J$20,트라이포드!$I$20)*IF(MID(E373,3,1)="2",트라이포드!$L$20,트라이포드!$K$20)*IF(MID(E373,5,1)="1",트라이포드!$P$20,트라이포드!$O$20)*(1+입력란!$P$17/100)*IF(입력란!$C$9=1,IF(입력란!$C$15=0,1.05,IF(입력란!$C$15=1,1.05*1.05,IF(입력란!$C$15=2,1.05*1.12,IF(입력란!$C$15=3,1.05*1.25)))),1)</f>
        <v>556704.40190879733</v>
      </c>
      <c r="T373" s="21">
        <f>AO373*IF(G373="근접",IF(MID(E373,1,1)="3",트라이포드!$H$20,트라이포드!$G$20),1)*IF(입력란!$C$9=1,IF(MID(E373,1,1)="2",트라이포드!$F$20,트라이포드!$E$20),1)*IF(MID(E373,1,1)="1",트라이포드!$D$20,트라이포드!$C$20)*IF(MID(E373,3,1)="1",트라이포드!$J$20,트라이포드!$I$20)*IF(MID(E373,3,1)="2",트라이포드!$L$20,트라이포드!$K$20)*IF(MID(E373,5,1)="1",0,IF(MID(E373,5,1)="2",트라이포드!$R$20,트라이포드!$Q$20))*(1+입력란!$P$17/100)*IF(입력란!$C$9=1,IF(입력란!$C$15=0,1.05,IF(입력란!$C$15=1,1.05*1.05,IF(입력란!$C$15=2,1.05*1.12,IF(입력란!$C$15=3,1.05*1.25)))),1)</f>
        <v>1113478.9657540089</v>
      </c>
      <c r="U373" s="21"/>
      <c r="V373" s="21"/>
      <c r="W373" s="21"/>
      <c r="X373" s="21"/>
      <c r="Y373" s="21"/>
      <c r="Z373" s="20"/>
      <c r="AA373" s="21">
        <f>SUM(AB373:AI373)</f>
        <v>3340366.7353256121</v>
      </c>
      <c r="AB373" s="21">
        <f>S373*2</f>
        <v>1113408.8038175947</v>
      </c>
      <c r="AC373" s="21">
        <f>T373*2</f>
        <v>2226957.9315080177</v>
      </c>
      <c r="AD373" s="21"/>
      <c r="AE373" s="21"/>
      <c r="AF373" s="21"/>
      <c r="AG373" s="21"/>
      <c r="AH373" s="21"/>
      <c r="AI373" s="20"/>
      <c r="AJ373" s="21">
        <f>AQ373*(1-입력란!$P$10/100)</f>
        <v>23.711464126079999</v>
      </c>
      <c r="AK3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3" s="21">
        <f>입력란!$P$24+IF(입력란!$C$18=1,10,IF(입력란!$C$18=2,25,IF(입력란!$C$18=3,50,0)))+IF(입력란!$C$23&lt;&gt;0,-12)</f>
        <v>200</v>
      </c>
      <c r="AM373" s="21">
        <f>SUM(AN373:AP373)</f>
        <v>393983.50467884744</v>
      </c>
      <c r="AN373" s="21">
        <f>(VLOOKUP(C373,$B$4:$AJ$7,23,FALSE)+VLOOKUP(C373,$B$8:$AJ$11,23,FALSE)*입력란!$P$4)*IF(G373="근접",입력란!$P$27,IF(MID(E373,1,1)="1",입력란!$P$27,입력란!$P$26))*입력란!$P$25/100</f>
        <v>236384.14446774565</v>
      </c>
      <c r="AO373" s="21">
        <f>(VLOOKUP(C373,$B$4:$AJ$7,24,FALSE)+VLOOKUP(C373,$B$8:$AJ$11,24,FALSE)*입력란!$P$4)*IF(G373="근접",입력란!$P$27,IF(MID(E373,1,1)="1",입력란!$P$27,입력란!$P$26))*입력란!$P$25/100</f>
        <v>157599.3602111018</v>
      </c>
      <c r="AP373" s="21"/>
      <c r="AQ373" s="22">
        <v>24</v>
      </c>
    </row>
    <row r="374" spans="2:43" ht="13.5" customHeight="1" x14ac:dyDescent="0.55000000000000004">
      <c r="B374" s="66">
        <v>359</v>
      </c>
      <c r="C374" s="29">
        <v>10</v>
      </c>
      <c r="D374" s="67" t="s">
        <v>49</v>
      </c>
      <c r="E374" s="27" t="s">
        <v>140</v>
      </c>
      <c r="F374" s="29"/>
      <c r="G374" s="29" t="s">
        <v>37</v>
      </c>
      <c r="H374" s="36">
        <f>I374/AJ374</f>
        <v>139799.92576025263</v>
      </c>
      <c r="I374" s="37">
        <f>SUM(J374:Q374)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3314860.9244928774</v>
      </c>
      <c r="J374" s="21">
        <f>S374*(1+IF($AK374+IF(입력란!$C$9=1,10,0)+IF(입력란!$C$26=1,10,0)&gt;100,100,$AK374+IF(입력란!$C$9=1,10,0)+IF(입력란!$C$26=1,10,0))/100*(($AL374+IF(입력란!$C$30=1,IF(OR(입력란!$C$9=1,입력란!$C$10=1),55,17),IF(입력란!$C$30=2,IF(OR(입력란!$C$9=1,입력란!$C$10=1),60,20),IF(입력란!$C$30=3,IF(OR(입력란!$C$9=1,입력란!$C$10=1),65,22),0))))/100-1))</f>
        <v>2347468.9643034325</v>
      </c>
      <c r="K374" s="21">
        <f>T374*(1+IF($AK374+IF(입력란!$C$9=1,10,0)+IF(입력란!$C$26=1,10,0)&gt;100,100,$AK374+IF(입력란!$C$9=1,10,0)+IF(입력란!$C$26=1,10,0))/100*(($AL374+IF(입력란!$C$30=1,IF(OR(입력란!$C$9=1,입력란!$C$10=1),55,17),IF(입력란!$C$30=2,IF(OR(입력란!$C$9=1,입력란!$C$10=1),60,20),IF(입력란!$C$30=3,IF(OR(입력란!$C$9=1,입력란!$C$10=1),65,22),0))))/100-1))</f>
        <v>0</v>
      </c>
      <c r="L374" s="21"/>
      <c r="M374" s="21"/>
      <c r="N374" s="21"/>
      <c r="O374" s="21"/>
      <c r="P374" s="21"/>
      <c r="Q374" s="20"/>
      <c r="R374" s="19">
        <f>SUM(S374:Z374)</f>
        <v>1447431.4449628731</v>
      </c>
      <c r="S374" s="21">
        <f>AN374*IF(G374="근접",IF(MID(E374,1,1)="3",트라이포드!$H$20,트라이포드!$G$20),1)*IF(입력란!$C$9=1,IF(MID(E374,1,1)="2",트라이포드!$F$20,트라이포드!$E$20),1)*IF(MID(E374,1,1)="1",트라이포드!$D$20,트라이포드!$C$20)*IF(MID(E374,3,1)="1",트라이포드!$J$20,트라이포드!$I$20)*IF(MID(E374,3,1)="2",트라이포드!$L$20,트라이포드!$K$20)*IF(MID(E374,5,1)="1",트라이포드!$P$20,트라이포드!$O$20)*(1+입력란!$P$17/100)*IF(입력란!$C$9=1,IF(입력란!$C$15=0,1.05,IF(입력란!$C$15=1,1.05*1.05,IF(입력란!$C$15=2,1.05*1.12,IF(입력란!$C$15=3,1.05*1.25)))),1)</f>
        <v>1447431.4449628731</v>
      </c>
      <c r="T374" s="21">
        <f>AO374*IF(G374="근접",IF(MID(E374,1,1)="3",트라이포드!$H$20,트라이포드!$G$20),1)*IF(입력란!$C$9=1,IF(MID(E374,1,1)="2",트라이포드!$F$20,트라이포드!$E$20),1)*IF(MID(E374,1,1)="1",트라이포드!$D$20,트라이포드!$C$20)*IF(MID(E374,3,1)="1",트라이포드!$J$20,트라이포드!$I$20)*IF(MID(E374,3,1)="2",트라이포드!$L$20,트라이포드!$K$20)*IF(MID(E374,5,1)="1",0,IF(MID(E374,5,1)="2",트라이포드!$R$20,트라이포드!$Q$20))*(1+입력란!$P$17/100)*IF(입력란!$C$9=1,IF(입력란!$C$15=0,1.05,IF(입력란!$C$15=1,1.05*1.05,IF(입력란!$C$15=2,1.05*1.12,IF(입력란!$C$15=3,1.05*1.25)))),1)</f>
        <v>0</v>
      </c>
      <c r="U374" s="21"/>
      <c r="V374" s="21"/>
      <c r="W374" s="21"/>
      <c r="X374" s="21"/>
      <c r="Y374" s="21"/>
      <c r="Z374" s="20"/>
      <c r="AA374" s="21">
        <f>SUM(AB374:AI374)</f>
        <v>2894862.8899257462</v>
      </c>
      <c r="AB374" s="21">
        <f>S374*2</f>
        <v>2894862.8899257462</v>
      </c>
      <c r="AC374" s="21">
        <f>T374*2</f>
        <v>0</v>
      </c>
      <c r="AD374" s="21"/>
      <c r="AE374" s="21"/>
      <c r="AF374" s="21"/>
      <c r="AG374" s="21"/>
      <c r="AH374" s="21"/>
      <c r="AI374" s="20"/>
      <c r="AJ374" s="21">
        <f>AQ374*(1-입력란!$P$10/100)</f>
        <v>23.711464126079999</v>
      </c>
      <c r="AK3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4" s="21">
        <f>입력란!$P$24+IF(입력란!$C$18=1,10,IF(입력란!$C$18=2,25,IF(입력란!$C$18=3,50,0)))+IF(입력란!$C$23&lt;&gt;0,-12)</f>
        <v>200</v>
      </c>
      <c r="AM374" s="21">
        <f>SUM(AN374:AP374)</f>
        <v>393983.50467884744</v>
      </c>
      <c r="AN374" s="21">
        <f>(VLOOKUP(C374,$B$4:$AJ$7,23,FALSE)+VLOOKUP(C374,$B$8:$AJ$11,23,FALSE)*입력란!$P$4)*IF(G374="근접",입력란!$P$27,IF(MID(E374,1,1)="1",입력란!$P$27,입력란!$P$26))*입력란!$P$25/100</f>
        <v>236384.14446774565</v>
      </c>
      <c r="AO374" s="21">
        <f>(VLOOKUP(C374,$B$4:$AJ$7,24,FALSE)+VLOOKUP(C374,$B$8:$AJ$11,24,FALSE)*입력란!$P$4)*IF(G374="근접",입력란!$P$27,IF(MID(E374,1,1)="1",입력란!$P$27,입력란!$P$26))*입력란!$P$25/100</f>
        <v>157599.3602111018</v>
      </c>
      <c r="AP374" s="21"/>
      <c r="AQ374" s="22">
        <v>24</v>
      </c>
    </row>
    <row r="375" spans="2:43" ht="13.5" customHeight="1" x14ac:dyDescent="0.55000000000000004">
      <c r="B375" s="66">
        <v>360</v>
      </c>
      <c r="C375" s="29">
        <v>10</v>
      </c>
      <c r="D375" s="67" t="s">
        <v>49</v>
      </c>
      <c r="E375" s="27" t="s">
        <v>147</v>
      </c>
      <c r="F375" s="29"/>
      <c r="G375" s="29" t="s">
        <v>37</v>
      </c>
      <c r="H375" s="36">
        <f>I375/AJ375</f>
        <v>149791.92728075015</v>
      </c>
      <c r="I375" s="37">
        <f>SUM(J375:Q375)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3551785.910093891</v>
      </c>
      <c r="J375" s="21">
        <f>S375*(1+IF($AK375+IF(입력란!$C$9=1,10,0)+IF(입력란!$C$26=1,10,0)&gt;100,100,$AK375+IF(입력란!$C$9=1,10,0)+IF(입력란!$C$26=1,10,0))/100*(($AL375+IF(입력란!$C$30=1,IF(OR(입력란!$C$9=1,입력란!$C$10=1),55,17),IF(입력란!$C$30=2,IF(OR(입력란!$C$9=1,입력란!$C$10=1),60,20),IF(입력란!$C$30=3,IF(OR(입력란!$C$9=1,입력란!$C$10=1),65,22),0))))/100-1))</f>
        <v>838381.77296551154</v>
      </c>
      <c r="K375" s="21">
        <f>T375*(1+IF($AK375+IF(입력란!$C$9=1,10,0)+IF(입력란!$C$26=1,10,0)&gt;100,100,$AK375+IF(입력란!$C$9=1,10,0)+IF(입력란!$C$26=1,10,0))/100*(($AL375+IF(입력란!$C$30=1,IF(OR(입력란!$C$9=1,입력란!$C$10=1),55,17),IF(입력란!$C$30=2,IF(OR(입력란!$C$9=1,입력란!$C$10=1),60,20),IF(입력란!$C$30=3,IF(OR(입력란!$C$9=1,입력란!$C$10=1),65,22),0))))/100-1))</f>
        <v>1676869.2079097033</v>
      </c>
      <c r="L375" s="21"/>
      <c r="M375" s="21"/>
      <c r="N375" s="21"/>
      <c r="O375" s="21"/>
      <c r="P375" s="21"/>
      <c r="Q375" s="20"/>
      <c r="R375" s="19">
        <f>SUM(S375:Z375)</f>
        <v>1550884.5556868915</v>
      </c>
      <c r="S375" s="21">
        <f>AN375*IF(G375="근접",IF(MID(E375,1,1)="3",트라이포드!$H$20,트라이포드!$G$20),1)*IF(입력란!$C$9=1,IF(MID(E375,1,1)="2",트라이포드!$F$20,트라이포드!$E$20),1)*IF(MID(E375,1,1)="1",트라이포드!$D$20,트라이포드!$C$20)*IF(MID(E375,3,1)="1",트라이포드!$J$20,트라이포드!$I$20)*IF(MID(E375,3,1)="2",트라이포드!$L$20,트라이포드!$K$20)*IF(MID(E375,5,1)="1",트라이포드!$P$20,트라이포드!$O$20)*(1+입력란!$P$17/100)*IF(입력란!$C$9=1,IF(입력란!$C$15=0,1.05,IF(입력란!$C$15=1,1.05*1.05,IF(입력란!$C$15=2,1.05*1.12,IF(입력란!$C$15=3,1.05*1.25)))),1)</f>
        <v>516939.8017724547</v>
      </c>
      <c r="T375" s="21">
        <f>AO375*IF(G375="근접",IF(MID(E375,1,1)="3",트라이포드!$H$20,트라이포드!$G$20),1)*IF(입력란!$C$9=1,IF(MID(E375,1,1)="2",트라이포드!$F$20,트라이포드!$E$20),1)*IF(MID(E375,1,1)="1",트라이포드!$D$20,트라이포드!$C$20)*IF(MID(E375,3,1)="1",트라이포드!$J$20,트라이포드!$I$20)*IF(MID(E375,3,1)="2",트라이포드!$L$20,트라이포드!$K$20)*IF(MID(E375,5,1)="1",0,IF(MID(E375,5,1)="2",트라이포드!$R$20,트라이포드!$Q$20))*(1+입력란!$P$17/100)*IF(입력란!$C$9=1,IF(입력란!$C$15=0,1.05,IF(입력란!$C$15=1,1.05*1.05,IF(입력란!$C$15=2,1.05*1.12,IF(입력란!$C$15=3,1.05*1.25)))),1)</f>
        <v>1033944.7539144368</v>
      </c>
      <c r="U375" s="21"/>
      <c r="V375" s="21"/>
      <c r="W375" s="21"/>
      <c r="X375" s="21"/>
      <c r="Y375" s="21"/>
      <c r="Z375" s="20"/>
      <c r="AA375" s="21">
        <f>SUM(AB375:AI375)</f>
        <v>3101769.1113737831</v>
      </c>
      <c r="AB375" s="21">
        <f>S375*2</f>
        <v>1033879.6035449094</v>
      </c>
      <c r="AC375" s="21">
        <f>T375*2</f>
        <v>2067889.5078288736</v>
      </c>
      <c r="AD375" s="21"/>
      <c r="AE375" s="21"/>
      <c r="AF375" s="21"/>
      <c r="AG375" s="21"/>
      <c r="AH375" s="21"/>
      <c r="AI375" s="20"/>
      <c r="AJ375" s="21">
        <f>AQ375*(1-입력란!$P$10/100)</f>
        <v>23.711464126079999</v>
      </c>
      <c r="AK3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5" s="21">
        <f>입력란!$P$24+IF(입력란!$C$18=1,10,IF(입력란!$C$18=2,25,IF(입력란!$C$18=3,50,0)))+IF(입력란!$C$23&lt;&gt;0,-12)</f>
        <v>200</v>
      </c>
      <c r="AM375" s="21">
        <f>SUM(AN375:AP375)</f>
        <v>393983.50467884744</v>
      </c>
      <c r="AN375" s="21">
        <f>(VLOOKUP(C375,$B$4:$AJ$7,23,FALSE)+VLOOKUP(C375,$B$8:$AJ$11,23,FALSE)*입력란!$P$4)*IF(G375="근접",입력란!$P$27,IF(MID(E375,1,1)="1",입력란!$P$27,입력란!$P$26))*입력란!$P$25/100</f>
        <v>236384.14446774565</v>
      </c>
      <c r="AO375" s="21">
        <f>(VLOOKUP(C375,$B$4:$AJ$7,24,FALSE)+VLOOKUP(C375,$B$8:$AJ$11,24,FALSE)*입력란!$P$4)*IF(G375="근접",입력란!$P$27,IF(MID(E375,1,1)="1",입력란!$P$27,입력란!$P$26))*입력란!$P$25/100</f>
        <v>157599.3602111018</v>
      </c>
      <c r="AP375" s="21"/>
      <c r="AQ375" s="22">
        <v>24</v>
      </c>
    </row>
    <row r="376" spans="2:43" ht="13.5" customHeight="1" x14ac:dyDescent="0.55000000000000004">
      <c r="B376" s="66">
        <v>361</v>
      </c>
      <c r="C376" s="29">
        <v>10</v>
      </c>
      <c r="D376" s="67" t="s">
        <v>210</v>
      </c>
      <c r="E376" s="27" t="s">
        <v>196</v>
      </c>
      <c r="F376" s="29" t="s">
        <v>216</v>
      </c>
      <c r="G376" s="29" t="s">
        <v>200</v>
      </c>
      <c r="H376" s="36">
        <f>I376/AJ376</f>
        <v>165609.14282368385</v>
      </c>
      <c r="I376" s="37">
        <f>SUM(J376:Q376)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3926835.2490146388</v>
      </c>
      <c r="J376" s="21">
        <f>S376*(1+IF($AK376+IF(입력란!$C$9=1,10,0)+IF(입력란!$C$26=1,10,0)&gt;100,100,$AK376+IF(입력란!$C$9=1,10,0)+IF(입력란!$C$26=1,10,0))/100*(($AL376+IF(입력란!$C$30=1,IF(OR(입력란!$C$9=1,입력란!$C$10=1),55,17),IF(입력란!$C$30=2,IF(OR(입력란!$C$9=1,입력란!$C$10=1),60,20),IF(입력란!$C$30=3,IF(OR(입력란!$C$9=1,입력란!$C$10=1),65,22),0))))/100-1))</f>
        <v>2780847.8500209888</v>
      </c>
      <c r="K376" s="21">
        <f>T376*(1+IF($AK376+IF(입력란!$C$9=1,10,0)+IF(입력란!$C$26=1,10,0)&gt;100,100,$AK376+IF(입력란!$C$9=1,10,0)+IF(입력란!$C$26=1,10,0))/100*(($AL376+IF(입력란!$C$30=1,IF(OR(입력란!$C$9=1,입력란!$C$10=1),55,17),IF(입력란!$C$30=2,IF(OR(입력란!$C$9=1,입력란!$C$10=1),60,20),IF(입력란!$C$30=3,IF(OR(입력란!$C$9=1,입력란!$C$10=1),65,22),0))))/100-1))</f>
        <v>0</v>
      </c>
      <c r="L376" s="21"/>
      <c r="M376" s="21"/>
      <c r="N376" s="21"/>
      <c r="O376" s="21"/>
      <c r="P376" s="21"/>
      <c r="Q376" s="20"/>
      <c r="R376" s="19">
        <f>SUM(S376:Z376)</f>
        <v>1714649.5578790957</v>
      </c>
      <c r="S376" s="21">
        <f>AN376*IF(G376="근접",IF(MID(E376,1,1)="3",트라이포드!$H$20,트라이포드!$G$20),1)*IF(입력란!$C$9=1,IF(MID(E376,1,1)="2",트라이포드!$F$20,트라이포드!$E$20),1)*IF(MID(E376,1,1)="1",트라이포드!$D$20,트라이포드!$C$20)*IF(MID(E376,3,1)="1",트라이포드!$J$20,트라이포드!$I$20)*IF(MID(E376,3,1)="2",트라이포드!$L$20,트라이포드!$K$20)*IF(MID(E376,5,1)="1",트라이포드!$P$20,트라이포드!$O$20)*(1+입력란!$P$17/100)*IF(입력란!$C$9=1,IF(입력란!$C$15=0,1.05,IF(입력란!$C$15=1,1.05*1.05,IF(입력란!$C$15=2,1.05*1.12,IF(입력란!$C$15=3,1.05*1.25)))),1)</f>
        <v>1714649.5578790957</v>
      </c>
      <c r="T376" s="21">
        <f>AO376*IF(G376="근접",IF(MID(E376,1,1)="3",트라이포드!$H$20,트라이포드!$G$20),1)*IF(입력란!$C$9=1,IF(MID(E376,1,1)="2",트라이포드!$F$20,트라이포드!$E$20),1)*IF(MID(E376,1,1)="1",트라이포드!$D$20,트라이포드!$C$20)*IF(MID(E376,3,1)="1",트라이포드!$J$20,트라이포드!$I$20)*IF(MID(E376,3,1)="2",트라이포드!$L$20,트라이포드!$K$20)*IF(MID(E376,5,1)="1",0,IF(MID(E376,5,1)="2",트라이포드!$R$20,트라이포드!$Q$20))*(1+입력란!$P$17/100)*IF(입력란!$C$9=1,IF(입력란!$C$15=0,1.05,IF(입력란!$C$15=1,1.05*1.05,IF(입력란!$C$15=2,1.05*1.12,IF(입력란!$C$15=3,1.05*1.25)))),1)</f>
        <v>0</v>
      </c>
      <c r="U376" s="21"/>
      <c r="V376" s="21"/>
      <c r="W376" s="21"/>
      <c r="X376" s="21"/>
      <c r="Y376" s="21"/>
      <c r="Z376" s="20"/>
      <c r="AA376" s="21">
        <f>SUM(AB376:AI376)</f>
        <v>3429299.1157581913</v>
      </c>
      <c r="AB376" s="21">
        <f>S376*2</f>
        <v>3429299.1157581913</v>
      </c>
      <c r="AC376" s="21">
        <f>T376*2</f>
        <v>0</v>
      </c>
      <c r="AD376" s="21"/>
      <c r="AE376" s="21"/>
      <c r="AF376" s="21"/>
      <c r="AG376" s="21"/>
      <c r="AH376" s="21"/>
      <c r="AI376" s="20"/>
      <c r="AJ376" s="21">
        <f>AQ376*(1-입력란!$P$10/100)</f>
        <v>23.711464126079999</v>
      </c>
      <c r="AK3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6" s="21">
        <f>입력란!$P$24+IF(입력란!$C$18=1,10,IF(입력란!$C$18=2,25,IF(입력란!$C$18=3,50,0)))+IF(입력란!$C$23&lt;&gt;0,-12)</f>
        <v>200</v>
      </c>
      <c r="AM376" s="21">
        <f>SUM(AN376:AP376)</f>
        <v>393983.50467884744</v>
      </c>
      <c r="AN376" s="21">
        <f>(VLOOKUP(C376,$B$4:$AJ$7,23,FALSE)+VLOOKUP(C376,$B$8:$AJ$11,23,FALSE)*입력란!$P$4)*IF(G376="근접",입력란!$P$27,IF(MID(E376,1,1)="1",입력란!$P$27,입력란!$P$26))*입력란!$P$25/100</f>
        <v>236384.14446774565</v>
      </c>
      <c r="AO376" s="21">
        <f>(VLOOKUP(C376,$B$4:$AJ$7,24,FALSE)+VLOOKUP(C376,$B$8:$AJ$11,24,FALSE)*입력란!$P$4)*IF(G376="근접",입력란!$P$27,IF(MID(E376,1,1)="1",입력란!$P$27,입력란!$P$26))*입력란!$P$25/100</f>
        <v>157599.3602111018</v>
      </c>
      <c r="AP376" s="21"/>
      <c r="AQ376" s="22">
        <v>24</v>
      </c>
    </row>
    <row r="377" spans="2:43" ht="13.5" customHeight="1" x14ac:dyDescent="0.55000000000000004">
      <c r="B377" s="66">
        <v>362</v>
      </c>
      <c r="C377" s="29">
        <v>10</v>
      </c>
      <c r="D377" s="67" t="s">
        <v>210</v>
      </c>
      <c r="E377" s="27" t="s">
        <v>197</v>
      </c>
      <c r="F377" s="29" t="s">
        <v>216</v>
      </c>
      <c r="G377" s="29" t="s">
        <v>200</v>
      </c>
      <c r="H377" s="36">
        <f>I377/AJ377</f>
        <v>177445.82154796558</v>
      </c>
      <c r="I377" s="37">
        <f>SUM(J377:Q377)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4207500.2319573788</v>
      </c>
      <c r="J377" s="21">
        <f>S377*(1+IF($AK377+IF(입력란!$C$9=1,10,0)+IF(입력란!$C$26=1,10,0)&gt;100,100,$AK377+IF(입력란!$C$9=1,10,0)+IF(입력란!$C$26=1,10,0))/100*(($AL377+IF(입력란!$C$30=1,IF(OR(입력란!$C$9=1,입력란!$C$10=1),55,17),IF(입력란!$C$30=2,IF(OR(입력란!$C$9=1,입력란!$C$10=1),60,20),IF(입력란!$C$30=3,IF(OR(입력란!$C$9=1,입력란!$C$10=1),65,22),0))))/100-1))</f>
        <v>993159.94643606746</v>
      </c>
      <c r="K377" s="21">
        <f>T377*(1+IF($AK377+IF(입력란!$C$9=1,10,0)+IF(입력란!$C$26=1,10,0)&gt;100,100,$AK377+IF(입력란!$C$9=1,10,0)+IF(입력란!$C$26=1,10,0))/100*(($AL377+IF(입력란!$C$30=1,IF(OR(입력란!$C$9=1,입력란!$C$10=1),55,17),IF(입력란!$C$30=2,IF(OR(입력란!$C$9=1,입력란!$C$10=1),60,20),IF(입력란!$C$30=3,IF(OR(입력란!$C$9=1,입력란!$C$10=1),65,22),0))))/100-1))</f>
        <v>1986445.0616776482</v>
      </c>
      <c r="L377" s="21"/>
      <c r="M377" s="21"/>
      <c r="N377" s="21"/>
      <c r="O377" s="21"/>
      <c r="P377" s="21"/>
      <c r="Q377" s="20"/>
      <c r="R377" s="19">
        <f>SUM(S377:Z377)</f>
        <v>1837201.7044290868</v>
      </c>
      <c r="S377" s="21">
        <f>AN377*IF(G377="근접",IF(MID(E377,1,1)="3",트라이포드!$H$20,트라이포드!$G$20),1)*IF(입력란!$C$9=1,IF(MID(E377,1,1)="2",트라이포드!$F$20,트라이포드!$E$20),1)*IF(MID(E377,1,1)="1",트라이포드!$D$20,트라이포드!$C$20)*IF(MID(E377,3,1)="1",트라이포드!$J$20,트라이포드!$I$20)*IF(MID(E377,3,1)="2",트라이포드!$L$20,트라이포드!$K$20)*IF(MID(E377,5,1)="1",트라이포드!$P$20,트라이포드!$O$20)*(1+입력란!$P$17/100)*IF(입력란!$C$9=1,IF(입력란!$C$15=0,1.05,IF(입력란!$C$15=1,1.05*1.05,IF(입력란!$C$15=2,1.05*1.12,IF(입력란!$C$15=3,1.05*1.25)))),1)</f>
        <v>612374.84209967707</v>
      </c>
      <c r="T377" s="21">
        <f>AO377*IF(G377="근접",IF(MID(E377,1,1)="3",트라이포드!$H$20,트라이포드!$G$20),1)*IF(입력란!$C$9=1,IF(MID(E377,1,1)="2",트라이포드!$F$20,트라이포드!$E$20),1)*IF(MID(E377,1,1)="1",트라이포드!$D$20,트라이포드!$C$20)*IF(MID(E377,3,1)="1",트라이포드!$J$20,트라이포드!$I$20)*IF(MID(E377,3,1)="2",트라이포드!$L$20,트라이포드!$K$20)*IF(MID(E377,5,1)="1",0,IF(MID(E377,5,1)="2",트라이포드!$R$20,트라이포드!$Q$20))*(1+입력란!$P$17/100)*IF(입력란!$C$9=1,IF(입력란!$C$15=0,1.05,IF(입력란!$C$15=1,1.05*1.05,IF(입력란!$C$15=2,1.05*1.12,IF(입력란!$C$15=3,1.05*1.25)))),1)</f>
        <v>1224826.8623294097</v>
      </c>
      <c r="U377" s="21"/>
      <c r="V377" s="21"/>
      <c r="W377" s="21"/>
      <c r="X377" s="21"/>
      <c r="Y377" s="21"/>
      <c r="Z377" s="20"/>
      <c r="AA377" s="21">
        <f>SUM(AB377:AI377)</f>
        <v>3674403.4088581735</v>
      </c>
      <c r="AB377" s="21">
        <f>S377*2</f>
        <v>1224749.6841993541</v>
      </c>
      <c r="AC377" s="21">
        <f>T377*2</f>
        <v>2449653.7246588194</v>
      </c>
      <c r="AD377" s="21"/>
      <c r="AE377" s="21"/>
      <c r="AF377" s="21"/>
      <c r="AG377" s="21"/>
      <c r="AH377" s="21"/>
      <c r="AI377" s="20"/>
      <c r="AJ377" s="21">
        <f>AQ377*(1-입력란!$P$10/100)</f>
        <v>23.711464126079999</v>
      </c>
      <c r="AK3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7" s="21">
        <f>입력란!$P$24+IF(입력란!$C$18=1,10,IF(입력란!$C$18=2,25,IF(입력란!$C$18=3,50,0)))+IF(입력란!$C$23&lt;&gt;0,-12)</f>
        <v>200</v>
      </c>
      <c r="AM377" s="21">
        <f>SUM(AN377:AP377)</f>
        <v>393983.50467884744</v>
      </c>
      <c r="AN377" s="21">
        <f>(VLOOKUP(C377,$B$4:$AJ$7,23,FALSE)+VLOOKUP(C377,$B$8:$AJ$11,23,FALSE)*입력란!$P$4)*IF(G377="근접",입력란!$P$27,IF(MID(E377,1,1)="1",입력란!$P$27,입력란!$P$26))*입력란!$P$25/100</f>
        <v>236384.14446774565</v>
      </c>
      <c r="AO377" s="21">
        <f>(VLOOKUP(C377,$B$4:$AJ$7,24,FALSE)+VLOOKUP(C377,$B$8:$AJ$11,24,FALSE)*입력란!$P$4)*IF(G377="근접",입력란!$P$27,IF(MID(E377,1,1)="1",입력란!$P$27,입력란!$P$26))*입력란!$P$25/100</f>
        <v>157599.3602111018</v>
      </c>
      <c r="AP377" s="21"/>
      <c r="AQ377" s="22">
        <v>24</v>
      </c>
    </row>
    <row r="378" spans="2:43" ht="13.5" customHeight="1" x14ac:dyDescent="0.55000000000000004">
      <c r="B378" s="66">
        <v>363</v>
      </c>
      <c r="C378" s="29">
        <v>10</v>
      </c>
      <c r="D378" s="67" t="s">
        <v>49</v>
      </c>
      <c r="E378" s="27" t="s">
        <v>180</v>
      </c>
      <c r="F378" s="29"/>
      <c r="G378" s="29" t="s">
        <v>37</v>
      </c>
      <c r="H378" s="36">
        <f>I378/AJ378</f>
        <v>153779.91833627791</v>
      </c>
      <c r="I378" s="37">
        <f>SUM(J378:Q378)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3646347.0169421658</v>
      </c>
      <c r="J378" s="21">
        <f>S378*(1+IF($AK378+IF(입력란!$C$9=1,10,0)+IF(입력란!$C$26=1,10,0)&gt;100,100,$AK378+IF(입력란!$C$9=1,10,0)+IF(입력란!$C$26=1,10,0))/100*(($AL378+IF(입력란!$C$30=1,IF(OR(입력란!$C$9=1,입력란!$C$10=1),55,17),IF(입력란!$C$30=2,IF(OR(입력란!$C$9=1,입력란!$C$10=1),60,20),IF(입력란!$C$30=3,IF(OR(입력란!$C$9=1,입력란!$C$10=1),65,22),0))))/100-1))</f>
        <v>2582215.8607337764</v>
      </c>
      <c r="K378" s="21">
        <f>T378*(1+IF($AK378+IF(입력란!$C$9=1,10,0)+IF(입력란!$C$26=1,10,0)&gt;100,100,$AK378+IF(입력란!$C$9=1,10,0)+IF(입력란!$C$26=1,10,0))/100*(($AL378+IF(입력란!$C$30=1,IF(OR(입력란!$C$9=1,입력란!$C$10=1),55,17),IF(입력란!$C$30=2,IF(OR(입력란!$C$9=1,입력란!$C$10=1),60,20),IF(입력란!$C$30=3,IF(OR(입력란!$C$9=1,입력란!$C$10=1),65,22),0))))/100-1))</f>
        <v>0</v>
      </c>
      <c r="L378" s="21"/>
      <c r="M378" s="21"/>
      <c r="N378" s="21"/>
      <c r="O378" s="21"/>
      <c r="P378" s="21"/>
      <c r="Q378" s="20"/>
      <c r="R378" s="19">
        <f>SUM(S378:Z378)</f>
        <v>1592174.5894591608</v>
      </c>
      <c r="S378" s="21">
        <f>AN378*IF(G378="근접",IF(MID(E378,1,1)="3",트라이포드!$H$20,트라이포드!$G$20),1)*IF(입력란!$C$9=1,IF(MID(E378,1,1)="2",트라이포드!$F$20,트라이포드!$E$20),1)*IF(MID(E378,1,1)="1",트라이포드!$D$20,트라이포드!$C$20)*IF(MID(E378,3,1)="1",트라이포드!$J$20,트라이포드!$I$20)*IF(MID(E378,3,1)="2",트라이포드!$L$20,트라이포드!$K$20)*IF(MID(E378,5,1)="1",트라이포드!$P$20,트라이포드!$O$20)*(1+입력란!$P$17/100)*IF(입력란!$C$9=1,IF(입력란!$C$15=0,1.05,IF(입력란!$C$15=1,1.05*1.05,IF(입력란!$C$15=2,1.05*1.12,IF(입력란!$C$15=3,1.05*1.25)))),1)</f>
        <v>1592174.5894591608</v>
      </c>
      <c r="T378" s="21">
        <f>AO378*IF(G378="근접",IF(MID(E378,1,1)="3",트라이포드!$H$20,트라이포드!$G$20),1)*IF(입력란!$C$9=1,IF(MID(E378,1,1)="2",트라이포드!$F$20,트라이포드!$E$20),1)*IF(MID(E378,1,1)="1",트라이포드!$D$20,트라이포드!$C$20)*IF(MID(E378,3,1)="1",트라이포드!$J$20,트라이포드!$I$20)*IF(MID(E378,3,1)="2",트라이포드!$L$20,트라이포드!$K$20)*IF(MID(E378,5,1)="1",0,IF(MID(E378,5,1)="2",트라이포드!$R$20,트라이포드!$Q$20))*(1+입력란!$P$17/100)*IF(입력란!$C$9=1,IF(입력란!$C$15=0,1.05,IF(입력란!$C$15=1,1.05*1.05,IF(입력란!$C$15=2,1.05*1.12,IF(입력란!$C$15=3,1.05*1.25)))),1)</f>
        <v>0</v>
      </c>
      <c r="U378" s="21"/>
      <c r="V378" s="21"/>
      <c r="W378" s="21"/>
      <c r="X378" s="21"/>
      <c r="Y378" s="21"/>
      <c r="Z378" s="20"/>
      <c r="AA378" s="21">
        <f>SUM(AB378:AI378)</f>
        <v>3184349.1789183216</v>
      </c>
      <c r="AB378" s="21">
        <f>S378*2</f>
        <v>3184349.1789183216</v>
      </c>
      <c r="AC378" s="21">
        <f>T378*2</f>
        <v>0</v>
      </c>
      <c r="AD378" s="21"/>
      <c r="AE378" s="21"/>
      <c r="AF378" s="21"/>
      <c r="AG378" s="21"/>
      <c r="AH378" s="21"/>
      <c r="AI378" s="20"/>
      <c r="AJ378" s="21">
        <f>AQ378*(1-입력란!$P$10/100)</f>
        <v>23.711464126079999</v>
      </c>
      <c r="AK3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8" s="21">
        <f>입력란!$P$24+IF(입력란!$C$18=1,10,IF(입력란!$C$18=2,25,IF(입력란!$C$18=3,50,0)))+IF(입력란!$C$23&lt;&gt;0,-12)</f>
        <v>200</v>
      </c>
      <c r="AM378" s="21">
        <f>SUM(AN378:AP378)</f>
        <v>393983.50467884744</v>
      </c>
      <c r="AN378" s="21">
        <f>(VLOOKUP(C378,$B$4:$AJ$7,23,FALSE)+VLOOKUP(C378,$B$8:$AJ$11,23,FALSE)*입력란!$P$4)*IF(G378="근접",입력란!$P$27,IF(MID(E378,1,1)="1",입력란!$P$27,입력란!$P$26))*입력란!$P$25/100</f>
        <v>236384.14446774565</v>
      </c>
      <c r="AO378" s="21">
        <f>(VLOOKUP(C378,$B$4:$AJ$7,24,FALSE)+VLOOKUP(C378,$B$8:$AJ$11,24,FALSE)*입력란!$P$4)*IF(G378="근접",입력란!$P$27,IF(MID(E378,1,1)="1",입력란!$P$27,입력란!$P$26))*입력란!$P$25/100</f>
        <v>157599.3602111018</v>
      </c>
      <c r="AP378" s="21"/>
      <c r="AQ378" s="22">
        <v>24</v>
      </c>
    </row>
    <row r="379" spans="2:43" ht="13.5" customHeight="1" x14ac:dyDescent="0.55000000000000004">
      <c r="B379" s="66">
        <v>364</v>
      </c>
      <c r="C379" s="29">
        <v>10</v>
      </c>
      <c r="D379" s="67" t="s">
        <v>49</v>
      </c>
      <c r="E379" s="27" t="s">
        <v>181</v>
      </c>
      <c r="F379" s="29"/>
      <c r="G379" s="29" t="s">
        <v>37</v>
      </c>
      <c r="H379" s="36">
        <f>I379/AJ379</f>
        <v>164771.12000882521</v>
      </c>
      <c r="I379" s="37">
        <f>SUM(J379:Q379)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3906964.501103281</v>
      </c>
      <c r="J379" s="21">
        <f>S379*(1+IF($AK379+IF(입력란!$C$9=1,10,0)+IF(입력란!$C$26=1,10,0)&gt;100,100,$AK379+IF(입력란!$C$9=1,10,0)+IF(입력란!$C$26=1,10,0))/100*(($AL379+IF(입력란!$C$30=1,IF(OR(입력란!$C$9=1,입력란!$C$10=1),55,17),IF(입력란!$C$30=2,IF(OR(입력란!$C$9=1,입력란!$C$10=1),60,20),IF(입력란!$C$30=3,IF(OR(입력란!$C$9=1,입력란!$C$10=1),65,22),0))))/100-1))</f>
        <v>922219.95026206283</v>
      </c>
      <c r="K379" s="21">
        <f>T379*(1+IF($AK379+IF(입력란!$C$9=1,10,0)+IF(입력란!$C$26=1,10,0)&gt;100,100,$AK379+IF(입력란!$C$9=1,10,0)+IF(입력란!$C$26=1,10,0))/100*(($AL379+IF(입력란!$C$30=1,IF(OR(입력란!$C$9=1,입력란!$C$10=1),55,17),IF(입력란!$C$30=2,IF(OR(입력란!$C$9=1,입력란!$C$10=1),60,20),IF(입력란!$C$30=3,IF(OR(입력란!$C$9=1,입력란!$C$10=1),65,22),0))))/100-1))</f>
        <v>1844556.1287006738</v>
      </c>
      <c r="L379" s="21"/>
      <c r="M379" s="21"/>
      <c r="N379" s="21"/>
      <c r="O379" s="21"/>
      <c r="P379" s="21"/>
      <c r="Q379" s="20"/>
      <c r="R379" s="19">
        <f>SUM(S379:Z379)</f>
        <v>1705973.0112555809</v>
      </c>
      <c r="S379" s="21">
        <f>AN379*IF(G379="근접",IF(MID(E379,1,1)="3",트라이포드!$H$20,트라이포드!$G$20),1)*IF(입력란!$C$9=1,IF(MID(E379,1,1)="2",트라이포드!$F$20,트라이포드!$E$20),1)*IF(MID(E379,1,1)="1",트라이포드!$D$20,트라이포드!$C$20)*IF(MID(E379,3,1)="1",트라이포드!$J$20,트라이포드!$I$20)*IF(MID(E379,3,1)="2",트라이포드!$L$20,트라이포드!$K$20)*IF(MID(E379,5,1)="1",트라이포드!$P$20,트라이포드!$O$20)*(1+입력란!$P$17/100)*IF(입력란!$C$9=1,IF(입력란!$C$15=0,1.05,IF(입력란!$C$15=1,1.05*1.05,IF(입력란!$C$15=2,1.05*1.12,IF(입력란!$C$15=3,1.05*1.25)))),1)</f>
        <v>568633.78194970021</v>
      </c>
      <c r="T379" s="21">
        <f>AO379*IF(G379="근접",IF(MID(E379,1,1)="3",트라이포드!$H$20,트라이포드!$G$20),1)*IF(입력란!$C$9=1,IF(MID(E379,1,1)="2",트라이포드!$F$20,트라이포드!$E$20),1)*IF(MID(E379,1,1)="1",트라이포드!$D$20,트라이포드!$C$20)*IF(MID(E379,3,1)="1",트라이포드!$J$20,트라이포드!$I$20)*IF(MID(E379,3,1)="2",트라이포드!$L$20,트라이포드!$K$20)*IF(MID(E379,5,1)="1",0,IF(MID(E379,5,1)="2",트라이포드!$R$20,트라이포드!$Q$20))*(1+입력란!$P$17/100)*IF(입력란!$C$9=1,IF(입력란!$C$15=0,1.05,IF(입력란!$C$15=1,1.05*1.05,IF(입력란!$C$15=2,1.05*1.12,IF(입력란!$C$15=3,1.05*1.25)))),1)</f>
        <v>1137339.2293058806</v>
      </c>
      <c r="U379" s="21"/>
      <c r="V379" s="21"/>
      <c r="W379" s="21"/>
      <c r="X379" s="21"/>
      <c r="Y379" s="21"/>
      <c r="Z379" s="20"/>
      <c r="AA379" s="21">
        <f>SUM(AB379:AI379)</f>
        <v>3411946.0225111619</v>
      </c>
      <c r="AB379" s="21">
        <f>S379*2</f>
        <v>1137267.5638994004</v>
      </c>
      <c r="AC379" s="21">
        <f>T379*2</f>
        <v>2274678.4586117612</v>
      </c>
      <c r="AD379" s="21"/>
      <c r="AE379" s="21"/>
      <c r="AF379" s="21"/>
      <c r="AG379" s="21"/>
      <c r="AH379" s="21"/>
      <c r="AI379" s="20"/>
      <c r="AJ379" s="21">
        <f>AQ379*(1-입력란!$P$10/100)</f>
        <v>23.711464126079999</v>
      </c>
      <c r="AK3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79" s="21">
        <f>입력란!$P$24+IF(입력란!$C$18=1,10,IF(입력란!$C$18=2,25,IF(입력란!$C$18=3,50,0)))+IF(입력란!$C$23&lt;&gt;0,-12)</f>
        <v>200</v>
      </c>
      <c r="AM379" s="21">
        <f>SUM(AN379:AP379)</f>
        <v>393983.50467884744</v>
      </c>
      <c r="AN379" s="21">
        <f>(VLOOKUP(C379,$B$4:$AJ$7,23,FALSE)+VLOOKUP(C379,$B$8:$AJ$11,23,FALSE)*입력란!$P$4)*IF(G379="근접",입력란!$P$27,IF(MID(E379,1,1)="1",입력란!$P$27,입력란!$P$26))*입력란!$P$25/100</f>
        <v>236384.14446774565</v>
      </c>
      <c r="AO379" s="21">
        <f>(VLOOKUP(C379,$B$4:$AJ$7,24,FALSE)+VLOOKUP(C379,$B$8:$AJ$11,24,FALSE)*입력란!$P$4)*IF(G379="근접",입력란!$P$27,IF(MID(E379,1,1)="1",입력란!$P$27,입력란!$P$26))*입력란!$P$25/100</f>
        <v>157599.3602111018</v>
      </c>
      <c r="AP379" s="21"/>
      <c r="AQ379" s="22">
        <v>24</v>
      </c>
    </row>
    <row r="380" spans="2:43" ht="13.5" customHeight="1" x14ac:dyDescent="0.55000000000000004">
      <c r="B380" s="66">
        <v>365</v>
      </c>
      <c r="C380" s="29">
        <v>10</v>
      </c>
      <c r="D380" s="67" t="s">
        <v>49</v>
      </c>
      <c r="E380" s="27" t="s">
        <v>149</v>
      </c>
      <c r="F380" s="29" t="s">
        <v>136</v>
      </c>
      <c r="G380" s="29" t="s">
        <v>37</v>
      </c>
      <c r="H380" s="36">
        <f>I380/AJ380</f>
        <v>188192.20775418624</v>
      </c>
      <c r="I380" s="37">
        <f>SUM(J380:Q380)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4462312.782971181</v>
      </c>
      <c r="J380" s="21">
        <f>S380*(1+IF($AK380+IF(입력란!$C$9=1,10,0)+IF(입력란!$C$26=1,10,0)&gt;100,100,$AK380+IF(입력란!$C$9=1,10,0)+IF(입력란!$C$26=1,10,0))/100*(($AL380+IF(입력란!$C$30=1,IF(OR(입력란!$C$9=1,입력란!$C$10=1),55,17),IF(입력란!$C$30=2,IF(OR(입력란!$C$9=1,입력란!$C$10=1),60,20),IF(입력란!$C$30=3,IF(OR(입력란!$C$9=1,입력란!$C$10=1),65,22),0))))/100-1))</f>
        <v>3160054.3750238512</v>
      </c>
      <c r="K380" s="21">
        <f>T380*(1+IF($AK380+IF(입력란!$C$9=1,10,0)+IF(입력란!$C$26=1,10,0)&gt;100,100,$AK380+IF(입력란!$C$9=1,10,0)+IF(입력란!$C$26=1,10,0))/100*(($AL380+IF(입력란!$C$30=1,IF(OR(입력란!$C$9=1,입력란!$C$10=1),55,17),IF(입력란!$C$30=2,IF(OR(입력란!$C$9=1,입력란!$C$10=1),60,20),IF(입력란!$C$30=3,IF(OR(입력란!$C$9=1,입력란!$C$10=1),65,22),0))))/100-1))</f>
        <v>0</v>
      </c>
      <c r="L380" s="21"/>
      <c r="M380" s="21"/>
      <c r="N380" s="21"/>
      <c r="O380" s="21"/>
      <c r="P380" s="21"/>
      <c r="Q380" s="20"/>
      <c r="R380" s="19">
        <f>SUM(S380:Z380)</f>
        <v>1948465.4066807907</v>
      </c>
      <c r="S380" s="21">
        <f>AN380*IF(G380="근접",IF(MID(E380,1,1)="3",트라이포드!$H$20,트라이포드!$G$20),1)*IF(입력란!$C$9=1,IF(MID(E380,1,1)="2",트라이포드!$F$20,트라이포드!$E$20),1)*IF(MID(E380,1,1)="1",트라이포드!$D$20,트라이포드!$C$20)*IF(MID(E380,3,1)="1",트라이포드!$J$20,트라이포드!$I$20)*IF(MID(E380,3,1)="2",트라이포드!$L$20,트라이포드!$K$20)*IF(MID(E380,5,1)="1",트라이포드!$P$20,트라이포드!$O$20)*(1+입력란!$P$17/100)*IF(입력란!$C$9=1,IF(입력란!$C$15=0,1.05,IF(입력란!$C$15=1,1.05*1.05,IF(입력란!$C$15=2,1.05*1.12,IF(입력란!$C$15=3,1.05*1.25)))),1)</f>
        <v>1948465.4066807907</v>
      </c>
      <c r="T380" s="21">
        <f>AO380*IF(G380="근접",IF(MID(E380,1,1)="3",트라이포드!$H$20,트라이포드!$G$20),1)*IF(입력란!$C$9=1,IF(MID(E380,1,1)="2",트라이포드!$F$20,트라이포드!$E$20),1)*IF(MID(E380,1,1)="1",트라이포드!$D$20,트라이포드!$C$20)*IF(MID(E380,3,1)="1",트라이포드!$J$20,트라이포드!$I$20)*IF(MID(E380,3,1)="2",트라이포드!$L$20,트라이포드!$K$20)*IF(MID(E380,5,1)="1",0,IF(MID(E380,5,1)="2",트라이포드!$R$20,트라이포드!$Q$20))*(1+입력란!$P$17/100)*IF(입력란!$C$9=1,IF(입력란!$C$15=0,1.05,IF(입력란!$C$15=1,1.05*1.05,IF(입력란!$C$15=2,1.05*1.12,IF(입력란!$C$15=3,1.05*1.25)))),1)</f>
        <v>0</v>
      </c>
      <c r="U380" s="21"/>
      <c r="V380" s="21"/>
      <c r="W380" s="21"/>
      <c r="X380" s="21"/>
      <c r="Y380" s="21"/>
      <c r="Z380" s="20"/>
      <c r="AA380" s="21">
        <f>SUM(AB380:AI380)</f>
        <v>3896930.8133615814</v>
      </c>
      <c r="AB380" s="21">
        <f>S380*2</f>
        <v>3896930.8133615814</v>
      </c>
      <c r="AC380" s="21">
        <f>T380*2</f>
        <v>0</v>
      </c>
      <c r="AD380" s="21"/>
      <c r="AE380" s="21"/>
      <c r="AF380" s="21"/>
      <c r="AG380" s="21"/>
      <c r="AH380" s="21"/>
      <c r="AI380" s="20"/>
      <c r="AJ380" s="21">
        <f>AQ380*(1-입력란!$P$10/100)</f>
        <v>23.711464126079999</v>
      </c>
      <c r="AK3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0" s="21">
        <f>입력란!$P$24+IF(입력란!$C$18=1,10,IF(입력란!$C$18=2,25,IF(입력란!$C$18=3,50,0)))+IF(입력란!$C$23&lt;&gt;0,-12)</f>
        <v>200</v>
      </c>
      <c r="AM380" s="21">
        <f>SUM(AN380:AP380)</f>
        <v>393983.50467884744</v>
      </c>
      <c r="AN380" s="21">
        <f>(VLOOKUP(C380,$B$4:$AJ$7,23,FALSE)+VLOOKUP(C380,$B$8:$AJ$11,23,FALSE)*입력란!$P$4)*IF(G380="근접",입력란!$P$27,IF(MID(E380,1,1)="1",입력란!$P$27,입력란!$P$26))*입력란!$P$25/100</f>
        <v>236384.14446774565</v>
      </c>
      <c r="AO380" s="21">
        <f>(VLOOKUP(C380,$B$4:$AJ$7,24,FALSE)+VLOOKUP(C380,$B$8:$AJ$11,24,FALSE)*입력란!$P$4)*IF(G380="근접",입력란!$P$27,IF(MID(E380,1,1)="1",입력란!$P$27,입력란!$P$26))*입력란!$P$25/100</f>
        <v>157599.3602111018</v>
      </c>
      <c r="AP380" s="21"/>
      <c r="AQ380" s="22">
        <v>24</v>
      </c>
    </row>
    <row r="381" spans="2:43" ht="13.5" customHeight="1" x14ac:dyDescent="0.55000000000000004">
      <c r="B381" s="66">
        <v>366</v>
      </c>
      <c r="C381" s="29">
        <v>10</v>
      </c>
      <c r="D381" s="67" t="s">
        <v>49</v>
      </c>
      <c r="E381" s="27" t="s">
        <v>150</v>
      </c>
      <c r="F381" s="29" t="s">
        <v>136</v>
      </c>
      <c r="G381" s="29" t="s">
        <v>37</v>
      </c>
      <c r="H381" s="36">
        <f>I381/AJ381</f>
        <v>201642.97903177905</v>
      </c>
      <c r="I381" s="37">
        <f>SUM(J381:Q381)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4781250.2635879302</v>
      </c>
      <c r="J381" s="21">
        <f>S381*(1+IF($AK381+IF(입력란!$C$9=1,10,0)+IF(입력란!$C$26=1,10,0)&gt;100,100,$AK381+IF(입력란!$C$9=1,10,0)+IF(입력란!$C$26=1,10,0))/100*(($AL381+IF(입력란!$C$30=1,IF(OR(입력란!$C$9=1,입력란!$C$10=1),55,17),IF(입력란!$C$30=2,IF(OR(입력란!$C$9=1,입력란!$C$10=1),60,20),IF(입력란!$C$30=3,IF(OR(입력란!$C$9=1,입력란!$C$10=1),65,22),0))))/100-1))</f>
        <v>1128590.8482228038</v>
      </c>
      <c r="K381" s="21">
        <f>T381*(1+IF($AK381+IF(입력란!$C$9=1,10,0)+IF(입력란!$C$26=1,10,0)&gt;100,100,$AK381+IF(입력란!$C$9=1,10,0)+IF(입력란!$C$26=1,10,0))/100*(($AL381+IF(입력란!$C$30=1,IF(OR(입력란!$C$9=1,입력란!$C$10=1),55,17),IF(입력란!$C$30=2,IF(OR(입력란!$C$9=1,입력란!$C$10=1),60,20),IF(입력란!$C$30=3,IF(OR(입력란!$C$9=1,입력란!$C$10=1),65,22),0))))/100-1))</f>
        <v>2257323.9337246004</v>
      </c>
      <c r="L381" s="21"/>
      <c r="M381" s="21"/>
      <c r="N381" s="21"/>
      <c r="O381" s="21"/>
      <c r="P381" s="21"/>
      <c r="Q381" s="20"/>
      <c r="R381" s="19">
        <f>SUM(S381:Z381)</f>
        <v>2087729.2095785076</v>
      </c>
      <c r="S381" s="21">
        <f>AN381*IF(G381="근접",IF(MID(E381,1,1)="3",트라이포드!$H$20,트라이포드!$G$20),1)*IF(입력란!$C$9=1,IF(MID(E381,1,1)="2",트라이포드!$F$20,트라이포드!$E$20),1)*IF(MID(E381,1,1)="1",트라이포드!$D$20,트라이포드!$C$20)*IF(MID(E381,3,1)="1",트라이포드!$J$20,트라이포드!$I$20)*IF(MID(E381,3,1)="2",트라이포드!$L$20,트라이포드!$K$20)*IF(MID(E381,5,1)="1",트라이포드!$P$20,트라이포드!$O$20)*(1+입력란!$P$17/100)*IF(입력란!$C$9=1,IF(입력란!$C$15=0,1.05,IF(입력란!$C$15=1,1.05*1.05,IF(입력란!$C$15=2,1.05*1.12,IF(입력란!$C$15=3,1.05*1.25)))),1)</f>
        <v>695880.50238599651</v>
      </c>
      <c r="T381" s="21">
        <f>AO381*IF(G381="근접",IF(MID(E381,1,1)="3",트라이포드!$H$20,트라이포드!$G$20),1)*IF(입력란!$C$9=1,IF(MID(E381,1,1)="2",트라이포드!$F$20,트라이포드!$E$20),1)*IF(MID(E381,1,1)="1",트라이포드!$D$20,트라이포드!$C$20)*IF(MID(E381,3,1)="1",트라이포드!$J$20,트라이포드!$I$20)*IF(MID(E381,3,1)="2",트라이포드!$L$20,트라이포드!$K$20)*IF(MID(E381,5,1)="1",0,IF(MID(E381,5,1)="2",트라이포드!$R$20,트라이포드!$Q$20))*(1+입력란!$P$17/100)*IF(입력란!$C$9=1,IF(입력란!$C$15=0,1.05,IF(입력란!$C$15=1,1.05*1.05,IF(입력란!$C$15=2,1.05*1.12,IF(입력란!$C$15=3,1.05*1.25)))),1)</f>
        <v>1391848.7071925111</v>
      </c>
      <c r="U381" s="21"/>
      <c r="V381" s="21"/>
      <c r="W381" s="21"/>
      <c r="X381" s="21"/>
      <c r="Y381" s="21"/>
      <c r="Z381" s="20"/>
      <c r="AA381" s="21">
        <f>SUM(AB381:AI381)</f>
        <v>4175458.4191570152</v>
      </c>
      <c r="AB381" s="21">
        <f>S381*2</f>
        <v>1391761.004771993</v>
      </c>
      <c r="AC381" s="21">
        <f>T381*2</f>
        <v>2783697.4143850221</v>
      </c>
      <c r="AD381" s="21"/>
      <c r="AE381" s="21"/>
      <c r="AF381" s="21"/>
      <c r="AG381" s="21"/>
      <c r="AH381" s="21"/>
      <c r="AI381" s="20"/>
      <c r="AJ381" s="21">
        <f>AQ381*(1-입력란!$P$10/100)</f>
        <v>23.711464126079999</v>
      </c>
      <c r="AK3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1" s="21">
        <f>입력란!$P$24+IF(입력란!$C$18=1,10,IF(입력란!$C$18=2,25,IF(입력란!$C$18=3,50,0)))+IF(입력란!$C$23&lt;&gt;0,-12)</f>
        <v>200</v>
      </c>
      <c r="AM381" s="21">
        <f>SUM(AN381:AP381)</f>
        <v>393983.50467884744</v>
      </c>
      <c r="AN381" s="21">
        <f>(VLOOKUP(C381,$B$4:$AJ$7,23,FALSE)+VLOOKUP(C381,$B$8:$AJ$11,23,FALSE)*입력란!$P$4)*IF(G381="근접",입력란!$P$27,IF(MID(E381,1,1)="1",입력란!$P$27,입력란!$P$26))*입력란!$P$25/100</f>
        <v>236384.14446774565</v>
      </c>
      <c r="AO381" s="21">
        <f>(VLOOKUP(C381,$B$4:$AJ$7,24,FALSE)+VLOOKUP(C381,$B$8:$AJ$11,24,FALSE)*입력란!$P$4)*IF(G381="근접",입력란!$P$27,IF(MID(E381,1,1)="1",입력란!$P$27,입력란!$P$26))*입력란!$P$25/100</f>
        <v>157599.3602111018</v>
      </c>
      <c r="AP381" s="21"/>
      <c r="AQ381" s="22">
        <v>24</v>
      </c>
    </row>
    <row r="382" spans="2:43" ht="13.5" customHeight="1" x14ac:dyDescent="0.55000000000000004">
      <c r="B382" s="66">
        <v>367</v>
      </c>
      <c r="C382" s="29">
        <v>10</v>
      </c>
      <c r="D382" s="67" t="s">
        <v>49</v>
      </c>
      <c r="E382" s="27" t="s">
        <v>100</v>
      </c>
      <c r="F382" s="29"/>
      <c r="G382" s="29" t="s">
        <v>37</v>
      </c>
      <c r="H382" s="36">
        <f>I382/AJ382</f>
        <v>174749.90720031579</v>
      </c>
      <c r="I382" s="37">
        <f>SUM(J382:Q382)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4143576.1556160967</v>
      </c>
      <c r="J382" s="21">
        <f>S382*(1+IF($AK382+IF(입력란!$C$9=1,10,0)+IF(입력란!$C$26=1,10,0)&gt;100,100,$AK382+IF(입력란!$C$9=1,10,0)+IF(입력란!$C$26=1,10,0))/100*(($AL382+IF(입력란!$C$30=1,IF(OR(입력란!$C$9=1,입력란!$C$10=1),55,17),IF(입력란!$C$30=2,IF(OR(입력란!$C$9=1,입력란!$C$10=1),60,20),IF(입력란!$C$30=3,IF(OR(입력란!$C$9=1,입력란!$C$10=1),65,22),0))))/100-1))</f>
        <v>2934336.2053792905</v>
      </c>
      <c r="K382" s="21">
        <f>T382*(1+IF($AK382+IF(입력란!$C$9=1,10,0)+IF(입력란!$C$26=1,10,0)&gt;100,100,$AK382+IF(입력란!$C$9=1,10,0)+IF(입력란!$C$26=1,10,0))/100*(($AL382+IF(입력란!$C$30=1,IF(OR(입력란!$C$9=1,입력란!$C$10=1),55,17),IF(입력란!$C$30=2,IF(OR(입력란!$C$9=1,입력란!$C$10=1),60,20),IF(입력란!$C$30=3,IF(OR(입력란!$C$9=1,입력란!$C$10=1),65,22),0))))/100-1))</f>
        <v>0</v>
      </c>
      <c r="L382" s="21"/>
      <c r="M382" s="21"/>
      <c r="N382" s="21"/>
      <c r="O382" s="21"/>
      <c r="P382" s="21"/>
      <c r="Q382" s="20"/>
      <c r="R382" s="19">
        <f>SUM(S382:Z382)</f>
        <v>1809289.3062035914</v>
      </c>
      <c r="S382" s="21">
        <f>AN382*IF(G382="근접",IF(MID(E382,1,1)="3",트라이포드!$H$20,트라이포드!$G$20),1)*IF(입력란!$C$9=1,IF(MID(E382,1,1)="2",트라이포드!$F$20,트라이포드!$E$20),1)*IF(MID(E382,1,1)="1",트라이포드!$D$20,트라이포드!$C$20)*IF(MID(E382,3,1)="1",트라이포드!$J$20,트라이포드!$I$20)*IF(MID(E382,3,1)="2",트라이포드!$L$20,트라이포드!$K$20)*IF(MID(E382,5,1)="1",트라이포드!$P$20,트라이포드!$O$20)*(1+입력란!$P$17/100)*IF(입력란!$C$9=1,IF(입력란!$C$15=0,1.05,IF(입력란!$C$15=1,1.05*1.05,IF(입력란!$C$15=2,1.05*1.12,IF(입력란!$C$15=3,1.05*1.25)))),1)</f>
        <v>1809289.3062035914</v>
      </c>
      <c r="T382" s="21">
        <f>AO382*IF(G382="근접",IF(MID(E382,1,1)="3",트라이포드!$H$20,트라이포드!$G$20),1)*IF(입력란!$C$9=1,IF(MID(E382,1,1)="2",트라이포드!$F$20,트라이포드!$E$20),1)*IF(MID(E382,1,1)="1",트라이포드!$D$20,트라이포드!$C$20)*IF(MID(E382,3,1)="1",트라이포드!$J$20,트라이포드!$I$20)*IF(MID(E382,3,1)="2",트라이포드!$L$20,트라이포드!$K$20)*IF(MID(E382,5,1)="1",0,IF(MID(E382,5,1)="2",트라이포드!$R$20,트라이포드!$Q$20))*(1+입력란!$P$17/100)*IF(입력란!$C$9=1,IF(입력란!$C$15=0,1.05,IF(입력란!$C$15=1,1.05*1.05,IF(입력란!$C$15=2,1.05*1.12,IF(입력란!$C$15=3,1.05*1.25)))),1)</f>
        <v>0</v>
      </c>
      <c r="U382" s="21"/>
      <c r="V382" s="21"/>
      <c r="W382" s="21"/>
      <c r="X382" s="21"/>
      <c r="Y382" s="21"/>
      <c r="Z382" s="20"/>
      <c r="AA382" s="21">
        <f>SUM(AB382:AI382)</f>
        <v>3618578.6124071828</v>
      </c>
      <c r="AB382" s="21">
        <f>S382*2</f>
        <v>3618578.6124071828</v>
      </c>
      <c r="AC382" s="21">
        <f>T382*2</f>
        <v>0</v>
      </c>
      <c r="AD382" s="21"/>
      <c r="AE382" s="21"/>
      <c r="AF382" s="21"/>
      <c r="AG382" s="21"/>
      <c r="AH382" s="21"/>
      <c r="AI382" s="20"/>
      <c r="AJ382" s="21">
        <f>AQ382*(1-입력란!$P$10/100)</f>
        <v>23.711464126079999</v>
      </c>
      <c r="AK3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2" s="21">
        <f>입력란!$P$24+IF(입력란!$C$18=1,10,IF(입력란!$C$18=2,25,IF(입력란!$C$18=3,50,0)))+IF(입력란!$C$23&lt;&gt;0,-12)</f>
        <v>200</v>
      </c>
      <c r="AM382" s="21">
        <f>SUM(AN382:AP382)</f>
        <v>393983.50467884744</v>
      </c>
      <c r="AN382" s="21">
        <f>(VLOOKUP(C382,$B$4:$AJ$7,23,FALSE)+VLOOKUP(C382,$B$8:$AJ$11,23,FALSE)*입력란!$P$4)*IF(G382="근접",입력란!$P$27,IF(MID(E382,1,1)="1",입력란!$P$27,입력란!$P$26))*입력란!$P$25/100</f>
        <v>236384.14446774565</v>
      </c>
      <c r="AO382" s="21">
        <f>(VLOOKUP(C382,$B$4:$AJ$7,24,FALSE)+VLOOKUP(C382,$B$8:$AJ$11,24,FALSE)*입력란!$P$4)*IF(G382="근접",입력란!$P$27,IF(MID(E382,1,1)="1",입력란!$P$27,입력란!$P$26))*입력란!$P$25/100</f>
        <v>157599.3602111018</v>
      </c>
      <c r="AP382" s="21"/>
      <c r="AQ382" s="22">
        <v>24</v>
      </c>
    </row>
    <row r="383" spans="2:43" ht="13.5" customHeight="1" x14ac:dyDescent="0.55000000000000004">
      <c r="B383" s="66">
        <v>368</v>
      </c>
      <c r="C383" s="29">
        <v>10</v>
      </c>
      <c r="D383" s="67" t="s">
        <v>49</v>
      </c>
      <c r="E383" s="27" t="s">
        <v>101</v>
      </c>
      <c r="F383" s="29"/>
      <c r="G383" s="29" t="s">
        <v>37</v>
      </c>
      <c r="H383" s="36">
        <f>I383/AJ383</f>
        <v>187239.90910093772</v>
      </c>
      <c r="I383" s="37">
        <f>SUM(J383:Q383)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4439732.3876173645</v>
      </c>
      <c r="J383" s="21">
        <f>S383*(1+IF($AK383+IF(입력란!$C$9=1,10,0)+IF(입력란!$C$26=1,10,0)&gt;100,100,$AK383+IF(입력란!$C$9=1,10,0)+IF(입력란!$C$26=1,10,0))/100*(($AL383+IF(입력란!$C$30=1,IF(OR(입력란!$C$9=1,입력란!$C$10=1),55,17),IF(입력란!$C$30=2,IF(OR(입력란!$C$9=1,입력란!$C$10=1),60,20),IF(입력란!$C$30=3,IF(OR(입력란!$C$9=1,입력란!$C$10=1),65,22),0))))/100-1))</f>
        <v>1047977.2162068894</v>
      </c>
      <c r="K383" s="21">
        <f>T383*(1+IF($AK383+IF(입력란!$C$9=1,10,0)+IF(입력란!$C$26=1,10,0)&gt;100,100,$AK383+IF(입력란!$C$9=1,10,0)+IF(입력란!$C$26=1,10,0))/100*(($AL383+IF(입력란!$C$30=1,IF(OR(입력란!$C$9=1,입력란!$C$10=1),55,17),IF(입력란!$C$30=2,IF(OR(입력란!$C$9=1,입력란!$C$10=1),60,20),IF(입력란!$C$30=3,IF(OR(입력란!$C$9=1,입력란!$C$10=1),65,22),0))))/100-1))</f>
        <v>2096086.5098871291</v>
      </c>
      <c r="L383" s="21"/>
      <c r="M383" s="21"/>
      <c r="N383" s="21"/>
      <c r="O383" s="21"/>
      <c r="P383" s="21"/>
      <c r="Q383" s="20"/>
      <c r="R383" s="19">
        <f>SUM(S383:Z383)</f>
        <v>1938605.6946086143</v>
      </c>
      <c r="S383" s="21">
        <f>AN383*IF(G383="근접",IF(MID(E383,1,1)="3",트라이포드!$H$20,트라이포드!$G$20),1)*IF(입력란!$C$9=1,IF(MID(E383,1,1)="2",트라이포드!$F$20,트라이포드!$E$20),1)*IF(MID(E383,1,1)="1",트라이포드!$D$20,트라이포드!$C$20)*IF(MID(E383,3,1)="1",트라이포드!$J$20,트라이포드!$I$20)*IF(MID(E383,3,1)="2",트라이포드!$L$20,트라이포드!$K$20)*IF(MID(E383,5,1)="1",트라이포드!$P$20,트라이포드!$O$20)*(1+입력란!$P$17/100)*IF(입력란!$C$9=1,IF(입력란!$C$15=0,1.05,IF(입력란!$C$15=1,1.05*1.05,IF(입력란!$C$15=2,1.05*1.12,IF(입력란!$C$15=3,1.05*1.25)))),1)</f>
        <v>646174.75221556833</v>
      </c>
      <c r="T383" s="21">
        <f>AO383*IF(G383="근접",IF(MID(E383,1,1)="3",트라이포드!$H$20,트라이포드!$G$20),1)*IF(입력란!$C$9=1,IF(MID(E383,1,1)="2",트라이포드!$F$20,트라이포드!$E$20),1)*IF(MID(E383,1,1)="1",트라이포드!$D$20,트라이포드!$C$20)*IF(MID(E383,3,1)="1",트라이포드!$J$20,트라이포드!$I$20)*IF(MID(E383,3,1)="2",트라이포드!$L$20,트라이포드!$K$20)*IF(MID(E383,5,1)="1",0,IF(MID(E383,5,1)="2",트라이포드!$R$20,트라이포드!$Q$20))*(1+입력란!$P$17/100)*IF(입력란!$C$9=1,IF(입력란!$C$15=0,1.05,IF(입력란!$C$15=1,1.05*1.05,IF(입력란!$C$15=2,1.05*1.12,IF(입력란!$C$15=3,1.05*1.25)))),1)</f>
        <v>1292430.9423930461</v>
      </c>
      <c r="U383" s="21"/>
      <c r="V383" s="21"/>
      <c r="W383" s="21"/>
      <c r="X383" s="21"/>
      <c r="Y383" s="21"/>
      <c r="Z383" s="20"/>
      <c r="AA383" s="21">
        <f>SUM(AB383:AI383)</f>
        <v>3877211.3892172286</v>
      </c>
      <c r="AB383" s="21">
        <f>S383*2</f>
        <v>1292349.5044311367</v>
      </c>
      <c r="AC383" s="21">
        <f>T383*2</f>
        <v>2584861.8847860922</v>
      </c>
      <c r="AD383" s="21"/>
      <c r="AE383" s="21"/>
      <c r="AF383" s="21"/>
      <c r="AG383" s="21"/>
      <c r="AH383" s="21"/>
      <c r="AI383" s="20"/>
      <c r="AJ383" s="21">
        <f>AQ383*(1-입력란!$P$10/100)</f>
        <v>23.711464126079999</v>
      </c>
      <c r="AK3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3" s="21">
        <f>입력란!$P$24+IF(입력란!$C$18=1,10,IF(입력란!$C$18=2,25,IF(입력란!$C$18=3,50,0)))+IF(입력란!$C$23&lt;&gt;0,-12)</f>
        <v>200</v>
      </c>
      <c r="AM383" s="21">
        <f>SUM(AN383:AP383)</f>
        <v>393983.50467884744</v>
      </c>
      <c r="AN383" s="21">
        <f>(VLOOKUP(C383,$B$4:$AJ$7,23,FALSE)+VLOOKUP(C383,$B$8:$AJ$11,23,FALSE)*입력란!$P$4)*IF(G383="근접",입력란!$P$27,IF(MID(E383,1,1)="1",입력란!$P$27,입력란!$P$26))*입력란!$P$25/100</f>
        <v>236384.14446774565</v>
      </c>
      <c r="AO383" s="21">
        <f>(VLOOKUP(C383,$B$4:$AJ$7,24,FALSE)+VLOOKUP(C383,$B$8:$AJ$11,24,FALSE)*입력란!$P$4)*IF(G383="근접",입력란!$P$27,IF(MID(E383,1,1)="1",입력란!$P$27,입력란!$P$26))*입력란!$P$25/100</f>
        <v>157599.3602111018</v>
      </c>
      <c r="AP383" s="21"/>
      <c r="AQ383" s="22">
        <v>24</v>
      </c>
    </row>
    <row r="384" spans="2:43" ht="13.5" customHeight="1" x14ac:dyDescent="0.55000000000000004">
      <c r="B384" s="66">
        <v>369</v>
      </c>
      <c r="C384" s="29">
        <v>10</v>
      </c>
      <c r="D384" s="67" t="s">
        <v>210</v>
      </c>
      <c r="E384" s="27" t="s">
        <v>218</v>
      </c>
      <c r="F384" s="29" t="s">
        <v>216</v>
      </c>
      <c r="G384" s="29" t="s">
        <v>200</v>
      </c>
      <c r="H384" s="36">
        <f>I384/AJ384</f>
        <v>188192.20775418624</v>
      </c>
      <c r="I384" s="37">
        <f>SUM(J384:Q384)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4462312.782971181</v>
      </c>
      <c r="J384" s="21">
        <f>S384*(1+IF($AK384+IF(입력란!$C$9=1,10,0)+IF(입력란!$C$26=1,10,0)&gt;100,100,$AK384+IF(입력란!$C$9=1,10,0)+IF(입력란!$C$26=1,10,0))/100*(($AL384+IF(입력란!$C$30=1,IF(OR(입력란!$C$9=1,입력란!$C$10=1),55,17),IF(입력란!$C$30=2,IF(OR(입력란!$C$9=1,입력란!$C$10=1),60,20),IF(입력란!$C$30=3,IF(OR(입력란!$C$9=1,입력란!$C$10=1),65,22),0))))/100-1))</f>
        <v>3160054.3750238512</v>
      </c>
      <c r="K384" s="21">
        <f>T384*(1+IF($AK384+IF(입력란!$C$9=1,10,0)+IF(입력란!$C$26=1,10,0)&gt;100,100,$AK384+IF(입력란!$C$9=1,10,0)+IF(입력란!$C$26=1,10,0))/100*(($AL384+IF(입력란!$C$30=1,IF(OR(입력란!$C$9=1,입력란!$C$10=1),55,17),IF(입력란!$C$30=2,IF(OR(입력란!$C$9=1,입력란!$C$10=1),60,20),IF(입력란!$C$30=3,IF(OR(입력란!$C$9=1,입력란!$C$10=1),65,22),0))))/100-1))</f>
        <v>0</v>
      </c>
      <c r="L384" s="21"/>
      <c r="M384" s="21"/>
      <c r="N384" s="21"/>
      <c r="O384" s="21"/>
      <c r="P384" s="21"/>
      <c r="Q384" s="20"/>
      <c r="R384" s="19">
        <f>SUM(S384:Z384)</f>
        <v>1948465.4066807907</v>
      </c>
      <c r="S384" s="21">
        <f>AN384*IF(G384="근접",IF(MID(E384,1,1)="3",트라이포드!$H$20,트라이포드!$G$20),1)*IF(입력란!$C$9=1,IF(MID(E384,1,1)="2",트라이포드!$F$20,트라이포드!$E$20),1)*IF(MID(E384,1,1)="1",트라이포드!$D$20,트라이포드!$C$20)*IF(MID(E384,3,1)="1",트라이포드!$J$20,트라이포드!$I$20)*IF(MID(E384,3,1)="2",트라이포드!$L$20,트라이포드!$K$20)*IF(MID(E384,5,1)="1",트라이포드!$P$20,트라이포드!$O$20)*(1+입력란!$P$17/100)*IF(입력란!$C$9=1,IF(입력란!$C$15=0,1.05,IF(입력란!$C$15=1,1.05*1.05,IF(입력란!$C$15=2,1.05*1.12,IF(입력란!$C$15=3,1.05*1.25)))),1)</f>
        <v>1948465.4066807907</v>
      </c>
      <c r="T384" s="21">
        <f>AO384*IF(G384="근접",IF(MID(E384,1,1)="3",트라이포드!$H$20,트라이포드!$G$20),1)*IF(입력란!$C$9=1,IF(MID(E384,1,1)="2",트라이포드!$F$20,트라이포드!$E$20),1)*IF(MID(E384,1,1)="1",트라이포드!$D$20,트라이포드!$C$20)*IF(MID(E384,3,1)="1",트라이포드!$J$20,트라이포드!$I$20)*IF(MID(E384,3,1)="2",트라이포드!$L$20,트라이포드!$K$20)*IF(MID(E384,5,1)="1",0,IF(MID(E384,5,1)="2",트라이포드!$R$20,트라이포드!$Q$20))*(1+입력란!$P$17/100)*IF(입력란!$C$9=1,IF(입력란!$C$15=0,1.05,IF(입력란!$C$15=1,1.05*1.05,IF(입력란!$C$15=2,1.05*1.12,IF(입력란!$C$15=3,1.05*1.25)))),1)</f>
        <v>0</v>
      </c>
      <c r="U384" s="21"/>
      <c r="V384" s="21"/>
      <c r="W384" s="21"/>
      <c r="X384" s="21"/>
      <c r="Y384" s="21"/>
      <c r="Z384" s="20"/>
      <c r="AA384" s="21">
        <f>SUM(AB384:AI384)</f>
        <v>3896930.8133615814</v>
      </c>
      <c r="AB384" s="21">
        <f>S384*2</f>
        <v>3896930.8133615814</v>
      </c>
      <c r="AC384" s="21">
        <f>T384*2</f>
        <v>0</v>
      </c>
      <c r="AD384" s="21"/>
      <c r="AE384" s="21"/>
      <c r="AF384" s="21"/>
      <c r="AG384" s="21"/>
      <c r="AH384" s="21"/>
      <c r="AI384" s="20"/>
      <c r="AJ384" s="21">
        <f>AQ384*(1-입력란!$P$10/100)</f>
        <v>23.711464126079999</v>
      </c>
      <c r="AK3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4" s="21">
        <f>입력란!$P$24+IF(입력란!$C$18=1,10,IF(입력란!$C$18=2,25,IF(입력란!$C$18=3,50,0)))+IF(입력란!$C$23&lt;&gt;0,-12)</f>
        <v>200</v>
      </c>
      <c r="AM384" s="21">
        <f>SUM(AN384:AP384)</f>
        <v>393983.50467884744</v>
      </c>
      <c r="AN384" s="21">
        <f>(VLOOKUP(C384,$B$4:$AJ$7,23,FALSE)+VLOOKUP(C384,$B$8:$AJ$11,23,FALSE)*입력란!$P$4)*IF(G384="근접",입력란!$P$27,IF(MID(E384,1,1)="1",입력란!$P$27,입력란!$P$26))*입력란!$P$25/100</f>
        <v>236384.14446774565</v>
      </c>
      <c r="AO384" s="21">
        <f>(VLOOKUP(C384,$B$4:$AJ$7,24,FALSE)+VLOOKUP(C384,$B$8:$AJ$11,24,FALSE)*입력란!$P$4)*IF(G384="근접",입력란!$P$27,IF(MID(E384,1,1)="1",입력란!$P$27,입력란!$P$26))*입력란!$P$25/100</f>
        <v>157599.3602111018</v>
      </c>
      <c r="AP384" s="21"/>
      <c r="AQ384" s="22">
        <v>24</v>
      </c>
    </row>
    <row r="385" spans="2:43" ht="13.5" customHeight="1" x14ac:dyDescent="0.55000000000000004">
      <c r="B385" s="66">
        <v>370</v>
      </c>
      <c r="C385" s="29">
        <v>10</v>
      </c>
      <c r="D385" s="67" t="s">
        <v>210</v>
      </c>
      <c r="E385" s="27" t="s">
        <v>219</v>
      </c>
      <c r="F385" s="29" t="s">
        <v>216</v>
      </c>
      <c r="G385" s="29" t="s">
        <v>200</v>
      </c>
      <c r="H385" s="36">
        <f>I385/AJ385</f>
        <v>201642.97903177905</v>
      </c>
      <c r="I385" s="37">
        <f>SUM(J385:Q385)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4781250.2635879302</v>
      </c>
      <c r="J385" s="21">
        <f>S385*(1+IF($AK385+IF(입력란!$C$9=1,10,0)+IF(입력란!$C$26=1,10,0)&gt;100,100,$AK385+IF(입력란!$C$9=1,10,0)+IF(입력란!$C$26=1,10,0))/100*(($AL385+IF(입력란!$C$30=1,IF(OR(입력란!$C$9=1,입력란!$C$10=1),55,17),IF(입력란!$C$30=2,IF(OR(입력란!$C$9=1,입력란!$C$10=1),60,20),IF(입력란!$C$30=3,IF(OR(입력란!$C$9=1,입력란!$C$10=1),65,22),0))))/100-1))</f>
        <v>1128590.8482228038</v>
      </c>
      <c r="K385" s="21">
        <f>T385*(1+IF($AK385+IF(입력란!$C$9=1,10,0)+IF(입력란!$C$26=1,10,0)&gt;100,100,$AK385+IF(입력란!$C$9=1,10,0)+IF(입력란!$C$26=1,10,0))/100*(($AL385+IF(입력란!$C$30=1,IF(OR(입력란!$C$9=1,입력란!$C$10=1),55,17),IF(입력란!$C$30=2,IF(OR(입력란!$C$9=1,입력란!$C$10=1),60,20),IF(입력란!$C$30=3,IF(OR(입력란!$C$9=1,입력란!$C$10=1),65,22),0))))/100-1))</f>
        <v>2257323.9337246004</v>
      </c>
      <c r="L385" s="21"/>
      <c r="M385" s="21"/>
      <c r="N385" s="21"/>
      <c r="O385" s="21"/>
      <c r="P385" s="21"/>
      <c r="Q385" s="20"/>
      <c r="R385" s="19">
        <f>SUM(S385:Z385)</f>
        <v>2087729.2095785076</v>
      </c>
      <c r="S385" s="21">
        <f>AN385*IF(G385="근접",IF(MID(E385,1,1)="3",트라이포드!$H$20,트라이포드!$G$20),1)*IF(입력란!$C$9=1,IF(MID(E385,1,1)="2",트라이포드!$F$20,트라이포드!$E$20),1)*IF(MID(E385,1,1)="1",트라이포드!$D$20,트라이포드!$C$20)*IF(MID(E385,3,1)="1",트라이포드!$J$20,트라이포드!$I$20)*IF(MID(E385,3,1)="2",트라이포드!$L$20,트라이포드!$K$20)*IF(MID(E385,5,1)="1",트라이포드!$P$20,트라이포드!$O$20)*(1+입력란!$P$17/100)*IF(입력란!$C$9=1,IF(입력란!$C$15=0,1.05,IF(입력란!$C$15=1,1.05*1.05,IF(입력란!$C$15=2,1.05*1.12,IF(입력란!$C$15=3,1.05*1.25)))),1)</f>
        <v>695880.50238599651</v>
      </c>
      <c r="T385" s="21">
        <f>AO385*IF(G385="근접",IF(MID(E385,1,1)="3",트라이포드!$H$20,트라이포드!$G$20),1)*IF(입력란!$C$9=1,IF(MID(E385,1,1)="2",트라이포드!$F$20,트라이포드!$E$20),1)*IF(MID(E385,1,1)="1",트라이포드!$D$20,트라이포드!$C$20)*IF(MID(E385,3,1)="1",트라이포드!$J$20,트라이포드!$I$20)*IF(MID(E385,3,1)="2",트라이포드!$L$20,트라이포드!$K$20)*IF(MID(E385,5,1)="1",0,IF(MID(E385,5,1)="2",트라이포드!$R$20,트라이포드!$Q$20))*(1+입력란!$P$17/100)*IF(입력란!$C$9=1,IF(입력란!$C$15=0,1.05,IF(입력란!$C$15=1,1.05*1.05,IF(입력란!$C$15=2,1.05*1.12,IF(입력란!$C$15=3,1.05*1.25)))),1)</f>
        <v>1391848.7071925111</v>
      </c>
      <c r="U385" s="21"/>
      <c r="V385" s="21"/>
      <c r="W385" s="21"/>
      <c r="X385" s="21"/>
      <c r="Y385" s="21"/>
      <c r="Z385" s="20"/>
      <c r="AA385" s="21">
        <f>SUM(AB385:AI385)</f>
        <v>4175458.4191570152</v>
      </c>
      <c r="AB385" s="21">
        <f>S385*2</f>
        <v>1391761.004771993</v>
      </c>
      <c r="AC385" s="21">
        <f>T385*2</f>
        <v>2783697.4143850221</v>
      </c>
      <c r="AD385" s="21"/>
      <c r="AE385" s="21"/>
      <c r="AF385" s="21"/>
      <c r="AG385" s="21"/>
      <c r="AH385" s="21"/>
      <c r="AI385" s="20"/>
      <c r="AJ385" s="21">
        <f>AQ385*(1-입력란!$P$10/100)</f>
        <v>23.711464126079999</v>
      </c>
      <c r="AK3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5" s="21">
        <f>입력란!$P$24+IF(입력란!$C$18=1,10,IF(입력란!$C$18=2,25,IF(입력란!$C$18=3,50,0)))+IF(입력란!$C$23&lt;&gt;0,-12)</f>
        <v>200</v>
      </c>
      <c r="AM385" s="21">
        <f>SUM(AN385:AP385)</f>
        <v>393983.50467884744</v>
      </c>
      <c r="AN385" s="21">
        <f>(VLOOKUP(C385,$B$4:$AJ$7,23,FALSE)+VLOOKUP(C385,$B$8:$AJ$11,23,FALSE)*입력란!$P$4)*IF(G385="근접",입력란!$P$27,IF(MID(E385,1,1)="1",입력란!$P$27,입력란!$P$26))*입력란!$P$25/100</f>
        <v>236384.14446774565</v>
      </c>
      <c r="AO385" s="21">
        <f>(VLOOKUP(C385,$B$4:$AJ$7,24,FALSE)+VLOOKUP(C385,$B$8:$AJ$11,24,FALSE)*입력란!$P$4)*IF(G385="근접",입력란!$P$27,IF(MID(E385,1,1)="1",입력란!$P$27,입력란!$P$26))*입력란!$P$25/100</f>
        <v>157599.3602111018</v>
      </c>
      <c r="AP385" s="21"/>
      <c r="AQ385" s="22">
        <v>24</v>
      </c>
    </row>
    <row r="386" spans="2:43" ht="13.5" customHeight="1" x14ac:dyDescent="0.55000000000000004">
      <c r="B386" s="66">
        <v>371</v>
      </c>
      <c r="C386" s="29">
        <v>10</v>
      </c>
      <c r="D386" s="67" t="s">
        <v>49</v>
      </c>
      <c r="E386" s="27" t="s">
        <v>114</v>
      </c>
      <c r="F386" s="29"/>
      <c r="G386" s="29" t="s">
        <v>37</v>
      </c>
      <c r="H386" s="36">
        <f>I386/AJ386</f>
        <v>174749.90720031579</v>
      </c>
      <c r="I386" s="37">
        <f>SUM(J386:Q386)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4143576.1556160967</v>
      </c>
      <c r="J386" s="21">
        <f>S386*(1+IF($AK386+IF(입력란!$C$9=1,10,0)+IF(입력란!$C$26=1,10,0)&gt;100,100,$AK386+IF(입력란!$C$9=1,10,0)+IF(입력란!$C$26=1,10,0))/100*(($AL386+IF(입력란!$C$30=1,IF(OR(입력란!$C$9=1,입력란!$C$10=1),55,17),IF(입력란!$C$30=2,IF(OR(입력란!$C$9=1,입력란!$C$10=1),60,20),IF(입력란!$C$30=3,IF(OR(입력란!$C$9=1,입력란!$C$10=1),65,22),0))))/100-1))</f>
        <v>2934336.2053792905</v>
      </c>
      <c r="K386" s="21">
        <f>T386*(1+IF($AK386+IF(입력란!$C$9=1,10,0)+IF(입력란!$C$26=1,10,0)&gt;100,100,$AK386+IF(입력란!$C$9=1,10,0)+IF(입력란!$C$26=1,10,0))/100*(($AL386+IF(입력란!$C$30=1,IF(OR(입력란!$C$9=1,입력란!$C$10=1),55,17),IF(입력란!$C$30=2,IF(OR(입력란!$C$9=1,입력란!$C$10=1),60,20),IF(입력란!$C$30=3,IF(OR(입력란!$C$9=1,입력란!$C$10=1),65,22),0))))/100-1))</f>
        <v>0</v>
      </c>
      <c r="L386" s="21"/>
      <c r="M386" s="21"/>
      <c r="N386" s="21"/>
      <c r="O386" s="21"/>
      <c r="P386" s="21"/>
      <c r="Q386" s="20"/>
      <c r="R386" s="19">
        <f>SUM(S386:Z386)</f>
        <v>1809289.3062035914</v>
      </c>
      <c r="S386" s="21">
        <f>AN386*IF(G386="근접",IF(MID(E386,1,1)="3",트라이포드!$H$20,트라이포드!$G$20),1)*IF(입력란!$C$9=1,IF(MID(E386,1,1)="2",트라이포드!$F$20,트라이포드!$E$20),1)*IF(MID(E386,1,1)="1",트라이포드!$D$20,트라이포드!$C$20)*IF(MID(E386,3,1)="1",트라이포드!$J$20,트라이포드!$I$20)*IF(MID(E386,3,1)="2",트라이포드!$L$20,트라이포드!$K$20)*IF(MID(E386,5,1)="1",트라이포드!$P$20,트라이포드!$O$20)*(1+입력란!$P$17/100)*IF(입력란!$C$9=1,IF(입력란!$C$15=0,1.05,IF(입력란!$C$15=1,1.05*1.05,IF(입력란!$C$15=2,1.05*1.12,IF(입력란!$C$15=3,1.05*1.25)))),1)</f>
        <v>1809289.3062035914</v>
      </c>
      <c r="T386" s="21">
        <f>AO386*IF(G386="근접",IF(MID(E386,1,1)="3",트라이포드!$H$20,트라이포드!$G$20),1)*IF(입력란!$C$9=1,IF(MID(E386,1,1)="2",트라이포드!$F$20,트라이포드!$E$20),1)*IF(MID(E386,1,1)="1",트라이포드!$D$20,트라이포드!$C$20)*IF(MID(E386,3,1)="1",트라이포드!$J$20,트라이포드!$I$20)*IF(MID(E386,3,1)="2",트라이포드!$L$20,트라이포드!$K$20)*IF(MID(E386,5,1)="1",0,IF(MID(E386,5,1)="2",트라이포드!$R$20,트라이포드!$Q$20))*(1+입력란!$P$17/100)*IF(입력란!$C$9=1,IF(입력란!$C$15=0,1.05,IF(입력란!$C$15=1,1.05*1.05,IF(입력란!$C$15=2,1.05*1.12,IF(입력란!$C$15=3,1.05*1.25)))),1)</f>
        <v>0</v>
      </c>
      <c r="U386" s="21"/>
      <c r="V386" s="21"/>
      <c r="W386" s="21"/>
      <c r="X386" s="21"/>
      <c r="Y386" s="21"/>
      <c r="Z386" s="20"/>
      <c r="AA386" s="21">
        <f>SUM(AB386:AI386)</f>
        <v>3618578.6124071828</v>
      </c>
      <c r="AB386" s="21">
        <f>S386*2</f>
        <v>3618578.6124071828</v>
      </c>
      <c r="AC386" s="21">
        <f>T386*2</f>
        <v>0</v>
      </c>
      <c r="AD386" s="21"/>
      <c r="AE386" s="21"/>
      <c r="AF386" s="21"/>
      <c r="AG386" s="21"/>
      <c r="AH386" s="21"/>
      <c r="AI386" s="20"/>
      <c r="AJ386" s="21">
        <f>AQ386*(1-입력란!$P$10/100)</f>
        <v>23.711464126079999</v>
      </c>
      <c r="AK3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6" s="21">
        <f>입력란!$P$24+IF(입력란!$C$18=1,10,IF(입력란!$C$18=2,25,IF(입력란!$C$18=3,50,0)))+IF(입력란!$C$23&lt;&gt;0,-12)</f>
        <v>200</v>
      </c>
      <c r="AM386" s="21">
        <f>SUM(AN386:AP386)</f>
        <v>393983.50467884744</v>
      </c>
      <c r="AN386" s="21">
        <f>(VLOOKUP(C386,$B$4:$AJ$7,23,FALSE)+VLOOKUP(C386,$B$8:$AJ$11,23,FALSE)*입력란!$P$4)*IF(G386="근접",입력란!$P$27,IF(MID(E386,1,1)="1",입력란!$P$27,입력란!$P$26))*입력란!$P$25/100</f>
        <v>236384.14446774565</v>
      </c>
      <c r="AO386" s="21">
        <f>(VLOOKUP(C386,$B$4:$AJ$7,24,FALSE)+VLOOKUP(C386,$B$8:$AJ$11,24,FALSE)*입력란!$P$4)*IF(G386="근접",입력란!$P$27,IF(MID(E386,1,1)="1",입력란!$P$27,입력란!$P$26))*입력란!$P$25/100</f>
        <v>157599.3602111018</v>
      </c>
      <c r="AP386" s="21"/>
      <c r="AQ386" s="22">
        <v>24</v>
      </c>
    </row>
    <row r="387" spans="2:43" ht="13.5" customHeight="1" x14ac:dyDescent="0.55000000000000004">
      <c r="B387" s="66">
        <v>372</v>
      </c>
      <c r="C387" s="29">
        <v>10</v>
      </c>
      <c r="D387" s="67" t="s">
        <v>49</v>
      </c>
      <c r="E387" s="27" t="s">
        <v>115</v>
      </c>
      <c r="F387" s="29"/>
      <c r="G387" s="29" t="s">
        <v>37</v>
      </c>
      <c r="H387" s="36">
        <f>I387/AJ387</f>
        <v>187239.90910093772</v>
      </c>
      <c r="I387" s="37">
        <f>SUM(J387:Q387)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4439732.3876173645</v>
      </c>
      <c r="J387" s="21">
        <f>S387*(1+IF($AK387+IF(입력란!$C$9=1,10,0)+IF(입력란!$C$26=1,10,0)&gt;100,100,$AK387+IF(입력란!$C$9=1,10,0)+IF(입력란!$C$26=1,10,0))/100*(($AL387+IF(입력란!$C$30=1,IF(OR(입력란!$C$9=1,입력란!$C$10=1),55,17),IF(입력란!$C$30=2,IF(OR(입력란!$C$9=1,입력란!$C$10=1),60,20),IF(입력란!$C$30=3,IF(OR(입력란!$C$9=1,입력란!$C$10=1),65,22),0))))/100-1))</f>
        <v>1047977.2162068894</v>
      </c>
      <c r="K387" s="21">
        <f>T387*(1+IF($AK387+IF(입력란!$C$9=1,10,0)+IF(입력란!$C$26=1,10,0)&gt;100,100,$AK387+IF(입력란!$C$9=1,10,0)+IF(입력란!$C$26=1,10,0))/100*(($AL387+IF(입력란!$C$30=1,IF(OR(입력란!$C$9=1,입력란!$C$10=1),55,17),IF(입력란!$C$30=2,IF(OR(입력란!$C$9=1,입력란!$C$10=1),60,20),IF(입력란!$C$30=3,IF(OR(입력란!$C$9=1,입력란!$C$10=1),65,22),0))))/100-1))</f>
        <v>2096086.5098871291</v>
      </c>
      <c r="L387" s="21"/>
      <c r="M387" s="21"/>
      <c r="N387" s="21"/>
      <c r="O387" s="21"/>
      <c r="P387" s="21"/>
      <c r="Q387" s="20"/>
      <c r="R387" s="19">
        <f>SUM(S387:Z387)</f>
        <v>1938605.6946086143</v>
      </c>
      <c r="S387" s="21">
        <f>AN387*IF(G387="근접",IF(MID(E387,1,1)="3",트라이포드!$H$20,트라이포드!$G$20),1)*IF(MID(E387,1,1)="1",트라이포드!$D$20,트라이포드!$C$20)*IF(MID(E387,3,1)="1",트라이포드!$J$20,트라이포드!$I$20)*IF(MID(E387,3,1)="2",트라이포드!$L$20,트라이포드!$K$20)*IF(MID(E387,5,1)="1",트라이포드!$P$20,트라이포드!$O$20)*(1+입력란!$P$17/100)*IF(입력란!$C$9=1,IF(입력란!$C$15=0,1.05,IF(입력란!$C$15=1,1.05*1.05,IF(입력란!$C$15=2,1.05*1.12,IF(입력란!$C$15=3,1.05*1.25)))),1)</f>
        <v>646174.75221556833</v>
      </c>
      <c r="T387" s="21">
        <f>AO387*IF(G387="근접",IF(MID(E387,1,1)="3",트라이포드!$H$20,트라이포드!$G$20),1)*IF(MID(E387,1,1)="1",트라이포드!$D$20,트라이포드!$C$20)*IF(MID(E387,3,1)="1",트라이포드!$J$20,트라이포드!$I$20)*IF(MID(E387,3,1)="2",트라이포드!$L$20,트라이포드!$K$20)*IF(MID(E387,5,1)="1",0,IF(MID(E387,5,1)="2",트라이포드!$R$20,트라이포드!$Q$20))*(1+입력란!$P$17/100)*IF(입력란!$C$9=1,IF(입력란!$C$15=0,1.05,IF(입력란!$C$15=1,1.05*1.05,IF(입력란!$C$15=2,1.05*1.12,IF(입력란!$C$15=3,1.05*1.25)))),1)</f>
        <v>1292430.9423930461</v>
      </c>
      <c r="U387" s="21"/>
      <c r="V387" s="21"/>
      <c r="W387" s="21"/>
      <c r="X387" s="21"/>
      <c r="Y387" s="21"/>
      <c r="Z387" s="20"/>
      <c r="AA387" s="21">
        <f>SUM(AB387:AI387)</f>
        <v>3877211.3892172286</v>
      </c>
      <c r="AB387" s="21">
        <f>S387*2</f>
        <v>1292349.5044311367</v>
      </c>
      <c r="AC387" s="21">
        <f>T387*2</f>
        <v>2584861.8847860922</v>
      </c>
      <c r="AD387" s="21"/>
      <c r="AE387" s="21"/>
      <c r="AF387" s="21"/>
      <c r="AG387" s="21"/>
      <c r="AH387" s="21"/>
      <c r="AI387" s="20"/>
      <c r="AJ387" s="21">
        <f>AQ387*(1-입력란!$P$10/100)</f>
        <v>23.711464126079999</v>
      </c>
      <c r="AK3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7" s="21">
        <f>입력란!$P$24+IF(입력란!$C$18=1,10,IF(입력란!$C$18=2,25,IF(입력란!$C$18=3,50,0)))+IF(입력란!$C$23&lt;&gt;0,-12)</f>
        <v>200</v>
      </c>
      <c r="AM387" s="21">
        <f>SUM(AN387:AP387)</f>
        <v>393983.50467884744</v>
      </c>
      <c r="AN387" s="21">
        <f>(VLOOKUP(C387,$B$4:$AJ$7,23,FALSE)+VLOOKUP(C387,$B$8:$AJ$11,23,FALSE)*입력란!$P$4)*IF(G387="근접",입력란!$P$27,IF(MID(E387,1,1)="1",입력란!$P$27,입력란!$P$26))*입력란!$P$25/100</f>
        <v>236384.14446774565</v>
      </c>
      <c r="AO387" s="21">
        <f>(VLOOKUP(C387,$B$4:$AJ$7,24,FALSE)+VLOOKUP(C387,$B$8:$AJ$11,24,FALSE)*입력란!$P$4)*IF(G387="근접",입력란!$P$27,IF(MID(E387,1,1)="1",입력란!$P$27,입력란!$P$26))*입력란!$P$25/100</f>
        <v>157599.3602111018</v>
      </c>
      <c r="AP387" s="21"/>
      <c r="AQ387" s="22">
        <v>24</v>
      </c>
    </row>
    <row r="388" spans="2:43" ht="13.5" customHeight="1" x14ac:dyDescent="0.55000000000000004">
      <c r="B388" s="66">
        <v>373</v>
      </c>
      <c r="C388" s="29">
        <v>1</v>
      </c>
      <c r="D388" s="67" t="s">
        <v>49</v>
      </c>
      <c r="E388" s="27" t="s">
        <v>76</v>
      </c>
      <c r="F388" s="29"/>
      <c r="G388" s="29" t="s">
        <v>417</v>
      </c>
      <c r="H388" s="36">
        <f>I388/AJ388</f>
        <v>31931.870580225364</v>
      </c>
      <c r="I388" s="37">
        <f>SUM(J388:Q388)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757151.40374164307</v>
      </c>
      <c r="J388" s="21">
        <f>S388*(1+IF($AK388+IF(입력란!$C$9=1,10,0)+IF(입력란!$C$26=1,10,0)&gt;100,100,$AK388+IF(입력란!$C$9=1,10,0)+IF(입력란!$C$26=1,10,0))/100*(($AL388+IF(입력란!$C$30=1,IF(OR(입력란!$C$9=1,입력란!$C$10=1),55,17),IF(입력란!$C$30=2,IF(OR(입력란!$C$9=1,입력란!$C$10=1),60,20),IF(입력란!$C$30=3,IF(OR(입력란!$C$9=1,입력란!$C$10=1),65,22),0))))/100-1))</f>
        <v>321703.72063261905</v>
      </c>
      <c r="K388" s="21">
        <f>T388*(1+IF($AK388+IF(입력란!$C$9=1,10,0)+IF(입력란!$C$26=1,10,0)&gt;100,100,$AK388+IF(입력란!$C$9=1,10,0)+IF(입력란!$C$26=1,10,0))/100*(($AL388+IF(입력란!$C$30=1,IF(OR(입력란!$C$9=1,입력란!$C$10=1),55,17),IF(입력란!$C$30=2,IF(OR(입력란!$C$9=1,입력란!$C$10=1),60,20),IF(입력란!$C$30=3,IF(OR(입력란!$C$9=1,입력란!$C$10=1),65,22),0))))/100-1))</f>
        <v>214484.51231238697</v>
      </c>
      <c r="L388" s="21"/>
      <c r="M388" s="21"/>
      <c r="N388" s="21"/>
      <c r="O388" s="21"/>
      <c r="P388" s="21"/>
      <c r="Q388" s="20"/>
      <c r="R388" s="19">
        <f>SUM(S388:Z388)</f>
        <v>330609.57166433579</v>
      </c>
      <c r="S388" s="21">
        <f>AN388*IF(G388="근접",IF(MID(E388,1,1)="3",트라이포드!$H$20,트라이포드!$G$20),1)*IF(입력란!$C$9=1,IF(MID(E388,1,1)="2",트라이포드!$F$20,트라이포드!$E$20),1)*IF(MID(E388,1,1)="1",트라이포드!$D$20,트라이포드!$C$20)*IF(MID(E388,3,1)="1",트라이포드!$J$20,트라이포드!$I$20)*IF(MID(E388,3,1)="2",트라이포드!$L$20,트라이포드!$K$20)*IF(MID(E388,5,1)="1",트라이포드!$P$20,트라이포드!$O$20)*(1+입력란!$P$17/100)*IF(입력란!$C$9=1,IF(입력란!$C$15=0,1.05,IF(입력란!$C$15=1,1.05*1.05,IF(입력란!$C$15=2,1.05*1.12,IF(입력란!$C$15=3,1.05*1.25)))),1)</f>
        <v>198360.05855071035</v>
      </c>
      <c r="T388" s="21">
        <f>AO388*IF(G388="근접",IF(MID(E388,1,1)="3",트라이포드!$H$20,트라이포드!$G$20),1)*IF(입력란!$C$9=1,IF(MID(E388,1,1)="2",트라이포드!$F$20,트라이포드!$E$20),1)*IF(MID(E388,1,1)="1",트라이포드!$D$20,트라이포드!$C$20)*IF(MID(E388,3,1)="1",트라이포드!$J$20,트라이포드!$I$20)*IF(MID(E388,3,1)="2",트라이포드!$L$20,트라이포드!$K$20)*IF(MID(E388,5,1)="1",0,IF(MID(E388,5,1)="2",트라이포드!$R$20,트라이포드!$Q$20))*(1+입력란!$P$17/100)*IF(입력란!$C$9=1,IF(입력란!$C$15=0,1.05,IF(입력란!$C$15=1,1.05*1.05,IF(입력란!$C$15=2,1.05*1.12,IF(입력란!$C$15=3,1.05*1.25)))),1)</f>
        <v>132249.51311362541</v>
      </c>
      <c r="U388" s="21"/>
      <c r="V388" s="21"/>
      <c r="W388" s="21"/>
      <c r="X388" s="21"/>
      <c r="Y388" s="21"/>
      <c r="Z388" s="20"/>
      <c r="AA388" s="21">
        <f>SUM(AB388:AI388)</f>
        <v>661219.14332867158</v>
      </c>
      <c r="AB388" s="21">
        <f>S388*2</f>
        <v>396720.11710142071</v>
      </c>
      <c r="AC388" s="21">
        <f>T388*2</f>
        <v>264499.02622725081</v>
      </c>
      <c r="AD388" s="21"/>
      <c r="AE388" s="21"/>
      <c r="AF388" s="21"/>
      <c r="AG388" s="21"/>
      <c r="AH388" s="21"/>
      <c r="AI388" s="20"/>
      <c r="AJ388" s="21">
        <f>AQ388*(1-입력란!$P$10/100)</f>
        <v>23.711464126079999</v>
      </c>
      <c r="AK3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8" s="21">
        <f>입력란!$P$24+IF(입력란!$C$18=1,10,IF(입력란!$C$18=2,25,IF(입력란!$C$18=3,50,0)))+IF(입력란!$C$23&lt;&gt;0,-12)</f>
        <v>200</v>
      </c>
      <c r="AM388" s="21">
        <f>SUM(AN388:AP388)</f>
        <v>196533.75233942375</v>
      </c>
      <c r="AN388" s="21">
        <f>(VLOOKUP(C388,$B$4:$AJ$7,23,FALSE)+VLOOKUP(C388,$B$8:$AJ$11,23,FALSE)*입력란!$P$4)*IF(G388="근접",입력란!$P$27,IF(MID(E388,1,1)="1",입력란!$P$27,입력란!$P$26))*입력란!$P$25/100</f>
        <v>117916.87223387283</v>
      </c>
      <c r="AO388" s="21">
        <f>(VLOOKUP(C388,$B$4:$AJ$7,24,FALSE)+VLOOKUP(C388,$B$8:$AJ$11,24,FALSE)*입력란!$P$4)*IF(G388="근접",입력란!$P$27,IF(MID(E388,1,1)="1",입력란!$P$27,입력란!$P$26))*입력란!$P$25/100</f>
        <v>78616.88010555091</v>
      </c>
      <c r="AP388" s="21"/>
      <c r="AQ388" s="22">
        <v>24</v>
      </c>
    </row>
    <row r="389" spans="2:43" ht="13.5" customHeight="1" x14ac:dyDescent="0.55000000000000004">
      <c r="B389" s="66">
        <v>374</v>
      </c>
      <c r="C389" s="29">
        <v>4</v>
      </c>
      <c r="D389" s="67" t="s">
        <v>49</v>
      </c>
      <c r="E389" s="27" t="s">
        <v>76</v>
      </c>
      <c r="F389" s="29"/>
      <c r="G389" s="29" t="s">
        <v>417</v>
      </c>
      <c r="H389" s="36">
        <f>I389/AJ389</f>
        <v>31973.984165072103</v>
      </c>
      <c r="I389" s="37">
        <f>SUM(J389:Q389)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758149.97849795711</v>
      </c>
      <c r="J389" s="21">
        <f>S389*(1+IF($AK389+IF(입력란!$C$9=1,10,0)+IF(입력란!$C$26=1,10,0)&gt;100,100,$AK389+IF(입력란!$C$9=1,10,0)+IF(입력란!$C$26=1,10,0))/100*(($AL389+IF(입력란!$C$30=1,IF(OR(입력란!$C$9=1,입력란!$C$10=1),55,17),IF(입력란!$C$30=2,IF(OR(입력란!$C$9=1,입력란!$C$10=1),60,20),IF(입력란!$C$30=3,IF(OR(입력란!$C$9=1,입력란!$C$10=1),65,22),0))))/100-1))</f>
        <v>322129.32368219073</v>
      </c>
      <c r="K389" s="21">
        <f>T389*(1+IF($AK389+IF(입력란!$C$9=1,10,0)+IF(입력란!$C$26=1,10,0)&gt;100,100,$AK389+IF(입력란!$C$9=1,10,0)+IF(입력란!$C$26=1,10,0))/100*(($AL389+IF(입력란!$C$30=1,IF(OR(입력란!$C$9=1,입력란!$C$10=1),55,17),IF(입력란!$C$30=2,IF(OR(입력란!$C$9=1,입력란!$C$10=1),60,20),IF(입력란!$C$30=3,IF(OR(입력란!$C$9=1,입력란!$C$10=1),65,22),0))))/100-1))</f>
        <v>214766.06509902669</v>
      </c>
      <c r="L389" s="21"/>
      <c r="M389" s="21"/>
      <c r="N389" s="21"/>
      <c r="O389" s="21"/>
      <c r="P389" s="21"/>
      <c r="Q389" s="20"/>
      <c r="R389" s="19">
        <f>SUM(S389:Z389)</f>
        <v>331045.59855516418</v>
      </c>
      <c r="S389" s="21">
        <f>AN389*IF(G389="근접",IF(MID(E389,1,1)="3",트라이포드!$H$20,트라이포드!$G$20),1)*IF(입력란!$C$9=1,IF(MID(E389,1,1)="2",트라이포드!$F$20,트라이포드!$E$20),1)*IF(MID(E389,1,1)="1",트라이포드!$D$20,트라이포드!$C$20)*IF(MID(E389,3,1)="1",트라이포드!$J$20,트라이포드!$I$20)*IF(MID(E389,3,1)="2",트라이포드!$L$20,트라이포드!$K$20)*IF(MID(E389,5,1)="1",트라이포드!$P$20,트라이포드!$O$20)*(1+입력란!$P$17/100)*IF(입력란!$C$9=1,IF(입력란!$C$15=0,1.05,IF(입력란!$C$15=1,1.05*1.05,IF(입력란!$C$15=2,1.05*1.12,IF(입력란!$C$15=3,1.05*1.25)))),1)</f>
        <v>198622.48214241263</v>
      </c>
      <c r="T389" s="21">
        <f>AO389*IF(G389="근접",IF(MID(E389,1,1)="3",트라이포드!$H$20,트라이포드!$G$20),1)*IF(입력란!$C$9=1,IF(MID(E389,1,1)="2",트라이포드!$F$20,트라이포드!$E$20),1)*IF(MID(E389,1,1)="1",트라이포드!$D$20,트라이포드!$C$20)*IF(MID(E389,3,1)="1",트라이포드!$J$20,트라이포드!$I$20)*IF(MID(E389,3,1)="2",트라이포드!$L$20,트라이포드!$K$20)*IF(MID(E389,5,1)="1",0,IF(MID(E389,5,1)="2",트라이포드!$R$20,트라이포드!$Q$20))*(1+입력란!$P$17/100)*IF(입력란!$C$9=1,IF(입력란!$C$15=0,1.05,IF(입력란!$C$15=1,1.05*1.05,IF(입력란!$C$15=2,1.05*1.12,IF(입력란!$C$15=3,1.05*1.25)))),1)</f>
        <v>132423.11641275152</v>
      </c>
      <c r="U389" s="21"/>
      <c r="V389" s="21"/>
      <c r="W389" s="21"/>
      <c r="X389" s="21"/>
      <c r="Y389" s="21"/>
      <c r="Z389" s="20"/>
      <c r="AA389" s="21">
        <f>SUM(AB389:AI389)</f>
        <v>662091.19711032836</v>
      </c>
      <c r="AB389" s="21">
        <f>S389*2</f>
        <v>397244.96428482526</v>
      </c>
      <c r="AC389" s="21">
        <f>T389*2</f>
        <v>264846.23282550304</v>
      </c>
      <c r="AD389" s="21"/>
      <c r="AE389" s="21"/>
      <c r="AF389" s="21"/>
      <c r="AG389" s="21"/>
      <c r="AH389" s="21"/>
      <c r="AI389" s="20"/>
      <c r="AJ389" s="21">
        <f>AQ389*(1-입력란!$P$10/100)</f>
        <v>23.711464126079999</v>
      </c>
      <c r="AK3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89" s="21">
        <f>입력란!$P$24+IF(입력란!$C$18=1,10,IF(입력란!$C$18=2,25,IF(입력란!$C$18=3,50,0)))+IF(입력란!$C$23&lt;&gt;0,-12)</f>
        <v>200</v>
      </c>
      <c r="AM389" s="21">
        <f>SUM(AN389:AP389)</f>
        <v>196792.95233942373</v>
      </c>
      <c r="AN389" s="21">
        <f>(VLOOKUP(C389,$B$4:$AJ$7,23,FALSE)+VLOOKUP(C389,$B$8:$AJ$11,23,FALSE)*입력란!$P$4)*IF(G389="근접",입력란!$P$27,IF(MID(E389,1,1)="1",입력란!$P$27,입력란!$P$26))*입력란!$P$25/100</f>
        <v>118072.87223387283</v>
      </c>
      <c r="AO389" s="21">
        <f>(VLOOKUP(C389,$B$4:$AJ$7,24,FALSE)+VLOOKUP(C389,$B$8:$AJ$11,24,FALSE)*입력란!$P$4)*IF(G389="근접",입력란!$P$27,IF(MID(E389,1,1)="1",입력란!$P$27,입력란!$P$26))*입력란!$P$25/100</f>
        <v>78720.080105550907</v>
      </c>
      <c r="AP389" s="21"/>
      <c r="AQ389" s="22">
        <v>24</v>
      </c>
    </row>
    <row r="390" spans="2:43" ht="13.5" customHeight="1" x14ac:dyDescent="0.55000000000000004">
      <c r="B390" s="66">
        <v>375</v>
      </c>
      <c r="C390" s="29">
        <v>4</v>
      </c>
      <c r="D390" s="67" t="s">
        <v>49</v>
      </c>
      <c r="E390" s="27" t="s">
        <v>171</v>
      </c>
      <c r="F390" s="29"/>
      <c r="G390" s="29" t="s">
        <v>417</v>
      </c>
      <c r="H390" s="36">
        <f>I390/AJ390</f>
        <v>70342.765163158649</v>
      </c>
      <c r="I390" s="37">
        <f>SUM(J390:Q390)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1667929.9526955062</v>
      </c>
      <c r="J390" s="21">
        <f>S390*(1+IF($AK390+IF(입력란!$C$9=1,10,0)+IF(입력란!$C$26=1,10,0)&gt;100,100,$AK390+IF(입력란!$C$9=1,10,0)+IF(입력란!$C$26=1,10,0))/100*(($AL390+IF(입력란!$C$30=1,IF(OR(입력란!$C$9=1,입력란!$C$10=1),55,17),IF(입력란!$C$30=2,IF(OR(입력란!$C$9=1,입력란!$C$10=1),60,20),IF(입력란!$C$30=3,IF(OR(입력란!$C$9=1,입력란!$C$10=1),65,22),0))))/100-1))</f>
        <v>708684.51210081961</v>
      </c>
      <c r="K390" s="21">
        <f>T390*(1+IF($AK390+IF(입력란!$C$9=1,10,0)+IF(입력란!$C$26=1,10,0)&gt;100,100,$AK390+IF(입력란!$C$9=1,10,0)+IF(입력란!$C$26=1,10,0))/100*(($AL390+IF(입력란!$C$30=1,IF(OR(입력란!$C$9=1,입력란!$C$10=1),55,17),IF(입력란!$C$30=2,IF(OR(입력란!$C$9=1,입력란!$C$10=1),60,20),IF(입력란!$C$30=3,IF(OR(입력란!$C$9=1,입력란!$C$10=1),65,22),0))))/100-1))</f>
        <v>472485.34321785881</v>
      </c>
      <c r="L390" s="21"/>
      <c r="M390" s="21"/>
      <c r="N390" s="21"/>
      <c r="O390" s="21"/>
      <c r="P390" s="21"/>
      <c r="Q390" s="20"/>
      <c r="R390" s="19">
        <f>SUM(S390:Z390)</f>
        <v>728300.31682136119</v>
      </c>
      <c r="S390" s="21">
        <f>AN390*IF(G390="근접",IF(MID(E390,1,1)="3",트라이포드!$H$20,트라이포드!$G$20),1)*IF(입력란!$C$9=1,IF(MID(E390,1,1)="2",트라이포드!$F$20,트라이포드!$E$20),1)*IF(MID(E390,1,1)="1",트라이포드!$D$20,트라이포드!$C$20)*IF(MID(E390,3,1)="1",트라이포드!$J$20,트라이포드!$I$20)*IF(MID(E390,3,1)="2",트라이포드!$L$20,트라이포드!$K$20)*IF(MID(E390,5,1)="1",트라이포드!$P$20,트라이포드!$O$20)*(1+입력란!$P$17/100)*IF(입력란!$C$9=1,IF(입력란!$C$15=0,1.05,IF(입력란!$C$15=1,1.05*1.05,IF(입력란!$C$15=2,1.05*1.12,IF(입력란!$C$15=3,1.05*1.25)))),1)</f>
        <v>436969.46071330784</v>
      </c>
      <c r="T390" s="21">
        <f>AO390*IF(G390="근접",IF(MID(E390,1,1)="3",트라이포드!$H$20,트라이포드!$G$20),1)*IF(입력란!$C$9=1,IF(MID(E390,1,1)="2",트라이포드!$F$20,트라이포드!$E$20),1)*IF(MID(E390,1,1)="1",트라이포드!$D$20,트라이포드!$C$20)*IF(MID(E390,3,1)="1",트라이포드!$J$20,트라이포드!$I$20)*IF(MID(E390,3,1)="2",트라이포드!$L$20,트라이포드!$K$20)*IF(MID(E390,5,1)="1",0,IF(MID(E390,5,1)="2",트라이포드!$R$20,트라이포드!$Q$20))*(1+입력란!$P$17/100)*IF(입력란!$C$9=1,IF(입력란!$C$15=0,1.05,IF(입력란!$C$15=1,1.05*1.05,IF(입력란!$C$15=2,1.05*1.12,IF(입력란!$C$15=3,1.05*1.25)))),1)</f>
        <v>291330.85610805341</v>
      </c>
      <c r="U390" s="21"/>
      <c r="V390" s="21"/>
      <c r="W390" s="21"/>
      <c r="X390" s="21"/>
      <c r="Y390" s="21"/>
      <c r="Z390" s="20"/>
      <c r="AA390" s="21">
        <f>SUM(AB390:AI390)</f>
        <v>1456600.6336427224</v>
      </c>
      <c r="AB390" s="21">
        <f>S390*2</f>
        <v>873938.92142661568</v>
      </c>
      <c r="AC390" s="21">
        <f>T390*2</f>
        <v>582661.71221610683</v>
      </c>
      <c r="AD390" s="21"/>
      <c r="AE390" s="21"/>
      <c r="AF390" s="21"/>
      <c r="AG390" s="21"/>
      <c r="AH390" s="21"/>
      <c r="AI390" s="20"/>
      <c r="AJ390" s="21">
        <f>AQ390*(1-입력란!$P$10/100)</f>
        <v>23.711464126079999</v>
      </c>
      <c r="AK3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0" s="21">
        <f>입력란!$P$24+IF(입력란!$C$18=1,10,IF(입력란!$C$18=2,25,IF(입력란!$C$18=3,50,0)))+IF(입력란!$C$23&lt;&gt;0,-12)</f>
        <v>200</v>
      </c>
      <c r="AM390" s="21">
        <f>SUM(AN390:AP390)</f>
        <v>393585.90467884747</v>
      </c>
      <c r="AN390" s="21">
        <f>(VLOOKUP(C390,$B$4:$AJ$7,23,FALSE)+VLOOKUP(C390,$B$8:$AJ$11,23,FALSE)*입력란!$P$4)*IF(G390="근접",입력란!$P$27,IF(MID(E390,1,1)="1",입력란!$P$27,입력란!$P$26))*입력란!$P$25/100</f>
        <v>236145.74446774565</v>
      </c>
      <c r="AO390" s="21">
        <f>(VLOOKUP(C390,$B$4:$AJ$7,24,FALSE)+VLOOKUP(C390,$B$8:$AJ$11,24,FALSE)*입력란!$P$4)*IF(G390="근접",입력란!$P$27,IF(MID(E390,1,1)="1",입력란!$P$27,입력란!$P$26))*입력란!$P$25/100</f>
        <v>157440.16021110181</v>
      </c>
      <c r="AP390" s="21"/>
      <c r="AQ390" s="22">
        <v>24</v>
      </c>
    </row>
    <row r="391" spans="2:43" ht="13.5" customHeight="1" x14ac:dyDescent="0.55000000000000004">
      <c r="B391" s="66">
        <v>376</v>
      </c>
      <c r="C391" s="29">
        <v>4</v>
      </c>
      <c r="D391" s="67" t="s">
        <v>49</v>
      </c>
      <c r="E391" s="27" t="s">
        <v>77</v>
      </c>
      <c r="F391" s="29"/>
      <c r="G391" s="29" t="s">
        <v>417</v>
      </c>
      <c r="H391" s="36">
        <f>I391/AJ391</f>
        <v>39967.480206340137</v>
      </c>
      <c r="I391" s="37">
        <f>SUM(J391:Q391)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947687.47312244656</v>
      </c>
      <c r="J391" s="21">
        <f>S391*(1+IF($AK391+IF(입력란!$C$9=1,10,0)+IF(입력란!$C$26=1,10,0)&gt;100,100,$AK391+IF(입력란!$C$9=1,10,0)+IF(입력란!$C$26=1,10,0))/100*(($AL391+IF(입력란!$C$30=1,IF(OR(입력란!$C$9=1,입력란!$C$10=1),55,17),IF(입력란!$C$30=2,IF(OR(입력란!$C$9=1,입력란!$C$10=1),60,20),IF(입력란!$C$30=3,IF(OR(입력란!$C$9=1,입력란!$C$10=1),65,22),0))))/100-1))</f>
        <v>402661.65460273839</v>
      </c>
      <c r="K391" s="21">
        <f>T391*(1+IF($AK391+IF(입력란!$C$9=1,10,0)+IF(입력란!$C$26=1,10,0)&gt;100,100,$AK391+IF(입력란!$C$9=1,10,0)+IF(입력란!$C$26=1,10,0))/100*(($AL391+IF(입력란!$C$30=1,IF(OR(입력란!$C$9=1,입력란!$C$10=1),55,17),IF(입력란!$C$30=2,IF(OR(입력란!$C$9=1,입력란!$C$10=1),60,20),IF(입력란!$C$30=3,IF(OR(입력란!$C$9=1,입력란!$C$10=1),65,22),0))))/100-1))</f>
        <v>268457.58137378341</v>
      </c>
      <c r="L391" s="21"/>
      <c r="M391" s="21"/>
      <c r="N391" s="21"/>
      <c r="O391" s="21"/>
      <c r="P391" s="21"/>
      <c r="Q391" s="20"/>
      <c r="R391" s="19">
        <f>SUM(S391:Z391)</f>
        <v>413806.99819395517</v>
      </c>
      <c r="S391" s="21">
        <f>AN391*IF(G391="근접",IF(MID(E391,1,1)="3",트라이포드!$H$20,트라이포드!$G$20),1)*IF(입력란!$C$9=1,IF(MID(E391,1,1)="2",트라이포드!$F$20,트라이포드!$E$20),1)*IF(MID(E391,1,1)="1",트라이포드!$D$20,트라이포드!$C$20)*IF(MID(E391,3,1)="1",트라이포드!$J$20,트라이포드!$I$20)*IF(MID(E391,3,1)="2",트라이포드!$L$20,트라이포드!$K$20)*IF(MID(E391,5,1)="1",트라이포드!$P$20,트라이포드!$O$20)*(1+입력란!$P$17/100)*IF(입력란!$C$9=1,IF(입력란!$C$15=0,1.05,IF(입력란!$C$15=1,1.05*1.05,IF(입력란!$C$15=2,1.05*1.12,IF(입력란!$C$15=3,1.05*1.25)))),1)</f>
        <v>248278.10267801577</v>
      </c>
      <c r="T391" s="21">
        <f>AO391*IF(G391="근접",IF(MID(E391,1,1)="3",트라이포드!$H$20,트라이포드!$G$20),1)*IF(입력란!$C$9=1,IF(MID(E391,1,1)="2",트라이포드!$F$20,트라이포드!$E$20),1)*IF(MID(E391,1,1)="1",트라이포드!$D$20,트라이포드!$C$20)*IF(MID(E391,3,1)="1",트라이포드!$J$20,트라이포드!$I$20)*IF(MID(E391,3,1)="2",트라이포드!$L$20,트라이포드!$K$20)*IF(MID(E391,5,1)="1",0,IF(MID(E391,5,1)="2",트라이포드!$R$20,트라이포드!$Q$20))*(1+입력란!$P$17/100)*IF(입력란!$C$9=1,IF(입력란!$C$15=0,1.05,IF(입력란!$C$15=1,1.05*1.05,IF(입력란!$C$15=2,1.05*1.12,IF(입력란!$C$15=3,1.05*1.25)))),1)</f>
        <v>165528.89551593942</v>
      </c>
      <c r="U391" s="21"/>
      <c r="V391" s="21"/>
      <c r="W391" s="21"/>
      <c r="X391" s="21"/>
      <c r="Y391" s="21"/>
      <c r="Z391" s="20"/>
      <c r="AA391" s="21">
        <f>SUM(AB391:AI391)</f>
        <v>827613.99638791033</v>
      </c>
      <c r="AB391" s="21">
        <f>S391*2</f>
        <v>496556.20535603154</v>
      </c>
      <c r="AC391" s="21">
        <f>T391*2</f>
        <v>331057.79103187885</v>
      </c>
      <c r="AD391" s="21"/>
      <c r="AE391" s="21"/>
      <c r="AF391" s="21"/>
      <c r="AG391" s="21"/>
      <c r="AH391" s="21"/>
      <c r="AI391" s="20"/>
      <c r="AJ391" s="21">
        <f>AQ391*(1-입력란!$P$10/100)</f>
        <v>23.711464126079999</v>
      </c>
      <c r="AK39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1" s="21">
        <f>입력란!$P$24+IF(입력란!$C$18=1,10,IF(입력란!$C$18=2,25,IF(입력란!$C$18=3,50,0)))+IF(입력란!$C$23&lt;&gt;0,-12)</f>
        <v>200</v>
      </c>
      <c r="AM391" s="21">
        <f>SUM(AN391:AP391)</f>
        <v>196792.95233942373</v>
      </c>
      <c r="AN391" s="21">
        <f>(VLOOKUP(C391,$B$4:$AJ$7,23,FALSE)+VLOOKUP(C391,$B$8:$AJ$11,23,FALSE)*입력란!$P$4)*IF(G391="근접",입력란!$P$27,IF(MID(E391,1,1)="1",입력란!$P$27,입력란!$P$26))*입력란!$P$25/100</f>
        <v>118072.87223387283</v>
      </c>
      <c r="AO391" s="21">
        <f>(VLOOKUP(C391,$B$4:$AJ$7,24,FALSE)+VLOOKUP(C391,$B$8:$AJ$11,24,FALSE)*입력란!$P$4)*IF(G391="근접",입력란!$P$27,IF(MID(E391,1,1)="1",입력란!$P$27,입력란!$P$26))*입력란!$P$25/100</f>
        <v>78720.080105550907</v>
      </c>
      <c r="AP391" s="21"/>
      <c r="AQ391" s="22">
        <v>24</v>
      </c>
    </row>
    <row r="392" spans="2:43" ht="13.5" customHeight="1" x14ac:dyDescent="0.55000000000000004">
      <c r="B392" s="66">
        <v>377</v>
      </c>
      <c r="C392" s="29">
        <v>4</v>
      </c>
      <c r="D392" s="67" t="s">
        <v>49</v>
      </c>
      <c r="E392" s="27" t="s">
        <v>95</v>
      </c>
      <c r="F392" s="29"/>
      <c r="G392" s="29" t="s">
        <v>417</v>
      </c>
      <c r="H392" s="36">
        <f>I392/AJ392</f>
        <v>31973.984165072103</v>
      </c>
      <c r="I392" s="37">
        <f>SUM(J392:Q392)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758149.97849795711</v>
      </c>
      <c r="J392" s="21">
        <f>S392*(1+IF($AK392+IF(입력란!$C$9=1,10,0)+IF(입력란!$C$26=1,10,0)&gt;100,100,$AK392+IF(입력란!$C$9=1,10,0)+IF(입력란!$C$26=1,10,0))/100*(($AL392+IF(입력란!$C$30=1,IF(OR(입력란!$C$9=1,입력란!$C$10=1),55,17),IF(입력란!$C$30=2,IF(OR(입력란!$C$9=1,입력란!$C$10=1),60,20),IF(입력란!$C$30=3,IF(OR(입력란!$C$9=1,입력란!$C$10=1),65,22),0))))/100-1))</f>
        <v>322129.32368219073</v>
      </c>
      <c r="K392" s="21">
        <f>T392*(1+IF($AK392+IF(입력란!$C$9=1,10,0)+IF(입력란!$C$26=1,10,0)&gt;100,100,$AK392+IF(입력란!$C$9=1,10,0)+IF(입력란!$C$26=1,10,0))/100*(($AL392+IF(입력란!$C$30=1,IF(OR(입력란!$C$9=1,입력란!$C$10=1),55,17),IF(입력란!$C$30=2,IF(OR(입력란!$C$9=1,입력란!$C$10=1),60,20),IF(입력란!$C$30=3,IF(OR(입력란!$C$9=1,입력란!$C$10=1),65,22),0))))/100-1))</f>
        <v>214766.06509902669</v>
      </c>
      <c r="L392" s="21"/>
      <c r="M392" s="21"/>
      <c r="N392" s="21"/>
      <c r="O392" s="21"/>
      <c r="P392" s="21"/>
      <c r="Q392" s="20"/>
      <c r="R392" s="19">
        <f>SUM(S392:Z392)</f>
        <v>331045.59855516418</v>
      </c>
      <c r="S392" s="21">
        <f>AN392*IF(G392="근접",IF(MID(E392,1,1)="3",트라이포드!$H$20,트라이포드!$G$20),1)*IF(입력란!$C$9=1,IF(MID(E392,1,1)="2",트라이포드!$F$20,트라이포드!$E$20),1)*IF(MID(E392,1,1)="1",트라이포드!$D$20,트라이포드!$C$20)*IF(MID(E392,3,1)="1",트라이포드!$J$20,트라이포드!$I$20)*IF(MID(E392,3,1)="2",트라이포드!$L$20,트라이포드!$K$20)*IF(MID(E392,5,1)="1",트라이포드!$P$20,트라이포드!$O$20)*(1+입력란!$P$17/100)*IF(입력란!$C$9=1,IF(입력란!$C$15=0,1.05,IF(입력란!$C$15=1,1.05*1.05,IF(입력란!$C$15=2,1.05*1.12,IF(입력란!$C$15=3,1.05*1.25)))),1)</f>
        <v>198622.48214241263</v>
      </c>
      <c r="T392" s="21">
        <f>AO392*IF(G392="근접",IF(MID(E392,1,1)="3",트라이포드!$H$20,트라이포드!$G$20),1)*IF(입력란!$C$9=1,IF(MID(E392,1,1)="2",트라이포드!$F$20,트라이포드!$E$20),1)*IF(MID(E392,1,1)="1",트라이포드!$D$20,트라이포드!$C$20)*IF(MID(E392,3,1)="1",트라이포드!$J$20,트라이포드!$I$20)*IF(MID(E392,3,1)="2",트라이포드!$L$20,트라이포드!$K$20)*IF(MID(E392,5,1)="1",0,IF(MID(E392,5,1)="2",트라이포드!$R$20,트라이포드!$Q$20))*(1+입력란!$P$17/100)*IF(입력란!$C$9=1,IF(입력란!$C$15=0,1.05,IF(입력란!$C$15=1,1.05*1.05,IF(입력란!$C$15=2,1.05*1.12,IF(입력란!$C$15=3,1.05*1.25)))),1)</f>
        <v>132423.11641275152</v>
      </c>
      <c r="U392" s="21"/>
      <c r="V392" s="21"/>
      <c r="W392" s="21"/>
      <c r="X392" s="21"/>
      <c r="Y392" s="21"/>
      <c r="Z392" s="20"/>
      <c r="AA392" s="21">
        <f>SUM(AB392:AI392)</f>
        <v>662091.19711032836</v>
      </c>
      <c r="AB392" s="21">
        <f>S392*2</f>
        <v>397244.96428482526</v>
      </c>
      <c r="AC392" s="21">
        <f>T392*2</f>
        <v>264846.23282550304</v>
      </c>
      <c r="AD392" s="21"/>
      <c r="AE392" s="21"/>
      <c r="AF392" s="21"/>
      <c r="AG392" s="21"/>
      <c r="AH392" s="21"/>
      <c r="AI392" s="20"/>
      <c r="AJ392" s="21">
        <f>AQ392*(1-입력란!$P$10/100)</f>
        <v>23.711464126079999</v>
      </c>
      <c r="AK39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2" s="21">
        <f>입력란!$P$24+IF(입력란!$C$18=1,10,IF(입력란!$C$18=2,25,IF(입력란!$C$18=3,50,0)))+IF(입력란!$C$23&lt;&gt;0,-12)</f>
        <v>200</v>
      </c>
      <c r="AM392" s="21">
        <f>SUM(AN392:AP392)</f>
        <v>196792.95233942373</v>
      </c>
      <c r="AN392" s="21">
        <f>(VLOOKUP(C392,$B$4:$AJ$7,23,FALSE)+VLOOKUP(C392,$B$8:$AJ$11,23,FALSE)*입력란!$P$4)*IF(G392="근접",입력란!$P$27,IF(MID(E392,1,1)="1",입력란!$P$27,입력란!$P$26))*입력란!$P$25/100</f>
        <v>118072.87223387283</v>
      </c>
      <c r="AO392" s="21">
        <f>(VLOOKUP(C392,$B$4:$AJ$7,24,FALSE)+VLOOKUP(C392,$B$8:$AJ$11,24,FALSE)*입력란!$P$4)*IF(G392="근접",입력란!$P$27,IF(MID(E392,1,1)="1",입력란!$P$27,입력란!$P$26))*입력란!$P$25/100</f>
        <v>78720.080105550907</v>
      </c>
      <c r="AP392" s="21"/>
      <c r="AQ392" s="22">
        <v>24</v>
      </c>
    </row>
    <row r="393" spans="2:43" ht="13.5" customHeight="1" x14ac:dyDescent="0.55000000000000004">
      <c r="B393" s="66">
        <v>378</v>
      </c>
      <c r="C393" s="29">
        <v>7</v>
      </c>
      <c r="D393" s="67" t="s">
        <v>49</v>
      </c>
      <c r="E393" s="27" t="s">
        <v>76</v>
      </c>
      <c r="F393" s="29"/>
      <c r="G393" s="29" t="s">
        <v>417</v>
      </c>
      <c r="H393" s="36">
        <f>I393/AJ393</f>
        <v>31993.676165393954</v>
      </c>
      <c r="I393" s="37">
        <f>SUM(J393:Q393)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758616.90465715947</v>
      </c>
      <c r="J393" s="21">
        <f>S393*(1+IF($AK393+IF(입력란!$C$9=1,10,0)+IF(입력란!$C$26=1,10,0)&gt;100,100,$AK393+IF(입력란!$C$9=1,10,0)+IF(입력란!$C$26=1,10,0))/100*(($AL393+IF(입력란!$C$30=1,IF(OR(입력란!$C$9=1,입력란!$C$10=1),55,17),IF(입력란!$C$30=2,IF(OR(입력란!$C$9=1,입력란!$C$10=1),60,20),IF(입력란!$C$30=3,IF(OR(입력란!$C$9=1,입력란!$C$10=1),65,22),0))))/100-1))</f>
        <v>322327.9384386575</v>
      </c>
      <c r="K393" s="21">
        <f>T393*(1+IF($AK393+IF(입력란!$C$9=1,10,0)+IF(입력란!$C$26=1,10,0)&gt;100,100,$AK393+IF(입력란!$C$9=1,10,0)+IF(입력란!$C$26=1,10,0))/100*(($AL393+IF(입력란!$C$30=1,IF(OR(입력란!$C$9=1,입력란!$C$10=1),55,17),IF(입력란!$C$30=2,IF(OR(입력란!$C$9=1,입력란!$C$10=1),60,20),IF(입력란!$C$30=3,IF(OR(입력란!$C$9=1,입력란!$C$10=1),65,22),0))))/100-1))</f>
        <v>214898.11117338095</v>
      </c>
      <c r="L393" s="21"/>
      <c r="M393" s="21"/>
      <c r="N393" s="21"/>
      <c r="O393" s="21"/>
      <c r="P393" s="21"/>
      <c r="Q393" s="20"/>
      <c r="R393" s="19">
        <f>SUM(S393:Z393)</f>
        <v>331249.48149948672</v>
      </c>
      <c r="S393" s="21">
        <f>AN393*IF(G393="근접",IF(MID(E393,1,1)="3",트라이포드!$H$20,트라이포드!$G$20),1)*IF(입력란!$C$9=1,IF(MID(E393,1,1)="2",트라이포드!$F$20,트라이포드!$E$20),1)*IF(MID(E393,1,1)="1",트라이포드!$D$20,트라이포드!$C$20)*IF(MID(E393,3,1)="1",트라이포드!$J$20,트라이포드!$I$20)*IF(MID(E393,3,1)="2",트라이포드!$L$20,트라이포드!$K$20)*IF(MID(E393,5,1)="1",트라이포드!$P$20,트라이포드!$O$20)*(1+입력란!$P$17/100)*IF(입력란!$C$9=1,IF(입력란!$C$15=0,1.05,IF(입력란!$C$15=1,1.05*1.05,IF(입력란!$C$15=2,1.05*1.12,IF(입력란!$C$15=3,1.05*1.25)))),1)</f>
        <v>198744.94648520704</v>
      </c>
      <c r="T393" s="21">
        <f>AO393*IF(G393="근접",IF(MID(E393,1,1)="3",트라이포드!$H$20,트라이포드!$G$20),1)*IF(입력란!$C$9=1,IF(MID(E393,1,1)="2",트라이포드!$F$20,트라이포드!$E$20),1)*IF(MID(E393,1,1)="1",트라이포드!$D$20,트라이포드!$C$20)*IF(MID(E393,3,1)="1",트라이포드!$J$20,트라이포드!$I$20)*IF(MID(E393,3,1)="2",트라이포드!$L$20,트라이포드!$K$20)*IF(MID(E393,5,1)="1",0,IF(MID(E393,5,1)="2",트라이포드!$R$20,트라이포드!$Q$20))*(1+입력란!$P$17/100)*IF(입력란!$C$9=1,IF(입력란!$C$15=0,1.05,IF(입력란!$C$15=1,1.05*1.05,IF(입력란!$C$15=2,1.05*1.12,IF(입력란!$C$15=3,1.05*1.25)))),1)</f>
        <v>132504.53501427965</v>
      </c>
      <c r="U393" s="21"/>
      <c r="V393" s="21"/>
      <c r="W393" s="21"/>
      <c r="X393" s="21"/>
      <c r="Y393" s="21"/>
      <c r="Z393" s="20"/>
      <c r="AA393" s="21">
        <f>SUM(AB393:AI393)</f>
        <v>662498.96299897344</v>
      </c>
      <c r="AB393" s="21">
        <f>S393*2</f>
        <v>397489.89297041408</v>
      </c>
      <c r="AC393" s="21">
        <f>T393*2</f>
        <v>265009.0700285593</v>
      </c>
      <c r="AD393" s="21"/>
      <c r="AE393" s="21"/>
      <c r="AF393" s="21"/>
      <c r="AG393" s="21"/>
      <c r="AH393" s="21"/>
      <c r="AI393" s="20"/>
      <c r="AJ393" s="21">
        <f>AQ393*(1-입력란!$P$10/100)</f>
        <v>23.711464126079999</v>
      </c>
      <c r="AK39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3" s="21">
        <f>입력란!$P$24+IF(입력란!$C$18=1,10,IF(입력란!$C$18=2,25,IF(입력란!$C$18=3,50,0)))+IF(입력란!$C$23&lt;&gt;0,-12)</f>
        <v>200</v>
      </c>
      <c r="AM393" s="21">
        <f>SUM(AN393:AP393)</f>
        <v>196914.15233942372</v>
      </c>
      <c r="AN393" s="21">
        <f>(VLOOKUP(C393,$B$4:$AJ$7,23,FALSE)+VLOOKUP(C393,$B$8:$AJ$11,23,FALSE)*입력란!$P$4)*IF(G393="근접",입력란!$P$27,IF(MID(E393,1,1)="1",입력란!$P$27,입력란!$P$26))*입력란!$P$25/100</f>
        <v>118145.67223387283</v>
      </c>
      <c r="AO393" s="21">
        <f>(VLOOKUP(C393,$B$4:$AJ$7,24,FALSE)+VLOOKUP(C393,$B$8:$AJ$11,24,FALSE)*입력란!$P$4)*IF(G393="근접",입력란!$P$27,IF(MID(E393,1,1)="1",입력란!$P$27,입력란!$P$26))*입력란!$P$25/100</f>
        <v>78768.480105550901</v>
      </c>
      <c r="AP393" s="21"/>
      <c r="AQ393" s="22">
        <v>24</v>
      </c>
    </row>
    <row r="394" spans="2:43" ht="13.5" customHeight="1" x14ac:dyDescent="0.55000000000000004">
      <c r="B394" s="66">
        <v>379</v>
      </c>
      <c r="C394" s="29">
        <v>7</v>
      </c>
      <c r="D394" s="67" t="s">
        <v>49</v>
      </c>
      <c r="E394" s="27" t="s">
        <v>96</v>
      </c>
      <c r="F394" s="29" t="s">
        <v>136</v>
      </c>
      <c r="G394" s="29" t="s">
        <v>417</v>
      </c>
      <c r="H394" s="36">
        <f>I394/AJ394</f>
        <v>44791.146631551535</v>
      </c>
      <c r="I394" s="37">
        <f>SUM(J394:Q394)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1062063.6665200233</v>
      </c>
      <c r="J394" s="21">
        <f>S394*(1+IF($AK394+IF(입력란!$C$9=1,10,0)+IF(입력란!$C$26=1,10,0)&gt;100,100,$AK394+IF(입력란!$C$9=1,10,0)+IF(입력란!$C$26=1,10,0))/100*(($AL394+IF(입력란!$C$30=1,IF(OR(입력란!$C$9=1,입력란!$C$10=1),55,17),IF(입력란!$C$30=2,IF(OR(입력란!$C$9=1,입력란!$C$10=1),60,20),IF(입력란!$C$30=3,IF(OR(입력란!$C$9=1,입력란!$C$10=1),65,22),0))))/100-1))</f>
        <v>451259.11381412047</v>
      </c>
      <c r="K394" s="21">
        <f>T394*(1+IF($AK394+IF(입력란!$C$9=1,10,0)+IF(입력란!$C$26=1,10,0)&gt;100,100,$AK394+IF(입력란!$C$9=1,10,0)+IF(입력란!$C$26=1,10,0))/100*(($AL394+IF(입력란!$C$30=1,IF(OR(입력란!$C$9=1,입력란!$C$10=1),55,17),IF(입력란!$C$30=2,IF(OR(입력란!$C$9=1,입력란!$C$10=1),60,20),IF(입력란!$C$30=3,IF(OR(입력란!$C$9=1,입력란!$C$10=1),65,22),0))))/100-1))</f>
        <v>300857.35564273328</v>
      </c>
      <c r="L394" s="21"/>
      <c r="M394" s="21"/>
      <c r="N394" s="21"/>
      <c r="O394" s="21"/>
      <c r="P394" s="21"/>
      <c r="Q394" s="20"/>
      <c r="R394" s="19">
        <f>SUM(S394:Z394)</f>
        <v>463749.27409928129</v>
      </c>
      <c r="S394" s="21">
        <f>AN394*IF(G394="근접",IF(MID(E394,1,1)="3",트라이포드!$H$20,트라이포드!$G$20),1)*IF(입력란!$C$9=1,IF(MID(E394,1,1)="2",트라이포드!$F$20,트라이포드!$E$20),1)*IF(MID(E394,1,1)="1",트라이포드!$D$20,트라이포드!$C$20)*IF(MID(E394,3,1)="1",트라이포드!$J$20,트라이포드!$I$20)*IF(MID(E394,3,1)="2",트라이포드!$L$20,트라이포드!$K$20)*IF(MID(E394,5,1)="1",트라이포드!$P$20,트라이포드!$O$20)*(1+입력란!$P$17/100)*IF(입력란!$C$9=1,IF(입력란!$C$15=0,1.05,IF(입력란!$C$15=1,1.05*1.05,IF(입력란!$C$15=2,1.05*1.12,IF(입력란!$C$15=3,1.05*1.25)))),1)</f>
        <v>278242.92507928982</v>
      </c>
      <c r="T394" s="21">
        <f>AO394*IF(G394="근접",IF(MID(E394,1,1)="3",트라이포드!$H$20,트라이포드!$G$20),1)*IF(입력란!$C$9=1,IF(MID(E394,1,1)="2",트라이포드!$F$20,트라이포드!$E$20),1)*IF(MID(E394,1,1)="1",트라이포드!$D$20,트라이포드!$C$20)*IF(MID(E394,3,1)="1",트라이포드!$J$20,트라이포드!$I$20)*IF(MID(E394,3,1)="2",트라이포드!$L$20,트라이포드!$K$20)*IF(MID(E394,5,1)="1",0,IF(MID(E394,5,1)="2",트라이포드!$R$20,트라이포드!$Q$20))*(1+입력란!$P$17/100)*IF(입력란!$C$9=1,IF(입력란!$C$15=0,1.05,IF(입력란!$C$15=1,1.05*1.05,IF(입력란!$C$15=2,1.05*1.12,IF(입력란!$C$15=3,1.05*1.25)))),1)</f>
        <v>185506.3490199915</v>
      </c>
      <c r="U394" s="21"/>
      <c r="V394" s="21"/>
      <c r="W394" s="21"/>
      <c r="X394" s="21"/>
      <c r="Y394" s="21"/>
      <c r="Z394" s="20"/>
      <c r="AA394" s="21">
        <f>SUM(AB394:AI394)</f>
        <v>927498.54819856258</v>
      </c>
      <c r="AB394" s="21">
        <f>S394*2</f>
        <v>556485.85015857965</v>
      </c>
      <c r="AC394" s="21">
        <f>T394*2</f>
        <v>371012.69803998299</v>
      </c>
      <c r="AD394" s="21"/>
      <c r="AE394" s="21"/>
      <c r="AF394" s="21"/>
      <c r="AG394" s="21"/>
      <c r="AH394" s="21"/>
      <c r="AI394" s="20"/>
      <c r="AJ394" s="21">
        <f>AQ394*(1-입력란!$P$10/100)</f>
        <v>23.711464126079999</v>
      </c>
      <c r="AK39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4" s="21">
        <f>입력란!$P$24+IF(입력란!$C$18=1,10,IF(입력란!$C$18=2,25,IF(입력란!$C$18=3,50,0)))+IF(입력란!$C$23&lt;&gt;0,-12)</f>
        <v>200</v>
      </c>
      <c r="AM394" s="21">
        <f>SUM(AN394:AP394)</f>
        <v>196914.15233942372</v>
      </c>
      <c r="AN394" s="21">
        <f>(VLOOKUP(C394,$B$4:$AJ$7,23,FALSE)+VLOOKUP(C394,$B$8:$AJ$11,23,FALSE)*입력란!$P$4)*IF(G394="근접",입력란!$P$27,IF(MID(E394,1,1)="1",입력란!$P$27,입력란!$P$26))*입력란!$P$25/100</f>
        <v>118145.67223387283</v>
      </c>
      <c r="AO394" s="21">
        <f>(VLOOKUP(C394,$B$4:$AJ$7,24,FALSE)+VLOOKUP(C394,$B$8:$AJ$11,24,FALSE)*입력란!$P$4)*IF(G394="근접",입력란!$P$27,IF(MID(E394,1,1)="1",입력란!$P$27,입력란!$P$26))*입력란!$P$25/100</f>
        <v>78768.480105550901</v>
      </c>
      <c r="AP394" s="21"/>
      <c r="AQ394" s="22">
        <v>24</v>
      </c>
    </row>
    <row r="395" spans="2:43" ht="13.5" customHeight="1" x14ac:dyDescent="0.55000000000000004">
      <c r="B395" s="66">
        <v>380</v>
      </c>
      <c r="C395" s="29">
        <v>7</v>
      </c>
      <c r="D395" s="67" t="s">
        <v>49</v>
      </c>
      <c r="E395" s="27" t="s">
        <v>172</v>
      </c>
      <c r="F395" s="29" t="s">
        <v>136</v>
      </c>
      <c r="G395" s="29" t="s">
        <v>417</v>
      </c>
      <c r="H395" s="36">
        <f>I395/AJ395</f>
        <v>98540.522589413406</v>
      </c>
      <c r="I395" s="37">
        <f>SUM(J395:Q395)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2336540.0663440516</v>
      </c>
      <c r="J395" s="21">
        <f>S395*(1+IF($AK395+IF(입력란!$C$9=1,10,0)+IF(입력란!$C$26=1,10,0)&gt;100,100,$AK395+IF(입력란!$C$9=1,10,0)+IF(입력란!$C$26=1,10,0))/100*(($AL395+IF(입력란!$C$30=1,IF(OR(입력란!$C$9=1,입력란!$C$10=1),55,17),IF(입력란!$C$30=2,IF(OR(입력란!$C$9=1,입력란!$C$10=1),60,20),IF(입력란!$C$30=3,IF(OR(입력란!$C$9=1,입력란!$C$10=1),65,22),0))))/100-1))</f>
        <v>992770.05039106519</v>
      </c>
      <c r="K395" s="21">
        <f>T395*(1+IF($AK395+IF(입력란!$C$9=1,10,0)+IF(입력란!$C$26=1,10,0)&gt;100,100,$AK395+IF(입력란!$C$9=1,10,0)+IF(입력란!$C$26=1,10,0))/100*(($AL395+IF(입력란!$C$30=1,IF(OR(입력란!$C$9=1,입력란!$C$10=1),55,17),IF(입력란!$C$30=2,IF(OR(입력란!$C$9=1,입력란!$C$10=1),60,20),IF(입력란!$C$30=3,IF(OR(입력란!$C$9=1,입력란!$C$10=1),65,22),0))))/100-1))</f>
        <v>661886.18241401331</v>
      </c>
      <c r="L395" s="21"/>
      <c r="M395" s="21"/>
      <c r="N395" s="21"/>
      <c r="O395" s="21"/>
      <c r="P395" s="21"/>
      <c r="Q395" s="20"/>
      <c r="R395" s="19">
        <f>SUM(S395:Z395)</f>
        <v>1020248.403018419</v>
      </c>
      <c r="S395" s="21">
        <f>AN395*IF(G395="근접",IF(MID(E395,1,1)="3",트라이포드!$H$20,트라이포드!$G$20),1)*IF(입력란!$C$9=1,IF(MID(E395,1,1)="2",트라이포드!$F$20,트라이포드!$E$20),1)*IF(MID(E395,1,1)="1",트라이포드!$D$20,트라이포드!$C$20)*IF(MID(E395,3,1)="1",트라이포드!$J$20,트라이포드!$I$20)*IF(MID(E395,3,1)="2",트라이포드!$L$20,트라이포드!$K$20)*IF(MID(E395,5,1)="1",트라이포드!$P$20,트라이포드!$O$20)*(1+입력란!$P$17/100)*IF(입력란!$C$9=1,IF(입력란!$C$15=0,1.05,IF(입력란!$C$15=1,1.05*1.05,IF(입력란!$C$15=2,1.05*1.12,IF(입력란!$C$15=3,1.05*1.25)))),1)</f>
        <v>612134.43517443771</v>
      </c>
      <c r="T395" s="21">
        <f>AO395*IF(G395="근접",IF(MID(E395,1,1)="3",트라이포드!$H$20,트라이포드!$G$20),1)*IF(입력란!$C$9=1,IF(MID(E395,1,1)="2",트라이포드!$F$20,트라이포드!$E$20),1)*IF(MID(E395,1,1)="1",트라이포드!$D$20,트라이포드!$C$20)*IF(MID(E395,3,1)="1",트라이포드!$J$20,트라이포드!$I$20)*IF(MID(E395,3,1)="2",트라이포드!$L$20,트라이포드!$K$20)*IF(MID(E395,5,1)="1",0,IF(MID(E395,5,1)="2",트라이포드!$R$20,트라이포드!$Q$20))*(1+입력란!$P$17/100)*IF(입력란!$C$9=1,IF(입력란!$C$15=0,1.05,IF(입력란!$C$15=1,1.05*1.05,IF(입력란!$C$15=2,1.05*1.12,IF(입력란!$C$15=3,1.05*1.25)))),1)</f>
        <v>408113.96784398134</v>
      </c>
      <c r="U395" s="21"/>
      <c r="V395" s="21"/>
      <c r="W395" s="21"/>
      <c r="X395" s="21"/>
      <c r="Y395" s="21"/>
      <c r="Z395" s="20"/>
      <c r="AA395" s="21">
        <f>SUM(AB395:AI395)</f>
        <v>2040496.8060368381</v>
      </c>
      <c r="AB395" s="21">
        <f>S395*2</f>
        <v>1224268.8703488754</v>
      </c>
      <c r="AC395" s="21">
        <f>T395*2</f>
        <v>816227.93568796269</v>
      </c>
      <c r="AD395" s="21"/>
      <c r="AE395" s="21"/>
      <c r="AF395" s="21"/>
      <c r="AG395" s="21"/>
      <c r="AH395" s="21"/>
      <c r="AI395" s="20"/>
      <c r="AJ395" s="21">
        <f>AQ395*(1-입력란!$P$10/100)</f>
        <v>23.711464126079999</v>
      </c>
      <c r="AK39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5" s="21">
        <f>입력란!$P$24+IF(입력란!$C$18=1,10,IF(입력란!$C$18=2,25,IF(입력란!$C$18=3,50,0)))+IF(입력란!$C$23&lt;&gt;0,-12)</f>
        <v>200</v>
      </c>
      <c r="AM395" s="21">
        <f>SUM(AN395:AP395)</f>
        <v>393828.30467884743</v>
      </c>
      <c r="AN395" s="21">
        <f>(VLOOKUP(C395,$B$4:$AJ$7,23,FALSE)+VLOOKUP(C395,$B$8:$AJ$11,23,FALSE)*입력란!$P$4)*IF(G395="근접",입력란!$P$27,IF(MID(E395,1,1)="1",입력란!$P$27,입력란!$P$26))*입력란!$P$25/100</f>
        <v>236291.34446774566</v>
      </c>
      <c r="AO395" s="21">
        <f>(VLOOKUP(C395,$B$4:$AJ$7,24,FALSE)+VLOOKUP(C395,$B$8:$AJ$11,24,FALSE)*입력란!$P$4)*IF(G395="근접",입력란!$P$27,IF(MID(E395,1,1)="1",입력란!$P$27,입력란!$P$26))*입력란!$P$25/100</f>
        <v>157536.9602111018</v>
      </c>
      <c r="AP395" s="21"/>
      <c r="AQ395" s="22">
        <v>24</v>
      </c>
    </row>
    <row r="396" spans="2:43" ht="13.5" customHeight="1" x14ac:dyDescent="0.55000000000000004">
      <c r="B396" s="66">
        <v>381</v>
      </c>
      <c r="C396" s="29">
        <v>7</v>
      </c>
      <c r="D396" s="67" t="s">
        <v>49</v>
      </c>
      <c r="E396" s="27" t="s">
        <v>144</v>
      </c>
      <c r="F396" s="29" t="s">
        <v>136</v>
      </c>
      <c r="G396" s="29" t="s">
        <v>417</v>
      </c>
      <c r="H396" s="36">
        <f>I396/AJ396</f>
        <v>55988.933289439432</v>
      </c>
      <c r="I396" s="37">
        <f>SUM(J396:Q396)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1327579.5831500294</v>
      </c>
      <c r="J396" s="21">
        <f>S396*(1+IF($AK396+IF(입력란!$C$9=1,10,0)+IF(입력란!$C$26=1,10,0)&gt;100,100,$AK396+IF(입력란!$C$9=1,10,0)+IF(입력란!$C$26=1,10,0))/100*(($AL396+IF(입력란!$C$30=1,IF(OR(입력란!$C$9=1,입력란!$C$10=1),55,17),IF(입력란!$C$30=2,IF(OR(입력란!$C$9=1,입력란!$C$10=1),60,20),IF(입력란!$C$30=3,IF(OR(입력란!$C$9=1,입력란!$C$10=1),65,22),0))))/100-1))</f>
        <v>564073.89226765069</v>
      </c>
      <c r="K396" s="21">
        <f>T396*(1+IF($AK396+IF(입력란!$C$9=1,10,0)+IF(입력란!$C$26=1,10,0)&gt;100,100,$AK396+IF(입력란!$C$9=1,10,0)+IF(입력란!$C$26=1,10,0))/100*(($AL396+IF(입력란!$C$30=1,IF(OR(입력란!$C$9=1,입력란!$C$10=1),55,17),IF(입력란!$C$30=2,IF(OR(입력란!$C$9=1,입력란!$C$10=1),60,20),IF(입력란!$C$30=3,IF(OR(입력란!$C$9=1,입력란!$C$10=1),65,22),0))))/100-1))</f>
        <v>376071.69455341663</v>
      </c>
      <c r="L396" s="21"/>
      <c r="M396" s="21"/>
      <c r="N396" s="21"/>
      <c r="O396" s="21"/>
      <c r="P396" s="21"/>
      <c r="Q396" s="20"/>
      <c r="R396" s="19">
        <f>SUM(S396:Z396)</f>
        <v>579686.59262410167</v>
      </c>
      <c r="S396" s="21">
        <f>AN396*IF(G396="근접",IF(MID(E396,1,1)="3",트라이포드!$H$20,트라이포드!$G$20),1)*IF(입력란!$C$9=1,IF(MID(E396,1,1)="2",트라이포드!$F$20,트라이포드!$E$20),1)*IF(MID(E396,1,1)="1",트라이포드!$D$20,트라이포드!$C$20)*IF(MID(E396,3,1)="1",트라이포드!$J$20,트라이포드!$I$20)*IF(MID(E396,3,1)="2",트라이포드!$L$20,트라이포드!$K$20)*IF(MID(E396,5,1)="1",트라이포드!$P$20,트라이포드!$O$20)*(1+입력란!$P$17/100)*IF(입력란!$C$9=1,IF(입력란!$C$15=0,1.05,IF(입력란!$C$15=1,1.05*1.05,IF(입력란!$C$15=2,1.05*1.12,IF(입력란!$C$15=3,1.05*1.25)))),1)</f>
        <v>347803.65634911234</v>
      </c>
      <c r="T396" s="21">
        <f>AO396*IF(G396="근접",IF(MID(E396,1,1)="3",트라이포드!$H$20,트라이포드!$G$20),1)*IF(입력란!$C$9=1,IF(MID(E396,1,1)="2",트라이포드!$F$20,트라이포드!$E$20),1)*IF(MID(E396,1,1)="1",트라이포드!$D$20,트라이포드!$C$20)*IF(MID(E396,3,1)="1",트라이포드!$J$20,트라이포드!$I$20)*IF(MID(E396,3,1)="2",트라이포드!$L$20,트라이포드!$K$20)*IF(MID(E396,5,1)="1",0,IF(MID(E396,5,1)="2",트라이포드!$R$20,트라이포드!$Q$20))*(1+입력란!$P$17/100)*IF(입력란!$C$9=1,IF(입력란!$C$15=0,1.05,IF(입력란!$C$15=1,1.05*1.05,IF(입력란!$C$15=2,1.05*1.12,IF(입력란!$C$15=3,1.05*1.25)))),1)</f>
        <v>231882.93627498936</v>
      </c>
      <c r="U396" s="21"/>
      <c r="V396" s="21"/>
      <c r="W396" s="21"/>
      <c r="X396" s="21"/>
      <c r="Y396" s="21"/>
      <c r="Z396" s="20"/>
      <c r="AA396" s="21">
        <f>SUM(AB396:AI396)</f>
        <v>1159373.1852482033</v>
      </c>
      <c r="AB396" s="21">
        <f>S396*2</f>
        <v>695607.31269822468</v>
      </c>
      <c r="AC396" s="21">
        <f>T396*2</f>
        <v>463765.87254997873</v>
      </c>
      <c r="AD396" s="21"/>
      <c r="AE396" s="21"/>
      <c r="AF396" s="21"/>
      <c r="AG396" s="21"/>
      <c r="AH396" s="21"/>
      <c r="AI396" s="20"/>
      <c r="AJ396" s="21">
        <f>AQ396*(1-입력란!$P$10/100)</f>
        <v>23.711464126079999</v>
      </c>
      <c r="AK39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6" s="21">
        <f>입력란!$P$24+IF(입력란!$C$18=1,10,IF(입력란!$C$18=2,25,IF(입력란!$C$18=3,50,0)))+IF(입력란!$C$23&lt;&gt;0,-12)</f>
        <v>200</v>
      </c>
      <c r="AM396" s="21">
        <f>SUM(AN396:AP396)</f>
        <v>196914.15233942372</v>
      </c>
      <c r="AN396" s="21">
        <f>(VLOOKUP(C396,$B$4:$AJ$7,23,FALSE)+VLOOKUP(C396,$B$8:$AJ$11,23,FALSE)*입력란!$P$4)*IF(G396="근접",입력란!$P$27,IF(MID(E396,1,1)="1",입력란!$P$27,입력란!$P$26))*입력란!$P$25/100</f>
        <v>118145.67223387283</v>
      </c>
      <c r="AO396" s="21">
        <f>(VLOOKUP(C396,$B$4:$AJ$7,24,FALSE)+VLOOKUP(C396,$B$8:$AJ$11,24,FALSE)*입력란!$P$4)*IF(G396="근접",입력란!$P$27,IF(MID(E396,1,1)="1",입력란!$P$27,입력란!$P$26))*입력란!$P$25/100</f>
        <v>78768.480105550901</v>
      </c>
      <c r="AP396" s="21"/>
      <c r="AQ396" s="22">
        <v>24</v>
      </c>
    </row>
    <row r="397" spans="2:43" ht="13.5" customHeight="1" x14ac:dyDescent="0.55000000000000004">
      <c r="B397" s="66">
        <v>382</v>
      </c>
      <c r="C397" s="29">
        <v>7</v>
      </c>
      <c r="D397" s="67" t="s">
        <v>49</v>
      </c>
      <c r="E397" s="27" t="s">
        <v>99</v>
      </c>
      <c r="F397" s="29" t="s">
        <v>136</v>
      </c>
      <c r="G397" s="29" t="s">
        <v>417</v>
      </c>
      <c r="H397" s="36">
        <f>I397/AJ397</f>
        <v>44791.146631551535</v>
      </c>
      <c r="I397" s="37">
        <f>SUM(J397:Q397)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1062063.6665200233</v>
      </c>
      <c r="J397" s="21">
        <f>S397*(1+IF($AK397+IF(입력란!$C$9=1,10,0)+IF(입력란!$C$26=1,10,0)&gt;100,100,$AK397+IF(입력란!$C$9=1,10,0)+IF(입력란!$C$26=1,10,0))/100*(($AL397+IF(입력란!$C$30=1,IF(OR(입력란!$C$9=1,입력란!$C$10=1),55,17),IF(입력란!$C$30=2,IF(OR(입력란!$C$9=1,입력란!$C$10=1),60,20),IF(입력란!$C$30=3,IF(OR(입력란!$C$9=1,입력란!$C$10=1),65,22),0))))/100-1))</f>
        <v>451259.11381412047</v>
      </c>
      <c r="K397" s="21">
        <f>T397*(1+IF($AK397+IF(입력란!$C$9=1,10,0)+IF(입력란!$C$26=1,10,0)&gt;100,100,$AK397+IF(입력란!$C$9=1,10,0)+IF(입력란!$C$26=1,10,0))/100*(($AL397+IF(입력란!$C$30=1,IF(OR(입력란!$C$9=1,입력란!$C$10=1),55,17),IF(입력란!$C$30=2,IF(OR(입력란!$C$9=1,입력란!$C$10=1),60,20),IF(입력란!$C$30=3,IF(OR(입력란!$C$9=1,입력란!$C$10=1),65,22),0))))/100-1))</f>
        <v>300857.35564273328</v>
      </c>
      <c r="L397" s="21"/>
      <c r="M397" s="21"/>
      <c r="N397" s="21"/>
      <c r="O397" s="21"/>
      <c r="P397" s="21"/>
      <c r="Q397" s="20"/>
      <c r="R397" s="19">
        <f>SUM(S397:Z397)</f>
        <v>463749.27409928129</v>
      </c>
      <c r="S397" s="21">
        <f>AN397*IF(G397="근접",IF(MID(E397,1,1)="3",트라이포드!$H$20,트라이포드!$G$20),1)*IF(입력란!$C$9=1,IF(MID(E397,1,1)="2",트라이포드!$F$20,트라이포드!$E$20),1)*IF(MID(E397,1,1)="1",트라이포드!$D$20,트라이포드!$C$20)*IF(MID(E397,3,1)="1",트라이포드!$J$20,트라이포드!$I$20)*IF(MID(E397,3,1)="2",트라이포드!$L$20,트라이포드!$K$20)*IF(MID(E397,5,1)="1",트라이포드!$P$20,트라이포드!$O$20)*(1+입력란!$P$17/100)*IF(입력란!$C$9=1,IF(입력란!$C$15=0,1.05,IF(입력란!$C$15=1,1.05*1.05,IF(입력란!$C$15=2,1.05*1.12,IF(입력란!$C$15=3,1.05*1.25)))),1)</f>
        <v>278242.92507928982</v>
      </c>
      <c r="T397" s="21">
        <f>AO397*IF(G397="근접",IF(MID(E397,1,1)="3",트라이포드!$H$20,트라이포드!$G$20),1)*IF(입력란!$C$9=1,IF(MID(E397,1,1)="2",트라이포드!$F$20,트라이포드!$E$20),1)*IF(MID(E397,1,1)="1",트라이포드!$D$20,트라이포드!$C$20)*IF(MID(E397,3,1)="1",트라이포드!$J$20,트라이포드!$I$20)*IF(MID(E397,3,1)="2",트라이포드!$L$20,트라이포드!$K$20)*IF(MID(E397,5,1)="1",0,IF(MID(E397,5,1)="2",트라이포드!$R$20,트라이포드!$Q$20))*(1+입력란!$P$17/100)*IF(입력란!$C$9=1,IF(입력란!$C$15=0,1.05,IF(입력란!$C$15=1,1.05*1.05,IF(입력란!$C$15=2,1.05*1.12,IF(입력란!$C$15=3,1.05*1.25)))),1)</f>
        <v>185506.3490199915</v>
      </c>
      <c r="U397" s="21"/>
      <c r="V397" s="21"/>
      <c r="W397" s="21"/>
      <c r="X397" s="21"/>
      <c r="Y397" s="21"/>
      <c r="Z397" s="20"/>
      <c r="AA397" s="21">
        <f>SUM(AB397:AI397)</f>
        <v>927498.54819856258</v>
      </c>
      <c r="AB397" s="21">
        <f>S397*2</f>
        <v>556485.85015857965</v>
      </c>
      <c r="AC397" s="21">
        <f>T397*2</f>
        <v>371012.69803998299</v>
      </c>
      <c r="AD397" s="21"/>
      <c r="AE397" s="21"/>
      <c r="AF397" s="21"/>
      <c r="AG397" s="21"/>
      <c r="AH397" s="21"/>
      <c r="AI397" s="20"/>
      <c r="AJ397" s="21">
        <f>AQ397*(1-입력란!$P$10/100)</f>
        <v>23.711464126079999</v>
      </c>
      <c r="AK39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7" s="21">
        <f>입력란!$P$24+IF(입력란!$C$18=1,10,IF(입력란!$C$18=2,25,IF(입력란!$C$18=3,50,0)))+IF(입력란!$C$23&lt;&gt;0,-12)</f>
        <v>200</v>
      </c>
      <c r="AM397" s="21">
        <f>SUM(AN397:AP397)</f>
        <v>196914.15233942372</v>
      </c>
      <c r="AN397" s="21">
        <f>(VLOOKUP(C397,$B$4:$AJ$7,23,FALSE)+VLOOKUP(C397,$B$8:$AJ$11,23,FALSE)*입력란!$P$4)*IF(G397="근접",입력란!$P$27,IF(MID(E397,1,1)="1",입력란!$P$27,입력란!$P$26))*입력란!$P$25/100</f>
        <v>118145.67223387283</v>
      </c>
      <c r="AO397" s="21">
        <f>(VLOOKUP(C397,$B$4:$AJ$7,24,FALSE)+VLOOKUP(C397,$B$8:$AJ$11,24,FALSE)*입력란!$P$4)*IF(G397="근접",입력란!$P$27,IF(MID(E397,1,1)="1",입력란!$P$27,입력란!$P$26))*입력란!$P$25/100</f>
        <v>78768.480105550901</v>
      </c>
      <c r="AP397" s="21"/>
      <c r="AQ397" s="22">
        <v>24</v>
      </c>
    </row>
    <row r="398" spans="2:43" ht="13.5" customHeight="1" x14ac:dyDescent="0.55000000000000004">
      <c r="B398" s="66">
        <v>383</v>
      </c>
      <c r="C398" s="29">
        <v>7</v>
      </c>
      <c r="D398" s="67" t="s">
        <v>49</v>
      </c>
      <c r="E398" s="27" t="s">
        <v>78</v>
      </c>
      <c r="F398" s="29"/>
      <c r="G398" s="29" t="s">
        <v>417</v>
      </c>
      <c r="H398" s="36">
        <f>I398/AJ398</f>
        <v>41591.779015012144</v>
      </c>
      <c r="I398" s="37">
        <f>SUM(J398:Q398)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986201.97605430731</v>
      </c>
      <c r="J398" s="21">
        <f>S398*(1+IF($AK398+IF(입력란!$C$9=1,10,0)+IF(입력란!$C$26=1,10,0)&gt;100,100,$AK398+IF(입력란!$C$9=1,10,0)+IF(입력란!$C$26=1,10,0))/100*(($AL398+IF(입력란!$C$30=1,IF(OR(입력란!$C$9=1,입력란!$C$10=1),55,17),IF(입력란!$C$30=2,IF(OR(입력란!$C$9=1,입력란!$C$10=1),60,20),IF(입력란!$C$30=3,IF(OR(입력란!$C$9=1,입력란!$C$10=1),65,22),0))))/100-1))</f>
        <v>419026.31997025479</v>
      </c>
      <c r="K398" s="21">
        <f>T398*(1+IF($AK398+IF(입력란!$C$9=1,10,0)+IF(입력란!$C$26=1,10,0)&gt;100,100,$AK398+IF(입력란!$C$9=1,10,0)+IF(입력란!$C$26=1,10,0))/100*(($AL398+IF(입력란!$C$30=1,IF(OR(입력란!$C$9=1,입력란!$C$10=1),55,17),IF(입력란!$C$30=2,IF(OR(입력란!$C$9=1,입력란!$C$10=1),60,20),IF(입력란!$C$30=3,IF(OR(입력란!$C$9=1,입력란!$C$10=1),65,22),0))))/100-1))</f>
        <v>279367.54452539521</v>
      </c>
      <c r="L398" s="21"/>
      <c r="M398" s="21"/>
      <c r="N398" s="21"/>
      <c r="O398" s="21"/>
      <c r="P398" s="21"/>
      <c r="Q398" s="20"/>
      <c r="R398" s="19">
        <f>SUM(S398:Z398)</f>
        <v>430624.32594933268</v>
      </c>
      <c r="S398" s="21">
        <f>AN398*IF(G398="근접",IF(MID(E398,1,1)="3",트라이포드!$H$20,트라이포드!$G$20),1)*IF(입력란!$C$9=1,IF(MID(E398,1,1)="2",트라이포드!$F$20,트라이포드!$E$20),1)*IF(MID(E398,1,1)="1",트라이포드!$D$20,트라이포드!$C$20)*IF(MID(E398,3,1)="1",트라이포드!$J$20,트라이포드!$I$20)*IF(MID(E398,3,1)="2",트라이포드!$L$20,트라이포드!$K$20)*IF(MID(E398,5,1)="1",트라이포드!$P$20,트라이포드!$O$20)*(1+입력란!$P$17/100)*IF(입력란!$C$9=1,IF(입력란!$C$15=0,1.05,IF(입력란!$C$15=1,1.05*1.05,IF(입력란!$C$15=2,1.05*1.12,IF(입력란!$C$15=3,1.05*1.25)))),1)</f>
        <v>258368.43043076916</v>
      </c>
      <c r="T398" s="21">
        <f>AO398*IF(G398="근접",IF(MID(E398,1,1)="3",트라이포드!$H$20,트라이포드!$G$20),1)*IF(입력란!$C$9=1,IF(MID(E398,1,1)="2",트라이포드!$F$20,트라이포드!$E$20),1)*IF(MID(E398,1,1)="1",트라이포드!$D$20,트라이포드!$C$20)*IF(MID(E398,3,1)="1",트라이포드!$J$20,트라이포드!$I$20)*IF(MID(E398,3,1)="2",트라이포드!$L$20,트라이포드!$K$20)*IF(MID(E398,5,1)="1",0,IF(MID(E398,5,1)="2",트라이포드!$R$20,트라이포드!$Q$20))*(1+입력란!$P$17/100)*IF(입력란!$C$9=1,IF(입력란!$C$15=0,1.05,IF(입력란!$C$15=1,1.05*1.05,IF(입력란!$C$15=2,1.05*1.12,IF(입력란!$C$15=3,1.05*1.25)))),1)</f>
        <v>172255.89551856354</v>
      </c>
      <c r="U398" s="21"/>
      <c r="V398" s="21"/>
      <c r="W398" s="21"/>
      <c r="X398" s="21"/>
      <c r="Y398" s="21"/>
      <c r="Z398" s="20"/>
      <c r="AA398" s="21">
        <f>SUM(AB398:AI398)</f>
        <v>861248.65189866535</v>
      </c>
      <c r="AB398" s="21">
        <f>S398*2</f>
        <v>516736.86086153833</v>
      </c>
      <c r="AC398" s="21">
        <f>T398*2</f>
        <v>344511.79103712708</v>
      </c>
      <c r="AD398" s="21"/>
      <c r="AE398" s="21"/>
      <c r="AF398" s="21"/>
      <c r="AG398" s="21"/>
      <c r="AH398" s="21"/>
      <c r="AI398" s="20"/>
      <c r="AJ398" s="21">
        <f>AQ398*(1-입력란!$P$10/100)</f>
        <v>23.711464126079999</v>
      </c>
      <c r="AK39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8" s="21">
        <f>입력란!$P$24+IF(입력란!$C$18=1,10,IF(입력란!$C$18=2,25,IF(입력란!$C$18=3,50,0)))+IF(입력란!$C$23&lt;&gt;0,-12)</f>
        <v>200</v>
      </c>
      <c r="AM398" s="21">
        <f>SUM(AN398:AP398)</f>
        <v>196914.15233942372</v>
      </c>
      <c r="AN398" s="21">
        <f>(VLOOKUP(C398,$B$4:$AJ$7,23,FALSE)+VLOOKUP(C398,$B$8:$AJ$11,23,FALSE)*입력란!$P$4)*IF(G398="근접",입력란!$P$27,IF(MID(E398,1,1)="1",입력란!$P$27,입력란!$P$26))*입력란!$P$25/100</f>
        <v>118145.67223387283</v>
      </c>
      <c r="AO398" s="21">
        <f>(VLOOKUP(C398,$B$4:$AJ$7,24,FALSE)+VLOOKUP(C398,$B$8:$AJ$11,24,FALSE)*입력란!$P$4)*IF(G398="근접",입력란!$P$27,IF(MID(E398,1,1)="1",입력란!$P$27,입력란!$P$26))*입력란!$P$25/100</f>
        <v>78768.480105550901</v>
      </c>
      <c r="AP398" s="21"/>
      <c r="AQ398" s="22">
        <v>24</v>
      </c>
    </row>
    <row r="399" spans="2:43" ht="13.5" customHeight="1" x14ac:dyDescent="0.55000000000000004">
      <c r="B399" s="66">
        <v>384</v>
      </c>
      <c r="C399" s="29">
        <v>7</v>
      </c>
      <c r="D399" s="67" t="s">
        <v>49</v>
      </c>
      <c r="E399" s="27" t="s">
        <v>173</v>
      </c>
      <c r="F399" s="29"/>
      <c r="G399" s="29" t="s">
        <v>417</v>
      </c>
      <c r="H399" s="36">
        <f>I399/AJ399</f>
        <v>91501.913833026745</v>
      </c>
      <c r="I399" s="37">
        <f>SUM(J399:Q399)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2169644.3473194768</v>
      </c>
      <c r="J399" s="21">
        <f>S399*(1+IF($AK399+IF(입력란!$C$9=1,10,0)+IF(입력란!$C$26=1,10,0)&gt;100,100,$AK399+IF(입력란!$C$9=1,10,0)+IF(입력란!$C$26=1,10,0))/100*(($AL399+IF(입력란!$C$30=1,IF(OR(입력란!$C$9=1,입력란!$C$10=1),55,17),IF(입력란!$C$30=2,IF(OR(입력란!$C$9=1,입력란!$C$10=1),60,20),IF(입력란!$C$30=3,IF(OR(입력란!$C$9=1,입력란!$C$10=1),65,22),0))))/100-1))</f>
        <v>921857.9039345606</v>
      </c>
      <c r="K399" s="21">
        <f>T399*(1+IF($AK399+IF(입력란!$C$9=1,10,0)+IF(입력란!$C$26=1,10,0)&gt;100,100,$AK399+IF(입력란!$C$9=1,10,0)+IF(입력란!$C$26=1,10,0))/100*(($AL399+IF(입력란!$C$30=1,IF(OR(입력란!$C$9=1,입력란!$C$10=1),55,17),IF(입력란!$C$30=2,IF(OR(입력란!$C$9=1,입력란!$C$10=1),60,20),IF(입력란!$C$30=3,IF(OR(입력란!$C$9=1,입력란!$C$10=1),65,22),0))))/100-1))</f>
        <v>614608.59795586951</v>
      </c>
      <c r="L399" s="21"/>
      <c r="M399" s="21"/>
      <c r="N399" s="21"/>
      <c r="O399" s="21"/>
      <c r="P399" s="21"/>
      <c r="Q399" s="20"/>
      <c r="R399" s="19">
        <f>SUM(S399:Z399)</f>
        <v>947373.51708853198</v>
      </c>
      <c r="S399" s="21">
        <f>AN399*IF(G399="근접",IF(MID(E399,1,1)="3",트라이포드!$H$20,트라이포드!$G$20),1)*IF(입력란!$C$9=1,IF(MID(E399,1,1)="2",트라이포드!$F$20,트라이포드!$E$20),1)*IF(MID(E399,1,1)="1",트라이포드!$D$20,트라이포드!$C$20)*IF(MID(E399,3,1)="1",트라이포드!$J$20,트라이포드!$I$20)*IF(MID(E399,3,1)="2",트라이포드!$L$20,트라이포드!$K$20)*IF(MID(E399,5,1)="1",트라이포드!$P$20,트라이포드!$O$20)*(1+입력란!$P$17/100)*IF(입력란!$C$9=1,IF(입력란!$C$15=0,1.05,IF(입력란!$C$15=1,1.05*1.05,IF(입력란!$C$15=2,1.05*1.12,IF(입력란!$C$15=3,1.05*1.25)))),1)</f>
        <v>568410.54694769217</v>
      </c>
      <c r="T399" s="21">
        <f>AO399*IF(G399="근접",IF(MID(E399,1,1)="3",트라이포드!$H$20,트라이포드!$G$20),1)*IF(입력란!$C$9=1,IF(MID(E399,1,1)="2",트라이포드!$F$20,트라이포드!$E$20),1)*IF(MID(E399,1,1)="1",트라이포드!$D$20,트라이포드!$C$20)*IF(MID(E399,3,1)="1",트라이포드!$J$20,트라이포드!$I$20)*IF(MID(E399,3,1)="2",트라이포드!$L$20,트라이포드!$K$20)*IF(MID(E399,5,1)="1",0,IF(MID(E399,5,1)="2",트라이포드!$R$20,트라이포드!$Q$20))*(1+입력란!$P$17/100)*IF(입력란!$C$9=1,IF(입력란!$C$15=0,1.05,IF(입력란!$C$15=1,1.05*1.05,IF(입력란!$C$15=2,1.05*1.12,IF(입력란!$C$15=3,1.05*1.25)))),1)</f>
        <v>378962.97014083981</v>
      </c>
      <c r="U399" s="21"/>
      <c r="V399" s="21"/>
      <c r="W399" s="21"/>
      <c r="X399" s="21"/>
      <c r="Y399" s="21"/>
      <c r="Z399" s="20"/>
      <c r="AA399" s="21">
        <f>SUM(AB399:AI399)</f>
        <v>1894747.034177064</v>
      </c>
      <c r="AB399" s="21">
        <f>S399*2</f>
        <v>1136821.0938953843</v>
      </c>
      <c r="AC399" s="21">
        <f>T399*2</f>
        <v>757925.94028167962</v>
      </c>
      <c r="AD399" s="21"/>
      <c r="AE399" s="21"/>
      <c r="AF399" s="21"/>
      <c r="AG399" s="21"/>
      <c r="AH399" s="21"/>
      <c r="AI399" s="20"/>
      <c r="AJ399" s="21">
        <f>AQ399*(1-입력란!$P$10/100)</f>
        <v>23.711464126079999</v>
      </c>
      <c r="AK39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399" s="21">
        <f>입력란!$P$24+IF(입력란!$C$18=1,10,IF(입력란!$C$18=2,25,IF(입력란!$C$18=3,50,0)))+IF(입력란!$C$23&lt;&gt;0,-12)</f>
        <v>200</v>
      </c>
      <c r="AM399" s="21">
        <f>SUM(AN399:AP399)</f>
        <v>393828.30467884743</v>
      </c>
      <c r="AN399" s="21">
        <f>(VLOOKUP(C399,$B$4:$AJ$7,23,FALSE)+VLOOKUP(C399,$B$8:$AJ$11,23,FALSE)*입력란!$P$4)*IF(G399="근접",입력란!$P$27,IF(MID(E399,1,1)="1",입력란!$P$27,입력란!$P$26))*입력란!$P$25/100</f>
        <v>236291.34446774566</v>
      </c>
      <c r="AO399" s="21">
        <f>(VLOOKUP(C399,$B$4:$AJ$7,24,FALSE)+VLOOKUP(C399,$B$8:$AJ$11,24,FALSE)*입력란!$P$4)*IF(G399="근접",입력란!$P$27,IF(MID(E399,1,1)="1",입력란!$P$27,입력란!$P$26))*입력란!$P$25/100</f>
        <v>157536.9602111018</v>
      </c>
      <c r="AP399" s="21"/>
      <c r="AQ399" s="22">
        <v>24</v>
      </c>
    </row>
    <row r="400" spans="2:43" ht="13.5" customHeight="1" x14ac:dyDescent="0.55000000000000004">
      <c r="B400" s="66">
        <v>385</v>
      </c>
      <c r="C400" s="29">
        <v>7</v>
      </c>
      <c r="D400" s="67" t="s">
        <v>49</v>
      </c>
      <c r="E400" s="27" t="s">
        <v>80</v>
      </c>
      <c r="F400" s="29"/>
      <c r="G400" s="29" t="s">
        <v>417</v>
      </c>
      <c r="H400" s="36">
        <f>I400/AJ400</f>
        <v>51989.723768765194</v>
      </c>
      <c r="I400" s="37">
        <f>SUM(J400:Q400)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1232752.4700678845</v>
      </c>
      <c r="J400" s="21">
        <f>S400*(1+IF($AK400+IF(입력란!$C$9=1,10,0)+IF(입력란!$C$26=1,10,0)&gt;100,100,$AK400+IF(입력란!$C$9=1,10,0)+IF(입력란!$C$26=1,10,0))/100*(($AL400+IF(입력란!$C$30=1,IF(OR(입력란!$C$9=1,입력란!$C$10=1),55,17),IF(입력란!$C$30=2,IF(OR(입력란!$C$9=1,입력란!$C$10=1),60,20),IF(입력란!$C$30=3,IF(OR(입력란!$C$9=1,입력란!$C$10=1),65,22),0))))/100-1))</f>
        <v>523782.8999628186</v>
      </c>
      <c r="K400" s="21">
        <f>T400*(1+IF($AK400+IF(입력란!$C$9=1,10,0)+IF(입력란!$C$26=1,10,0)&gt;100,100,$AK400+IF(입력란!$C$9=1,10,0)+IF(입력란!$C$26=1,10,0))/100*(($AL400+IF(입력란!$C$30=1,IF(OR(입력란!$C$9=1,입력란!$C$10=1),55,17),IF(입력란!$C$30=2,IF(OR(입력란!$C$9=1,입력란!$C$10=1),60,20),IF(입력란!$C$30=3,IF(OR(입력란!$C$9=1,입력란!$C$10=1),65,22),0))))/100-1))</f>
        <v>349209.43065674405</v>
      </c>
      <c r="L400" s="21"/>
      <c r="M400" s="21"/>
      <c r="N400" s="21"/>
      <c r="O400" s="21"/>
      <c r="P400" s="21"/>
      <c r="Q400" s="20"/>
      <c r="R400" s="19">
        <f>SUM(S400:Z400)</f>
        <v>538280.40743666596</v>
      </c>
      <c r="S400" s="21">
        <f>AN400*IF(G400="근접",IF(MID(E400,1,1)="3",트라이포드!$H$20,트라이포드!$G$20),1)*IF(입력란!$C$9=1,IF(MID(E400,1,1)="2",트라이포드!$F$20,트라이포드!$E$20),1)*IF(MID(E400,1,1)="1",트라이포드!$D$20,트라이포드!$C$20)*IF(MID(E400,3,1)="1",트라이포드!$J$20,트라이포드!$I$20)*IF(MID(E400,3,1)="2",트라이포드!$L$20,트라이포드!$K$20)*IF(MID(E400,5,1)="1",트라이포드!$P$20,트라이포드!$O$20)*(1+입력란!$P$17/100)*IF(입력란!$C$9=1,IF(입력란!$C$15=0,1.05,IF(입력란!$C$15=1,1.05*1.05,IF(입력란!$C$15=2,1.05*1.12,IF(입력란!$C$15=3,1.05*1.25)))),1)</f>
        <v>322960.53803846153</v>
      </c>
      <c r="T400" s="21">
        <f>AO400*IF(G400="근접",IF(MID(E400,1,1)="3",트라이포드!$H$20,트라이포드!$G$20),1)*IF(입력란!$C$9=1,IF(MID(E400,1,1)="2",트라이포드!$F$20,트라이포드!$E$20),1)*IF(MID(E400,1,1)="1",트라이포드!$D$20,트라이포드!$C$20)*IF(MID(E400,3,1)="1",트라이포드!$J$20,트라이포드!$I$20)*IF(MID(E400,3,1)="2",트라이포드!$L$20,트라이포드!$K$20)*IF(MID(E400,5,1)="1",0,IF(MID(E400,5,1)="2",트라이포드!$R$20,트라이포드!$Q$20))*(1+입력란!$P$17/100)*IF(입력란!$C$9=1,IF(입력란!$C$15=0,1.05,IF(입력란!$C$15=1,1.05*1.05,IF(입력란!$C$15=2,1.05*1.12,IF(입력란!$C$15=3,1.05*1.25)))),1)</f>
        <v>215319.86939820444</v>
      </c>
      <c r="U400" s="21"/>
      <c r="V400" s="21"/>
      <c r="W400" s="21"/>
      <c r="X400" s="21"/>
      <c r="Y400" s="21"/>
      <c r="Z400" s="20"/>
      <c r="AA400" s="21">
        <f>SUM(AB400:AI400)</f>
        <v>1076560.8148733319</v>
      </c>
      <c r="AB400" s="21">
        <f>S400*2</f>
        <v>645921.07607692305</v>
      </c>
      <c r="AC400" s="21">
        <f>T400*2</f>
        <v>430639.73879640887</v>
      </c>
      <c r="AD400" s="21"/>
      <c r="AE400" s="21"/>
      <c r="AF400" s="21"/>
      <c r="AG400" s="21"/>
      <c r="AH400" s="21"/>
      <c r="AI400" s="20"/>
      <c r="AJ400" s="21">
        <f>AQ400*(1-입력란!$P$10/100)</f>
        <v>23.711464126079999</v>
      </c>
      <c r="AK40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0" s="21">
        <f>입력란!$P$24+IF(입력란!$C$18=1,10,IF(입력란!$C$18=2,25,IF(입력란!$C$18=3,50,0)))+IF(입력란!$C$23&lt;&gt;0,-12)</f>
        <v>200</v>
      </c>
      <c r="AM400" s="21">
        <f>SUM(AN400:AP400)</f>
        <v>196914.15233942372</v>
      </c>
      <c r="AN400" s="21">
        <f>(VLOOKUP(C400,$B$4:$AJ$7,23,FALSE)+VLOOKUP(C400,$B$8:$AJ$11,23,FALSE)*입력란!$P$4)*IF(G400="근접",입력란!$P$27,IF(MID(E400,1,1)="1",입력란!$P$27,입력란!$P$26))*입력란!$P$25/100</f>
        <v>118145.67223387283</v>
      </c>
      <c r="AO400" s="21">
        <f>(VLOOKUP(C400,$B$4:$AJ$7,24,FALSE)+VLOOKUP(C400,$B$8:$AJ$11,24,FALSE)*입력란!$P$4)*IF(G400="근접",입력란!$P$27,IF(MID(E400,1,1)="1",입력란!$P$27,입력란!$P$26))*입력란!$P$25/100</f>
        <v>78768.480105550901</v>
      </c>
      <c r="AP400" s="21"/>
      <c r="AQ400" s="22">
        <v>24</v>
      </c>
    </row>
    <row r="401" spans="2:43" ht="13.5" customHeight="1" x14ac:dyDescent="0.55000000000000004">
      <c r="B401" s="66">
        <v>386</v>
      </c>
      <c r="C401" s="29">
        <v>7</v>
      </c>
      <c r="D401" s="67" t="s">
        <v>49</v>
      </c>
      <c r="E401" s="27" t="s">
        <v>108</v>
      </c>
      <c r="F401" s="29"/>
      <c r="G401" s="29" t="s">
        <v>417</v>
      </c>
      <c r="H401" s="36">
        <f>I401/AJ401</f>
        <v>41591.779015012144</v>
      </c>
      <c r="I401" s="37">
        <f>SUM(J401:Q401)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986201.97605430731</v>
      </c>
      <c r="J401" s="21">
        <f>S401*(1+IF($AK401+IF(입력란!$C$9=1,10,0)+IF(입력란!$C$26=1,10,0)&gt;100,100,$AK401+IF(입력란!$C$9=1,10,0)+IF(입력란!$C$26=1,10,0))/100*(($AL401+IF(입력란!$C$30=1,IF(OR(입력란!$C$9=1,입력란!$C$10=1),55,17),IF(입력란!$C$30=2,IF(OR(입력란!$C$9=1,입력란!$C$10=1),60,20),IF(입력란!$C$30=3,IF(OR(입력란!$C$9=1,입력란!$C$10=1),65,22),0))))/100-1))</f>
        <v>419026.31997025479</v>
      </c>
      <c r="K401" s="21">
        <f>T401*(1+IF($AK401+IF(입력란!$C$9=1,10,0)+IF(입력란!$C$26=1,10,0)&gt;100,100,$AK401+IF(입력란!$C$9=1,10,0)+IF(입력란!$C$26=1,10,0))/100*(($AL401+IF(입력란!$C$30=1,IF(OR(입력란!$C$9=1,입력란!$C$10=1),55,17),IF(입력란!$C$30=2,IF(OR(입력란!$C$9=1,입력란!$C$10=1),60,20),IF(입력란!$C$30=3,IF(OR(입력란!$C$9=1,입력란!$C$10=1),65,22),0))))/100-1))</f>
        <v>279367.54452539521</v>
      </c>
      <c r="L401" s="21"/>
      <c r="M401" s="21"/>
      <c r="N401" s="21"/>
      <c r="O401" s="21"/>
      <c r="P401" s="21"/>
      <c r="Q401" s="20"/>
      <c r="R401" s="19">
        <f>SUM(S401:Z401)</f>
        <v>430624.32594933268</v>
      </c>
      <c r="S401" s="21">
        <f>AN401*IF(G401="근접",IF(MID(E401,1,1)="3",트라이포드!$H$20,트라이포드!$G$20),1)*IF(입력란!$C$9=1,IF(MID(E401,1,1)="2",트라이포드!$F$20,트라이포드!$E$20),1)*IF(MID(E401,1,1)="1",트라이포드!$D$20,트라이포드!$C$20)*IF(MID(E401,3,1)="1",트라이포드!$J$20,트라이포드!$I$20)*IF(MID(E401,3,1)="2",트라이포드!$L$20,트라이포드!$K$20)*IF(MID(E401,5,1)="1",트라이포드!$P$20,트라이포드!$O$20)*(1+입력란!$P$17/100)*IF(입력란!$C$9=1,IF(입력란!$C$15=0,1.05,IF(입력란!$C$15=1,1.05*1.05,IF(입력란!$C$15=2,1.05*1.12,IF(입력란!$C$15=3,1.05*1.25)))),1)</f>
        <v>258368.43043076916</v>
      </c>
      <c r="T401" s="21">
        <f>AO401*IF(G401="근접",IF(MID(E401,1,1)="3",트라이포드!$H$20,트라이포드!$G$20),1)*IF(입력란!$C$9=1,IF(MID(E401,1,1)="2",트라이포드!$F$20,트라이포드!$E$20),1)*IF(MID(E401,1,1)="1",트라이포드!$D$20,트라이포드!$C$20)*IF(MID(E401,3,1)="1",트라이포드!$J$20,트라이포드!$I$20)*IF(MID(E401,3,1)="2",트라이포드!$L$20,트라이포드!$K$20)*IF(MID(E401,5,1)="1",0,IF(MID(E401,5,1)="2",트라이포드!$R$20,트라이포드!$Q$20))*(1+입력란!$P$17/100)*IF(입력란!$C$9=1,IF(입력란!$C$15=0,1.05,IF(입력란!$C$15=1,1.05*1.05,IF(입력란!$C$15=2,1.05*1.12,IF(입력란!$C$15=3,1.05*1.25)))),1)</f>
        <v>172255.89551856354</v>
      </c>
      <c r="U401" s="21"/>
      <c r="V401" s="21"/>
      <c r="W401" s="21"/>
      <c r="X401" s="21"/>
      <c r="Y401" s="21"/>
      <c r="Z401" s="20"/>
      <c r="AA401" s="21">
        <f>SUM(AB401:AI401)</f>
        <v>861248.65189866535</v>
      </c>
      <c r="AB401" s="21">
        <f>S401*2</f>
        <v>516736.86086153833</v>
      </c>
      <c r="AC401" s="21">
        <f>T401*2</f>
        <v>344511.79103712708</v>
      </c>
      <c r="AD401" s="21"/>
      <c r="AE401" s="21"/>
      <c r="AF401" s="21"/>
      <c r="AG401" s="21"/>
      <c r="AH401" s="21"/>
      <c r="AI401" s="20"/>
      <c r="AJ401" s="21">
        <f>AQ401*(1-입력란!$P$10/100)</f>
        <v>23.711464126079999</v>
      </c>
      <c r="AK40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1" s="21">
        <f>입력란!$P$24+IF(입력란!$C$18=1,10,IF(입력란!$C$18=2,25,IF(입력란!$C$18=3,50,0)))+IF(입력란!$C$23&lt;&gt;0,-12)</f>
        <v>200</v>
      </c>
      <c r="AM401" s="21">
        <f>SUM(AN401:AP401)</f>
        <v>196914.15233942372</v>
      </c>
      <c r="AN401" s="21">
        <f>(VLOOKUP(C401,$B$4:$AJ$7,23,FALSE)+VLOOKUP(C401,$B$8:$AJ$11,23,FALSE)*입력란!$P$4)*IF(G401="근접",입력란!$P$27,IF(MID(E401,1,1)="1",입력란!$P$27,입력란!$P$26))*입력란!$P$25/100</f>
        <v>118145.67223387283</v>
      </c>
      <c r="AO401" s="21">
        <f>(VLOOKUP(C401,$B$4:$AJ$7,24,FALSE)+VLOOKUP(C401,$B$8:$AJ$11,24,FALSE)*입력란!$P$4)*IF(G401="근접",입력란!$P$27,IF(MID(E401,1,1)="1",입력란!$P$27,입력란!$P$26))*입력란!$P$25/100</f>
        <v>78768.480105550901</v>
      </c>
      <c r="AP401" s="21"/>
      <c r="AQ401" s="22">
        <v>24</v>
      </c>
    </row>
    <row r="402" spans="2:43" ht="13.5" customHeight="1" x14ac:dyDescent="0.55000000000000004">
      <c r="B402" s="66">
        <v>387</v>
      </c>
      <c r="C402" s="29">
        <v>10</v>
      </c>
      <c r="D402" s="67" t="s">
        <v>49</v>
      </c>
      <c r="E402" s="27" t="s">
        <v>76</v>
      </c>
      <c r="F402" s="29"/>
      <c r="G402" s="29" t="s">
        <v>417</v>
      </c>
      <c r="H402" s="36">
        <f>I402/AJ402</f>
        <v>32006.28424480795</v>
      </c>
      <c r="I402" s="37">
        <f>SUM(J402:Q402)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758915.86067988316</v>
      </c>
      <c r="J402" s="21">
        <f>S402*(1+IF($AK402+IF(입력란!$C$9=1,10,0)+IF(입력란!$C$26=1,10,0)&gt;100,100,$AK402+IF(입력란!$C$9=1,10,0)+IF(입력란!$C$26=1,10,0))/100*(($AL402+IF(입력란!$C$30=1,IF(OR(입력란!$C$9=1,입력란!$C$10=1),55,17),IF(입력란!$C$30=2,IF(OR(입력란!$C$9=1,입력란!$C$10=1),60,20),IF(입력란!$C$30=3,IF(OR(입력란!$C$9=1,입력란!$C$10=1),65,22),0))))/100-1))</f>
        <v>322454.52806365828</v>
      </c>
      <c r="K402" s="21">
        <f>T402*(1+IF($AK402+IF(입력란!$C$9=1,10,0)+IF(입력란!$C$26=1,10,0)&gt;100,100,$AK402+IF(입력란!$C$9=1,10,0)+IF(입력란!$C$26=1,10,0))/100*(($AL402+IF(입력란!$C$30=1,IF(OR(입력란!$C$9=1,입력란!$C$10=1),55,17),IF(입력란!$C$30=2,IF(OR(입력란!$C$9=1,입력란!$C$10=1),60,20),IF(입력란!$C$30=3,IF(OR(입력란!$C$9=1,입력란!$C$10=1),65,22),0))))/100-1))</f>
        <v>214983.23178329528</v>
      </c>
      <c r="L402" s="21"/>
      <c r="M402" s="21"/>
      <c r="N402" s="21"/>
      <c r="O402" s="21"/>
      <c r="P402" s="21"/>
      <c r="Q402" s="20"/>
      <c r="R402" s="19">
        <f>SUM(S402:Z402)</f>
        <v>331380.02041433344</v>
      </c>
      <c r="S402" s="21">
        <f>AN402*IF(G402="근접",IF(MID(E402,1,1)="3",트라이포드!$H$20,트라이포드!$G$20),1)*IF(입력란!$C$9=1,IF(MID(E402,1,1)="2",트라이포드!$F$20,트라이포드!$E$20),1)*IF(MID(E402,1,1)="1",트라이포드!$D$20,트라이포드!$C$20)*IF(MID(E402,3,1)="1",트라이포드!$J$20,트라이포드!$I$20)*IF(MID(E402,3,1)="2",트라이포드!$L$20,트라이포드!$K$20)*IF(MID(E402,5,1)="1",트라이포드!$P$20,트라이포드!$O$20)*(1+입력란!$P$17/100)*IF(입력란!$C$9=1,IF(입력란!$C$15=0,1.05,IF(입력란!$C$15=1,1.05*1.05,IF(입력란!$C$15=2,1.05*1.12,IF(입력란!$C$15=3,1.05*1.25)))),1)</f>
        <v>198823.00068171334</v>
      </c>
      <c r="T402" s="21">
        <f>AO402*IF(G402="근접",IF(MID(E402,1,1)="3",트라이포드!$H$20,트라이포드!$G$20),1)*IF(입력란!$C$9=1,IF(MID(E402,1,1)="2",트라이포드!$F$20,트라이포드!$E$20),1)*IF(MID(E402,1,1)="1",트라이포드!$D$20,트라이포드!$C$20)*IF(MID(E402,3,1)="1",트라이포드!$J$20,트라이포드!$I$20)*IF(MID(E402,3,1)="2",트라이포드!$L$20,트라이포드!$K$20)*IF(MID(E402,5,1)="1",0,IF(MID(E402,5,1)="2",트라이포드!$R$20,트라이포드!$Q$20))*(1+입력란!$P$17/100)*IF(입력란!$C$9=1,IF(입력란!$C$15=0,1.05,IF(입력란!$C$15=1,1.05*1.05,IF(입력란!$C$15=2,1.05*1.12,IF(입력란!$C$15=3,1.05*1.25)))),1)</f>
        <v>132557.0197326201</v>
      </c>
      <c r="U402" s="21"/>
      <c r="V402" s="21"/>
      <c r="W402" s="21"/>
      <c r="X402" s="21"/>
      <c r="Y402" s="21"/>
      <c r="Z402" s="20"/>
      <c r="AA402" s="21">
        <f>SUM(AB402:AI402)</f>
        <v>662760.04082866688</v>
      </c>
      <c r="AB402" s="21">
        <f>S402*2</f>
        <v>397646.00136342668</v>
      </c>
      <c r="AC402" s="21">
        <f>T402*2</f>
        <v>265114.0394652402</v>
      </c>
      <c r="AD402" s="21"/>
      <c r="AE402" s="21"/>
      <c r="AF402" s="21"/>
      <c r="AG402" s="21"/>
      <c r="AH402" s="21"/>
      <c r="AI402" s="20"/>
      <c r="AJ402" s="21">
        <f>AQ402*(1-입력란!$P$10/100)</f>
        <v>23.711464126079999</v>
      </c>
      <c r="AK40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2" s="21">
        <f>입력란!$P$24+IF(입력란!$C$18=1,10,IF(입력란!$C$18=2,25,IF(입력란!$C$18=3,50,0)))+IF(입력란!$C$23&lt;&gt;0,-12)</f>
        <v>200</v>
      </c>
      <c r="AM402" s="21">
        <f>SUM(AN402:AP402)</f>
        <v>196991.75233942372</v>
      </c>
      <c r="AN402" s="21">
        <f>(VLOOKUP(C402,$B$4:$AJ$7,23,FALSE)+VLOOKUP(C402,$B$8:$AJ$11,23,FALSE)*입력란!$P$4)*IF(G402="근접",입력란!$P$27,IF(MID(E402,1,1)="1",입력란!$P$27,입력란!$P$26))*입력란!$P$25/100</f>
        <v>118192.07223387282</v>
      </c>
      <c r="AO402" s="21">
        <f>(VLOOKUP(C402,$B$4:$AJ$7,24,FALSE)+VLOOKUP(C402,$B$8:$AJ$11,24,FALSE)*입력란!$P$4)*IF(G402="근접",입력란!$P$27,IF(MID(E402,1,1)="1",입력란!$P$27,입력란!$P$26))*입력란!$P$25/100</f>
        <v>78799.680105550899</v>
      </c>
      <c r="AP402" s="21"/>
      <c r="AQ402" s="22">
        <v>24</v>
      </c>
    </row>
    <row r="403" spans="2:43" ht="13.5" customHeight="1" x14ac:dyDescent="0.55000000000000004">
      <c r="B403" s="66">
        <v>388</v>
      </c>
      <c r="C403" s="29">
        <v>10</v>
      </c>
      <c r="D403" s="67" t="s">
        <v>49</v>
      </c>
      <c r="E403" s="27" t="s">
        <v>121</v>
      </c>
      <c r="F403" s="29"/>
      <c r="G403" s="29" t="s">
        <v>417</v>
      </c>
      <c r="H403" s="36">
        <f>I403/AJ403</f>
        <v>53769.202215481768</v>
      </c>
      <c r="I403" s="37">
        <f>SUM(J403:Q403)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1274946.5094203372</v>
      </c>
      <c r="J403" s="21">
        <f>S403*(1+IF($AK403+IF(입력란!$C$9=1,10,0)+IF(입력란!$C$26=1,10,0)&gt;100,100,$AK403+IF(입력란!$C$9=1,10,0)+IF(입력란!$C$26=1,10,0))/100*(($AL403+IF(입력란!$C$30=1,IF(OR(입력란!$C$9=1,입력란!$C$10=1),55,17),IF(입력란!$C$30=2,IF(OR(입력란!$C$9=1,입력란!$C$10=1),60,20),IF(입력란!$C$30=3,IF(OR(입력란!$C$9=1,입력란!$C$10=1),65,22),0))))/100-1))</f>
        <v>902872.67857824313</v>
      </c>
      <c r="K403" s="21">
        <f>T403*(1+IF($AK403+IF(입력란!$C$9=1,10,0)+IF(입력란!$C$26=1,10,0)&gt;100,100,$AK403+IF(입력란!$C$9=1,10,0)+IF(입력란!$C$26=1,10,0))/100*(($AL403+IF(입력란!$C$30=1,IF(OR(입력란!$C$9=1,입력란!$C$10=1),55,17),IF(입력란!$C$30=2,IF(OR(입력란!$C$9=1,입력란!$C$10=1),60,20),IF(입력란!$C$30=3,IF(OR(입력란!$C$9=1,입력란!$C$10=1),65,22),0))))/100-1))</f>
        <v>0</v>
      </c>
      <c r="L403" s="21"/>
      <c r="M403" s="21"/>
      <c r="N403" s="21"/>
      <c r="O403" s="21"/>
      <c r="P403" s="21"/>
      <c r="Q403" s="20"/>
      <c r="R403" s="19">
        <f>SUM(S403:Z403)</f>
        <v>556704.40190879733</v>
      </c>
      <c r="S403" s="21">
        <f>AN403*IF(G403="근접",IF(MID(E403,1,1)="3",트라이포드!$H$20,트라이포드!$G$20),1)*IF(입력란!$C$9=1,IF(MID(E403,1,1)="2",트라이포드!$F$20,트라이포드!$E$20),1)*IF(MID(E403,1,1)="1",트라이포드!$D$20,트라이포드!$C$20)*IF(MID(E403,3,1)="1",트라이포드!$J$20,트라이포드!$I$20)*IF(MID(E403,3,1)="2",트라이포드!$L$20,트라이포드!$K$20)*IF(MID(E403,5,1)="1",트라이포드!$P$20,트라이포드!$O$20)*(1+입력란!$P$17/100)*IF(입력란!$C$9=1,IF(입력란!$C$15=0,1.05,IF(입력란!$C$15=1,1.05*1.05,IF(입력란!$C$15=2,1.05*1.12,IF(입력란!$C$15=3,1.05*1.25)))),1)</f>
        <v>556704.40190879733</v>
      </c>
      <c r="T403" s="21">
        <f>AO403*IF(G403="근접",IF(MID(E403,1,1)="3",트라이포드!$H$20,트라이포드!$G$20),1)*IF(입력란!$C$9=1,IF(MID(E403,1,1)="2",트라이포드!$F$20,트라이포드!$E$20),1)*IF(MID(E403,1,1)="1",트라이포드!$D$20,트라이포드!$C$20)*IF(MID(E403,3,1)="1",트라이포드!$J$20,트라이포드!$I$20)*IF(MID(E403,3,1)="2",트라이포드!$L$20,트라이포드!$K$20)*IF(MID(E403,5,1)="1",0,IF(MID(E403,5,1)="2",트라이포드!$R$20,트라이포드!$Q$20))*(1+입력란!$P$17/100)*IF(입력란!$C$9=1,IF(입력란!$C$15=0,1.05,IF(입력란!$C$15=1,1.05*1.05,IF(입력란!$C$15=2,1.05*1.12,IF(입력란!$C$15=3,1.05*1.25)))),1)</f>
        <v>0</v>
      </c>
      <c r="U403" s="21"/>
      <c r="V403" s="21"/>
      <c r="W403" s="21"/>
      <c r="X403" s="21"/>
      <c r="Y403" s="21"/>
      <c r="Z403" s="20"/>
      <c r="AA403" s="21">
        <f>SUM(AB403:AI403)</f>
        <v>1113408.8038175947</v>
      </c>
      <c r="AB403" s="21">
        <f>S403*2</f>
        <v>1113408.8038175947</v>
      </c>
      <c r="AC403" s="21">
        <f>T403*2</f>
        <v>0</v>
      </c>
      <c r="AD403" s="21"/>
      <c r="AE403" s="21"/>
      <c r="AF403" s="21"/>
      <c r="AG403" s="21"/>
      <c r="AH403" s="21"/>
      <c r="AI403" s="20"/>
      <c r="AJ403" s="21">
        <f>AQ403*(1-입력란!$P$10/100)</f>
        <v>23.711464126079999</v>
      </c>
      <c r="AK40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3" s="21">
        <f>입력란!$P$24+IF(입력란!$C$18=1,10,IF(입력란!$C$18=2,25,IF(입력란!$C$18=3,50,0)))+IF(입력란!$C$23&lt;&gt;0,-12)</f>
        <v>200</v>
      </c>
      <c r="AM403" s="21">
        <f>SUM(AN403:AP403)</f>
        <v>196991.75233942372</v>
      </c>
      <c r="AN403" s="21">
        <f>(VLOOKUP(C403,$B$4:$AJ$7,23,FALSE)+VLOOKUP(C403,$B$8:$AJ$11,23,FALSE)*입력란!$P$4)*IF(G403="근접",입력란!$P$27,IF(MID(E403,1,1)="1",입력란!$P$27,입력란!$P$26))*입력란!$P$25/100</f>
        <v>118192.07223387282</v>
      </c>
      <c r="AO403" s="21">
        <f>(VLOOKUP(C403,$B$4:$AJ$7,24,FALSE)+VLOOKUP(C403,$B$8:$AJ$11,24,FALSE)*입력란!$P$4)*IF(G403="근접",입력란!$P$27,IF(MID(E403,1,1)="1",입력란!$P$27,입력란!$P$26))*입력란!$P$25/100</f>
        <v>78799.680105550899</v>
      </c>
      <c r="AP403" s="21"/>
      <c r="AQ403" s="22">
        <v>24</v>
      </c>
    </row>
    <row r="404" spans="2:43" ht="13.5" customHeight="1" x14ac:dyDescent="0.55000000000000004">
      <c r="B404" s="66">
        <v>389</v>
      </c>
      <c r="C404" s="29">
        <v>10</v>
      </c>
      <c r="D404" s="67" t="s">
        <v>49</v>
      </c>
      <c r="E404" s="27" t="s">
        <v>122</v>
      </c>
      <c r="F404" s="29"/>
      <c r="G404" s="29" t="s">
        <v>417</v>
      </c>
      <c r="H404" s="36">
        <f>I404/AJ404</f>
        <v>57612.279723365442</v>
      </c>
      <c r="I404" s="37">
        <f>SUM(J404:Q404)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1366071.5038822659</v>
      </c>
      <c r="J404" s="21">
        <f>S404*(1+IF($AK404+IF(입력란!$C$9=1,10,0)+IF(입력란!$C$26=1,10,0)&gt;100,100,$AK404+IF(입력란!$C$9=1,10,0)+IF(입력란!$C$26=1,10,0))/100*(($AL404+IF(입력란!$C$30=1,IF(OR(입력란!$C$9=1,입력란!$C$10=1),55,17),IF(입력란!$C$30=2,IF(OR(입력란!$C$9=1,입력란!$C$10=1),60,20),IF(입력란!$C$30=3,IF(OR(입력란!$C$9=1,입력란!$C$10=1),65,22),0))))/100-1))</f>
        <v>322454.52806365828</v>
      </c>
      <c r="K404" s="21">
        <f>T404*(1+IF($AK404+IF(입력란!$C$9=1,10,0)+IF(입력란!$C$26=1,10,0)&gt;100,100,$AK404+IF(입력란!$C$9=1,10,0)+IF(입력란!$C$26=1,10,0))/100*(($AL404+IF(입력란!$C$30=1,IF(OR(입력란!$C$9=1,입력란!$C$10=1),55,17),IF(입력란!$C$30=2,IF(OR(입력란!$C$9=1,입력란!$C$10=1),60,20),IF(입력란!$C$30=3,IF(OR(입력란!$C$9=1,입력란!$C$10=1),65,22),0))))/100-1))</f>
        <v>644949.69534988585</v>
      </c>
      <c r="L404" s="21"/>
      <c r="M404" s="21"/>
      <c r="N404" s="21"/>
      <c r="O404" s="21"/>
      <c r="P404" s="21"/>
      <c r="Q404" s="20"/>
      <c r="R404" s="19">
        <f>SUM(S404:Z404)</f>
        <v>596494.05987957364</v>
      </c>
      <c r="S404" s="21">
        <f>AN404*IF(G404="근접",IF(MID(E404,1,1)="3",트라이포드!$H$20,트라이포드!$G$20),1)*IF(입력란!$C$9=1,IF(MID(E404,1,1)="2",트라이포드!$F$20,트라이포드!$E$20),1)*IF(MID(E404,1,1)="1",트라이포드!$D$20,트라이포드!$C$20)*IF(MID(E404,3,1)="1",트라이포드!$J$20,트라이포드!$I$20)*IF(MID(E404,3,1)="2",트라이포드!$L$20,트라이포드!$K$20)*IF(MID(E404,5,1)="1",트라이포드!$P$20,트라이포드!$O$20)*(1+입력란!$P$17/100)*IF(입력란!$C$9=1,IF(입력란!$C$15=0,1.05,IF(입력란!$C$15=1,1.05*1.05,IF(입력란!$C$15=2,1.05*1.12,IF(입력란!$C$15=3,1.05*1.25)))),1)</f>
        <v>198823.00068171334</v>
      </c>
      <c r="T404" s="21">
        <f>AO404*IF(G404="근접",IF(MID(E404,1,1)="3",트라이포드!$H$20,트라이포드!$G$20),1)*IF(입력란!$C$9=1,IF(MID(E404,1,1)="2",트라이포드!$F$20,트라이포드!$E$20),1)*IF(MID(E404,1,1)="1",트라이포드!$D$20,트라이포드!$C$20)*IF(MID(E404,3,1)="1",트라이포드!$J$20,트라이포드!$I$20)*IF(MID(E404,3,1)="2",트라이포드!$L$20,트라이포드!$K$20)*IF(MID(E404,5,1)="1",0,IF(MID(E404,5,1)="2",트라이포드!$R$20,트라이포드!$Q$20))*(1+입력란!$P$17/100)*IF(입력란!$C$9=1,IF(입력란!$C$15=0,1.05,IF(입력란!$C$15=1,1.05*1.05,IF(입력란!$C$15=2,1.05*1.12,IF(입력란!$C$15=3,1.05*1.25)))),1)</f>
        <v>397671.0591978603</v>
      </c>
      <c r="U404" s="21"/>
      <c r="V404" s="21"/>
      <c r="W404" s="21"/>
      <c r="X404" s="21"/>
      <c r="Y404" s="21"/>
      <c r="Z404" s="20"/>
      <c r="AA404" s="21">
        <f>SUM(AB404:AI404)</f>
        <v>1192988.1197591473</v>
      </c>
      <c r="AB404" s="21">
        <f>S404*2</f>
        <v>397646.00136342668</v>
      </c>
      <c r="AC404" s="21">
        <f>T404*2</f>
        <v>795342.11839572061</v>
      </c>
      <c r="AD404" s="21"/>
      <c r="AE404" s="21"/>
      <c r="AF404" s="21"/>
      <c r="AG404" s="21"/>
      <c r="AH404" s="21"/>
      <c r="AI404" s="20"/>
      <c r="AJ404" s="21">
        <f>AQ404*(1-입력란!$P$10/100)</f>
        <v>23.711464126079999</v>
      </c>
      <c r="AK40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4" s="21">
        <f>입력란!$P$24+IF(입력란!$C$18=1,10,IF(입력란!$C$18=2,25,IF(입력란!$C$18=3,50,0)))+IF(입력란!$C$23&lt;&gt;0,-12)</f>
        <v>200</v>
      </c>
      <c r="AM404" s="21">
        <f>SUM(AN404:AP404)</f>
        <v>196991.75233942372</v>
      </c>
      <c r="AN404" s="21">
        <f>(VLOOKUP(C404,$B$4:$AJ$7,23,FALSE)+VLOOKUP(C404,$B$8:$AJ$11,23,FALSE)*입력란!$P$4)*IF(G404="근접",입력란!$P$27,IF(MID(E404,1,1)="1",입력란!$P$27,입력란!$P$26))*입력란!$P$25/100</f>
        <v>118192.07223387282</v>
      </c>
      <c r="AO404" s="21">
        <f>(VLOOKUP(C404,$B$4:$AJ$7,24,FALSE)+VLOOKUP(C404,$B$8:$AJ$11,24,FALSE)*입력란!$P$4)*IF(G404="근접",입력란!$P$27,IF(MID(E404,1,1)="1",입력란!$P$27,입력란!$P$26))*입력란!$P$25/100</f>
        <v>78799.680105550899</v>
      </c>
      <c r="AP404" s="21"/>
      <c r="AQ404" s="22">
        <v>24</v>
      </c>
    </row>
    <row r="405" spans="2:43" ht="13.5" customHeight="1" x14ac:dyDescent="0.55000000000000004">
      <c r="B405" s="66">
        <v>390</v>
      </c>
      <c r="C405" s="29">
        <v>10</v>
      </c>
      <c r="D405" s="67" t="s">
        <v>49</v>
      </c>
      <c r="E405" s="27" t="s">
        <v>145</v>
      </c>
      <c r="F405" s="29" t="s">
        <v>136</v>
      </c>
      <c r="G405" s="29" t="s">
        <v>417</v>
      </c>
      <c r="H405" s="36">
        <f>I405/AJ405</f>
        <v>75276.883101674466</v>
      </c>
      <c r="I405" s="37">
        <f>SUM(J405:Q405)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1784925.1131884719</v>
      </c>
      <c r="J405" s="21">
        <f>S405*(1+IF($AK405+IF(입력란!$C$9=1,10,0)+IF(입력란!$C$26=1,10,0)&gt;100,100,$AK405+IF(입력란!$C$9=1,10,0)+IF(입력란!$C$26=1,10,0))/100*(($AL405+IF(입력란!$C$30=1,IF(OR(입력란!$C$9=1,입력란!$C$10=1),55,17),IF(입력란!$C$30=2,IF(OR(입력란!$C$9=1,입력란!$C$10=1),60,20),IF(입력란!$C$30=3,IF(OR(입력란!$C$9=1,입력란!$C$10=1),65,22),0))))/100-1))</f>
        <v>1264021.7500095402</v>
      </c>
      <c r="K405" s="21">
        <f>T405*(1+IF($AK405+IF(입력란!$C$9=1,10,0)+IF(입력란!$C$26=1,10,0)&gt;100,100,$AK405+IF(입력란!$C$9=1,10,0)+IF(입력란!$C$26=1,10,0))/100*(($AL405+IF(입력란!$C$30=1,IF(OR(입력란!$C$9=1,입력란!$C$10=1),55,17),IF(입력란!$C$30=2,IF(OR(입력란!$C$9=1,입력란!$C$10=1),60,20),IF(입력란!$C$30=3,IF(OR(입력란!$C$9=1,입력란!$C$10=1),65,22),0))))/100-1))</f>
        <v>0</v>
      </c>
      <c r="L405" s="21"/>
      <c r="M405" s="21"/>
      <c r="N405" s="21"/>
      <c r="O405" s="21"/>
      <c r="P405" s="21"/>
      <c r="Q405" s="20"/>
      <c r="R405" s="19">
        <f>SUM(S405:Z405)</f>
        <v>779386.16267231619</v>
      </c>
      <c r="S405" s="21">
        <f>AN405*IF(G405="근접",IF(MID(E405,1,1)="3",트라이포드!$H$20,트라이포드!$G$20),1)*IF(입력란!$C$9=1,IF(MID(E405,1,1)="2",트라이포드!$F$20,트라이포드!$E$20),1)*IF(MID(E405,1,1)="1",트라이포드!$D$20,트라이포드!$C$20)*IF(MID(E405,3,1)="1",트라이포드!$J$20,트라이포드!$I$20)*IF(MID(E405,3,1)="2",트라이포드!$L$20,트라이포드!$K$20)*IF(MID(E405,5,1)="1",트라이포드!$P$20,트라이포드!$O$20)*(1+입력란!$P$17/100)*IF(입력란!$C$9=1,IF(입력란!$C$15=0,1.05,IF(입력란!$C$15=1,1.05*1.05,IF(입력란!$C$15=2,1.05*1.12,IF(입력란!$C$15=3,1.05*1.25)))),1)</f>
        <v>779386.16267231619</v>
      </c>
      <c r="T405" s="21">
        <f>AO405*IF(G405="근접",IF(MID(E405,1,1)="3",트라이포드!$H$20,트라이포드!$G$20),1)*IF(입력란!$C$9=1,IF(MID(E405,1,1)="2",트라이포드!$F$20,트라이포드!$E$20),1)*IF(MID(E405,1,1)="1",트라이포드!$D$20,트라이포드!$C$20)*IF(MID(E405,3,1)="1",트라이포드!$J$20,트라이포드!$I$20)*IF(MID(E405,3,1)="2",트라이포드!$L$20,트라이포드!$K$20)*IF(MID(E405,5,1)="1",0,IF(MID(E405,5,1)="2",트라이포드!$R$20,트라이포드!$Q$20))*(1+입력란!$P$17/100)*IF(입력란!$C$9=1,IF(입력란!$C$15=0,1.05,IF(입력란!$C$15=1,1.05*1.05,IF(입력란!$C$15=2,1.05*1.12,IF(입력란!$C$15=3,1.05*1.25)))),1)</f>
        <v>0</v>
      </c>
      <c r="U405" s="21"/>
      <c r="V405" s="21"/>
      <c r="W405" s="21"/>
      <c r="X405" s="21"/>
      <c r="Y405" s="21"/>
      <c r="Z405" s="20"/>
      <c r="AA405" s="21">
        <f>SUM(AB405:AI405)</f>
        <v>1558772.3253446324</v>
      </c>
      <c r="AB405" s="21">
        <f>S405*2</f>
        <v>1558772.3253446324</v>
      </c>
      <c r="AC405" s="21">
        <f>T405*2</f>
        <v>0</v>
      </c>
      <c r="AD405" s="21"/>
      <c r="AE405" s="21"/>
      <c r="AF405" s="21"/>
      <c r="AG405" s="21"/>
      <c r="AH405" s="21"/>
      <c r="AI405" s="20"/>
      <c r="AJ405" s="21">
        <f>AQ405*(1-입력란!$P$10/100)</f>
        <v>23.711464126079999</v>
      </c>
      <c r="AK40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5" s="21">
        <f>입력란!$P$24+IF(입력란!$C$18=1,10,IF(입력란!$C$18=2,25,IF(입력란!$C$18=3,50,0)))+IF(입력란!$C$23&lt;&gt;0,-12)</f>
        <v>200</v>
      </c>
      <c r="AM405" s="21">
        <f>SUM(AN405:AP405)</f>
        <v>196991.75233942372</v>
      </c>
      <c r="AN405" s="21">
        <f>(VLOOKUP(C405,$B$4:$AJ$7,23,FALSE)+VLOOKUP(C405,$B$8:$AJ$11,23,FALSE)*입력란!$P$4)*IF(G405="근접",입력란!$P$27,IF(MID(E405,1,1)="1",입력란!$P$27,입력란!$P$26))*입력란!$P$25/100</f>
        <v>118192.07223387282</v>
      </c>
      <c r="AO405" s="21">
        <f>(VLOOKUP(C405,$B$4:$AJ$7,24,FALSE)+VLOOKUP(C405,$B$8:$AJ$11,24,FALSE)*입력란!$P$4)*IF(G405="근접",입력란!$P$27,IF(MID(E405,1,1)="1",입력란!$P$27,입력란!$P$26))*입력란!$P$25/100</f>
        <v>78799.680105550899</v>
      </c>
      <c r="AP405" s="21"/>
      <c r="AQ405" s="22">
        <v>24</v>
      </c>
    </row>
    <row r="406" spans="2:43" ht="13.5" customHeight="1" x14ac:dyDescent="0.55000000000000004">
      <c r="B406" s="66">
        <v>391</v>
      </c>
      <c r="C406" s="29">
        <v>10</v>
      </c>
      <c r="D406" s="67" t="s">
        <v>49</v>
      </c>
      <c r="E406" s="27" t="s">
        <v>146</v>
      </c>
      <c r="F406" s="29" t="s">
        <v>136</v>
      </c>
      <c r="G406" s="29" t="s">
        <v>417</v>
      </c>
      <c r="H406" s="36">
        <f>I406/AJ406</f>
        <v>80657.191612711613</v>
      </c>
      <c r="I406" s="37">
        <f>SUM(J406:Q406)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1912500.1054351721</v>
      </c>
      <c r="J406" s="21">
        <f>S406*(1+IF($AK406+IF(입력란!$C$9=1,10,0)+IF(입력란!$C$26=1,10,0)&gt;100,100,$AK406+IF(입력란!$C$9=1,10,0)+IF(입력란!$C$26=1,10,0))/100*(($AL406+IF(입력란!$C$30=1,IF(OR(입력란!$C$9=1,입력란!$C$10=1),55,17),IF(입력란!$C$30=2,IF(OR(입력란!$C$9=1,입력란!$C$10=1),60,20),IF(입력란!$C$30=3,IF(OR(입력란!$C$9=1,입력란!$C$10=1),65,22),0))))/100-1))</f>
        <v>451436.33928912156</v>
      </c>
      <c r="K406" s="21">
        <f>T406*(1+IF($AK406+IF(입력란!$C$9=1,10,0)+IF(입력란!$C$26=1,10,0)&gt;100,100,$AK406+IF(입력란!$C$9=1,10,0)+IF(입력란!$C$26=1,10,0))/100*(($AL406+IF(입력란!$C$30=1,IF(OR(입력란!$C$9=1,입력란!$C$10=1),55,17),IF(입력란!$C$30=2,IF(OR(입력란!$C$9=1,입력란!$C$10=1),60,20),IF(입력란!$C$30=3,IF(OR(입력란!$C$9=1,입력란!$C$10=1),65,22),0))))/100-1))</f>
        <v>902929.57348984014</v>
      </c>
      <c r="L406" s="21"/>
      <c r="M406" s="21"/>
      <c r="N406" s="21"/>
      <c r="O406" s="21"/>
      <c r="P406" s="21"/>
      <c r="Q406" s="20"/>
      <c r="R406" s="19">
        <f>SUM(S406:Z406)</f>
        <v>835091.68383140303</v>
      </c>
      <c r="S406" s="21">
        <f>AN406*IF(G406="근접",IF(MID(E406,1,1)="3",트라이포드!$H$20,트라이포드!$G$20),1)*IF(입력란!$C$9=1,IF(MID(E406,1,1)="2",트라이포드!$F$20,트라이포드!$E$20),1)*IF(MID(E406,1,1)="1",트라이포드!$D$20,트라이포드!$C$20)*IF(MID(E406,3,1)="1",트라이포드!$J$20,트라이포드!$I$20)*IF(MID(E406,3,1)="2",트라이포드!$L$20,트라이포드!$K$20)*IF(MID(E406,5,1)="1",트라이포드!$P$20,트라이포드!$O$20)*(1+입력란!$P$17/100)*IF(입력란!$C$9=1,IF(입력란!$C$15=0,1.05,IF(입력란!$C$15=1,1.05*1.05,IF(입력란!$C$15=2,1.05*1.12,IF(입력란!$C$15=3,1.05*1.25)))),1)</f>
        <v>278352.20095439866</v>
      </c>
      <c r="T406" s="21">
        <f>AO406*IF(G406="근접",IF(MID(E406,1,1)="3",트라이포드!$H$20,트라이포드!$G$20),1)*IF(입력란!$C$9=1,IF(MID(E406,1,1)="2",트라이포드!$F$20,트라이포드!$E$20),1)*IF(MID(E406,1,1)="1",트라이포드!$D$20,트라이포드!$C$20)*IF(MID(E406,3,1)="1",트라이포드!$J$20,트라이포드!$I$20)*IF(MID(E406,3,1)="2",트라이포드!$L$20,트라이포드!$K$20)*IF(MID(E406,5,1)="1",0,IF(MID(E406,5,1)="2",트라이포드!$R$20,트라이포드!$Q$20))*(1+입력란!$P$17/100)*IF(입력란!$C$9=1,IF(입력란!$C$15=0,1.05,IF(입력란!$C$15=1,1.05*1.05,IF(입력란!$C$15=2,1.05*1.12,IF(입력란!$C$15=3,1.05*1.25)))),1)</f>
        <v>556739.48287700443</v>
      </c>
      <c r="U406" s="21"/>
      <c r="V406" s="21"/>
      <c r="W406" s="21"/>
      <c r="X406" s="21"/>
      <c r="Y406" s="21"/>
      <c r="Z406" s="20"/>
      <c r="AA406" s="21">
        <f>SUM(AB406:AI406)</f>
        <v>1670183.3676628061</v>
      </c>
      <c r="AB406" s="21">
        <f>S406*2</f>
        <v>556704.40190879733</v>
      </c>
      <c r="AC406" s="21">
        <f>T406*2</f>
        <v>1113478.9657540089</v>
      </c>
      <c r="AD406" s="21"/>
      <c r="AE406" s="21"/>
      <c r="AF406" s="21"/>
      <c r="AG406" s="21"/>
      <c r="AH406" s="21"/>
      <c r="AI406" s="20"/>
      <c r="AJ406" s="21">
        <f>AQ406*(1-입력란!$P$10/100)</f>
        <v>23.711464126079999</v>
      </c>
      <c r="AK40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6" s="21">
        <f>입력란!$P$24+IF(입력란!$C$18=1,10,IF(입력란!$C$18=2,25,IF(입력란!$C$18=3,50,0)))+IF(입력란!$C$23&lt;&gt;0,-12)</f>
        <v>200</v>
      </c>
      <c r="AM406" s="21">
        <f>SUM(AN406:AP406)</f>
        <v>196991.75233942372</v>
      </c>
      <c r="AN406" s="21">
        <f>(VLOOKUP(C406,$B$4:$AJ$7,23,FALSE)+VLOOKUP(C406,$B$8:$AJ$11,23,FALSE)*입력란!$P$4)*IF(G406="근접",입력란!$P$27,IF(MID(E406,1,1)="1",입력란!$P$27,입력란!$P$26))*입력란!$P$25/100</f>
        <v>118192.07223387282</v>
      </c>
      <c r="AO406" s="21">
        <f>(VLOOKUP(C406,$B$4:$AJ$7,24,FALSE)+VLOOKUP(C406,$B$8:$AJ$11,24,FALSE)*입력란!$P$4)*IF(G406="근접",입력란!$P$27,IF(MID(E406,1,1)="1",입력란!$P$27,입력란!$P$26))*입력란!$P$25/100</f>
        <v>78799.680105550899</v>
      </c>
      <c r="AP406" s="21"/>
      <c r="AQ406" s="22">
        <v>24</v>
      </c>
    </row>
    <row r="407" spans="2:43" ht="13.5" customHeight="1" x14ac:dyDescent="0.55000000000000004">
      <c r="B407" s="66">
        <v>392</v>
      </c>
      <c r="C407" s="29">
        <v>10</v>
      </c>
      <c r="D407" s="67" t="s">
        <v>49</v>
      </c>
      <c r="E407" s="27" t="s">
        <v>140</v>
      </c>
      <c r="F407" s="29"/>
      <c r="G407" s="29" t="s">
        <v>417</v>
      </c>
      <c r="H407" s="36">
        <f>I407/AJ407</f>
        <v>69899.962880126317</v>
      </c>
      <c r="I407" s="37">
        <f>SUM(J407:Q407)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1657430.4622464387</v>
      </c>
      <c r="J407" s="21">
        <f>S407*(1+IF($AK407+IF(입력란!$C$9=1,10,0)+IF(입력란!$C$26=1,10,0)&gt;100,100,$AK407+IF(입력란!$C$9=1,10,0)+IF(입력란!$C$26=1,10,0))/100*(($AL407+IF(입력란!$C$30=1,IF(OR(입력란!$C$9=1,입력란!$C$10=1),55,17),IF(입력란!$C$30=2,IF(OR(입력란!$C$9=1,입력란!$C$10=1),60,20),IF(입력란!$C$30=3,IF(OR(입력란!$C$9=1,입력란!$C$10=1),65,22),0))))/100-1))</f>
        <v>1173734.4821517162</v>
      </c>
      <c r="K407" s="21">
        <f>T407*(1+IF($AK407+IF(입력란!$C$9=1,10,0)+IF(입력란!$C$26=1,10,0)&gt;100,100,$AK407+IF(입력란!$C$9=1,10,0)+IF(입력란!$C$26=1,10,0))/100*(($AL407+IF(입력란!$C$30=1,IF(OR(입력란!$C$9=1,입력란!$C$10=1),55,17),IF(입력란!$C$30=2,IF(OR(입력란!$C$9=1,입력란!$C$10=1),60,20),IF(입력란!$C$30=3,IF(OR(입력란!$C$9=1,입력란!$C$10=1),65,22),0))))/100-1))</f>
        <v>0</v>
      </c>
      <c r="L407" s="21"/>
      <c r="M407" s="21"/>
      <c r="N407" s="21"/>
      <c r="O407" s="21"/>
      <c r="P407" s="21"/>
      <c r="Q407" s="20"/>
      <c r="R407" s="19">
        <f>SUM(S407:Z407)</f>
        <v>723715.72248143656</v>
      </c>
      <c r="S407" s="21">
        <f>AN407*IF(G407="근접",IF(MID(E407,1,1)="3",트라이포드!$H$20,트라이포드!$G$20),1)*IF(입력란!$C$9=1,IF(MID(E407,1,1)="2",트라이포드!$F$20,트라이포드!$E$20),1)*IF(MID(E407,1,1)="1",트라이포드!$D$20,트라이포드!$C$20)*IF(MID(E407,3,1)="1",트라이포드!$J$20,트라이포드!$I$20)*IF(MID(E407,3,1)="2",트라이포드!$L$20,트라이포드!$K$20)*IF(MID(E407,5,1)="1",트라이포드!$P$20,트라이포드!$O$20)*(1+입력란!$P$17/100)*IF(입력란!$C$9=1,IF(입력란!$C$15=0,1.05,IF(입력란!$C$15=1,1.05*1.05,IF(입력란!$C$15=2,1.05*1.12,IF(입력란!$C$15=3,1.05*1.25)))),1)</f>
        <v>723715.72248143656</v>
      </c>
      <c r="T407" s="21">
        <f>AO407*IF(G407="근접",IF(MID(E407,1,1)="3",트라이포드!$H$20,트라이포드!$G$20),1)*IF(입력란!$C$9=1,IF(MID(E407,1,1)="2",트라이포드!$F$20,트라이포드!$E$20),1)*IF(MID(E407,1,1)="1",트라이포드!$D$20,트라이포드!$C$20)*IF(MID(E407,3,1)="1",트라이포드!$J$20,트라이포드!$I$20)*IF(MID(E407,3,1)="2",트라이포드!$L$20,트라이포드!$K$20)*IF(MID(E407,5,1)="1",0,IF(MID(E407,5,1)="2",트라이포드!$R$20,트라이포드!$Q$20))*(1+입력란!$P$17/100)*IF(입력란!$C$9=1,IF(입력란!$C$15=0,1.05,IF(입력란!$C$15=1,1.05*1.05,IF(입력란!$C$15=2,1.05*1.12,IF(입력란!$C$15=3,1.05*1.25)))),1)</f>
        <v>0</v>
      </c>
      <c r="U407" s="21"/>
      <c r="V407" s="21"/>
      <c r="W407" s="21"/>
      <c r="X407" s="21"/>
      <c r="Y407" s="21"/>
      <c r="Z407" s="20"/>
      <c r="AA407" s="21">
        <f>SUM(AB407:AI407)</f>
        <v>1447431.4449628731</v>
      </c>
      <c r="AB407" s="21">
        <f>S407*2</f>
        <v>1447431.4449628731</v>
      </c>
      <c r="AC407" s="21">
        <f>T407*2</f>
        <v>0</v>
      </c>
      <c r="AD407" s="21"/>
      <c r="AE407" s="21"/>
      <c r="AF407" s="21"/>
      <c r="AG407" s="21"/>
      <c r="AH407" s="21"/>
      <c r="AI407" s="20"/>
      <c r="AJ407" s="21">
        <f>AQ407*(1-입력란!$P$10/100)</f>
        <v>23.711464126079999</v>
      </c>
      <c r="AK40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7" s="21">
        <f>입력란!$P$24+IF(입력란!$C$18=1,10,IF(입력란!$C$18=2,25,IF(입력란!$C$18=3,50,0)))+IF(입력란!$C$23&lt;&gt;0,-12)</f>
        <v>200</v>
      </c>
      <c r="AM407" s="21">
        <f>SUM(AN407:AP407)</f>
        <v>196991.75233942372</v>
      </c>
      <c r="AN407" s="21">
        <f>(VLOOKUP(C407,$B$4:$AJ$7,23,FALSE)+VLOOKUP(C407,$B$8:$AJ$11,23,FALSE)*입력란!$P$4)*IF(G407="근접",입력란!$P$27,IF(MID(E407,1,1)="1",입력란!$P$27,입력란!$P$26))*입력란!$P$25/100</f>
        <v>118192.07223387282</v>
      </c>
      <c r="AO407" s="21">
        <f>(VLOOKUP(C407,$B$4:$AJ$7,24,FALSE)+VLOOKUP(C407,$B$8:$AJ$11,24,FALSE)*입력란!$P$4)*IF(G407="근접",입력란!$P$27,IF(MID(E407,1,1)="1",입력란!$P$27,입력란!$P$26))*입력란!$P$25/100</f>
        <v>78799.680105550899</v>
      </c>
      <c r="AP407" s="21"/>
      <c r="AQ407" s="22">
        <v>24</v>
      </c>
    </row>
    <row r="408" spans="2:43" ht="13.5" customHeight="1" x14ac:dyDescent="0.55000000000000004">
      <c r="B408" s="66">
        <v>393</v>
      </c>
      <c r="C408" s="29">
        <v>10</v>
      </c>
      <c r="D408" s="67" t="s">
        <v>49</v>
      </c>
      <c r="E408" s="27" t="s">
        <v>147</v>
      </c>
      <c r="F408" s="29"/>
      <c r="G408" s="29" t="s">
        <v>417</v>
      </c>
      <c r="H408" s="36">
        <f>I408/AJ408</f>
        <v>74895.963640375077</v>
      </c>
      <c r="I408" s="37">
        <f>SUM(J408:Q408)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1775892.9550469455</v>
      </c>
      <c r="J408" s="21">
        <f>S408*(1+IF($AK408+IF(입력란!$C$9=1,10,0)+IF(입력란!$C$26=1,10,0)&gt;100,100,$AK408+IF(입력란!$C$9=1,10,0)+IF(입력란!$C$26=1,10,0))/100*(($AL408+IF(입력란!$C$30=1,IF(OR(입력란!$C$9=1,입력란!$C$10=1),55,17),IF(입력란!$C$30=2,IF(OR(입력란!$C$9=1,입력란!$C$10=1),60,20),IF(입력란!$C$30=3,IF(OR(입력란!$C$9=1,입력란!$C$10=1),65,22),0))))/100-1))</f>
        <v>419190.88648275577</v>
      </c>
      <c r="K408" s="21">
        <f>T408*(1+IF($AK408+IF(입력란!$C$9=1,10,0)+IF(입력란!$C$26=1,10,0)&gt;100,100,$AK408+IF(입력란!$C$9=1,10,0)+IF(입력란!$C$26=1,10,0))/100*(($AL408+IF(입력란!$C$30=1,IF(OR(입력란!$C$9=1,입력란!$C$10=1),55,17),IF(입력란!$C$30=2,IF(OR(입력란!$C$9=1,입력란!$C$10=1),60,20),IF(입력란!$C$30=3,IF(OR(입력란!$C$9=1,입력란!$C$10=1),65,22),0))))/100-1))</f>
        <v>838434.60395485163</v>
      </c>
      <c r="L408" s="21"/>
      <c r="M408" s="21"/>
      <c r="N408" s="21"/>
      <c r="O408" s="21"/>
      <c r="P408" s="21"/>
      <c r="Q408" s="20"/>
      <c r="R408" s="19">
        <f>SUM(S408:Z408)</f>
        <v>775442.27784344577</v>
      </c>
      <c r="S408" s="21">
        <f>AN408*IF(G408="근접",IF(MID(E408,1,1)="3",트라이포드!$H$20,트라이포드!$G$20),1)*IF(입력란!$C$9=1,IF(MID(E408,1,1)="2",트라이포드!$F$20,트라이포드!$E$20),1)*IF(MID(E408,1,1)="1",트라이포드!$D$20,트라이포드!$C$20)*IF(MID(E408,3,1)="1",트라이포드!$J$20,트라이포드!$I$20)*IF(MID(E408,3,1)="2",트라이포드!$L$20,트라이포드!$K$20)*IF(MID(E408,5,1)="1",트라이포드!$P$20,트라이포드!$O$20)*(1+입력란!$P$17/100)*IF(입력란!$C$9=1,IF(입력란!$C$15=0,1.05,IF(입력란!$C$15=1,1.05*1.05,IF(입력란!$C$15=2,1.05*1.12,IF(입력란!$C$15=3,1.05*1.25)))),1)</f>
        <v>258469.90088622735</v>
      </c>
      <c r="T408" s="21">
        <f>AO408*IF(G408="근접",IF(MID(E408,1,1)="3",트라이포드!$H$20,트라이포드!$G$20),1)*IF(입력란!$C$9=1,IF(MID(E408,1,1)="2",트라이포드!$F$20,트라이포드!$E$20),1)*IF(MID(E408,1,1)="1",트라이포드!$D$20,트라이포드!$C$20)*IF(MID(E408,3,1)="1",트라이포드!$J$20,트라이포드!$I$20)*IF(MID(E408,3,1)="2",트라이포드!$L$20,트라이포드!$K$20)*IF(MID(E408,5,1)="1",0,IF(MID(E408,5,1)="2",트라이포드!$R$20,트라이포드!$Q$20))*(1+입력란!$P$17/100)*IF(입력란!$C$9=1,IF(입력란!$C$15=0,1.05,IF(입력란!$C$15=1,1.05*1.05,IF(입력란!$C$15=2,1.05*1.12,IF(입력란!$C$15=3,1.05*1.25)))),1)</f>
        <v>516972.3769572184</v>
      </c>
      <c r="U408" s="21"/>
      <c r="V408" s="21"/>
      <c r="W408" s="21"/>
      <c r="X408" s="21"/>
      <c r="Y408" s="21"/>
      <c r="Z408" s="20"/>
      <c r="AA408" s="21">
        <f>SUM(AB408:AI408)</f>
        <v>1550884.5556868915</v>
      </c>
      <c r="AB408" s="21">
        <f>S408*2</f>
        <v>516939.8017724547</v>
      </c>
      <c r="AC408" s="21">
        <f>T408*2</f>
        <v>1033944.7539144368</v>
      </c>
      <c r="AD408" s="21"/>
      <c r="AE408" s="21"/>
      <c r="AF408" s="21"/>
      <c r="AG408" s="21"/>
      <c r="AH408" s="21"/>
      <c r="AI408" s="20"/>
      <c r="AJ408" s="21">
        <f>AQ408*(1-입력란!$P$10/100)</f>
        <v>23.711464126079999</v>
      </c>
      <c r="AK4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8" s="21">
        <f>입력란!$P$24+IF(입력란!$C$18=1,10,IF(입력란!$C$18=2,25,IF(입력란!$C$18=3,50,0)))+IF(입력란!$C$23&lt;&gt;0,-12)</f>
        <v>200</v>
      </c>
      <c r="AM408" s="21">
        <f>SUM(AN408:AP408)</f>
        <v>196991.75233942372</v>
      </c>
      <c r="AN408" s="21">
        <f>(VLOOKUP(C408,$B$4:$AJ$7,23,FALSE)+VLOOKUP(C408,$B$8:$AJ$11,23,FALSE)*입력란!$P$4)*IF(G408="근접",입력란!$P$27,IF(MID(E408,1,1)="1",입력란!$P$27,입력란!$P$26))*입력란!$P$25/100</f>
        <v>118192.07223387282</v>
      </c>
      <c r="AO408" s="21">
        <f>(VLOOKUP(C408,$B$4:$AJ$7,24,FALSE)+VLOOKUP(C408,$B$8:$AJ$11,24,FALSE)*입력란!$P$4)*IF(G408="근접",입력란!$P$27,IF(MID(E408,1,1)="1",입력란!$P$27,입력란!$P$26))*입력란!$P$25/100</f>
        <v>78799.680105550899</v>
      </c>
      <c r="AP408" s="21"/>
      <c r="AQ408" s="22">
        <v>24</v>
      </c>
    </row>
    <row r="409" spans="2:43" ht="13.5" customHeight="1" x14ac:dyDescent="0.55000000000000004">
      <c r="B409" s="66">
        <v>394</v>
      </c>
      <c r="C409" s="29">
        <v>10</v>
      </c>
      <c r="D409" s="67" t="s">
        <v>49</v>
      </c>
      <c r="E409" s="27" t="s">
        <v>178</v>
      </c>
      <c r="F409" s="29" t="s">
        <v>136</v>
      </c>
      <c r="G409" s="29" t="s">
        <v>417</v>
      </c>
      <c r="H409" s="36">
        <f>I409/AJ409</f>
        <v>165609.14282368385</v>
      </c>
      <c r="I409" s="37">
        <f>SUM(J409:Q409)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3926835.2490146388</v>
      </c>
      <c r="J409" s="21">
        <f>S409*(1+IF($AK409+IF(입력란!$C$9=1,10,0)+IF(입력란!$C$26=1,10,0)&gt;100,100,$AK409+IF(입력란!$C$9=1,10,0)+IF(입력란!$C$26=1,10,0))/100*(($AL409+IF(입력란!$C$30=1,IF(OR(입력란!$C$9=1,입력란!$C$10=1),55,17),IF(입력란!$C$30=2,IF(OR(입력란!$C$9=1,입력란!$C$10=1),60,20),IF(입력란!$C$30=3,IF(OR(입력란!$C$9=1,입력란!$C$10=1),65,22),0))))/100-1))</f>
        <v>2780847.8500209888</v>
      </c>
      <c r="K409" s="21">
        <f>T409*(1+IF($AK409+IF(입력란!$C$9=1,10,0)+IF(입력란!$C$26=1,10,0)&gt;100,100,$AK409+IF(입력란!$C$9=1,10,0)+IF(입력란!$C$26=1,10,0))/100*(($AL409+IF(입력란!$C$30=1,IF(OR(입력란!$C$9=1,입력란!$C$10=1),55,17),IF(입력란!$C$30=2,IF(OR(입력란!$C$9=1,입력란!$C$10=1),60,20),IF(입력란!$C$30=3,IF(OR(입력란!$C$9=1,입력란!$C$10=1),65,22),0))))/100-1))</f>
        <v>0</v>
      </c>
      <c r="L409" s="21"/>
      <c r="M409" s="21"/>
      <c r="N409" s="21"/>
      <c r="O409" s="21"/>
      <c r="P409" s="21"/>
      <c r="Q409" s="20"/>
      <c r="R409" s="19">
        <f>SUM(S409:Z409)</f>
        <v>1714649.5578790957</v>
      </c>
      <c r="S409" s="21">
        <f>AN409*IF(G409="근접",IF(MID(E409,1,1)="3",트라이포드!$H$20,트라이포드!$G$20),1)*IF(입력란!$C$9=1,IF(MID(E409,1,1)="2",트라이포드!$F$20,트라이포드!$E$20),1)*IF(MID(E409,1,1)="1",트라이포드!$D$20,트라이포드!$C$20)*IF(MID(E409,3,1)="1",트라이포드!$J$20,트라이포드!$I$20)*IF(MID(E409,3,1)="2",트라이포드!$L$20,트라이포드!$K$20)*IF(MID(E409,5,1)="1",트라이포드!$P$20,트라이포드!$O$20)*(1+입력란!$P$17/100)*IF(입력란!$C$9=1,IF(입력란!$C$15=0,1.05,IF(입력란!$C$15=1,1.05*1.05,IF(입력란!$C$15=2,1.05*1.12,IF(입력란!$C$15=3,1.05*1.25)))),1)</f>
        <v>1714649.5578790957</v>
      </c>
      <c r="T409" s="21">
        <f>AO409*IF(G409="근접",IF(MID(E409,1,1)="3",트라이포드!$H$20,트라이포드!$G$20),1)*IF(입력란!$C$9=1,IF(MID(E409,1,1)="2",트라이포드!$F$20,트라이포드!$E$20),1)*IF(MID(E409,1,1)="1",트라이포드!$D$20,트라이포드!$C$20)*IF(MID(E409,3,1)="1",트라이포드!$J$20,트라이포드!$I$20)*IF(MID(E409,3,1)="2",트라이포드!$L$20,트라이포드!$K$20)*IF(MID(E409,5,1)="1",0,IF(MID(E409,5,1)="2",트라이포드!$R$20,트라이포드!$Q$20))*(1+입력란!$P$17/100)*IF(입력란!$C$9=1,IF(입력란!$C$15=0,1.05,IF(입력란!$C$15=1,1.05*1.05,IF(입력란!$C$15=2,1.05*1.12,IF(입력란!$C$15=3,1.05*1.25)))),1)</f>
        <v>0</v>
      </c>
      <c r="U409" s="21"/>
      <c r="V409" s="21"/>
      <c r="W409" s="21"/>
      <c r="X409" s="21"/>
      <c r="Y409" s="21"/>
      <c r="Z409" s="20"/>
      <c r="AA409" s="21">
        <f>SUM(AB409:AI409)</f>
        <v>3429299.1157581913</v>
      </c>
      <c r="AB409" s="21">
        <f>S409*2</f>
        <v>3429299.1157581913</v>
      </c>
      <c r="AC409" s="21">
        <f>T409*2</f>
        <v>0</v>
      </c>
      <c r="AD409" s="21"/>
      <c r="AE409" s="21"/>
      <c r="AF409" s="21"/>
      <c r="AG409" s="21"/>
      <c r="AH409" s="21"/>
      <c r="AI409" s="20"/>
      <c r="AJ409" s="21">
        <f>AQ409*(1-입력란!$P$10/100)</f>
        <v>23.711464126079999</v>
      </c>
      <c r="AK4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09" s="21">
        <f>입력란!$P$24+IF(입력란!$C$18=1,10,IF(입력란!$C$18=2,25,IF(입력란!$C$18=3,50,0)))+IF(입력란!$C$23&lt;&gt;0,-12)</f>
        <v>200</v>
      </c>
      <c r="AM409" s="21">
        <f>SUM(AN409:AP409)</f>
        <v>393983.50467884744</v>
      </c>
      <c r="AN409" s="21">
        <f>(VLOOKUP(C409,$B$4:$AJ$7,23,FALSE)+VLOOKUP(C409,$B$8:$AJ$11,23,FALSE)*입력란!$P$4)*IF(G409="근접",입력란!$P$27,IF(MID(E409,1,1)="1",입력란!$P$27,입력란!$P$26))*입력란!$P$25/100</f>
        <v>236384.14446774565</v>
      </c>
      <c r="AO409" s="21">
        <f>(VLOOKUP(C409,$B$4:$AJ$7,24,FALSE)+VLOOKUP(C409,$B$8:$AJ$11,24,FALSE)*입력란!$P$4)*IF(G409="근접",입력란!$P$27,IF(MID(E409,1,1)="1",입력란!$P$27,입력란!$P$26))*입력란!$P$25/100</f>
        <v>157599.3602111018</v>
      </c>
      <c r="AP409" s="21"/>
      <c r="AQ409" s="22">
        <v>24</v>
      </c>
    </row>
    <row r="410" spans="2:43" ht="13.5" customHeight="1" x14ac:dyDescent="0.55000000000000004">
      <c r="B410" s="66">
        <v>395</v>
      </c>
      <c r="C410" s="29">
        <v>10</v>
      </c>
      <c r="D410" s="67" t="s">
        <v>49</v>
      </c>
      <c r="E410" s="27" t="s">
        <v>179</v>
      </c>
      <c r="F410" s="29" t="s">
        <v>136</v>
      </c>
      <c r="G410" s="29" t="s">
        <v>417</v>
      </c>
      <c r="H410" s="36">
        <f>I410/AJ410</f>
        <v>177445.82154796558</v>
      </c>
      <c r="I410" s="37">
        <f>SUM(J410:Q410)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4207500.2319573788</v>
      </c>
      <c r="J410" s="21">
        <f>S410*(1+IF($AK410+IF(입력란!$C$9=1,10,0)+IF(입력란!$C$26=1,10,0)&gt;100,100,$AK410+IF(입력란!$C$9=1,10,0)+IF(입력란!$C$26=1,10,0))/100*(($AL410+IF(입력란!$C$30=1,IF(OR(입력란!$C$9=1,입력란!$C$10=1),55,17),IF(입력란!$C$30=2,IF(OR(입력란!$C$9=1,입력란!$C$10=1),60,20),IF(입력란!$C$30=3,IF(OR(입력란!$C$9=1,입력란!$C$10=1),65,22),0))))/100-1))</f>
        <v>993159.94643606746</v>
      </c>
      <c r="K410" s="21">
        <f>T410*(1+IF($AK410+IF(입력란!$C$9=1,10,0)+IF(입력란!$C$26=1,10,0)&gt;100,100,$AK410+IF(입력란!$C$9=1,10,0)+IF(입력란!$C$26=1,10,0))/100*(($AL410+IF(입력란!$C$30=1,IF(OR(입력란!$C$9=1,입력란!$C$10=1),55,17),IF(입력란!$C$30=2,IF(OR(입력란!$C$9=1,입력란!$C$10=1),60,20),IF(입력란!$C$30=3,IF(OR(입력란!$C$9=1,입력란!$C$10=1),65,22),0))))/100-1))</f>
        <v>1986445.0616776482</v>
      </c>
      <c r="L410" s="21"/>
      <c r="M410" s="21"/>
      <c r="N410" s="21"/>
      <c r="O410" s="21"/>
      <c r="P410" s="21"/>
      <c r="Q410" s="20"/>
      <c r="R410" s="19">
        <f>SUM(S410:Z410)</f>
        <v>1837201.7044290868</v>
      </c>
      <c r="S410" s="21">
        <f>AN410*IF(G410="근접",IF(MID(E410,1,1)="3",트라이포드!$H$20,트라이포드!$G$20),1)*IF(입력란!$C$9=1,IF(MID(E410,1,1)="2",트라이포드!$F$20,트라이포드!$E$20),1)*IF(MID(E410,1,1)="1",트라이포드!$D$20,트라이포드!$C$20)*IF(MID(E410,3,1)="1",트라이포드!$J$20,트라이포드!$I$20)*IF(MID(E410,3,1)="2",트라이포드!$L$20,트라이포드!$K$20)*IF(MID(E410,5,1)="1",트라이포드!$P$20,트라이포드!$O$20)*(1+입력란!$P$17/100)*IF(입력란!$C$9=1,IF(입력란!$C$15=0,1.05,IF(입력란!$C$15=1,1.05*1.05,IF(입력란!$C$15=2,1.05*1.12,IF(입력란!$C$15=3,1.05*1.25)))),1)</f>
        <v>612374.84209967707</v>
      </c>
      <c r="T410" s="21">
        <f>AO410*IF(G410="근접",IF(MID(E410,1,1)="3",트라이포드!$H$20,트라이포드!$G$20),1)*IF(입력란!$C$9=1,IF(MID(E410,1,1)="2",트라이포드!$F$20,트라이포드!$E$20),1)*IF(MID(E410,1,1)="1",트라이포드!$D$20,트라이포드!$C$20)*IF(MID(E410,3,1)="1",트라이포드!$J$20,트라이포드!$I$20)*IF(MID(E410,3,1)="2",트라이포드!$L$20,트라이포드!$K$20)*IF(MID(E410,5,1)="1",0,IF(MID(E410,5,1)="2",트라이포드!$R$20,트라이포드!$Q$20))*(1+입력란!$P$17/100)*IF(입력란!$C$9=1,IF(입력란!$C$15=0,1.05,IF(입력란!$C$15=1,1.05*1.05,IF(입력란!$C$15=2,1.05*1.12,IF(입력란!$C$15=3,1.05*1.25)))),1)</f>
        <v>1224826.8623294097</v>
      </c>
      <c r="U410" s="21"/>
      <c r="V410" s="21"/>
      <c r="W410" s="21"/>
      <c r="X410" s="21"/>
      <c r="Y410" s="21"/>
      <c r="Z410" s="20"/>
      <c r="AA410" s="21">
        <f>SUM(AB410:AI410)</f>
        <v>3674403.4088581735</v>
      </c>
      <c r="AB410" s="21">
        <f>S410*2</f>
        <v>1224749.6841993541</v>
      </c>
      <c r="AC410" s="21">
        <f>T410*2</f>
        <v>2449653.7246588194</v>
      </c>
      <c r="AD410" s="21"/>
      <c r="AE410" s="21"/>
      <c r="AF410" s="21"/>
      <c r="AG410" s="21"/>
      <c r="AH410" s="21"/>
      <c r="AI410" s="20"/>
      <c r="AJ410" s="21">
        <f>AQ410*(1-입력란!$P$10/100)</f>
        <v>23.711464126079999</v>
      </c>
      <c r="AK4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0" s="21">
        <f>입력란!$P$24+IF(입력란!$C$18=1,10,IF(입력란!$C$18=2,25,IF(입력란!$C$18=3,50,0)))+IF(입력란!$C$23&lt;&gt;0,-12)</f>
        <v>200</v>
      </c>
      <c r="AM410" s="21">
        <f>SUM(AN410:AP410)</f>
        <v>393983.50467884744</v>
      </c>
      <c r="AN410" s="21">
        <f>(VLOOKUP(C410,$B$4:$AJ$7,23,FALSE)+VLOOKUP(C410,$B$8:$AJ$11,23,FALSE)*입력란!$P$4)*IF(G410="근접",입력란!$P$27,IF(MID(E410,1,1)="1",입력란!$P$27,입력란!$P$26))*입력란!$P$25/100</f>
        <v>236384.14446774565</v>
      </c>
      <c r="AO410" s="21">
        <f>(VLOOKUP(C410,$B$4:$AJ$7,24,FALSE)+VLOOKUP(C410,$B$8:$AJ$11,24,FALSE)*입력란!$P$4)*IF(G410="근접",입력란!$P$27,IF(MID(E410,1,1)="1",입력란!$P$27,입력란!$P$26))*입력란!$P$25/100</f>
        <v>157599.3602111018</v>
      </c>
      <c r="AP410" s="21"/>
      <c r="AQ410" s="22">
        <v>24</v>
      </c>
    </row>
    <row r="411" spans="2:43" ht="13.5" customHeight="1" x14ac:dyDescent="0.55000000000000004">
      <c r="B411" s="66">
        <v>396</v>
      </c>
      <c r="C411" s="29">
        <v>10</v>
      </c>
      <c r="D411" s="67" t="s">
        <v>49</v>
      </c>
      <c r="E411" s="27" t="s">
        <v>180</v>
      </c>
      <c r="F411" s="29"/>
      <c r="G411" s="29" t="s">
        <v>417</v>
      </c>
      <c r="H411" s="36">
        <f>I411/AJ411</f>
        <v>153779.91833627791</v>
      </c>
      <c r="I411" s="37">
        <f>SUM(J411:Q411)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3646347.0169421658</v>
      </c>
      <c r="J411" s="21">
        <f>S411*(1+IF($AK411+IF(입력란!$C$9=1,10,0)+IF(입력란!$C$26=1,10,0)&gt;100,100,$AK411+IF(입력란!$C$9=1,10,0)+IF(입력란!$C$26=1,10,0))/100*(($AL411+IF(입력란!$C$30=1,IF(OR(입력란!$C$9=1,입력란!$C$10=1),55,17),IF(입력란!$C$30=2,IF(OR(입력란!$C$9=1,입력란!$C$10=1),60,20),IF(입력란!$C$30=3,IF(OR(입력란!$C$9=1,입력란!$C$10=1),65,22),0))))/100-1))</f>
        <v>2582215.8607337764</v>
      </c>
      <c r="K411" s="21">
        <f>T411*(1+IF($AK411+IF(입력란!$C$9=1,10,0)+IF(입력란!$C$26=1,10,0)&gt;100,100,$AK411+IF(입력란!$C$9=1,10,0)+IF(입력란!$C$26=1,10,0))/100*(($AL411+IF(입력란!$C$30=1,IF(OR(입력란!$C$9=1,입력란!$C$10=1),55,17),IF(입력란!$C$30=2,IF(OR(입력란!$C$9=1,입력란!$C$10=1),60,20),IF(입력란!$C$30=3,IF(OR(입력란!$C$9=1,입력란!$C$10=1),65,22),0))))/100-1))</f>
        <v>0</v>
      </c>
      <c r="L411" s="21"/>
      <c r="M411" s="21"/>
      <c r="N411" s="21"/>
      <c r="O411" s="21"/>
      <c r="P411" s="21"/>
      <c r="Q411" s="20"/>
      <c r="R411" s="19">
        <f>SUM(S411:Z411)</f>
        <v>1592174.5894591608</v>
      </c>
      <c r="S411" s="21">
        <f>AN411*IF(G411="근접",IF(MID(E411,1,1)="3",트라이포드!$H$20,트라이포드!$G$20),1)*IF(입력란!$C$9=1,IF(MID(E411,1,1)="2",트라이포드!$F$20,트라이포드!$E$20),1)*IF(MID(E411,1,1)="1",트라이포드!$D$20,트라이포드!$C$20)*IF(MID(E411,3,1)="1",트라이포드!$J$20,트라이포드!$I$20)*IF(MID(E411,3,1)="2",트라이포드!$L$20,트라이포드!$K$20)*IF(MID(E411,5,1)="1",트라이포드!$P$20,트라이포드!$O$20)*(1+입력란!$P$17/100)*IF(입력란!$C$9=1,IF(입력란!$C$15=0,1.05,IF(입력란!$C$15=1,1.05*1.05,IF(입력란!$C$15=2,1.05*1.12,IF(입력란!$C$15=3,1.05*1.25)))),1)</f>
        <v>1592174.5894591608</v>
      </c>
      <c r="T411" s="21">
        <f>AO411*IF(G411="근접",IF(MID(E411,1,1)="3",트라이포드!$H$20,트라이포드!$G$20),1)*IF(입력란!$C$9=1,IF(MID(E411,1,1)="2",트라이포드!$F$20,트라이포드!$E$20),1)*IF(MID(E411,1,1)="1",트라이포드!$D$20,트라이포드!$C$20)*IF(MID(E411,3,1)="1",트라이포드!$J$20,트라이포드!$I$20)*IF(MID(E411,3,1)="2",트라이포드!$L$20,트라이포드!$K$20)*IF(MID(E411,5,1)="1",0,IF(MID(E411,5,1)="2",트라이포드!$R$20,트라이포드!$Q$20))*(1+입력란!$P$17/100)*IF(입력란!$C$9=1,IF(입력란!$C$15=0,1.05,IF(입력란!$C$15=1,1.05*1.05,IF(입력란!$C$15=2,1.05*1.12,IF(입력란!$C$15=3,1.05*1.25)))),1)</f>
        <v>0</v>
      </c>
      <c r="U411" s="21"/>
      <c r="V411" s="21"/>
      <c r="W411" s="21"/>
      <c r="X411" s="21"/>
      <c r="Y411" s="21"/>
      <c r="Z411" s="20"/>
      <c r="AA411" s="21">
        <f>SUM(AB411:AI411)</f>
        <v>3184349.1789183216</v>
      </c>
      <c r="AB411" s="21">
        <f>S411*2</f>
        <v>3184349.1789183216</v>
      </c>
      <c r="AC411" s="21">
        <f>T411*2</f>
        <v>0</v>
      </c>
      <c r="AD411" s="21"/>
      <c r="AE411" s="21"/>
      <c r="AF411" s="21"/>
      <c r="AG411" s="21"/>
      <c r="AH411" s="21"/>
      <c r="AI411" s="20"/>
      <c r="AJ411" s="21">
        <f>AQ411*(1-입력란!$P$10/100)</f>
        <v>23.711464126079999</v>
      </c>
      <c r="AK4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1" s="21">
        <f>입력란!$P$24+IF(입력란!$C$18=1,10,IF(입력란!$C$18=2,25,IF(입력란!$C$18=3,50,0)))+IF(입력란!$C$23&lt;&gt;0,-12)</f>
        <v>200</v>
      </c>
      <c r="AM411" s="21">
        <f>SUM(AN411:AP411)</f>
        <v>393983.50467884744</v>
      </c>
      <c r="AN411" s="21">
        <f>(VLOOKUP(C411,$B$4:$AJ$7,23,FALSE)+VLOOKUP(C411,$B$8:$AJ$11,23,FALSE)*입력란!$P$4)*IF(G411="근접",입력란!$P$27,IF(MID(E411,1,1)="1",입력란!$P$27,입력란!$P$26))*입력란!$P$25/100</f>
        <v>236384.14446774565</v>
      </c>
      <c r="AO411" s="21">
        <f>(VLOOKUP(C411,$B$4:$AJ$7,24,FALSE)+VLOOKUP(C411,$B$8:$AJ$11,24,FALSE)*입력란!$P$4)*IF(G411="근접",입력란!$P$27,IF(MID(E411,1,1)="1",입력란!$P$27,입력란!$P$26))*입력란!$P$25/100</f>
        <v>157599.3602111018</v>
      </c>
      <c r="AP411" s="21"/>
      <c r="AQ411" s="22">
        <v>24</v>
      </c>
    </row>
    <row r="412" spans="2:43" ht="13.5" customHeight="1" x14ac:dyDescent="0.55000000000000004">
      <c r="B412" s="66">
        <v>397</v>
      </c>
      <c r="C412" s="29">
        <v>10</v>
      </c>
      <c r="D412" s="67" t="s">
        <v>49</v>
      </c>
      <c r="E412" s="27" t="s">
        <v>181</v>
      </c>
      <c r="F412" s="29"/>
      <c r="G412" s="29" t="s">
        <v>417</v>
      </c>
      <c r="H412" s="36">
        <f>I412/AJ412</f>
        <v>164771.12000882521</v>
      </c>
      <c r="I412" s="37">
        <f>SUM(J412:Q412)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3906964.501103281</v>
      </c>
      <c r="J412" s="21">
        <f>S412*(1+IF($AK412+IF(입력란!$C$9=1,10,0)+IF(입력란!$C$26=1,10,0)&gt;100,100,$AK412+IF(입력란!$C$9=1,10,0)+IF(입력란!$C$26=1,10,0))/100*(($AL412+IF(입력란!$C$30=1,IF(OR(입력란!$C$9=1,입력란!$C$10=1),55,17),IF(입력란!$C$30=2,IF(OR(입력란!$C$9=1,입력란!$C$10=1),60,20),IF(입력란!$C$30=3,IF(OR(입력란!$C$9=1,입력란!$C$10=1),65,22),0))))/100-1))</f>
        <v>922219.95026206283</v>
      </c>
      <c r="K412" s="21">
        <f>T412*(1+IF($AK412+IF(입력란!$C$9=1,10,0)+IF(입력란!$C$26=1,10,0)&gt;100,100,$AK412+IF(입력란!$C$9=1,10,0)+IF(입력란!$C$26=1,10,0))/100*(($AL412+IF(입력란!$C$30=1,IF(OR(입력란!$C$9=1,입력란!$C$10=1),55,17),IF(입력란!$C$30=2,IF(OR(입력란!$C$9=1,입력란!$C$10=1),60,20),IF(입력란!$C$30=3,IF(OR(입력란!$C$9=1,입력란!$C$10=1),65,22),0))))/100-1))</f>
        <v>1844556.1287006738</v>
      </c>
      <c r="L412" s="21"/>
      <c r="M412" s="21"/>
      <c r="N412" s="21"/>
      <c r="O412" s="21"/>
      <c r="P412" s="21"/>
      <c r="Q412" s="20"/>
      <c r="R412" s="19">
        <f>SUM(S412:Z412)</f>
        <v>1705973.0112555809</v>
      </c>
      <c r="S412" s="21">
        <f>AN412*IF(G412="근접",IF(MID(E412,1,1)="3",트라이포드!$H$20,트라이포드!$G$20),1)*IF(입력란!$C$9=1,IF(MID(E412,1,1)="2",트라이포드!$F$20,트라이포드!$E$20),1)*IF(MID(E412,1,1)="1",트라이포드!$D$20,트라이포드!$C$20)*IF(MID(E412,3,1)="1",트라이포드!$J$20,트라이포드!$I$20)*IF(MID(E412,3,1)="2",트라이포드!$L$20,트라이포드!$K$20)*IF(MID(E412,5,1)="1",트라이포드!$P$20,트라이포드!$O$20)*(1+입력란!$P$17/100)*IF(입력란!$C$9=1,IF(입력란!$C$15=0,1.05,IF(입력란!$C$15=1,1.05*1.05,IF(입력란!$C$15=2,1.05*1.12,IF(입력란!$C$15=3,1.05*1.25)))),1)</f>
        <v>568633.78194970021</v>
      </c>
      <c r="T412" s="21">
        <f>AO412*IF(G412="근접",IF(MID(E412,1,1)="3",트라이포드!$H$20,트라이포드!$G$20),1)*IF(입력란!$C$9=1,IF(MID(E412,1,1)="2",트라이포드!$F$20,트라이포드!$E$20),1)*IF(MID(E412,1,1)="1",트라이포드!$D$20,트라이포드!$C$20)*IF(MID(E412,3,1)="1",트라이포드!$J$20,트라이포드!$I$20)*IF(MID(E412,3,1)="2",트라이포드!$L$20,트라이포드!$K$20)*IF(MID(E412,5,1)="1",0,IF(MID(E412,5,1)="2",트라이포드!$R$20,트라이포드!$Q$20))*(1+입력란!$P$17/100)*IF(입력란!$C$9=1,IF(입력란!$C$15=0,1.05,IF(입력란!$C$15=1,1.05*1.05,IF(입력란!$C$15=2,1.05*1.12,IF(입력란!$C$15=3,1.05*1.25)))),1)</f>
        <v>1137339.2293058806</v>
      </c>
      <c r="U412" s="21"/>
      <c r="V412" s="21"/>
      <c r="W412" s="21"/>
      <c r="X412" s="21"/>
      <c r="Y412" s="21"/>
      <c r="Z412" s="20"/>
      <c r="AA412" s="21">
        <f>SUM(AB412:AI412)</f>
        <v>3411946.0225111619</v>
      </c>
      <c r="AB412" s="21">
        <f>S412*2</f>
        <v>1137267.5638994004</v>
      </c>
      <c r="AC412" s="21">
        <f>T412*2</f>
        <v>2274678.4586117612</v>
      </c>
      <c r="AD412" s="21"/>
      <c r="AE412" s="21"/>
      <c r="AF412" s="21"/>
      <c r="AG412" s="21"/>
      <c r="AH412" s="21"/>
      <c r="AI412" s="20"/>
      <c r="AJ412" s="21">
        <f>AQ412*(1-입력란!$P$10/100)</f>
        <v>23.711464126079999</v>
      </c>
      <c r="AK4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2" s="21">
        <f>입력란!$P$24+IF(입력란!$C$18=1,10,IF(입력란!$C$18=2,25,IF(입력란!$C$18=3,50,0)))+IF(입력란!$C$23&lt;&gt;0,-12)</f>
        <v>200</v>
      </c>
      <c r="AM412" s="21">
        <f>SUM(AN412:AP412)</f>
        <v>393983.50467884744</v>
      </c>
      <c r="AN412" s="21">
        <f>(VLOOKUP(C412,$B$4:$AJ$7,23,FALSE)+VLOOKUP(C412,$B$8:$AJ$11,23,FALSE)*입력란!$P$4)*IF(G412="근접",입력란!$P$27,IF(MID(E412,1,1)="1",입력란!$P$27,입력란!$P$26))*입력란!$P$25/100</f>
        <v>236384.14446774565</v>
      </c>
      <c r="AO412" s="21">
        <f>(VLOOKUP(C412,$B$4:$AJ$7,24,FALSE)+VLOOKUP(C412,$B$8:$AJ$11,24,FALSE)*입력란!$P$4)*IF(G412="근접",입력란!$P$27,IF(MID(E412,1,1)="1",입력란!$P$27,입력란!$P$26))*입력란!$P$25/100</f>
        <v>157599.3602111018</v>
      </c>
      <c r="AP412" s="21"/>
      <c r="AQ412" s="22">
        <v>24</v>
      </c>
    </row>
    <row r="413" spans="2:43" ht="13.5" customHeight="1" x14ac:dyDescent="0.55000000000000004">
      <c r="B413" s="66">
        <v>398</v>
      </c>
      <c r="C413" s="29">
        <v>10</v>
      </c>
      <c r="D413" s="67" t="s">
        <v>49</v>
      </c>
      <c r="E413" s="27" t="s">
        <v>149</v>
      </c>
      <c r="F413" s="29" t="s">
        <v>136</v>
      </c>
      <c r="G413" s="29" t="s">
        <v>417</v>
      </c>
      <c r="H413" s="36">
        <f>I413/AJ413</f>
        <v>94096.103877093119</v>
      </c>
      <c r="I413" s="37">
        <f>SUM(J413:Q413)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2231156.3914855905</v>
      </c>
      <c r="J413" s="21">
        <f>S413*(1+IF($AK413+IF(입력란!$C$9=1,10,0)+IF(입력란!$C$26=1,10,0)&gt;100,100,$AK413+IF(입력란!$C$9=1,10,0)+IF(입력란!$C$26=1,10,0))/100*(($AL413+IF(입력란!$C$30=1,IF(OR(입력란!$C$9=1,입력란!$C$10=1),55,17),IF(입력란!$C$30=2,IF(OR(입력란!$C$9=1,입력란!$C$10=1),60,20),IF(입력란!$C$30=3,IF(OR(입력란!$C$9=1,입력란!$C$10=1),65,22),0))))/100-1))</f>
        <v>1580027.1875119256</v>
      </c>
      <c r="K413" s="21">
        <f>T413*(1+IF($AK413+IF(입력란!$C$9=1,10,0)+IF(입력란!$C$26=1,10,0)&gt;100,100,$AK413+IF(입력란!$C$9=1,10,0)+IF(입력란!$C$26=1,10,0))/100*(($AL413+IF(입력란!$C$30=1,IF(OR(입력란!$C$9=1,입력란!$C$10=1),55,17),IF(입력란!$C$30=2,IF(OR(입력란!$C$9=1,입력란!$C$10=1),60,20),IF(입력란!$C$30=3,IF(OR(입력란!$C$9=1,입력란!$C$10=1),65,22),0))))/100-1))</f>
        <v>0</v>
      </c>
      <c r="L413" s="21"/>
      <c r="M413" s="21"/>
      <c r="N413" s="21"/>
      <c r="O413" s="21"/>
      <c r="P413" s="21"/>
      <c r="Q413" s="20"/>
      <c r="R413" s="19">
        <f>SUM(S413:Z413)</f>
        <v>974232.70334039535</v>
      </c>
      <c r="S413" s="21">
        <f>AN413*IF(G413="근접",IF(MID(E413,1,1)="3",트라이포드!$H$20,트라이포드!$G$20),1)*IF(입력란!$C$9=1,IF(MID(E413,1,1)="2",트라이포드!$F$20,트라이포드!$E$20),1)*IF(MID(E413,1,1)="1",트라이포드!$D$20,트라이포드!$C$20)*IF(MID(E413,3,1)="1",트라이포드!$J$20,트라이포드!$I$20)*IF(MID(E413,3,1)="2",트라이포드!$L$20,트라이포드!$K$20)*IF(MID(E413,5,1)="1",트라이포드!$P$20,트라이포드!$O$20)*(1+입력란!$P$17/100)*IF(입력란!$C$9=1,IF(입력란!$C$15=0,1.05,IF(입력란!$C$15=1,1.05*1.05,IF(입력란!$C$15=2,1.05*1.12,IF(입력란!$C$15=3,1.05*1.25)))),1)</f>
        <v>974232.70334039535</v>
      </c>
      <c r="T413" s="21">
        <f>AO413*IF(G413="근접",IF(MID(E413,1,1)="3",트라이포드!$H$20,트라이포드!$G$20),1)*IF(입력란!$C$9=1,IF(MID(E413,1,1)="2",트라이포드!$F$20,트라이포드!$E$20),1)*IF(MID(E413,1,1)="1",트라이포드!$D$20,트라이포드!$C$20)*IF(MID(E413,3,1)="1",트라이포드!$J$20,트라이포드!$I$20)*IF(MID(E413,3,1)="2",트라이포드!$L$20,트라이포드!$K$20)*IF(MID(E413,5,1)="1",0,IF(MID(E413,5,1)="2",트라이포드!$R$20,트라이포드!$Q$20))*(1+입력란!$P$17/100)*IF(입력란!$C$9=1,IF(입력란!$C$15=0,1.05,IF(입력란!$C$15=1,1.05*1.05,IF(입력란!$C$15=2,1.05*1.12,IF(입력란!$C$15=3,1.05*1.25)))),1)</f>
        <v>0</v>
      </c>
      <c r="U413" s="21"/>
      <c r="V413" s="21"/>
      <c r="W413" s="21"/>
      <c r="X413" s="21"/>
      <c r="Y413" s="21"/>
      <c r="Z413" s="20"/>
      <c r="AA413" s="21">
        <f>SUM(AB413:AI413)</f>
        <v>1948465.4066807907</v>
      </c>
      <c r="AB413" s="21">
        <f>S413*2</f>
        <v>1948465.4066807907</v>
      </c>
      <c r="AC413" s="21">
        <f>T413*2</f>
        <v>0</v>
      </c>
      <c r="AD413" s="21"/>
      <c r="AE413" s="21"/>
      <c r="AF413" s="21"/>
      <c r="AG413" s="21"/>
      <c r="AH413" s="21"/>
      <c r="AI413" s="20"/>
      <c r="AJ413" s="21">
        <f>AQ413*(1-입력란!$P$10/100)</f>
        <v>23.711464126079999</v>
      </c>
      <c r="AK4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3" s="21">
        <f>입력란!$P$24+IF(입력란!$C$18=1,10,IF(입력란!$C$18=2,25,IF(입력란!$C$18=3,50,0)))+IF(입력란!$C$23&lt;&gt;0,-12)</f>
        <v>200</v>
      </c>
      <c r="AM413" s="21">
        <f>SUM(AN413:AP413)</f>
        <v>196991.75233942372</v>
      </c>
      <c r="AN413" s="21">
        <f>(VLOOKUP(C413,$B$4:$AJ$7,23,FALSE)+VLOOKUP(C413,$B$8:$AJ$11,23,FALSE)*입력란!$P$4)*IF(G413="근접",입력란!$P$27,IF(MID(E413,1,1)="1",입력란!$P$27,입력란!$P$26))*입력란!$P$25/100</f>
        <v>118192.07223387282</v>
      </c>
      <c r="AO413" s="21">
        <f>(VLOOKUP(C413,$B$4:$AJ$7,24,FALSE)+VLOOKUP(C413,$B$8:$AJ$11,24,FALSE)*입력란!$P$4)*IF(G413="근접",입력란!$P$27,IF(MID(E413,1,1)="1",입력란!$P$27,입력란!$P$26))*입력란!$P$25/100</f>
        <v>78799.680105550899</v>
      </c>
      <c r="AP413" s="21"/>
      <c r="AQ413" s="22">
        <v>24</v>
      </c>
    </row>
    <row r="414" spans="2:43" ht="13.5" customHeight="1" x14ac:dyDescent="0.55000000000000004">
      <c r="B414" s="66">
        <v>399</v>
      </c>
      <c r="C414" s="29">
        <v>10</v>
      </c>
      <c r="D414" s="67" t="s">
        <v>49</v>
      </c>
      <c r="E414" s="27" t="s">
        <v>150</v>
      </c>
      <c r="F414" s="29" t="s">
        <v>136</v>
      </c>
      <c r="G414" s="29" t="s">
        <v>417</v>
      </c>
      <c r="H414" s="36">
        <f>I414/AJ414</f>
        <v>100821.48951588952</v>
      </c>
      <c r="I414" s="37">
        <f>SUM(J414:Q414)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2390625.1317939651</v>
      </c>
      <c r="J414" s="21">
        <f>S414*(1+IF($AK414+IF(입력란!$C$9=1,10,0)+IF(입력란!$C$26=1,10,0)&gt;100,100,$AK414+IF(입력란!$C$9=1,10,0)+IF(입력란!$C$26=1,10,0))/100*(($AL414+IF(입력란!$C$30=1,IF(OR(입력란!$C$9=1,입력란!$C$10=1),55,17),IF(입력란!$C$30=2,IF(OR(입력란!$C$9=1,입력란!$C$10=1),60,20),IF(입력란!$C$30=3,IF(OR(입력란!$C$9=1,입력란!$C$10=1),65,22),0))))/100-1))</f>
        <v>564295.4241114019</v>
      </c>
      <c r="K414" s="21">
        <f>T414*(1+IF($AK414+IF(입력란!$C$9=1,10,0)+IF(입력란!$C$26=1,10,0)&gt;100,100,$AK414+IF(입력란!$C$9=1,10,0)+IF(입력란!$C$26=1,10,0))/100*(($AL414+IF(입력란!$C$30=1,IF(OR(입력란!$C$9=1,입력란!$C$10=1),55,17),IF(입력란!$C$30=2,IF(OR(입력란!$C$9=1,입력란!$C$10=1),60,20),IF(입력란!$C$30=3,IF(OR(입력란!$C$9=1,입력란!$C$10=1),65,22),0))))/100-1))</f>
        <v>1128661.9668623002</v>
      </c>
      <c r="L414" s="21"/>
      <c r="M414" s="21"/>
      <c r="N414" s="21"/>
      <c r="O414" s="21"/>
      <c r="P414" s="21"/>
      <c r="Q414" s="20"/>
      <c r="R414" s="19">
        <f>SUM(S414:Z414)</f>
        <v>1043864.6047892538</v>
      </c>
      <c r="S414" s="21">
        <f>AN414*IF(G414="근접",IF(MID(E414,1,1)="3",트라이포드!$H$20,트라이포드!$G$20),1)*IF(입력란!$C$9=1,IF(MID(E414,1,1)="2",트라이포드!$F$20,트라이포드!$E$20),1)*IF(MID(E414,1,1)="1",트라이포드!$D$20,트라이포드!$C$20)*IF(MID(E414,3,1)="1",트라이포드!$J$20,트라이포드!$I$20)*IF(MID(E414,3,1)="2",트라이포드!$L$20,트라이포드!$K$20)*IF(MID(E414,5,1)="1",트라이포드!$P$20,트라이포드!$O$20)*(1+입력란!$P$17/100)*IF(입력란!$C$9=1,IF(입력란!$C$15=0,1.05,IF(입력란!$C$15=1,1.05*1.05,IF(입력란!$C$15=2,1.05*1.12,IF(입력란!$C$15=3,1.05*1.25)))),1)</f>
        <v>347940.25119299826</v>
      </c>
      <c r="T414" s="21">
        <f>AO414*IF(G414="근접",IF(MID(E414,1,1)="3",트라이포드!$H$20,트라이포드!$G$20),1)*IF(입력란!$C$9=1,IF(MID(E414,1,1)="2",트라이포드!$F$20,트라이포드!$E$20),1)*IF(MID(E414,1,1)="1",트라이포드!$D$20,트라이포드!$C$20)*IF(MID(E414,3,1)="1",트라이포드!$J$20,트라이포드!$I$20)*IF(MID(E414,3,1)="2",트라이포드!$L$20,트라이포드!$K$20)*IF(MID(E414,5,1)="1",0,IF(MID(E414,5,1)="2",트라이포드!$R$20,트라이포드!$Q$20))*(1+입력란!$P$17/100)*IF(입력란!$C$9=1,IF(입력란!$C$15=0,1.05,IF(입력란!$C$15=1,1.05*1.05,IF(입력란!$C$15=2,1.05*1.12,IF(입력란!$C$15=3,1.05*1.25)))),1)</f>
        <v>695924.35359625553</v>
      </c>
      <c r="U414" s="21"/>
      <c r="V414" s="21"/>
      <c r="W414" s="21"/>
      <c r="X414" s="21"/>
      <c r="Y414" s="21"/>
      <c r="Z414" s="20"/>
      <c r="AA414" s="21">
        <f>SUM(AB414:AI414)</f>
        <v>2087729.2095785076</v>
      </c>
      <c r="AB414" s="21">
        <f>S414*2</f>
        <v>695880.50238599651</v>
      </c>
      <c r="AC414" s="21">
        <f>T414*2</f>
        <v>1391848.7071925111</v>
      </c>
      <c r="AD414" s="21"/>
      <c r="AE414" s="21"/>
      <c r="AF414" s="21"/>
      <c r="AG414" s="21"/>
      <c r="AH414" s="21"/>
      <c r="AI414" s="20"/>
      <c r="AJ414" s="21">
        <f>AQ414*(1-입력란!$P$10/100)</f>
        <v>23.711464126079999</v>
      </c>
      <c r="AK4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4" s="21">
        <f>입력란!$P$24+IF(입력란!$C$18=1,10,IF(입력란!$C$18=2,25,IF(입력란!$C$18=3,50,0)))+IF(입력란!$C$23&lt;&gt;0,-12)</f>
        <v>200</v>
      </c>
      <c r="AM414" s="21">
        <f>SUM(AN414:AP414)</f>
        <v>196991.75233942372</v>
      </c>
      <c r="AN414" s="21">
        <f>(VLOOKUP(C414,$B$4:$AJ$7,23,FALSE)+VLOOKUP(C414,$B$8:$AJ$11,23,FALSE)*입력란!$P$4)*IF(G414="근접",입력란!$P$27,IF(MID(E414,1,1)="1",입력란!$P$27,입력란!$P$26))*입력란!$P$25/100</f>
        <v>118192.07223387282</v>
      </c>
      <c r="AO414" s="21">
        <f>(VLOOKUP(C414,$B$4:$AJ$7,24,FALSE)+VLOOKUP(C414,$B$8:$AJ$11,24,FALSE)*입력란!$P$4)*IF(G414="근접",입력란!$P$27,IF(MID(E414,1,1)="1",입력란!$P$27,입력란!$P$26))*입력란!$P$25/100</f>
        <v>78799.680105550899</v>
      </c>
      <c r="AP414" s="21"/>
      <c r="AQ414" s="22">
        <v>24</v>
      </c>
    </row>
    <row r="415" spans="2:43" ht="13.5" customHeight="1" x14ac:dyDescent="0.55000000000000004">
      <c r="B415" s="66">
        <v>400</v>
      </c>
      <c r="C415" s="29">
        <v>10</v>
      </c>
      <c r="D415" s="67" t="s">
        <v>49</v>
      </c>
      <c r="E415" s="27" t="s">
        <v>100</v>
      </c>
      <c r="F415" s="29"/>
      <c r="G415" s="29" t="s">
        <v>417</v>
      </c>
      <c r="H415" s="36">
        <f>I415/AJ415</f>
        <v>87374.953600157896</v>
      </c>
      <c r="I415" s="37">
        <f>SUM(J415:Q415)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2071788.0778080483</v>
      </c>
      <c r="J415" s="21">
        <f>S415*(1+IF($AK415+IF(입력란!$C$9=1,10,0)+IF(입력란!$C$26=1,10,0)&gt;100,100,$AK415+IF(입력란!$C$9=1,10,0)+IF(입력란!$C$26=1,10,0))/100*(($AL415+IF(입력란!$C$30=1,IF(OR(입력란!$C$9=1,입력란!$C$10=1),55,17),IF(입력란!$C$30=2,IF(OR(입력란!$C$9=1,입력란!$C$10=1),60,20),IF(입력란!$C$30=3,IF(OR(입력란!$C$9=1,입력란!$C$10=1),65,22),0))))/100-1))</f>
        <v>1467168.1026896453</v>
      </c>
      <c r="K415" s="21">
        <f>T415*(1+IF($AK415+IF(입력란!$C$9=1,10,0)+IF(입력란!$C$26=1,10,0)&gt;100,100,$AK415+IF(입력란!$C$9=1,10,0)+IF(입력란!$C$26=1,10,0))/100*(($AL415+IF(입력란!$C$30=1,IF(OR(입력란!$C$9=1,입력란!$C$10=1),55,17),IF(입력란!$C$30=2,IF(OR(입력란!$C$9=1,입력란!$C$10=1),60,20),IF(입력란!$C$30=3,IF(OR(입력란!$C$9=1,입력란!$C$10=1),65,22),0))))/100-1))</f>
        <v>0</v>
      </c>
      <c r="L415" s="21"/>
      <c r="M415" s="21"/>
      <c r="N415" s="21"/>
      <c r="O415" s="21"/>
      <c r="P415" s="21"/>
      <c r="Q415" s="20"/>
      <c r="R415" s="19">
        <f>SUM(S415:Z415)</f>
        <v>904644.6531017957</v>
      </c>
      <c r="S415" s="21">
        <f>AN415*IF(G415="근접",IF(MID(E415,1,1)="3",트라이포드!$H$20,트라이포드!$G$20),1)*IF(입력란!$C$9=1,IF(MID(E415,1,1)="2",트라이포드!$F$20,트라이포드!$E$20),1)*IF(MID(E415,1,1)="1",트라이포드!$D$20,트라이포드!$C$20)*IF(MID(E415,3,1)="1",트라이포드!$J$20,트라이포드!$I$20)*IF(MID(E415,3,1)="2",트라이포드!$L$20,트라이포드!$K$20)*IF(MID(E415,5,1)="1",트라이포드!$P$20,트라이포드!$O$20)*(1+입력란!$P$17/100)*IF(입력란!$C$9=1,IF(입력란!$C$15=0,1.05,IF(입력란!$C$15=1,1.05*1.05,IF(입력란!$C$15=2,1.05*1.12,IF(입력란!$C$15=3,1.05*1.25)))),1)</f>
        <v>904644.6531017957</v>
      </c>
      <c r="T415" s="21">
        <f>AO415*IF(G415="근접",IF(MID(E415,1,1)="3",트라이포드!$H$20,트라이포드!$G$20),1)*IF(입력란!$C$9=1,IF(MID(E415,1,1)="2",트라이포드!$F$20,트라이포드!$E$20),1)*IF(MID(E415,1,1)="1",트라이포드!$D$20,트라이포드!$C$20)*IF(MID(E415,3,1)="1",트라이포드!$J$20,트라이포드!$I$20)*IF(MID(E415,3,1)="2",트라이포드!$L$20,트라이포드!$K$20)*IF(MID(E415,5,1)="1",0,IF(MID(E415,5,1)="2",트라이포드!$R$20,트라이포드!$Q$20))*(1+입력란!$P$17/100)*IF(입력란!$C$9=1,IF(입력란!$C$15=0,1.05,IF(입력란!$C$15=1,1.05*1.05,IF(입력란!$C$15=2,1.05*1.12,IF(입력란!$C$15=3,1.05*1.25)))),1)</f>
        <v>0</v>
      </c>
      <c r="U415" s="21"/>
      <c r="V415" s="21"/>
      <c r="W415" s="21"/>
      <c r="X415" s="21"/>
      <c r="Y415" s="21"/>
      <c r="Z415" s="20"/>
      <c r="AA415" s="21">
        <f>SUM(AB415:AI415)</f>
        <v>1809289.3062035914</v>
      </c>
      <c r="AB415" s="21">
        <f>S415*2</f>
        <v>1809289.3062035914</v>
      </c>
      <c r="AC415" s="21">
        <f>T415*2</f>
        <v>0</v>
      </c>
      <c r="AD415" s="21"/>
      <c r="AE415" s="21"/>
      <c r="AF415" s="21"/>
      <c r="AG415" s="21"/>
      <c r="AH415" s="21"/>
      <c r="AI415" s="20"/>
      <c r="AJ415" s="21">
        <f>AQ415*(1-입력란!$P$10/100)</f>
        <v>23.711464126079999</v>
      </c>
      <c r="AK4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5" s="21">
        <f>입력란!$P$24+IF(입력란!$C$18=1,10,IF(입력란!$C$18=2,25,IF(입력란!$C$18=3,50,0)))+IF(입력란!$C$23&lt;&gt;0,-12)</f>
        <v>200</v>
      </c>
      <c r="AM415" s="21">
        <f>SUM(AN415:AP415)</f>
        <v>196991.75233942372</v>
      </c>
      <c r="AN415" s="21">
        <f>(VLOOKUP(C415,$B$4:$AJ$7,23,FALSE)+VLOOKUP(C415,$B$8:$AJ$11,23,FALSE)*입력란!$P$4)*IF(G415="근접",입력란!$P$27,IF(MID(E415,1,1)="1",입력란!$P$27,입력란!$P$26))*입력란!$P$25/100</f>
        <v>118192.07223387282</v>
      </c>
      <c r="AO415" s="21">
        <f>(VLOOKUP(C415,$B$4:$AJ$7,24,FALSE)+VLOOKUP(C415,$B$8:$AJ$11,24,FALSE)*입력란!$P$4)*IF(G415="근접",입력란!$P$27,IF(MID(E415,1,1)="1",입력란!$P$27,입력란!$P$26))*입력란!$P$25/100</f>
        <v>78799.680105550899</v>
      </c>
      <c r="AP415" s="21"/>
      <c r="AQ415" s="22">
        <v>24</v>
      </c>
    </row>
    <row r="416" spans="2:43" ht="13.5" customHeight="1" x14ac:dyDescent="0.55000000000000004">
      <c r="B416" s="66">
        <v>401</v>
      </c>
      <c r="C416" s="29">
        <v>10</v>
      </c>
      <c r="D416" s="67" t="s">
        <v>49</v>
      </c>
      <c r="E416" s="27" t="s">
        <v>101</v>
      </c>
      <c r="F416" s="29"/>
      <c r="G416" s="29" t="s">
        <v>417</v>
      </c>
      <c r="H416" s="36">
        <f>I416/AJ416</f>
        <v>93619.954550468858</v>
      </c>
      <c r="I416" s="37">
        <f>SUM(J416:Q416)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2219866.1938086823</v>
      </c>
      <c r="J416" s="21">
        <f>S416*(1+IF($AK416+IF(입력란!$C$9=1,10,0)+IF(입력란!$C$26=1,10,0)&gt;100,100,$AK416+IF(입력란!$C$9=1,10,0)+IF(입력란!$C$26=1,10,0))/100*(($AL416+IF(입력란!$C$30=1,IF(OR(입력란!$C$9=1,입력란!$C$10=1),55,17),IF(입력란!$C$30=2,IF(OR(입력란!$C$9=1,입력란!$C$10=1),60,20),IF(입력란!$C$30=3,IF(OR(입력란!$C$9=1,입력란!$C$10=1),65,22),0))))/100-1))</f>
        <v>523988.60810344468</v>
      </c>
      <c r="K416" s="21">
        <f>T416*(1+IF($AK416+IF(입력란!$C$9=1,10,0)+IF(입력란!$C$26=1,10,0)&gt;100,100,$AK416+IF(입력란!$C$9=1,10,0)+IF(입력란!$C$26=1,10,0))/100*(($AL416+IF(입력란!$C$30=1,IF(OR(입력란!$C$9=1,입력란!$C$10=1),55,17),IF(입력란!$C$30=2,IF(OR(입력란!$C$9=1,입력란!$C$10=1),60,20),IF(입력란!$C$30=3,IF(OR(입력란!$C$9=1,입력란!$C$10=1),65,22),0))))/100-1))</f>
        <v>1048043.2549435645</v>
      </c>
      <c r="L416" s="21"/>
      <c r="M416" s="21"/>
      <c r="N416" s="21"/>
      <c r="O416" s="21"/>
      <c r="P416" s="21"/>
      <c r="Q416" s="20"/>
      <c r="R416" s="19">
        <f>SUM(S416:Z416)</f>
        <v>969302.84730430716</v>
      </c>
      <c r="S416" s="21">
        <f>AN416*IF(G416="근접",IF(MID(E416,1,1)="3",트라이포드!$H$20,트라이포드!$G$20),1)*IF(입력란!$C$9=1,IF(MID(E416,1,1)="2",트라이포드!$F$20,트라이포드!$E$20),1)*IF(MID(E416,1,1)="1",트라이포드!$D$20,트라이포드!$C$20)*IF(MID(E416,3,1)="1",트라이포드!$J$20,트라이포드!$I$20)*IF(MID(E416,3,1)="2",트라이포드!$L$20,트라이포드!$K$20)*IF(MID(E416,5,1)="1",트라이포드!$P$20,트라이포드!$O$20)*(1+입력란!$P$17/100)*IF(입력란!$C$9=1,IF(입력란!$C$15=0,1.05,IF(입력란!$C$15=1,1.05*1.05,IF(입력란!$C$15=2,1.05*1.12,IF(입력란!$C$15=3,1.05*1.25)))),1)</f>
        <v>323087.37610778416</v>
      </c>
      <c r="T416" s="21">
        <f>AO416*IF(G416="근접",IF(MID(E416,1,1)="3",트라이포드!$H$20,트라이포드!$G$20),1)*IF(입력란!$C$9=1,IF(MID(E416,1,1)="2",트라이포드!$F$20,트라이포드!$E$20),1)*IF(MID(E416,1,1)="1",트라이포드!$D$20,트라이포드!$C$20)*IF(MID(E416,3,1)="1",트라이포드!$J$20,트라이포드!$I$20)*IF(MID(E416,3,1)="2",트라이포드!$L$20,트라이포드!$K$20)*IF(MID(E416,5,1)="1",0,IF(MID(E416,5,1)="2",트라이포드!$R$20,트라이포드!$Q$20))*(1+입력란!$P$17/100)*IF(입력란!$C$9=1,IF(입력란!$C$15=0,1.05,IF(입력란!$C$15=1,1.05*1.05,IF(입력란!$C$15=2,1.05*1.12,IF(입력란!$C$15=3,1.05*1.25)))),1)</f>
        <v>646215.47119652305</v>
      </c>
      <c r="U416" s="21"/>
      <c r="V416" s="21"/>
      <c r="W416" s="21"/>
      <c r="X416" s="21"/>
      <c r="Y416" s="21"/>
      <c r="Z416" s="20"/>
      <c r="AA416" s="21">
        <f>SUM(AB416:AI416)</f>
        <v>1938605.6946086143</v>
      </c>
      <c r="AB416" s="21">
        <f>S416*2</f>
        <v>646174.75221556833</v>
      </c>
      <c r="AC416" s="21">
        <f>T416*2</f>
        <v>1292430.9423930461</v>
      </c>
      <c r="AD416" s="21"/>
      <c r="AE416" s="21"/>
      <c r="AF416" s="21"/>
      <c r="AG416" s="21"/>
      <c r="AH416" s="21"/>
      <c r="AI416" s="20"/>
      <c r="AJ416" s="21">
        <f>AQ416*(1-입력란!$P$10/100)</f>
        <v>23.711464126079999</v>
      </c>
      <c r="AK4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6" s="21">
        <f>입력란!$P$24+IF(입력란!$C$18=1,10,IF(입력란!$C$18=2,25,IF(입력란!$C$18=3,50,0)))+IF(입력란!$C$23&lt;&gt;0,-12)</f>
        <v>200</v>
      </c>
      <c r="AM416" s="21">
        <f>SUM(AN416:AP416)</f>
        <v>196991.75233942372</v>
      </c>
      <c r="AN416" s="21">
        <f>(VLOOKUP(C416,$B$4:$AJ$7,23,FALSE)+VLOOKUP(C416,$B$8:$AJ$11,23,FALSE)*입력란!$P$4)*IF(G416="근접",입력란!$P$27,IF(MID(E416,1,1)="1",입력란!$P$27,입력란!$P$26))*입력란!$P$25/100</f>
        <v>118192.07223387282</v>
      </c>
      <c r="AO416" s="21">
        <f>(VLOOKUP(C416,$B$4:$AJ$7,24,FALSE)+VLOOKUP(C416,$B$8:$AJ$11,24,FALSE)*입력란!$P$4)*IF(G416="근접",입력란!$P$27,IF(MID(E416,1,1)="1",입력란!$P$27,입력란!$P$26))*입력란!$P$25/100</f>
        <v>78799.680105550899</v>
      </c>
      <c r="AP416" s="21"/>
      <c r="AQ416" s="22">
        <v>24</v>
      </c>
    </row>
    <row r="417" spans="2:43" ht="13.5" customHeight="1" x14ac:dyDescent="0.55000000000000004">
      <c r="B417" s="66">
        <v>402</v>
      </c>
      <c r="C417" s="29">
        <v>10</v>
      </c>
      <c r="D417" s="67" t="s">
        <v>49</v>
      </c>
      <c r="E417" s="27" t="s">
        <v>112</v>
      </c>
      <c r="F417" s="29" t="s">
        <v>136</v>
      </c>
      <c r="G417" s="29" t="s">
        <v>417</v>
      </c>
      <c r="H417" s="36">
        <f>I417/AJ417</f>
        <v>75276.883101674466</v>
      </c>
      <c r="I417" s="37">
        <f>SUM(J417:Q417)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1784925.1131884719</v>
      </c>
      <c r="J417" s="21">
        <f>S417*(1+IF($AK417+IF(입력란!$C$9=1,10,0)+IF(입력란!$C$26=1,10,0)&gt;100,100,$AK417+IF(입력란!$C$9=1,10,0)+IF(입력란!$C$26=1,10,0))/100*(($AL417+IF(입력란!$C$30=1,IF(OR(입력란!$C$9=1,입력란!$C$10=1),55,17),IF(입력란!$C$30=2,IF(OR(입력란!$C$9=1,입력란!$C$10=1),60,20),IF(입력란!$C$30=3,IF(OR(입력란!$C$9=1,입력란!$C$10=1),65,22),0))))/100-1))</f>
        <v>1264021.7500095402</v>
      </c>
      <c r="K417" s="21">
        <f>T417*(1+IF($AK417+IF(입력란!$C$9=1,10,0)+IF(입력란!$C$26=1,10,0)&gt;100,100,$AK417+IF(입력란!$C$9=1,10,0)+IF(입력란!$C$26=1,10,0))/100*(($AL417+IF(입력란!$C$30=1,IF(OR(입력란!$C$9=1,입력란!$C$10=1),55,17),IF(입력란!$C$30=2,IF(OR(입력란!$C$9=1,입력란!$C$10=1),60,20),IF(입력란!$C$30=3,IF(OR(입력란!$C$9=1,입력란!$C$10=1),65,22),0))))/100-1))</f>
        <v>0</v>
      </c>
      <c r="L417" s="21"/>
      <c r="M417" s="21"/>
      <c r="N417" s="21"/>
      <c r="O417" s="21"/>
      <c r="P417" s="21"/>
      <c r="Q417" s="20"/>
      <c r="R417" s="19">
        <f>SUM(S417:Z417)</f>
        <v>779386.16267231619</v>
      </c>
      <c r="S417" s="21">
        <f>AN417*IF(G417="근접",IF(MID(E417,1,1)="3",트라이포드!$H$20,트라이포드!$G$20),1)*IF(입력란!$C$9=1,IF(MID(E417,1,1)="2",트라이포드!$F$20,트라이포드!$E$20),1)*IF(MID(E417,1,1)="1",트라이포드!$D$20,트라이포드!$C$20)*IF(MID(E417,3,1)="1",트라이포드!$J$20,트라이포드!$I$20)*IF(MID(E417,3,1)="2",트라이포드!$L$20,트라이포드!$K$20)*IF(MID(E417,5,1)="1",트라이포드!$P$20,트라이포드!$O$20)*(1+입력란!$P$17/100)*IF(입력란!$C$9=1,IF(입력란!$C$15=0,1.05,IF(입력란!$C$15=1,1.05*1.05,IF(입력란!$C$15=2,1.05*1.12,IF(입력란!$C$15=3,1.05*1.25)))),1)</f>
        <v>779386.16267231619</v>
      </c>
      <c r="T417" s="21">
        <f>AO417*IF(G417="근접",IF(MID(E417,1,1)="3",트라이포드!$H$20,트라이포드!$G$20),1)*IF(입력란!$C$9=1,IF(MID(E417,1,1)="2",트라이포드!$F$20,트라이포드!$E$20),1)*IF(MID(E417,1,1)="1",트라이포드!$D$20,트라이포드!$C$20)*IF(MID(E417,3,1)="1",트라이포드!$J$20,트라이포드!$I$20)*IF(MID(E417,3,1)="2",트라이포드!$L$20,트라이포드!$K$20)*IF(MID(E417,5,1)="1",0,IF(MID(E417,5,1)="2",트라이포드!$R$20,트라이포드!$Q$20))*(1+입력란!$P$17/100)*IF(입력란!$C$9=1,IF(입력란!$C$15=0,1.05,IF(입력란!$C$15=1,1.05*1.05,IF(입력란!$C$15=2,1.05*1.12,IF(입력란!$C$15=3,1.05*1.25)))),1)</f>
        <v>0</v>
      </c>
      <c r="U417" s="21"/>
      <c r="V417" s="21"/>
      <c r="W417" s="21"/>
      <c r="X417" s="21"/>
      <c r="Y417" s="21"/>
      <c r="Z417" s="20"/>
      <c r="AA417" s="21">
        <f>SUM(AB417:AI417)</f>
        <v>1558772.3253446324</v>
      </c>
      <c r="AB417" s="21">
        <f>S417*2</f>
        <v>1558772.3253446324</v>
      </c>
      <c r="AC417" s="21">
        <f>T417*2</f>
        <v>0</v>
      </c>
      <c r="AD417" s="21"/>
      <c r="AE417" s="21"/>
      <c r="AF417" s="21"/>
      <c r="AG417" s="21"/>
      <c r="AH417" s="21"/>
      <c r="AI417" s="20"/>
      <c r="AJ417" s="21">
        <f>AQ417*(1-입력란!$P$10/100)</f>
        <v>23.711464126079999</v>
      </c>
      <c r="AK4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7" s="21">
        <f>입력란!$P$24+IF(입력란!$C$18=1,10,IF(입력란!$C$18=2,25,IF(입력란!$C$18=3,50,0)))+IF(입력란!$C$23&lt;&gt;0,-12)</f>
        <v>200</v>
      </c>
      <c r="AM417" s="21">
        <f>SUM(AN417:AP417)</f>
        <v>196991.75233942372</v>
      </c>
      <c r="AN417" s="21">
        <f>(VLOOKUP(C417,$B$4:$AJ$7,23,FALSE)+VLOOKUP(C417,$B$8:$AJ$11,23,FALSE)*입력란!$P$4)*IF(G417="근접",입력란!$P$27,IF(MID(E417,1,1)="1",입력란!$P$27,입력란!$P$26))*입력란!$P$25/100</f>
        <v>118192.07223387282</v>
      </c>
      <c r="AO417" s="21">
        <f>(VLOOKUP(C417,$B$4:$AJ$7,24,FALSE)+VLOOKUP(C417,$B$8:$AJ$11,24,FALSE)*입력란!$P$4)*IF(G417="근접",입력란!$P$27,IF(MID(E417,1,1)="1",입력란!$P$27,입력란!$P$26))*입력란!$P$25/100</f>
        <v>78799.680105550899</v>
      </c>
      <c r="AP417" s="21"/>
      <c r="AQ417" s="22">
        <v>24</v>
      </c>
    </row>
    <row r="418" spans="2:43" ht="13.5" customHeight="1" x14ac:dyDescent="0.55000000000000004">
      <c r="B418" s="66">
        <v>403</v>
      </c>
      <c r="C418" s="29">
        <v>10</v>
      </c>
      <c r="D418" s="67" t="s">
        <v>49</v>
      </c>
      <c r="E418" s="27" t="s">
        <v>113</v>
      </c>
      <c r="F418" s="29" t="s">
        <v>136</v>
      </c>
      <c r="G418" s="29" t="s">
        <v>417</v>
      </c>
      <c r="H418" s="36">
        <f>I418/AJ418</f>
        <v>80657.191612711613</v>
      </c>
      <c r="I418" s="37">
        <f>SUM(J418:Q418)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1912500.1054351721</v>
      </c>
      <c r="J418" s="21">
        <f>S418*(1+IF($AK418+IF(입력란!$C$9=1,10,0)+IF(입력란!$C$26=1,10,0)&gt;100,100,$AK418+IF(입력란!$C$9=1,10,0)+IF(입력란!$C$26=1,10,0))/100*(($AL418+IF(입력란!$C$30=1,IF(OR(입력란!$C$9=1,입력란!$C$10=1),55,17),IF(입력란!$C$30=2,IF(OR(입력란!$C$9=1,입력란!$C$10=1),60,20),IF(입력란!$C$30=3,IF(OR(입력란!$C$9=1,입력란!$C$10=1),65,22),0))))/100-1))</f>
        <v>451436.33928912156</v>
      </c>
      <c r="K418" s="21">
        <f>T418*(1+IF($AK418+IF(입력란!$C$9=1,10,0)+IF(입력란!$C$26=1,10,0)&gt;100,100,$AK418+IF(입력란!$C$9=1,10,0)+IF(입력란!$C$26=1,10,0))/100*(($AL418+IF(입력란!$C$30=1,IF(OR(입력란!$C$9=1,입력란!$C$10=1),55,17),IF(입력란!$C$30=2,IF(OR(입력란!$C$9=1,입력란!$C$10=1),60,20),IF(입력란!$C$30=3,IF(OR(입력란!$C$9=1,입력란!$C$10=1),65,22),0))))/100-1))</f>
        <v>902929.57348984014</v>
      </c>
      <c r="L418" s="21"/>
      <c r="M418" s="21"/>
      <c r="N418" s="21"/>
      <c r="O418" s="21"/>
      <c r="P418" s="21"/>
      <c r="Q418" s="20"/>
      <c r="R418" s="19">
        <f>SUM(S418:Z418)</f>
        <v>835091.68383140303</v>
      </c>
      <c r="S418" s="21">
        <f>AN418*IF(G418="근접",IF(MID(E418,1,1)="3",트라이포드!$H$20,트라이포드!$G$20),1)*IF(입력란!$C$9=1,IF(MID(E418,1,1)="2",트라이포드!$F$20,트라이포드!$E$20),1)*IF(MID(E418,1,1)="1",트라이포드!$D$20,트라이포드!$C$20)*IF(MID(E418,3,1)="1",트라이포드!$J$20,트라이포드!$I$20)*IF(MID(E418,3,1)="2",트라이포드!$L$20,트라이포드!$K$20)*IF(MID(E418,5,1)="1",트라이포드!$P$20,트라이포드!$O$20)*(1+입력란!$P$17/100)*IF(입력란!$C$9=1,IF(입력란!$C$15=0,1.05,IF(입력란!$C$15=1,1.05*1.05,IF(입력란!$C$15=2,1.05*1.12,IF(입력란!$C$15=3,1.05*1.25)))),1)</f>
        <v>278352.20095439866</v>
      </c>
      <c r="T418" s="21">
        <f>AO418*IF(G418="근접",IF(MID(E418,1,1)="3",트라이포드!$H$20,트라이포드!$G$20),1)*IF(입력란!$C$9=1,IF(MID(E418,1,1)="2",트라이포드!$F$20,트라이포드!$E$20),1)*IF(MID(E418,1,1)="1",트라이포드!$D$20,트라이포드!$C$20)*IF(MID(E418,3,1)="1",트라이포드!$J$20,트라이포드!$I$20)*IF(MID(E418,3,1)="2",트라이포드!$L$20,트라이포드!$K$20)*IF(MID(E418,5,1)="1",0,IF(MID(E418,5,1)="2",트라이포드!$R$20,트라이포드!$Q$20))*(1+입력란!$P$17/100)*IF(입력란!$C$9=1,IF(입력란!$C$15=0,1.05,IF(입력란!$C$15=1,1.05*1.05,IF(입력란!$C$15=2,1.05*1.12,IF(입력란!$C$15=3,1.05*1.25)))),1)</f>
        <v>556739.48287700443</v>
      </c>
      <c r="U418" s="21"/>
      <c r="V418" s="21"/>
      <c r="W418" s="21"/>
      <c r="X418" s="21"/>
      <c r="Y418" s="21"/>
      <c r="Z418" s="20"/>
      <c r="AA418" s="21">
        <f>SUM(AB418:AI418)</f>
        <v>1670183.3676628061</v>
      </c>
      <c r="AB418" s="21">
        <f>S418*2</f>
        <v>556704.40190879733</v>
      </c>
      <c r="AC418" s="21">
        <f>T418*2</f>
        <v>1113478.9657540089</v>
      </c>
      <c r="AD418" s="21"/>
      <c r="AE418" s="21"/>
      <c r="AF418" s="21"/>
      <c r="AG418" s="21"/>
      <c r="AH418" s="21"/>
      <c r="AI418" s="20"/>
      <c r="AJ418" s="21">
        <f>AQ418*(1-입력란!$P$10/100)</f>
        <v>23.711464126079999</v>
      </c>
      <c r="AK4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8" s="21">
        <f>입력란!$P$24+IF(입력란!$C$18=1,10,IF(입력란!$C$18=2,25,IF(입력란!$C$18=3,50,0)))+IF(입력란!$C$23&lt;&gt;0,-12)</f>
        <v>200</v>
      </c>
      <c r="AM418" s="21">
        <f>SUM(AN418:AP418)</f>
        <v>196991.75233942372</v>
      </c>
      <c r="AN418" s="21">
        <f>(VLOOKUP(C418,$B$4:$AJ$7,23,FALSE)+VLOOKUP(C418,$B$8:$AJ$11,23,FALSE)*입력란!$P$4)*IF(G418="근접",입력란!$P$27,IF(MID(E418,1,1)="1",입력란!$P$27,입력란!$P$26))*입력란!$P$25/100</f>
        <v>118192.07223387282</v>
      </c>
      <c r="AO418" s="21">
        <f>(VLOOKUP(C418,$B$4:$AJ$7,24,FALSE)+VLOOKUP(C418,$B$8:$AJ$11,24,FALSE)*입력란!$P$4)*IF(G418="근접",입력란!$P$27,IF(MID(E418,1,1)="1",입력란!$P$27,입력란!$P$26))*입력란!$P$25/100</f>
        <v>78799.680105550899</v>
      </c>
      <c r="AP418" s="21"/>
      <c r="AQ418" s="22">
        <v>24</v>
      </c>
    </row>
    <row r="419" spans="2:43" ht="13.5" customHeight="1" x14ac:dyDescent="0.55000000000000004">
      <c r="B419" s="66">
        <v>404</v>
      </c>
      <c r="C419" s="29">
        <v>10</v>
      </c>
      <c r="D419" s="67" t="s">
        <v>49</v>
      </c>
      <c r="E419" s="27" t="s">
        <v>114</v>
      </c>
      <c r="F419" s="29"/>
      <c r="G419" s="29" t="s">
        <v>417</v>
      </c>
      <c r="H419" s="36">
        <f>I419/AJ419</f>
        <v>69899.962880126317</v>
      </c>
      <c r="I419" s="37">
        <f>SUM(J419:Q419)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1657430.4622464387</v>
      </c>
      <c r="J419" s="21">
        <f>S419*(1+IF($AK419+IF(입력란!$C$9=1,10,0)+IF(입력란!$C$26=1,10,0)&gt;100,100,$AK419+IF(입력란!$C$9=1,10,0)+IF(입력란!$C$26=1,10,0))/100*(($AL419+IF(입력란!$C$30=1,IF(OR(입력란!$C$9=1,입력란!$C$10=1),55,17),IF(입력란!$C$30=2,IF(OR(입력란!$C$9=1,입력란!$C$10=1),60,20),IF(입력란!$C$30=3,IF(OR(입력란!$C$9=1,입력란!$C$10=1),65,22),0))))/100-1))</f>
        <v>1173734.4821517162</v>
      </c>
      <c r="K419" s="21">
        <f>T419*(1+IF($AK419+IF(입력란!$C$9=1,10,0)+IF(입력란!$C$26=1,10,0)&gt;100,100,$AK419+IF(입력란!$C$9=1,10,0)+IF(입력란!$C$26=1,10,0))/100*(($AL419+IF(입력란!$C$30=1,IF(OR(입력란!$C$9=1,입력란!$C$10=1),55,17),IF(입력란!$C$30=2,IF(OR(입력란!$C$9=1,입력란!$C$10=1),60,20),IF(입력란!$C$30=3,IF(OR(입력란!$C$9=1,입력란!$C$10=1),65,22),0))))/100-1))</f>
        <v>0</v>
      </c>
      <c r="L419" s="21"/>
      <c r="M419" s="21"/>
      <c r="N419" s="21"/>
      <c r="O419" s="21"/>
      <c r="P419" s="21"/>
      <c r="Q419" s="20"/>
      <c r="R419" s="19">
        <f>SUM(S419:Z419)</f>
        <v>723715.72248143656</v>
      </c>
      <c r="S419" s="21">
        <f>AN419*IF(G419="근접",IF(MID(E419,1,1)="3",트라이포드!$H$20,트라이포드!$G$20),1)*IF(입력란!$C$9=1,IF(MID(E419,1,1)="2",트라이포드!$F$20,트라이포드!$E$20),1)*IF(MID(E419,1,1)="1",트라이포드!$D$20,트라이포드!$C$20)*IF(MID(E419,3,1)="1",트라이포드!$J$20,트라이포드!$I$20)*IF(MID(E419,3,1)="2",트라이포드!$L$20,트라이포드!$K$20)*IF(MID(E419,5,1)="1",트라이포드!$P$20,트라이포드!$O$20)*(1+입력란!$P$17/100)*IF(입력란!$C$9=1,IF(입력란!$C$15=0,1.05,IF(입력란!$C$15=1,1.05*1.05,IF(입력란!$C$15=2,1.05*1.12,IF(입력란!$C$15=3,1.05*1.25)))),1)</f>
        <v>723715.72248143656</v>
      </c>
      <c r="T419" s="21">
        <f>AO419*IF(G419="근접",IF(MID(E419,1,1)="3",트라이포드!$H$20,트라이포드!$G$20),1)*IF(입력란!$C$9=1,IF(MID(E419,1,1)="2",트라이포드!$F$20,트라이포드!$E$20),1)*IF(MID(E419,1,1)="1",트라이포드!$D$20,트라이포드!$C$20)*IF(MID(E419,3,1)="1",트라이포드!$J$20,트라이포드!$I$20)*IF(MID(E419,3,1)="2",트라이포드!$L$20,트라이포드!$K$20)*IF(MID(E419,5,1)="1",0,IF(MID(E419,5,1)="2",트라이포드!$R$20,트라이포드!$Q$20))*(1+입력란!$P$17/100)*IF(입력란!$C$9=1,IF(입력란!$C$15=0,1.05,IF(입력란!$C$15=1,1.05*1.05,IF(입력란!$C$15=2,1.05*1.12,IF(입력란!$C$15=3,1.05*1.25)))),1)</f>
        <v>0</v>
      </c>
      <c r="U419" s="21"/>
      <c r="V419" s="21"/>
      <c r="W419" s="21"/>
      <c r="X419" s="21"/>
      <c r="Y419" s="21"/>
      <c r="Z419" s="20"/>
      <c r="AA419" s="21">
        <f>SUM(AB419:AI419)</f>
        <v>1447431.4449628731</v>
      </c>
      <c r="AB419" s="21">
        <f>S419*2</f>
        <v>1447431.4449628731</v>
      </c>
      <c r="AC419" s="21">
        <f>T419*2</f>
        <v>0</v>
      </c>
      <c r="AD419" s="21"/>
      <c r="AE419" s="21"/>
      <c r="AF419" s="21"/>
      <c r="AG419" s="21"/>
      <c r="AH419" s="21"/>
      <c r="AI419" s="20"/>
      <c r="AJ419" s="21">
        <f>AQ419*(1-입력란!$P$10/100)</f>
        <v>23.711464126079999</v>
      </c>
      <c r="AK4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19" s="21">
        <f>입력란!$P$24+IF(입력란!$C$18=1,10,IF(입력란!$C$18=2,25,IF(입력란!$C$18=3,50,0)))+IF(입력란!$C$23&lt;&gt;0,-12)</f>
        <v>200</v>
      </c>
      <c r="AM419" s="21">
        <f>SUM(AN419:AP419)</f>
        <v>196991.75233942372</v>
      </c>
      <c r="AN419" s="21">
        <f>(VLOOKUP(C419,$B$4:$AJ$7,23,FALSE)+VLOOKUP(C419,$B$8:$AJ$11,23,FALSE)*입력란!$P$4)*IF(G419="근접",입력란!$P$27,IF(MID(E419,1,1)="1",입력란!$P$27,입력란!$P$26))*입력란!$P$25/100</f>
        <v>118192.07223387282</v>
      </c>
      <c r="AO419" s="21">
        <f>(VLOOKUP(C419,$B$4:$AJ$7,24,FALSE)+VLOOKUP(C419,$B$8:$AJ$11,24,FALSE)*입력란!$P$4)*IF(G419="근접",입력란!$P$27,IF(MID(E419,1,1)="1",입력란!$P$27,입력란!$P$26))*입력란!$P$25/100</f>
        <v>78799.680105550899</v>
      </c>
      <c r="AP419" s="21"/>
      <c r="AQ419" s="22">
        <v>24</v>
      </c>
    </row>
    <row r="420" spans="2:43" ht="13.5" customHeight="1" x14ac:dyDescent="0.55000000000000004">
      <c r="B420" s="66">
        <v>405</v>
      </c>
      <c r="C420" s="29">
        <v>10</v>
      </c>
      <c r="D420" s="67" t="s">
        <v>49</v>
      </c>
      <c r="E420" s="27" t="s">
        <v>115</v>
      </c>
      <c r="F420" s="29"/>
      <c r="G420" s="29" t="s">
        <v>417</v>
      </c>
      <c r="H420" s="36">
        <f>I420/AJ420</f>
        <v>74895.963640375077</v>
      </c>
      <c r="I420" s="37">
        <f>SUM(J420:Q420)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IF(OR(입력란!$C$9=1,입력란!$C$10=1),1.21,1.07),IF(입력란!$C$30=2,IF(OR(입력란!$C$9=1,입력란!$C$10=1),1.24,1.08),IF(입력란!$C$30=3,IF(OR(입력란!$C$9=1,입력란!$C$10=1),1.26,1.09),1)))*(1+입력란!$P$22/100)*IF(입력란!$C$31=1,1.12*1.15,IF(입력란!$C$31=2,1.15*1.18,IF(입력란!$C$31=3,1.17*1.2,1)))*IF(입력란!$C$32=1,1.12,IF(입력란!$C$32=2,1.14,IF(입력란!$C$32=3,1.15,1)))</f>
        <v>1775892.9550469455</v>
      </c>
      <c r="J420" s="21">
        <f>S420*(1+IF($AK420+IF(입력란!$C$9=1,10,0)+IF(입력란!$C$26=1,10,0)&gt;100,100,$AK420+IF(입력란!$C$9=1,10,0)+IF(입력란!$C$26=1,10,0))/100*(($AL420+IF(입력란!$C$30=1,IF(OR(입력란!$C$9=1,입력란!$C$10=1),55,17),IF(입력란!$C$30=2,IF(OR(입력란!$C$9=1,입력란!$C$10=1),60,20),IF(입력란!$C$30=3,IF(OR(입력란!$C$9=1,입력란!$C$10=1),65,22),0))))/100-1))</f>
        <v>419190.88648275577</v>
      </c>
      <c r="K420" s="21">
        <f>T420*(1+IF($AK420+IF(입력란!$C$9=1,10,0)+IF(입력란!$C$26=1,10,0)&gt;100,100,$AK420+IF(입력란!$C$9=1,10,0)+IF(입력란!$C$26=1,10,0))/100*(($AL420+IF(입력란!$C$30=1,IF(OR(입력란!$C$9=1,입력란!$C$10=1),55,17),IF(입력란!$C$30=2,IF(OR(입력란!$C$9=1,입력란!$C$10=1),60,20),IF(입력란!$C$30=3,IF(OR(입력란!$C$9=1,입력란!$C$10=1),65,22),0))))/100-1))</f>
        <v>838434.60395485163</v>
      </c>
      <c r="L420" s="21"/>
      <c r="M420" s="21"/>
      <c r="N420" s="21"/>
      <c r="O420" s="21"/>
      <c r="P420" s="21"/>
      <c r="Q420" s="20"/>
      <c r="R420" s="19">
        <f>SUM(S420:Z420)</f>
        <v>775442.27784344577</v>
      </c>
      <c r="S420" s="21">
        <f>AN420*IF(G420="근접",IF(MID(E420,1,1)="3",트라이포드!$H$20,트라이포드!$G$20),1)*IF(MID(E420,1,1)="1",트라이포드!$D$20,트라이포드!$C$20)*IF(MID(E420,3,1)="1",트라이포드!$J$20,트라이포드!$I$20)*IF(MID(E420,3,1)="2",트라이포드!$L$20,트라이포드!$K$20)*IF(MID(E420,5,1)="1",트라이포드!$P$20,트라이포드!$O$20)*(1+입력란!$P$17/100)*IF(입력란!$C$9=1,IF(입력란!$C$15=0,1.05,IF(입력란!$C$15=1,1.05*1.05,IF(입력란!$C$15=2,1.05*1.12,IF(입력란!$C$15=3,1.05*1.25)))),1)</f>
        <v>258469.90088622735</v>
      </c>
      <c r="T420" s="21">
        <f>AO420*IF(G420="근접",IF(MID(E420,1,1)="3",트라이포드!$H$20,트라이포드!$G$20),1)*IF(MID(E420,1,1)="1",트라이포드!$D$20,트라이포드!$C$20)*IF(MID(E420,3,1)="1",트라이포드!$J$20,트라이포드!$I$20)*IF(MID(E420,3,1)="2",트라이포드!$L$20,트라이포드!$K$20)*IF(MID(E420,5,1)="1",0,IF(MID(E420,5,1)="2",트라이포드!$R$20,트라이포드!$Q$20))*(1+입력란!$P$17/100)*IF(입력란!$C$9=1,IF(입력란!$C$15=0,1.05,IF(입력란!$C$15=1,1.05*1.05,IF(입력란!$C$15=2,1.05*1.12,IF(입력란!$C$15=3,1.05*1.25)))),1)</f>
        <v>516972.3769572184</v>
      </c>
      <c r="U420" s="21"/>
      <c r="V420" s="21"/>
      <c r="W420" s="21"/>
      <c r="X420" s="21"/>
      <c r="Y420" s="21"/>
      <c r="Z420" s="20"/>
      <c r="AA420" s="21">
        <f>SUM(AB420:AI420)</f>
        <v>1550884.5556868915</v>
      </c>
      <c r="AB420" s="21">
        <f>S420*2</f>
        <v>516939.8017724547</v>
      </c>
      <c r="AC420" s="21">
        <f>T420*2</f>
        <v>1033944.7539144368</v>
      </c>
      <c r="AD420" s="21"/>
      <c r="AE420" s="21"/>
      <c r="AF420" s="21"/>
      <c r="AG420" s="21"/>
      <c r="AH420" s="21"/>
      <c r="AI420" s="20"/>
      <c r="AJ420" s="21">
        <f>AQ420*(1-입력란!$P$10/100)</f>
        <v>23.711464126079999</v>
      </c>
      <c r="AK4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0" s="21">
        <f>입력란!$P$24+IF(입력란!$C$18=1,10,IF(입력란!$C$18=2,25,IF(입력란!$C$18=3,50,0)))+IF(입력란!$C$23&lt;&gt;0,-12)</f>
        <v>200</v>
      </c>
      <c r="AM420" s="21">
        <f>SUM(AN420:AP420)</f>
        <v>196991.75233942372</v>
      </c>
      <c r="AN420" s="21">
        <f>(VLOOKUP(C420,$B$4:$AJ$7,23,FALSE)+VLOOKUP(C420,$B$8:$AJ$11,23,FALSE)*입력란!$P$4)*IF(G420="근접",입력란!$P$27,IF(MID(E420,1,1)="1",입력란!$P$27,입력란!$P$26))*입력란!$P$25/100</f>
        <v>118192.07223387282</v>
      </c>
      <c r="AO420" s="21">
        <f>(VLOOKUP(C420,$B$4:$AJ$7,24,FALSE)+VLOOKUP(C420,$B$8:$AJ$11,24,FALSE)*입력란!$P$4)*IF(G420="근접",입력란!$P$27,IF(MID(E420,1,1)="1",입력란!$P$27,입력란!$P$26))*입력란!$P$25/100</f>
        <v>78799.680105550899</v>
      </c>
      <c r="AP420" s="21"/>
      <c r="AQ420" s="22">
        <v>24</v>
      </c>
    </row>
    <row r="421" spans="2:43" ht="13.5" customHeight="1" x14ac:dyDescent="0.55000000000000004">
      <c r="B421" s="66">
        <v>406</v>
      </c>
      <c r="C421" s="29">
        <v>1</v>
      </c>
      <c r="D421" s="67" t="s">
        <v>220</v>
      </c>
      <c r="E421" s="27" t="s">
        <v>184</v>
      </c>
      <c r="F421" s="29"/>
      <c r="G421" s="29"/>
      <c r="H421" s="37">
        <f>I421/AJ421</f>
        <v>55836.336206236374</v>
      </c>
      <c r="I421" s="37">
        <f>SUM(J421:Q421)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1985941.9243288732</v>
      </c>
      <c r="J421" s="21">
        <f>S421*(1+IF($AK421+IF(입력란!$C$10=1,0,IF(입력란!$C$9=1,10,0))+IF(입력란!$C$26=1,10,0)&gt;100,100,$AK421+IF(입력란!$C$10=1,0,IF(입력란!$C$9=1,10,0))+IF(입력란!$C$26=1,10,0))/100*(($AL421+IF(입력란!$C$30=1,IF(OR(입력란!$C$9=1,입력란!$C$10=1),55,17),IF(입력란!$C$30=2,IF(OR(입력란!$C$9=1,입력란!$C$10=1),60,20),IF(입력란!$C$30=3,IF(OR(입력란!$C$9=1,입력란!$C$10=1),65,22),0))))/100-1))</f>
        <v>1406374.8490396382</v>
      </c>
      <c r="K421" s="21">
        <f>T421*(1+IF($AK421+IF(입력란!$C$26=1,10,0)&gt;100,100,$AK421+IF(입력란!$C$26=1,10,0))/100*(($AL421+IF(입력란!$C$30=1,17,IF(입력란!$C$30=2,20,IF(입력란!$C$30=3,22,0))))/100-1))</f>
        <v>0</v>
      </c>
      <c r="L421" s="21"/>
      <c r="M421" s="21"/>
      <c r="N421" s="21"/>
      <c r="O421" s="21"/>
      <c r="P421" s="21"/>
      <c r="Q421" s="20">
        <f>Z421*(1+IF($AK421+IF(입력란!$C$26=1,10,0)&gt;100,100,$AK421+IF(입력란!$C$26=1,10,0))/100*(($AL421+IF(입력란!$C$30=1,17,IF(입력란!$C$30=2,20,IF(입력란!$C$30=3,22,0))))/100-1))</f>
        <v>0</v>
      </c>
      <c r="R421" s="19">
        <f>SUM(S421:Z421)</f>
        <v>867159.99694118288</v>
      </c>
      <c r="S421" s="21">
        <f>AN421*IF(MID(E421,1,1)="2",트라이포드!$E$21,1)*IF(MID(E421,3,1)="2",트라이포드!$L$21,트라이포드!$K$21)*IF(G421="무력화",1.5,1)*IF(MID(E421,3,1)="3",트라이포드!$N$21,트라이포드!$M$21)*IF(MID(E421,5,1)="1",트라이포드!$P$21,트라이포드!$O$21)*IF(MID(E421,5,1)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867159.99694118288</v>
      </c>
      <c r="T421" s="21">
        <f>AN421*IF(MID(E421,3,1)="1",트라이포드!$J$21,트라이포드!$I$21)*IF(MID(E421,5,1)="1",2,1)*(1+입력란!$P$17/100)*IF(입력란!$C$30=1,1.07,IF(입력란!$C$30=2,1.08,IF(입력란!$C$30=3,1.09,1)))</f>
        <v>0</v>
      </c>
      <c r="U421" s="21"/>
      <c r="V421" s="21"/>
      <c r="W421" s="21"/>
      <c r="X421" s="21"/>
      <c r="Y421" s="21"/>
      <c r="Z421" s="20">
        <f>AN421*IF(MID(E421,1,1)="2",트라이포드!$F$21,0)*IF(MID(E421,5,1)="1",2,1)*(1+입력란!$P$17/100)*IF(입력란!$C$30=1,1.07,IF(입력란!$C$30=2,1.08,IF(입력란!$C$30=3,1.09,1)))</f>
        <v>0</v>
      </c>
      <c r="AA421" s="21">
        <f>SUM(AB421:AI421)</f>
        <v>1734319.9938823658</v>
      </c>
      <c r="AB421" s="21">
        <f>S421*2</f>
        <v>1734319.9938823658</v>
      </c>
      <c r="AC421" s="21">
        <f>T421*2</f>
        <v>0</v>
      </c>
      <c r="AD421" s="21"/>
      <c r="AE421" s="21"/>
      <c r="AF421" s="21"/>
      <c r="AG421" s="21"/>
      <c r="AH421" s="21"/>
      <c r="AI421" s="20">
        <f>Z421*2</f>
        <v>0</v>
      </c>
      <c r="AJ421" s="21">
        <f>(AQ421-IF(MID(E421,1,1)="1",트라이포드!$D$21,트라이포드!$C$21))*(1-입력란!$P$10/100)</f>
        <v>35.567196189119997</v>
      </c>
      <c r="AK4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1" s="21">
        <f>입력란!$P$24+IF(입력란!$C$18=1,10,IF(입력란!$C$18=2,25,IF(입력란!$C$18=3,50,0)))+IF(입력란!$C$23&lt;&gt;0,-12)</f>
        <v>200</v>
      </c>
      <c r="AM421" s="21">
        <f>SUM(AN421:AP421)</f>
        <v>515490.84686067625</v>
      </c>
      <c r="AN421" s="21">
        <f>(VLOOKUP(C421,$B$4:$AJ$7,25,FALSE)+VLOOKUP(C421,$B$8:$AJ$11,25,FALSE)*입력란!$P$4)*입력란!$P$25/100</f>
        <v>515490.84686067625</v>
      </c>
      <c r="AO421" s="21"/>
      <c r="AP421" s="21"/>
      <c r="AQ421" s="22">
        <v>36</v>
      </c>
    </row>
    <row r="422" spans="2:43" ht="13.5" customHeight="1" x14ac:dyDescent="0.55000000000000004">
      <c r="B422" s="66">
        <v>407</v>
      </c>
      <c r="C422" s="29">
        <v>4</v>
      </c>
      <c r="D422" s="67" t="s">
        <v>220</v>
      </c>
      <c r="E422" s="27" t="s">
        <v>184</v>
      </c>
      <c r="F422" s="29"/>
      <c r="G422" s="29"/>
      <c r="H422" s="37">
        <f>I422/AJ422</f>
        <v>55909.601712384363</v>
      </c>
      <c r="I422" s="37">
        <f>SUM(J422:Q422)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1988547.7729599338</v>
      </c>
      <c r="J422" s="21">
        <f>S422*(1+IF($AK422+IF(입력란!$C$10=1,0,IF(입력란!$C$9=1,10,0))+IF(입력란!$C$26=1,10,0)&gt;100,100,$AK422+IF(입력란!$C$10=1,0,IF(입력란!$C$9=1,10,0))+IF(입력란!$C$26=1,10,0))/100*(($AL422+IF(입력란!$C$30=1,IF(OR(입력란!$C$9=1,입력란!$C$10=1),55,17),IF(입력란!$C$30=2,IF(OR(입력란!$C$9=1,입력란!$C$10=1),60,20),IF(입력란!$C$30=3,IF(OR(입력란!$C$9=1,입력란!$C$10=1),65,22),0))))/100-1))</f>
        <v>1408220.2202109862</v>
      </c>
      <c r="K422" s="21">
        <f>T422*(1+IF($AK422+IF(입력란!$C$26=1,10,0)&gt;100,100,$AK422+IF(입력란!$C$26=1,10,0))/100*(($AL422+IF(입력란!$C$30=1,17,IF(입력란!$C$30=2,20,IF(입력란!$C$30=3,22,0))))/100-1))</f>
        <v>0</v>
      </c>
      <c r="L422" s="21"/>
      <c r="M422" s="21"/>
      <c r="N422" s="21"/>
      <c r="O422" s="21"/>
      <c r="P422" s="21"/>
      <c r="Q422" s="20">
        <f>Z422*(1+IF($AK422+IF(입력란!$C$26=1,10,0)&gt;100,100,$AK422+IF(입력란!$C$26=1,10,0))/100*(($AL422+IF(입력란!$C$30=1,17,IF(입력란!$C$30=2,20,IF(입력란!$C$30=3,22,0))))/100-1))</f>
        <v>0</v>
      </c>
      <c r="R422" s="19">
        <f>SUM(S422:Z422)</f>
        <v>868297.83871956379</v>
      </c>
      <c r="S422" s="21">
        <f>AN422*IF(MID(E422,1,1)="2",트라이포드!$E$21,1)*IF(MID(E422,3,1)="2",트라이포드!$L$21,트라이포드!$K$21)*IF(G422="무력화",1.5,1)*IF(MID(E422,3,1)="3",트라이포드!$N$21,트라이포드!$M$21)*IF(MID(E422,5,1)="1",트라이포드!$P$21,트라이포드!$O$21)*IF(MID(E422,5,1)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868297.83871956379</v>
      </c>
      <c r="T422" s="21">
        <f>AN422*IF(MID(E422,3,1)="1",트라이포드!$J$21,트라이포드!$I$21)*IF(MID(E422,5,1)="1",2,1)*(1+입력란!$P$17/100)*IF(입력란!$C$30=1,1.07,IF(입력란!$C$30=2,1.08,IF(입력란!$C$30=3,1.09,1)))</f>
        <v>0</v>
      </c>
      <c r="U422" s="21"/>
      <c r="V422" s="21"/>
      <c r="W422" s="21"/>
      <c r="X422" s="21"/>
      <c r="Y422" s="21"/>
      <c r="Z422" s="20">
        <f>AN422*IF(MID(E422,1,1)="2",트라이포드!$F$21,0)*IF(MID(E422,5,1)="1",2,1)*(1+입력란!$P$17/100)*IF(입력란!$C$30=1,1.07,IF(입력란!$C$30=2,1.08,IF(입력란!$C$30=3,1.09,1)))</f>
        <v>0</v>
      </c>
      <c r="AA422" s="21">
        <f>SUM(AB422:AI422)</f>
        <v>1736595.6774391276</v>
      </c>
      <c r="AB422" s="21">
        <f>S422*2</f>
        <v>1736595.6774391276</v>
      </c>
      <c r="AC422" s="21">
        <f>T422*2</f>
        <v>0</v>
      </c>
      <c r="AD422" s="21"/>
      <c r="AE422" s="21"/>
      <c r="AF422" s="21"/>
      <c r="AG422" s="21"/>
      <c r="AH422" s="21"/>
      <c r="AI422" s="20">
        <f>Z422*2</f>
        <v>0</v>
      </c>
      <c r="AJ422" s="21">
        <f>(AQ422-IF(MID(E422,1,1)="1",트라이포드!$D$21,트라이포드!$C$21))*(1-입력란!$P$10/100)</f>
        <v>35.567196189119997</v>
      </c>
      <c r="AK4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2" s="21">
        <f>입력란!$P$24+IF(입력란!$C$18=1,10,IF(입력란!$C$18=2,25,IF(입력란!$C$18=3,50,0)))+IF(입력란!$C$23&lt;&gt;0,-12)</f>
        <v>200</v>
      </c>
      <c r="AM422" s="21">
        <f>SUM(AN422:AP422)</f>
        <v>516167.24686067627</v>
      </c>
      <c r="AN422" s="21">
        <f>(VLOOKUP(C422,$B$4:$AJ$7,25,FALSE)+VLOOKUP(C422,$B$8:$AJ$11,25,FALSE)*입력란!$P$4)*입력란!$P$25/100</f>
        <v>516167.24686067627</v>
      </c>
      <c r="AO422" s="21"/>
      <c r="AP422" s="21"/>
      <c r="AQ422" s="22">
        <v>36</v>
      </c>
    </row>
    <row r="423" spans="2:43" ht="13.5" customHeight="1" x14ac:dyDescent="0.55000000000000004">
      <c r="B423" s="66">
        <v>408</v>
      </c>
      <c r="C423" s="29">
        <v>4</v>
      </c>
      <c r="D423" s="67" t="s">
        <v>220</v>
      </c>
      <c r="E423" s="27" t="s">
        <v>185</v>
      </c>
      <c r="F423" s="29"/>
      <c r="G423" s="29"/>
      <c r="H423" s="37">
        <f>I423/AJ423</f>
        <v>69405.022815373683</v>
      </c>
      <c r="I423" s="37">
        <f>SUM(J423:Q423)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1988547.7729599338</v>
      </c>
      <c r="J423" s="21">
        <f>S423*(1+IF($AK423+IF(입력란!$C$10=1,0,IF(입력란!$C$9=1,10,0))+IF(입력란!$C$26=1,10,0)&gt;100,100,$AK423+IF(입력란!$C$10=1,0,IF(입력란!$C$9=1,10,0))+IF(입력란!$C$26=1,10,0))/100*(($AL423+IF(입력란!$C$30=1,IF(OR(입력란!$C$9=1,입력란!$C$10=1),55,17),IF(입력란!$C$30=2,IF(OR(입력란!$C$9=1,입력란!$C$10=1),60,20),IF(입력란!$C$30=3,IF(OR(입력란!$C$9=1,입력란!$C$10=1),65,22),0))))/100-1))</f>
        <v>1408220.2202109862</v>
      </c>
      <c r="K423" s="21">
        <f>T423*(1+IF($AK423+IF(입력란!$C$26=1,10,0)&gt;100,100,$AK423+IF(입력란!$C$26=1,10,0))/100*(($AL423+IF(입력란!$C$30=1,17,IF(입력란!$C$30=2,20,IF(입력란!$C$30=3,22,0))))/100-1))</f>
        <v>0</v>
      </c>
      <c r="L423" s="21"/>
      <c r="M423" s="21"/>
      <c r="N423" s="21"/>
      <c r="O423" s="21"/>
      <c r="P423" s="21"/>
      <c r="Q423" s="20">
        <f>Z423*(1+IF($AK423+IF(입력란!$C$26=1,10,0)&gt;100,100,$AK423+IF(입력란!$C$26=1,10,0))/100*(($AL423+IF(입력란!$C$30=1,17,IF(입력란!$C$30=2,20,IF(입력란!$C$30=3,22,0))))/100-1))</f>
        <v>0</v>
      </c>
      <c r="R423" s="19">
        <f>SUM(S423:Z423)</f>
        <v>868297.83871956379</v>
      </c>
      <c r="S423" s="21">
        <f>AN423*IF(MID(E423,1,1)="2",트라이포드!$E$21,1)*IF(MID(E423,3,1)="2",트라이포드!$L$21,트라이포드!$K$21)*IF(G423="무력화",1.5,1)*IF(MID(E423,3,1)="3",트라이포드!$N$21,트라이포드!$M$21)*IF(MID(E423,5,1)="1",트라이포드!$P$21,트라이포드!$O$21)*IF(MID(E423,5,1)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868297.83871956379</v>
      </c>
      <c r="T423" s="21">
        <f>AN423*IF(MID(E423,3,1)="1",트라이포드!$J$21,트라이포드!$I$21)*IF(MID(E423,5,1)="1",2,1)*(1+입력란!$P$17/100)*IF(입력란!$C$30=1,1.07,IF(입력란!$C$30=2,1.08,IF(입력란!$C$30=3,1.09,1)))</f>
        <v>0</v>
      </c>
      <c r="U423" s="21"/>
      <c r="V423" s="21"/>
      <c r="W423" s="21"/>
      <c r="X423" s="21"/>
      <c r="Y423" s="21"/>
      <c r="Z423" s="20">
        <f>AN423*IF(MID(E423,1,1)="2",트라이포드!$F$21,0)*IF(MID(E423,5,1)="1",2,1)*(1+입력란!$P$17/100)*IF(입력란!$C$30=1,1.07,IF(입력란!$C$30=2,1.08,IF(입력란!$C$30=3,1.09,1)))</f>
        <v>0</v>
      </c>
      <c r="AA423" s="21">
        <f>SUM(AB423:AI423)</f>
        <v>1736595.6774391276</v>
      </c>
      <c r="AB423" s="21">
        <f>S423*2</f>
        <v>1736595.6774391276</v>
      </c>
      <c r="AC423" s="21">
        <f>T423*2</f>
        <v>0</v>
      </c>
      <c r="AD423" s="21"/>
      <c r="AE423" s="21"/>
      <c r="AF423" s="21"/>
      <c r="AG423" s="21"/>
      <c r="AH423" s="21"/>
      <c r="AI423" s="20">
        <f>Z423*2</f>
        <v>0</v>
      </c>
      <c r="AJ423" s="21">
        <f>(AQ423-IF(MID(E423,1,1)="1",트라이포드!$D$21,트라이포드!$C$21))*(1-입력란!$P$10/100)</f>
        <v>28.65135248568</v>
      </c>
      <c r="AK4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3" s="21">
        <f>입력란!$P$24+IF(입력란!$C$18=1,10,IF(입력란!$C$18=2,25,IF(입력란!$C$18=3,50,0)))+IF(입력란!$C$23&lt;&gt;0,-12)</f>
        <v>200</v>
      </c>
      <c r="AM423" s="21">
        <f>SUM(AN423:AP423)</f>
        <v>516167.24686067627</v>
      </c>
      <c r="AN423" s="21">
        <f>(VLOOKUP(C423,$B$4:$AJ$7,25,FALSE)+VLOOKUP(C423,$B$8:$AJ$11,25,FALSE)*입력란!$P$4)*입력란!$P$25/100</f>
        <v>516167.24686067627</v>
      </c>
      <c r="AO423" s="21"/>
      <c r="AP423" s="21"/>
      <c r="AQ423" s="22">
        <v>36</v>
      </c>
    </row>
    <row r="424" spans="2:43" ht="13.5" customHeight="1" x14ac:dyDescent="0.55000000000000004">
      <c r="B424" s="66">
        <v>409</v>
      </c>
      <c r="C424" s="29">
        <v>4</v>
      </c>
      <c r="D424" s="67" t="s">
        <v>220</v>
      </c>
      <c r="E424" s="27" t="s">
        <v>202</v>
      </c>
      <c r="F424" s="29" t="s">
        <v>215</v>
      </c>
      <c r="G424" s="29"/>
      <c r="H424" s="37">
        <f>I424/AJ424</f>
        <v>65295.323080614668</v>
      </c>
      <c r="I424" s="37">
        <f>SUM(J424:Q424)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2322371.566240197</v>
      </c>
      <c r="J424" s="21">
        <f>S424*(1+IF($AK424+IF(입력란!$C$10=1,0,IF(입력란!$C$9=1,10,0))+IF(입력란!$C$26=1,10,0)&gt;100,100,$AK424+IF(입력란!$C$10=1,0,IF(입력란!$C$9=1,10,0))+IF(입력란!$C$26=1,10,0))/100*(($AL424+IF(입력란!$C$30=1,IF(OR(입력란!$C$9=1,입력란!$C$10=1),55,17),IF(입력란!$C$30=2,IF(OR(입력란!$C$9=1,입력란!$C$10=1),60,20),IF(입력란!$C$30=3,IF(OR(입력란!$C$9=1,입력란!$C$10=1),65,22),0))))/100-1))</f>
        <v>1619453.253242634</v>
      </c>
      <c r="K424" s="21">
        <f>T424*(1+IF($AK424+IF(입력란!$C$26=1,10,0)&gt;100,100,$AK424+IF(입력란!$C$26=1,10,0))/100*(($AL424+IF(입력란!$C$30=1,17,IF(입력란!$C$30=2,20,IF(입력란!$C$30=3,22,0))))/100-1))</f>
        <v>0</v>
      </c>
      <c r="L424" s="21"/>
      <c r="M424" s="21"/>
      <c r="N424" s="21"/>
      <c r="O424" s="21"/>
      <c r="P424" s="21"/>
      <c r="Q424" s="20">
        <f>Z424*(1+IF($AK424+IF(입력란!$C$26=1,10,0)&gt;100,100,$AK424+IF(입력란!$C$26=1,10,0))/100*(($AL424+IF(입력란!$C$30=1,17,IF(입력란!$C$30=2,20,IF(입력란!$C$30=3,22,0))))/100-1))</f>
        <v>25169.341644552951</v>
      </c>
      <c r="R424" s="19">
        <f>SUM(S424:Z424)</f>
        <v>1015081.5209792994</v>
      </c>
      <c r="S424" s="21">
        <f>AN424*IF(MID(E424,1,1)="2",트라이포드!$E$21,1)*IF(MID(E424,3,1)="2",트라이포드!$L$21,트라이포드!$K$21)*IF(G424="무력화",1.5,1)*IF(MID(E424,3,1)="3",트라이포드!$N$21,트라이포드!$M$21)*IF(MID(E424,5,1)="1",트라이포드!$P$21,트라이포드!$O$21)*IF(MID(E424,5,1)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998542.51452749828</v>
      </c>
      <c r="T424" s="21">
        <f>AN424*IF(MID(E424,3,1)="1",트라이포드!$J$21,트라이포드!$I$21)*IF(MID(E424,5,1)="1",2,1)*(1+입력란!$P$17/100)*IF(입력란!$C$30=1,1.07,IF(입력란!$C$30=2,1.08,IF(입력란!$C$30=3,1.09,1)))</f>
        <v>0</v>
      </c>
      <c r="U424" s="21"/>
      <c r="V424" s="21"/>
      <c r="W424" s="21"/>
      <c r="X424" s="21"/>
      <c r="Y424" s="21"/>
      <c r="Z424" s="20">
        <f>AN424*IF(MID(E424,1,1)="2",트라이포드!$F$21,0)*IF(MID(E424,5,1)="1",2,1)*(1+입력란!$P$17/100)*IF(입력란!$C$30=1,1.07,IF(입력란!$C$30=2,1.08,IF(입력란!$C$30=3,1.09,1)))</f>
        <v>16539.006451801215</v>
      </c>
      <c r="AA424" s="21">
        <f>SUM(AB424:AI424)</f>
        <v>2030163.0419585989</v>
      </c>
      <c r="AB424" s="21">
        <f>S424*2</f>
        <v>1997085.0290549966</v>
      </c>
      <c r="AC424" s="21">
        <f>T424*2</f>
        <v>0</v>
      </c>
      <c r="AD424" s="21"/>
      <c r="AE424" s="21"/>
      <c r="AF424" s="21"/>
      <c r="AG424" s="21"/>
      <c r="AH424" s="21"/>
      <c r="AI424" s="20">
        <f>Z424*2</f>
        <v>33078.01290360243</v>
      </c>
      <c r="AJ424" s="21">
        <f>(AQ424-IF(MID(E424,1,1)="1",트라이포드!$D$21,트라이포드!$C$21))*(1-입력란!$P$10/100)</f>
        <v>35.567196189119997</v>
      </c>
      <c r="AK4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4" s="21">
        <f>입력란!$P$24+IF(입력란!$C$18=1,10,IF(입력란!$C$18=2,25,IF(입력란!$C$18=3,50,0)))+IF(입력란!$C$23&lt;&gt;0,-12)</f>
        <v>200</v>
      </c>
      <c r="AM424" s="21">
        <f>SUM(AN424:AP424)</f>
        <v>516167.24686067627</v>
      </c>
      <c r="AN424" s="21">
        <f>(VLOOKUP(C424,$B$4:$AJ$7,25,FALSE)+VLOOKUP(C424,$B$8:$AJ$11,25,FALSE)*입력란!$P$4)*입력란!$P$25/100</f>
        <v>516167.24686067627</v>
      </c>
      <c r="AO424" s="21"/>
      <c r="AP424" s="21"/>
      <c r="AQ424" s="22">
        <v>36</v>
      </c>
    </row>
    <row r="425" spans="2:43" ht="13.5" customHeight="1" x14ac:dyDescent="0.55000000000000004">
      <c r="B425" s="66">
        <v>410</v>
      </c>
      <c r="C425" s="29">
        <v>7</v>
      </c>
      <c r="D425" s="67" t="s">
        <v>220</v>
      </c>
      <c r="E425" s="27" t="s">
        <v>184</v>
      </c>
      <c r="F425" s="29"/>
      <c r="G425" s="29"/>
      <c r="H425" s="37">
        <f>I425/AJ425</f>
        <v>55943.166275339274</v>
      </c>
      <c r="I425" s="37">
        <f>SUM(J425:Q425)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1989741.5703555534</v>
      </c>
      <c r="J425" s="21">
        <f>S425*(1+IF($AK425+IF(입력란!$C$10=1,0,IF(입력란!$C$9=1,10,0))+IF(입력란!$C$26=1,10,0)&gt;100,100,$AK425+IF(입력란!$C$10=1,0,IF(입력란!$C$9=1,10,0))+IF(입력란!$C$26=1,10,0))/100*(($AL425+IF(입력란!$C$30=1,IF(OR(입력란!$C$9=1,입력란!$C$10=1),55,17),IF(입력란!$C$30=2,IF(OR(입력란!$C$9=1,입력란!$C$10=1),60,20),IF(입력란!$C$30=3,IF(OR(입력란!$C$9=1,입력란!$C$10=1),65,22),0))))/100-1))</f>
        <v>1409065.6259156952</v>
      </c>
      <c r="K425" s="21">
        <f>T425*(1+IF($AK425+IF(입력란!$C$26=1,10,0)&gt;100,100,$AK425+IF(입력란!$C$26=1,10,0))/100*(($AL425+IF(입력란!$C$30=1,17,IF(입력란!$C$30=2,20,IF(입력란!$C$30=3,22,0))))/100-1))</f>
        <v>0</v>
      </c>
      <c r="L425" s="21"/>
      <c r="M425" s="21"/>
      <c r="N425" s="21"/>
      <c r="O425" s="21"/>
      <c r="P425" s="21"/>
      <c r="Q425" s="20">
        <f>Z425*(1+IF($AK425+IF(입력란!$C$26=1,10,0)&gt;100,100,$AK425+IF(입력란!$C$26=1,10,0))/100*(($AL425+IF(입력란!$C$30=1,17,IF(입력란!$C$30=2,20,IF(입력란!$C$30=3,22,0))))/100-1))</f>
        <v>0</v>
      </c>
      <c r="R425" s="19">
        <f>SUM(S425:Z425)</f>
        <v>868819.10942403495</v>
      </c>
      <c r="S425" s="21">
        <f>AN425*IF(MID(E425,1,1)="2",트라이포드!$E$21,1)*IF(MID(E425,3,1)="2",트라이포드!$L$21,트라이포드!$K$21)*IF(G425="무력화",1.5,1)*IF(MID(E425,3,1)="3",트라이포드!$N$21,트라이포드!$M$21)*IF(MID(E425,5,1)="1",트라이포드!$P$21,트라이포드!$O$21)*IF(MID(E425,5,1)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868819.10942403495</v>
      </c>
      <c r="T425" s="21">
        <f>AN425*IF(MID(E425,3,1)="1",트라이포드!$J$21,트라이포드!$I$21)*IF(MID(E425,5,1)="1",2,1)*(1+입력란!$P$17/100)*IF(입력란!$C$30=1,1.07,IF(입력란!$C$30=2,1.08,IF(입력란!$C$30=3,1.09,1)))</f>
        <v>0</v>
      </c>
      <c r="U425" s="21"/>
      <c r="V425" s="21"/>
      <c r="W425" s="21"/>
      <c r="X425" s="21"/>
      <c r="Y425" s="21"/>
      <c r="Z425" s="20">
        <f>AN425*IF(MID(E425,1,1)="2",트라이포드!$F$21,0)*IF(MID(E425,5,1)="1",2,1)*(1+입력란!$P$17/100)*IF(입력란!$C$30=1,1.07,IF(입력란!$C$30=2,1.08,IF(입력란!$C$30=3,1.09,1)))</f>
        <v>0</v>
      </c>
      <c r="AA425" s="21">
        <f>SUM(AB425:AI425)</f>
        <v>1737638.2188480699</v>
      </c>
      <c r="AB425" s="21">
        <f>S425*2</f>
        <v>1737638.2188480699</v>
      </c>
      <c r="AC425" s="21">
        <f>T425*2</f>
        <v>0</v>
      </c>
      <c r="AD425" s="21"/>
      <c r="AE425" s="21"/>
      <c r="AF425" s="21"/>
      <c r="AG425" s="21"/>
      <c r="AH425" s="21"/>
      <c r="AI425" s="20">
        <f>Z425*2</f>
        <v>0</v>
      </c>
      <c r="AJ425" s="21">
        <f>(AQ425-IF(MID(E425,1,1)="1",트라이포드!$D$21,트라이포드!$C$21))*(1-입력란!$P$10/100)</f>
        <v>35.567196189119997</v>
      </c>
      <c r="AK4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5" s="21">
        <f>입력란!$P$24+IF(입력란!$C$18=1,10,IF(입력란!$C$18=2,25,IF(입력란!$C$18=3,50,0)))+IF(입력란!$C$23&lt;&gt;0,-12)</f>
        <v>200</v>
      </c>
      <c r="AM425" s="21">
        <f>SUM(AN425:AP425)</f>
        <v>516477.12079148414</v>
      </c>
      <c r="AN425" s="21">
        <f>(VLOOKUP(C425,$B$4:$AJ$7,25,FALSE)+VLOOKUP(C425,$B$8:$AJ$11,25,FALSE)*입력란!$P$4)*입력란!$P$25/100</f>
        <v>516477.12079148414</v>
      </c>
      <c r="AO425" s="21"/>
      <c r="AP425" s="21"/>
      <c r="AQ425" s="22">
        <v>36</v>
      </c>
    </row>
    <row r="426" spans="2:43" ht="13.5" customHeight="1" x14ac:dyDescent="0.55000000000000004">
      <c r="B426" s="66">
        <v>411</v>
      </c>
      <c r="C426" s="29">
        <v>7</v>
      </c>
      <c r="D426" s="67" t="s">
        <v>220</v>
      </c>
      <c r="E426" s="27" t="s">
        <v>186</v>
      </c>
      <c r="F426" s="29"/>
      <c r="G426" s="29"/>
      <c r="H426" s="37">
        <f>I426/AJ426</f>
        <v>70941.381516678637</v>
      </c>
      <c r="I426" s="37">
        <f>SUM(J426:Q426)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2523186.0343309203</v>
      </c>
      <c r="J426" s="21">
        <f>S426*(1+IF($AK426+IF(입력란!$C$10=1,0,IF(입력란!$C$9=1,10,0))+IF(입력란!$C$26=1,10,0)&gt;100,100,$AK426+IF(입력란!$C$10=1,0,IF(입력란!$C$9=1,10,0))+IF(입력란!$C$26=1,10,0))/100*(($AL426+IF(입력란!$C$30=1,IF(OR(입력란!$C$9=1,입력란!$C$10=1),55,17),IF(입력란!$C$30=2,IF(OR(입력란!$C$9=1,입력란!$C$10=1),60,20),IF(입력란!$C$30=3,IF(OR(입력란!$C$9=1,입력란!$C$10=1),65,22),0))))/100-1))</f>
        <v>1409065.6259156952</v>
      </c>
      <c r="K426" s="21">
        <f>T426*(1+IF($AK426+IF(입력란!$C$26=1,10,0)&gt;100,100,$AK426+IF(입력란!$C$26=1,10,0))/100*(($AL426+IF(입력란!$C$30=1,17,IF(입력란!$C$30=2,20,IF(입력란!$C$30=3,22,0))))/100-1))</f>
        <v>377766.77570665476</v>
      </c>
      <c r="L426" s="21"/>
      <c r="M426" s="21"/>
      <c r="N426" s="21"/>
      <c r="O426" s="21"/>
      <c r="P426" s="21"/>
      <c r="Q426" s="20">
        <f>Z426*(1+IF($AK426+IF(입력란!$C$26=1,10,0)&gt;100,100,$AK426+IF(입력란!$C$26=1,10,0))/100*(($AL426+IF(입력란!$C$30=1,17,IF(입력란!$C$30=2,20,IF(입력란!$C$30=3,22,0))))/100-1))</f>
        <v>0</v>
      </c>
      <c r="R426" s="19">
        <f>SUM(S426:Z426)</f>
        <v>1117053.140688045</v>
      </c>
      <c r="S426" s="21">
        <f>AN426*IF(MID(E426,1,1)="2",트라이포드!$E$21,1)*IF(MID(E426,3,1)="2",트라이포드!$L$21,트라이포드!$K$21)*IF(G426="무력화",1.5,1)*IF(MID(E426,3,1)="3",트라이포드!$N$21,트라이포드!$M$21)*IF(MID(E426,5,1)="1",트라이포드!$P$21,트라이포드!$O$21)*IF(MID(E426,5,1)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868819.10942403495</v>
      </c>
      <c r="T426" s="21">
        <f>AN426*IF(MID(E426,3,1)="1",트라이포드!$J$21,트라이포드!$I$21)*IF(MID(E426,5,1)="1",2,1)*(1+입력란!$P$17/100)*IF(입력란!$C$30=1,1.07,IF(입력란!$C$30=2,1.08,IF(입력란!$C$30=3,1.09,1)))</f>
        <v>248234.03126400997</v>
      </c>
      <c r="U426" s="21"/>
      <c r="V426" s="21"/>
      <c r="W426" s="21"/>
      <c r="X426" s="21"/>
      <c r="Y426" s="21"/>
      <c r="Z426" s="20">
        <f>AN426*IF(MID(E426,1,1)="2",트라이포드!$F$21,0)*IF(MID(E426,5,1)="1",2,1)*(1+입력란!$P$17/100)*IF(입력란!$C$30=1,1.07,IF(입력란!$C$30=2,1.08,IF(입력란!$C$30=3,1.09,1)))</f>
        <v>0</v>
      </c>
      <c r="AA426" s="21">
        <f>SUM(AB426:AI426)</f>
        <v>2234106.2813760899</v>
      </c>
      <c r="AB426" s="21">
        <f>S426*2</f>
        <v>1737638.2188480699</v>
      </c>
      <c r="AC426" s="21">
        <f>T426*2</f>
        <v>496468.06252801995</v>
      </c>
      <c r="AD426" s="21"/>
      <c r="AE426" s="21"/>
      <c r="AF426" s="21"/>
      <c r="AG426" s="21"/>
      <c r="AH426" s="21"/>
      <c r="AI426" s="20">
        <f>Z426*2</f>
        <v>0</v>
      </c>
      <c r="AJ426" s="21">
        <f>(AQ426-IF(MID(E426,1,1)="1",트라이포드!$D$21,트라이포드!$C$21))*(1-입력란!$P$10/100)</f>
        <v>35.567196189119997</v>
      </c>
      <c r="AK4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6" s="21">
        <f>입력란!$P$24+IF(입력란!$C$18=1,10,IF(입력란!$C$18=2,25,IF(입력란!$C$18=3,50,0)))+IF(입력란!$C$23&lt;&gt;0,-12)</f>
        <v>200</v>
      </c>
      <c r="AM426" s="21">
        <f>SUM(AN426:AP426)</f>
        <v>516477.12079148414</v>
      </c>
      <c r="AN426" s="21">
        <f>(VLOOKUP(C426,$B$4:$AJ$7,25,FALSE)+VLOOKUP(C426,$B$8:$AJ$11,25,FALSE)*입력란!$P$4)*입력란!$P$25/100</f>
        <v>516477.12079148414</v>
      </c>
      <c r="AO426" s="21"/>
      <c r="AP426" s="21"/>
      <c r="AQ426" s="22">
        <v>36</v>
      </c>
    </row>
    <row r="427" spans="2:43" ht="13.5" customHeight="1" x14ac:dyDescent="0.55000000000000004">
      <c r="B427" s="66">
        <v>412</v>
      </c>
      <c r="C427" s="29">
        <v>7</v>
      </c>
      <c r="D427" s="67" t="s">
        <v>220</v>
      </c>
      <c r="E427" s="27" t="s">
        <v>212</v>
      </c>
      <c r="F427" s="29"/>
      <c r="G427" s="29"/>
      <c r="H427" s="37">
        <f>I427/AJ427</f>
        <v>69928.957844174089</v>
      </c>
      <c r="I427" s="37">
        <f>SUM(J427:Q427)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2487176.9629444415</v>
      </c>
      <c r="J427" s="21">
        <f>S427*(1+IF($AK427+IF(입력란!$C$10=1,0,IF(입력란!$C$9=1,10,0))+IF(입력란!$C$26=1,10,0)&gt;100,100,$AK427+IF(입력란!$C$10=1,0,IF(입력란!$C$9=1,10,0))+IF(입력란!$C$26=1,10,0))/100*(($AL427+IF(입력란!$C$30=1,IF(OR(입력란!$C$9=1,입력란!$C$10=1),55,17),IF(입력란!$C$30=2,IF(OR(입력란!$C$9=1,입력란!$C$10=1),60,20),IF(입력란!$C$30=3,IF(OR(입력란!$C$9=1,입력란!$C$10=1),65,22),0))))/100-1))</f>
        <v>1761332.0323946187</v>
      </c>
      <c r="K427" s="21">
        <f>T427*(1+IF($AK427+IF(입력란!$C$26=1,10,0)&gt;100,100,$AK427+IF(입력란!$C$26=1,10,0))/100*(($AL427+IF(입력란!$C$30=1,17,IF(입력란!$C$30=2,20,IF(입력란!$C$30=3,22,0))))/100-1))</f>
        <v>0</v>
      </c>
      <c r="L427" s="21"/>
      <c r="M427" s="21"/>
      <c r="N427" s="21"/>
      <c r="O427" s="21"/>
      <c r="P427" s="21"/>
      <c r="Q427" s="20">
        <f>Z427*(1+IF($AK427+IF(입력란!$C$26=1,10,0)&gt;100,100,$AK427+IF(입력란!$C$26=1,10,0))/100*(($AL427+IF(입력란!$C$30=1,17,IF(입력란!$C$30=2,20,IF(입력란!$C$30=3,22,0))))/100-1))</f>
        <v>0</v>
      </c>
      <c r="R427" s="19">
        <f>SUM(S427:Z427)</f>
        <v>1086023.8867800436</v>
      </c>
      <c r="S427" s="21">
        <f>AN427*IF(MID(E427,1,1)="2",트라이포드!$E$21,1)*IF(MID(E427,3,1)="2",트라이포드!$L$21,트라이포드!$K$21)*IF(G427="무력화",1.5,1)*IF(MID(E427,3,1)="3",트라이포드!$N$21,트라이포드!$M$21)*IF(MID(E427,5,1)="1",트라이포드!$P$21,트라이포드!$O$21)*IF(MID(E427,5,1)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1086023.8867800436</v>
      </c>
      <c r="T427" s="21">
        <f>AN427*IF(MID(E427,3,1)="1",트라이포드!$J$21,트라이포드!$I$21)*IF(MID(E427,5,1)="1",2,1)*(1+입력란!$P$17/100)*IF(입력란!$C$30=1,1.07,IF(입력란!$C$30=2,1.08,IF(입력란!$C$30=3,1.09,1)))</f>
        <v>0</v>
      </c>
      <c r="U427" s="21"/>
      <c r="V427" s="21"/>
      <c r="W427" s="21"/>
      <c r="X427" s="21"/>
      <c r="Y427" s="21"/>
      <c r="Z427" s="20">
        <f>AN427*IF(MID(E427,1,1)="2",트라이포드!$F$21,0)*IF(MID(E427,5,1)="1",2,1)*(1+입력란!$P$17/100)*IF(입력란!$C$30=1,1.07,IF(입력란!$C$30=2,1.08,IF(입력란!$C$30=3,1.09,1)))</f>
        <v>0</v>
      </c>
      <c r="AA427" s="21">
        <f>SUM(AB427:AI427)</f>
        <v>2172047.7735600872</v>
      </c>
      <c r="AB427" s="21">
        <f>S427*2</f>
        <v>2172047.7735600872</v>
      </c>
      <c r="AC427" s="21">
        <f>T427*2</f>
        <v>0</v>
      </c>
      <c r="AD427" s="21"/>
      <c r="AE427" s="21"/>
      <c r="AF427" s="21"/>
      <c r="AG427" s="21"/>
      <c r="AH427" s="21"/>
      <c r="AI427" s="20">
        <f>Z427*2</f>
        <v>0</v>
      </c>
      <c r="AJ427" s="21">
        <f>(AQ427-IF(MID(E427,1,1)="1",트라이포드!$D$21,트라이포드!$C$21))*(1-입력란!$P$10/100)</f>
        <v>35.567196189119997</v>
      </c>
      <c r="AK4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7" s="21">
        <f>입력란!$P$24+IF(입력란!$C$18=1,10,IF(입력란!$C$18=2,25,IF(입력란!$C$18=3,50,0)))+IF(입력란!$C$23&lt;&gt;0,-12)</f>
        <v>200</v>
      </c>
      <c r="AM427" s="21">
        <f>SUM(AN427:AP427)</f>
        <v>516477.12079148414</v>
      </c>
      <c r="AN427" s="21">
        <f>(VLOOKUP(C427,$B$4:$AJ$7,25,FALSE)+VLOOKUP(C427,$B$8:$AJ$11,25,FALSE)*입력란!$P$4)*입력란!$P$25/100</f>
        <v>516477.12079148414</v>
      </c>
      <c r="AO427" s="21"/>
      <c r="AP427" s="21"/>
      <c r="AQ427" s="22">
        <v>36</v>
      </c>
    </row>
    <row r="428" spans="2:43" ht="13.5" customHeight="1" x14ac:dyDescent="0.55000000000000004">
      <c r="B428" s="66">
        <v>413</v>
      </c>
      <c r="C428" s="29">
        <v>7</v>
      </c>
      <c r="D428" s="67" t="s">
        <v>50</v>
      </c>
      <c r="E428" s="27" t="s">
        <v>78</v>
      </c>
      <c r="F428" s="29"/>
      <c r="G428" s="29"/>
      <c r="H428" s="37">
        <f>I428/AJ428</f>
        <v>69928.957844174089</v>
      </c>
      <c r="I428" s="37">
        <f>SUM(J428:Q428)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2487176.9629444415</v>
      </c>
      <c r="J428" s="21">
        <f>S428*(1+IF($AK428+IF(입력란!$C$10=1,0,IF(입력란!$C$9=1,10,0))+IF(입력란!$C$26=1,10,0)&gt;100,100,$AK428+IF(입력란!$C$10=1,0,IF(입력란!$C$9=1,10,0))+IF(입력란!$C$26=1,10,0))/100*(($AL428+IF(입력란!$C$30=1,IF(OR(입력란!$C$9=1,입력란!$C$10=1),55,17),IF(입력란!$C$30=2,IF(OR(입력란!$C$9=1,입력란!$C$10=1),60,20),IF(입력란!$C$30=3,IF(OR(입력란!$C$9=1,입력란!$C$10=1),65,22),0))))/100-1))</f>
        <v>1761332.0323946187</v>
      </c>
      <c r="K428" s="21">
        <f>T428*(1+IF($AK428+IF(입력란!$C$26=1,10,0)&gt;100,100,$AK428+IF(입력란!$C$26=1,10,0))/100*(($AL428+IF(입력란!$C$30=1,17,IF(입력란!$C$30=2,20,IF(입력란!$C$30=3,22,0))))/100-1))</f>
        <v>0</v>
      </c>
      <c r="L428" s="21"/>
      <c r="M428" s="21"/>
      <c r="N428" s="21"/>
      <c r="O428" s="21"/>
      <c r="P428" s="21"/>
      <c r="Q428" s="20">
        <f>Z428*(1+IF($AK428+IF(입력란!$C$26=1,10,0)&gt;100,100,$AK428+IF(입력란!$C$26=1,10,0))/100*(($AL428+IF(입력란!$C$30=1,17,IF(입력란!$C$30=2,20,IF(입력란!$C$30=3,22,0))))/100-1))</f>
        <v>0</v>
      </c>
      <c r="R428" s="19">
        <f>SUM(S428:Z428)</f>
        <v>1086023.8867800436</v>
      </c>
      <c r="S428" s="21">
        <f>AN428*IF(MID(E428,1,1)="2",트라이포드!$E$21,1)*IF(MID(E428,3,1)="2",트라이포드!$L$21,트라이포드!$K$21)*IF(G428="무력화",1.5,1)*IF(MID(E428,3,1)="3",트라이포드!$N$21,트라이포드!$M$21)*IF(MID(E428,5,1)="1",트라이포드!$P$21,트라이포드!$O$21)*IF(MID(E428,5,1)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1086023.8867800436</v>
      </c>
      <c r="T428" s="21">
        <f>AN428*IF(MID(E428,3,1)="1",트라이포드!$J$21,트라이포드!$I$21)*IF(MID(E428,5,1)="1",2,1)*(1+입력란!$P$17/100)*IF(입력란!$C$30=1,1.07,IF(입력란!$C$30=2,1.08,IF(입력란!$C$30=3,1.09,1)))</f>
        <v>0</v>
      </c>
      <c r="U428" s="21"/>
      <c r="V428" s="21"/>
      <c r="W428" s="21"/>
      <c r="X428" s="21"/>
      <c r="Y428" s="21"/>
      <c r="Z428" s="20">
        <f>AN428*IF(MID(E428,1,1)="2",트라이포드!$F$21,0)*IF(MID(E428,5,1)="1",2,1)*(1+입력란!$P$17/100)*IF(입력란!$C$30=1,1.07,IF(입력란!$C$30=2,1.08,IF(입력란!$C$30=3,1.09,1)))</f>
        <v>0</v>
      </c>
      <c r="AA428" s="21">
        <f>SUM(AB428:AI428)</f>
        <v>2172047.7735600872</v>
      </c>
      <c r="AB428" s="21">
        <f>S428*2</f>
        <v>2172047.7735600872</v>
      </c>
      <c r="AC428" s="21">
        <f>T428*2</f>
        <v>0</v>
      </c>
      <c r="AD428" s="21"/>
      <c r="AE428" s="21"/>
      <c r="AF428" s="21"/>
      <c r="AG428" s="21"/>
      <c r="AH428" s="21"/>
      <c r="AI428" s="20">
        <f>Z428*2</f>
        <v>0</v>
      </c>
      <c r="AJ428" s="21">
        <f>(AQ428-IF(MID(E428,1,1)="1",트라이포드!$D$21,트라이포드!$C$21))*(1-입력란!$P$10/100)</f>
        <v>35.567196189119997</v>
      </c>
      <c r="AK4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8" s="21">
        <f>입력란!$P$24+IF(입력란!$C$18=1,10,IF(입력란!$C$18=2,25,IF(입력란!$C$18=3,50,0)))+IF(입력란!$C$23&lt;&gt;0,-12)</f>
        <v>200</v>
      </c>
      <c r="AM428" s="21">
        <f>SUM(AN428:AP428)</f>
        <v>516477.12079148414</v>
      </c>
      <c r="AN428" s="21">
        <f>(VLOOKUP(C428,$B$4:$AJ$7,25,FALSE)+VLOOKUP(C428,$B$8:$AJ$11,25,FALSE)*입력란!$P$4)*입력란!$P$25/100</f>
        <v>516477.12079148414</v>
      </c>
      <c r="AO428" s="21"/>
      <c r="AP428" s="21"/>
      <c r="AQ428" s="22">
        <v>36</v>
      </c>
    </row>
    <row r="429" spans="2:43" ht="13.5" customHeight="1" x14ac:dyDescent="0.55000000000000004">
      <c r="B429" s="66">
        <v>414</v>
      </c>
      <c r="C429" s="29">
        <v>7</v>
      </c>
      <c r="D429" s="67" t="s">
        <v>220</v>
      </c>
      <c r="E429" s="27" t="s">
        <v>209</v>
      </c>
      <c r="F429" s="29"/>
      <c r="G429" s="29" t="s">
        <v>402</v>
      </c>
      <c r="H429" s="37">
        <f>I429/AJ429</f>
        <v>69928.957844174089</v>
      </c>
      <c r="I429" s="37">
        <f>SUM(J429:Q429)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2487176.9629444415</v>
      </c>
      <c r="J429" s="21">
        <f>S429*(1+IF($AK429+IF(입력란!$C$10=1,0,IF(입력란!$C$9=1,10,0))+IF(입력란!$C$26=1,10,0)&gt;100,100,$AK429+IF(입력란!$C$10=1,0,IF(입력란!$C$9=1,10,0))+IF(입력란!$C$26=1,10,0))/100*(($AL429+IF(입력란!$C$30=1,IF(OR(입력란!$C$9=1,입력란!$C$10=1),55,17),IF(입력란!$C$30=2,IF(OR(입력란!$C$9=1,입력란!$C$10=1),60,20),IF(입력란!$C$30=3,IF(OR(입력란!$C$9=1,입력란!$C$10=1),65,22),0))))/100-1))</f>
        <v>1761332.0323946187</v>
      </c>
      <c r="K429" s="21">
        <f>T429*(1+IF($AK429+IF(입력란!$C$26=1,10,0)&gt;100,100,$AK429+IF(입력란!$C$26=1,10,0))/100*(($AL429+IF(입력란!$C$30=1,17,IF(입력란!$C$30=2,20,IF(입력란!$C$30=3,22,0))))/100-1))</f>
        <v>0</v>
      </c>
      <c r="L429" s="21"/>
      <c r="M429" s="21"/>
      <c r="N429" s="21"/>
      <c r="O429" s="21"/>
      <c r="P429" s="21"/>
      <c r="Q429" s="20">
        <f>Z429*(1+IF($AK429+IF(입력란!$C$26=1,10,0)&gt;100,100,$AK429+IF(입력란!$C$26=1,10,0))/100*(($AL429+IF(입력란!$C$30=1,17,IF(입력란!$C$30=2,20,IF(입력란!$C$30=3,22,0))))/100-1))</f>
        <v>0</v>
      </c>
      <c r="R429" s="19">
        <f>SUM(S429:Z429)</f>
        <v>1086023.8867800436</v>
      </c>
      <c r="S429" s="21">
        <f>AN429*IF(MID(E429,1,1)="2",트라이포드!$E$21,1)*IF(MID(E429,3,1)="2",트라이포드!$L$21,트라이포드!$K$21)*IF(G429="무력화",1.5,1)*IF(MID(E429,3,1)="3",트라이포드!$N$21,트라이포드!$M$21)*IF(MID(E429,5,1)="1",트라이포드!$P$21,트라이포드!$O$21)*IF(MID(E429,5,1)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1086023.8867800436</v>
      </c>
      <c r="T429" s="21">
        <f>AN429*IF(MID(E429,3,1)="1",트라이포드!$J$21,트라이포드!$I$21)*IF(MID(E429,5,1)="1",2,1)*(1+입력란!$P$17/100)*IF(입력란!$C$30=1,1.07,IF(입력란!$C$30=2,1.08,IF(입력란!$C$30=3,1.09,1)))</f>
        <v>0</v>
      </c>
      <c r="U429" s="21"/>
      <c r="V429" s="21"/>
      <c r="W429" s="21"/>
      <c r="X429" s="21"/>
      <c r="Y429" s="21"/>
      <c r="Z429" s="20">
        <f>AN429*IF(MID(E429,1,1)="2",트라이포드!$F$21,0)*IF(MID(E429,5,1)="1",2,1)*(1+입력란!$P$17/100)*IF(입력란!$C$30=1,1.07,IF(입력란!$C$30=2,1.08,IF(입력란!$C$30=3,1.09,1)))</f>
        <v>0</v>
      </c>
      <c r="AA429" s="21">
        <f>SUM(AB429:AI429)</f>
        <v>2172047.7735600872</v>
      </c>
      <c r="AB429" s="21">
        <f>S429*2</f>
        <v>2172047.7735600872</v>
      </c>
      <c r="AC429" s="21">
        <f>T429*2</f>
        <v>0</v>
      </c>
      <c r="AD429" s="21"/>
      <c r="AE429" s="21"/>
      <c r="AF429" s="21"/>
      <c r="AG429" s="21"/>
      <c r="AH429" s="21"/>
      <c r="AI429" s="20">
        <f>Z429*2</f>
        <v>0</v>
      </c>
      <c r="AJ429" s="21">
        <f>(AQ429-IF(MID(E429,1,1)="1",트라이포드!$D$21,트라이포드!$C$21))*(1-입력란!$P$10/100)</f>
        <v>35.567196189119997</v>
      </c>
      <c r="AK4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29" s="21">
        <f>입력란!$P$24+IF(입력란!$C$18=1,10,IF(입력란!$C$18=2,25,IF(입력란!$C$18=3,50,0)))+IF(입력란!$C$23&lt;&gt;0,-12)</f>
        <v>200</v>
      </c>
      <c r="AM429" s="21">
        <f>SUM(AN429:AP429)</f>
        <v>516477.12079148414</v>
      </c>
      <c r="AN429" s="21">
        <f>(VLOOKUP(C429,$B$4:$AJ$7,25,FALSE)+VLOOKUP(C429,$B$8:$AJ$11,25,FALSE)*입력란!$P$4)*입력란!$P$25/100</f>
        <v>516477.12079148414</v>
      </c>
      <c r="AO429" s="21"/>
      <c r="AP429" s="21"/>
      <c r="AQ429" s="22">
        <v>36</v>
      </c>
    </row>
    <row r="430" spans="2:43" ht="13.5" customHeight="1" x14ac:dyDescent="0.55000000000000004">
      <c r="B430" s="66">
        <v>415</v>
      </c>
      <c r="C430" s="29">
        <v>7</v>
      </c>
      <c r="D430" s="67" t="s">
        <v>220</v>
      </c>
      <c r="E430" s="27" t="s">
        <v>188</v>
      </c>
      <c r="F430" s="29"/>
      <c r="G430" s="29"/>
      <c r="H430" s="37">
        <f>I430/AJ430</f>
        <v>88065.163262083821</v>
      </c>
      <c r="I430" s="37">
        <f>SUM(J430:Q430)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2523186.0343309203</v>
      </c>
      <c r="J430" s="21">
        <f>S430*(1+IF($AK430+IF(입력란!$C$10=1,0,IF(입력란!$C$9=1,10,0))+IF(입력란!$C$26=1,10,0)&gt;100,100,$AK430+IF(입력란!$C$10=1,0,IF(입력란!$C$9=1,10,0))+IF(입력란!$C$26=1,10,0))/100*(($AL430+IF(입력란!$C$30=1,IF(OR(입력란!$C$9=1,입력란!$C$10=1),55,17),IF(입력란!$C$30=2,IF(OR(입력란!$C$9=1,입력란!$C$10=1),60,20),IF(입력란!$C$30=3,IF(OR(입력란!$C$9=1,입력란!$C$10=1),65,22),0))))/100-1))</f>
        <v>1409065.6259156952</v>
      </c>
      <c r="K430" s="21">
        <f>T430*(1+IF($AK430+IF(입력란!$C$26=1,10,0)&gt;100,100,$AK430+IF(입력란!$C$26=1,10,0))/100*(($AL430+IF(입력란!$C$30=1,17,IF(입력란!$C$30=2,20,IF(입력란!$C$30=3,22,0))))/100-1))</f>
        <v>377766.77570665476</v>
      </c>
      <c r="L430" s="21"/>
      <c r="M430" s="21"/>
      <c r="N430" s="21"/>
      <c r="O430" s="21"/>
      <c r="P430" s="21"/>
      <c r="Q430" s="20">
        <f>Z430*(1+IF($AK430+IF(입력란!$C$26=1,10,0)&gt;100,100,$AK430+IF(입력란!$C$26=1,10,0))/100*(($AL430+IF(입력란!$C$30=1,17,IF(입력란!$C$30=2,20,IF(입력란!$C$30=3,22,0))))/100-1))</f>
        <v>0</v>
      </c>
      <c r="R430" s="19">
        <f>SUM(S430:Z430)</f>
        <v>1117053.140688045</v>
      </c>
      <c r="S430" s="21">
        <f>AN430*IF(MID(E430,1,1)="2",트라이포드!$E$21,1)*IF(MID(E430,3,1)="2",트라이포드!$L$21,트라이포드!$K$21)*IF(G430="무력화",1.5,1)*IF(MID(E430,3,1)="3",트라이포드!$N$21,트라이포드!$M$21)*IF(MID(E430,5,1)="1",트라이포드!$P$21,트라이포드!$O$21)*IF(MID(E430,5,1)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868819.10942403495</v>
      </c>
      <c r="T430" s="21">
        <f>AN430*IF(MID(E430,3,1)="1",트라이포드!$J$21,트라이포드!$I$21)*IF(MID(E430,5,1)="1",2,1)*(1+입력란!$P$17/100)*IF(입력란!$C$30=1,1.07,IF(입력란!$C$30=2,1.08,IF(입력란!$C$30=3,1.09,1)))</f>
        <v>248234.03126400997</v>
      </c>
      <c r="U430" s="21"/>
      <c r="V430" s="21"/>
      <c r="W430" s="21"/>
      <c r="X430" s="21"/>
      <c r="Y430" s="21"/>
      <c r="Z430" s="20">
        <f>AN430*IF(MID(E430,1,1)="2",트라이포드!$F$21,0)*IF(MID(E430,5,1)="1",2,1)*(1+입력란!$P$17/100)*IF(입력란!$C$30=1,1.07,IF(입력란!$C$30=2,1.08,IF(입력란!$C$30=3,1.09,1)))</f>
        <v>0</v>
      </c>
      <c r="AA430" s="21">
        <f>SUM(AB430:AI430)</f>
        <v>2234106.2813760899</v>
      </c>
      <c r="AB430" s="21">
        <f>S430*2</f>
        <v>1737638.2188480699</v>
      </c>
      <c r="AC430" s="21">
        <f>T430*2</f>
        <v>496468.06252801995</v>
      </c>
      <c r="AD430" s="21"/>
      <c r="AE430" s="21"/>
      <c r="AF430" s="21"/>
      <c r="AG430" s="21"/>
      <c r="AH430" s="21"/>
      <c r="AI430" s="20">
        <f>Z430*2</f>
        <v>0</v>
      </c>
      <c r="AJ430" s="21">
        <f>(AQ430-IF(MID(E430,1,1)="1",트라이포드!$D$21,트라이포드!$C$21))*(1-입력란!$P$10/100)</f>
        <v>28.65135248568</v>
      </c>
      <c r="AK4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0" s="21">
        <f>입력란!$P$24+IF(입력란!$C$18=1,10,IF(입력란!$C$18=2,25,IF(입력란!$C$18=3,50,0)))+IF(입력란!$C$23&lt;&gt;0,-12)</f>
        <v>200</v>
      </c>
      <c r="AM430" s="21">
        <f>SUM(AN430:AP430)</f>
        <v>516477.12079148414</v>
      </c>
      <c r="AN430" s="21">
        <f>(VLOOKUP(C430,$B$4:$AJ$7,25,FALSE)+VLOOKUP(C430,$B$8:$AJ$11,25,FALSE)*입력란!$P$4)*입력란!$P$25/100</f>
        <v>516477.12079148414</v>
      </c>
      <c r="AO430" s="21"/>
      <c r="AP430" s="21"/>
      <c r="AQ430" s="22">
        <v>36</v>
      </c>
    </row>
    <row r="431" spans="2:43" ht="13.5" customHeight="1" x14ac:dyDescent="0.55000000000000004">
      <c r="B431" s="66">
        <v>416</v>
      </c>
      <c r="C431" s="29">
        <v>7</v>
      </c>
      <c r="D431" s="67" t="s">
        <v>220</v>
      </c>
      <c r="E431" s="27" t="s">
        <v>203</v>
      </c>
      <c r="F431" s="29"/>
      <c r="G431" s="29"/>
      <c r="H431" s="37">
        <f>I431/AJ431</f>
        <v>86808.361461733337</v>
      </c>
      <c r="I431" s="37">
        <f>SUM(J431:Q431)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2487176.9629444415</v>
      </c>
      <c r="J431" s="21">
        <f>S431*(1+IF($AK431+IF(입력란!$C$10=1,0,IF(입력란!$C$9=1,10,0))+IF(입력란!$C$26=1,10,0)&gt;100,100,$AK431+IF(입력란!$C$10=1,0,IF(입력란!$C$9=1,10,0))+IF(입력란!$C$26=1,10,0))/100*(($AL431+IF(입력란!$C$30=1,IF(OR(입력란!$C$9=1,입력란!$C$10=1),55,17),IF(입력란!$C$30=2,IF(OR(입력란!$C$9=1,입력란!$C$10=1),60,20),IF(입력란!$C$30=3,IF(OR(입력란!$C$9=1,입력란!$C$10=1),65,22),0))))/100-1))</f>
        <v>1761332.0323946187</v>
      </c>
      <c r="K431" s="21">
        <f>T431*(1+IF($AK431+IF(입력란!$C$26=1,10,0)&gt;100,100,$AK431+IF(입력란!$C$26=1,10,0))/100*(($AL431+IF(입력란!$C$30=1,17,IF(입력란!$C$30=2,20,IF(입력란!$C$30=3,22,0))))/100-1))</f>
        <v>0</v>
      </c>
      <c r="L431" s="21"/>
      <c r="M431" s="21"/>
      <c r="N431" s="21"/>
      <c r="O431" s="21"/>
      <c r="P431" s="21"/>
      <c r="Q431" s="20">
        <f>Z431*(1+IF($AK431+IF(입력란!$C$26=1,10,0)&gt;100,100,$AK431+IF(입력란!$C$26=1,10,0))/100*(($AL431+IF(입력란!$C$30=1,17,IF(입력란!$C$30=2,20,IF(입력란!$C$30=3,22,0))))/100-1))</f>
        <v>0</v>
      </c>
      <c r="R431" s="19">
        <f>SUM(S431:Z431)</f>
        <v>1086023.8867800436</v>
      </c>
      <c r="S431" s="21">
        <f>AN431*IF(MID(E431,1,1)="2",트라이포드!$E$21,1)*IF(MID(E431,3,1)="2",트라이포드!$L$21,트라이포드!$K$21)*IF(G431="무력화",1.5,1)*IF(MID(E431,3,1)="3",트라이포드!$N$21,트라이포드!$M$21)*IF(MID(E431,5,1)="1",트라이포드!$P$21,트라이포드!$O$21)*IF(MID(E431,5,1)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1086023.8867800436</v>
      </c>
      <c r="T431" s="21">
        <f>AN431*IF(MID(E431,3,1)="1",트라이포드!$J$21,트라이포드!$I$21)*IF(MID(E431,5,1)="1",2,1)*(1+입력란!$P$17/100)*IF(입력란!$C$30=1,1.07,IF(입력란!$C$30=2,1.08,IF(입력란!$C$30=3,1.09,1)))</f>
        <v>0</v>
      </c>
      <c r="U431" s="21"/>
      <c r="V431" s="21"/>
      <c r="W431" s="21"/>
      <c r="X431" s="21"/>
      <c r="Y431" s="21"/>
      <c r="Z431" s="20">
        <f>AN431*IF(MID(E431,1,1)="2",트라이포드!$F$21,0)*IF(MID(E431,5,1)="1",2,1)*(1+입력란!$P$17/100)*IF(입력란!$C$30=1,1.07,IF(입력란!$C$30=2,1.08,IF(입력란!$C$30=3,1.09,1)))</f>
        <v>0</v>
      </c>
      <c r="AA431" s="21">
        <f>SUM(AB431:AI431)</f>
        <v>2172047.7735600872</v>
      </c>
      <c r="AB431" s="21">
        <f>S431*2</f>
        <v>2172047.7735600872</v>
      </c>
      <c r="AC431" s="21">
        <f>T431*2</f>
        <v>0</v>
      </c>
      <c r="AD431" s="21"/>
      <c r="AE431" s="21"/>
      <c r="AF431" s="21"/>
      <c r="AG431" s="21"/>
      <c r="AH431" s="21"/>
      <c r="AI431" s="20">
        <f>Z431*2</f>
        <v>0</v>
      </c>
      <c r="AJ431" s="21">
        <f>(AQ431-IF(MID(E431,1,1)="1",트라이포드!$D$21,트라이포드!$C$21))*(1-입력란!$P$10/100)</f>
        <v>28.65135248568</v>
      </c>
      <c r="AK4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1" s="21">
        <f>입력란!$P$24+IF(입력란!$C$18=1,10,IF(입력란!$C$18=2,25,IF(입력란!$C$18=3,50,0)))+IF(입력란!$C$23&lt;&gt;0,-12)</f>
        <v>200</v>
      </c>
      <c r="AM431" s="21">
        <f>SUM(AN431:AP431)</f>
        <v>516477.12079148414</v>
      </c>
      <c r="AN431" s="21">
        <f>(VLOOKUP(C431,$B$4:$AJ$7,25,FALSE)+VLOOKUP(C431,$B$8:$AJ$11,25,FALSE)*입력란!$P$4)*입력란!$P$25/100</f>
        <v>516477.12079148414</v>
      </c>
      <c r="AO431" s="21"/>
      <c r="AP431" s="21"/>
      <c r="AQ431" s="22">
        <v>36</v>
      </c>
    </row>
    <row r="432" spans="2:43" ht="13.5" customHeight="1" x14ac:dyDescent="0.55000000000000004">
      <c r="B432" s="66">
        <v>417</v>
      </c>
      <c r="C432" s="29">
        <v>7</v>
      </c>
      <c r="D432" s="67" t="s">
        <v>50</v>
      </c>
      <c r="E432" s="27" t="s">
        <v>173</v>
      </c>
      <c r="F432" s="29"/>
      <c r="G432" s="29" t="s">
        <v>229</v>
      </c>
      <c r="H432" s="37">
        <f>I432/AJ432</f>
        <v>130212.54219260003</v>
      </c>
      <c r="I432" s="37">
        <f>SUM(J432:Q432)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3730765.4444166627</v>
      </c>
      <c r="J432" s="21">
        <f>S432*(1+IF($AK432+IF(입력란!$C$10=1,0,IF(입력란!$C$9=1,10,0))+IF(입력란!$C$26=1,10,0)&gt;100,100,$AK432+IF(입력란!$C$10=1,0,IF(입력란!$C$9=1,10,0))+IF(입력란!$C$26=1,10,0))/100*(($AL432+IF(입력란!$C$30=1,IF(OR(입력란!$C$9=1,입력란!$C$10=1),55,17),IF(입력란!$C$30=2,IF(OR(입력란!$C$9=1,입력란!$C$10=1),60,20),IF(입력란!$C$30=3,IF(OR(입력란!$C$9=1,입력란!$C$10=1),65,22),0))))/100-1))</f>
        <v>2641998.0485919286</v>
      </c>
      <c r="K432" s="21">
        <f>T432*(1+IF($AK432+IF(입력란!$C$26=1,10,0)&gt;100,100,$AK432+IF(입력란!$C$26=1,10,0))/100*(($AL432+IF(입력란!$C$30=1,17,IF(입력란!$C$30=2,20,IF(입력란!$C$30=3,22,0))))/100-1))</f>
        <v>0</v>
      </c>
      <c r="L432" s="21"/>
      <c r="M432" s="21"/>
      <c r="N432" s="21"/>
      <c r="O432" s="21"/>
      <c r="P432" s="21"/>
      <c r="Q432" s="20">
        <f>Z432*(1+IF($AK432+IF(입력란!$C$26=1,10,0)&gt;100,100,$AK432+IF(입력란!$C$26=1,10,0))/100*(($AL432+IF(입력란!$C$30=1,17,IF(입력란!$C$30=2,20,IF(입력란!$C$30=3,22,0))))/100-1))</f>
        <v>0</v>
      </c>
      <c r="R432" s="19">
        <f>SUM(S432:Z432)</f>
        <v>1629035.8301700656</v>
      </c>
      <c r="S432" s="21">
        <f>AN432*IF(MID(E432,1,1)="2",트라이포드!$E$21,1)*IF(MID(E432,3,1)="2",트라이포드!$L$21,트라이포드!$K$21)*IF(G432="무력화",1.5,1)*IF(MID(E432,3,1)="3",트라이포드!$N$21,트라이포드!$M$21)*IF(MID(E432,5,1)="1",트라이포드!$P$21,트라이포드!$O$21)*IF(MID(E432,5,1)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1629035.8301700656</v>
      </c>
      <c r="T432" s="21">
        <f>AN432*IF(MID(E432,3,1)="1",트라이포드!$J$21,트라이포드!$I$21)*IF(MID(E432,5,1)="1",2,1)*(1+입력란!$P$17/100)*IF(입력란!$C$30=1,1.07,IF(입력란!$C$30=2,1.08,IF(입력란!$C$30=3,1.09,1)))</f>
        <v>0</v>
      </c>
      <c r="U432" s="21"/>
      <c r="V432" s="21"/>
      <c r="W432" s="21"/>
      <c r="X432" s="21"/>
      <c r="Y432" s="21"/>
      <c r="Z432" s="20">
        <f>AN432*IF(MID(E432,1,1)="2",트라이포드!$F$21,0)*IF(MID(E432,5,1)="1",2,1)*(1+입력란!$P$17/100)*IF(입력란!$C$30=1,1.07,IF(입력란!$C$30=2,1.08,IF(입력란!$C$30=3,1.09,1)))</f>
        <v>0</v>
      </c>
      <c r="AA432" s="21">
        <f>SUM(AB432:AI432)</f>
        <v>3258071.6603401313</v>
      </c>
      <c r="AB432" s="21">
        <f>S432*2</f>
        <v>3258071.6603401313</v>
      </c>
      <c r="AC432" s="21">
        <f>T432*2</f>
        <v>0</v>
      </c>
      <c r="AD432" s="21"/>
      <c r="AE432" s="21"/>
      <c r="AF432" s="21"/>
      <c r="AG432" s="21"/>
      <c r="AH432" s="21"/>
      <c r="AI432" s="20">
        <f>Z432*2</f>
        <v>0</v>
      </c>
      <c r="AJ432" s="21">
        <f>(AQ432-IF(MID(E432,1,1)="1",트라이포드!$D$21,트라이포드!$C$21))*(1-입력란!$P$10/100)</f>
        <v>28.65135248568</v>
      </c>
      <c r="AK4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2" s="21">
        <f>입력란!$P$24+IF(입력란!$C$18=1,10,IF(입력란!$C$18=2,25,IF(입력란!$C$18=3,50,0)))+IF(입력란!$C$23&lt;&gt;0,-12)</f>
        <v>200</v>
      </c>
      <c r="AM432" s="21">
        <f>SUM(AN432:AP432)</f>
        <v>516477.12079148414</v>
      </c>
      <c r="AN432" s="21">
        <f>(VLOOKUP(C432,$B$4:$AJ$7,25,FALSE)+VLOOKUP(C432,$B$8:$AJ$11,25,FALSE)*입력란!$P$4)*입력란!$P$25/100</f>
        <v>516477.12079148414</v>
      </c>
      <c r="AO432" s="21"/>
      <c r="AP432" s="21"/>
      <c r="AQ432" s="22">
        <v>36</v>
      </c>
    </row>
    <row r="433" spans="2:43" ht="13.5" customHeight="1" x14ac:dyDescent="0.55000000000000004">
      <c r="B433" s="66">
        <v>418</v>
      </c>
      <c r="C433" s="29">
        <v>7</v>
      </c>
      <c r="D433" s="67" t="s">
        <v>220</v>
      </c>
      <c r="E433" s="27" t="s">
        <v>189</v>
      </c>
      <c r="F433" s="29"/>
      <c r="G433" s="29" t="s">
        <v>402</v>
      </c>
      <c r="H433" s="37">
        <f>I433/AJ433</f>
        <v>86808.361461733337</v>
      </c>
      <c r="I433" s="37">
        <f>SUM(J433:Q433)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2487176.9629444415</v>
      </c>
      <c r="J433" s="21">
        <f>S433*(1+IF($AK433+IF(입력란!$C$10=1,0,IF(입력란!$C$9=1,10,0))+IF(입력란!$C$26=1,10,0)&gt;100,100,$AK433+IF(입력란!$C$10=1,0,IF(입력란!$C$9=1,10,0))+IF(입력란!$C$26=1,10,0))/100*(($AL433+IF(입력란!$C$30=1,IF(OR(입력란!$C$9=1,입력란!$C$10=1),55,17),IF(입력란!$C$30=2,IF(OR(입력란!$C$9=1,입력란!$C$10=1),60,20),IF(입력란!$C$30=3,IF(OR(입력란!$C$9=1,입력란!$C$10=1),65,22),0))))/100-1))</f>
        <v>1761332.0323946187</v>
      </c>
      <c r="K433" s="21">
        <f>T433*(1+IF($AK433+IF(입력란!$C$26=1,10,0)&gt;100,100,$AK433+IF(입력란!$C$26=1,10,0))/100*(($AL433+IF(입력란!$C$30=1,17,IF(입력란!$C$30=2,20,IF(입력란!$C$30=3,22,0))))/100-1))</f>
        <v>0</v>
      </c>
      <c r="L433" s="21"/>
      <c r="M433" s="21"/>
      <c r="N433" s="21"/>
      <c r="O433" s="21"/>
      <c r="P433" s="21"/>
      <c r="Q433" s="20">
        <f>Z433*(1+IF($AK433+IF(입력란!$C$26=1,10,0)&gt;100,100,$AK433+IF(입력란!$C$26=1,10,0))/100*(($AL433+IF(입력란!$C$30=1,17,IF(입력란!$C$30=2,20,IF(입력란!$C$30=3,22,0))))/100-1))</f>
        <v>0</v>
      </c>
      <c r="R433" s="19">
        <f>SUM(S433:Z433)</f>
        <v>1086023.8867800436</v>
      </c>
      <c r="S433" s="21">
        <f>AN433*IF(MID(E433,1,1)="2",트라이포드!$E$21,1)*IF(MID(E433,3,1)="2",트라이포드!$L$21,트라이포드!$K$21)*IF(G433="무력화",1.5,1)*IF(MID(E433,3,1)="3",트라이포드!$N$21,트라이포드!$M$21)*IF(MID(E433,5,1)="1",트라이포드!$P$21,트라이포드!$O$21)*IF(MID(E433,5,1)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1086023.8867800436</v>
      </c>
      <c r="T433" s="21">
        <f>AN433*IF(MID(E433,3,1)="1",트라이포드!$J$21,트라이포드!$I$21)*IF(MID(E433,5,1)="1",2,1)*(1+입력란!$P$17/100)*IF(입력란!$C$30=1,1.07,IF(입력란!$C$30=2,1.08,IF(입력란!$C$30=3,1.09,1)))</f>
        <v>0</v>
      </c>
      <c r="U433" s="21"/>
      <c r="V433" s="21"/>
      <c r="W433" s="21"/>
      <c r="X433" s="21"/>
      <c r="Y433" s="21"/>
      <c r="Z433" s="20">
        <f>AN433*IF(MID(E433,1,1)="2",트라이포드!$F$21,0)*IF(MID(E433,5,1)="1",2,1)*(1+입력란!$P$17/100)*IF(입력란!$C$30=1,1.07,IF(입력란!$C$30=2,1.08,IF(입력란!$C$30=3,1.09,1)))</f>
        <v>0</v>
      </c>
      <c r="AA433" s="21">
        <f>SUM(AB433:AI433)</f>
        <v>2172047.7735600872</v>
      </c>
      <c r="AB433" s="21">
        <f>S433*2</f>
        <v>2172047.7735600872</v>
      </c>
      <c r="AC433" s="21">
        <f>T433*2</f>
        <v>0</v>
      </c>
      <c r="AD433" s="21"/>
      <c r="AE433" s="21"/>
      <c r="AF433" s="21"/>
      <c r="AG433" s="21"/>
      <c r="AH433" s="21"/>
      <c r="AI433" s="20">
        <f>Z433*2</f>
        <v>0</v>
      </c>
      <c r="AJ433" s="21">
        <f>(AQ433-IF(MID(E433,1,1)="1",트라이포드!$D$21,트라이포드!$C$21))*(1-입력란!$P$10/100)</f>
        <v>28.65135248568</v>
      </c>
      <c r="AK4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3" s="21">
        <f>입력란!$P$24+IF(입력란!$C$18=1,10,IF(입력란!$C$18=2,25,IF(입력란!$C$18=3,50,0)))+IF(입력란!$C$23&lt;&gt;0,-12)</f>
        <v>200</v>
      </c>
      <c r="AM433" s="21">
        <f>SUM(AN433:AP433)</f>
        <v>516477.12079148414</v>
      </c>
      <c r="AN433" s="21">
        <f>(VLOOKUP(C433,$B$4:$AJ$7,25,FALSE)+VLOOKUP(C433,$B$8:$AJ$11,25,FALSE)*입력란!$P$4)*입력란!$P$25/100</f>
        <v>516477.12079148414</v>
      </c>
      <c r="AO433" s="21"/>
      <c r="AP433" s="21"/>
      <c r="AQ433" s="22">
        <v>36</v>
      </c>
    </row>
    <row r="434" spans="2:43" ht="13.5" customHeight="1" x14ac:dyDescent="0.55000000000000004">
      <c r="B434" s="66">
        <v>419</v>
      </c>
      <c r="C434" s="29">
        <v>7</v>
      </c>
      <c r="D434" s="67" t="s">
        <v>220</v>
      </c>
      <c r="E434" s="27" t="s">
        <v>221</v>
      </c>
      <c r="F434" s="29" t="s">
        <v>215</v>
      </c>
      <c r="G434" s="29"/>
      <c r="H434" s="37">
        <f>I434/AJ434</f>
        <v>80332.73747406881</v>
      </c>
      <c r="I434" s="37">
        <f>SUM(J434:Q434)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2857210.2341492772</v>
      </c>
      <c r="J434" s="21">
        <f>S434*(1+IF($AK434+IF(입력란!$C$10=1,0,IF(입력란!$C$9=1,10,0))+IF(입력란!$C$26=1,10,0)&gt;100,100,$AK434+IF(입력란!$C$10=1,0,IF(입력란!$C$9=1,10,0))+IF(입력란!$C$26=1,10,0))/100*(($AL434+IF(입력란!$C$30=1,IF(OR(입력란!$C$9=1,입력란!$C$10=1),55,17),IF(입력란!$C$30=2,IF(OR(입력란!$C$9=1,입력란!$C$10=1),60,20),IF(입력란!$C$30=3,IF(OR(입력란!$C$9=1,입력란!$C$10=1),65,22),0))))/100-1))</f>
        <v>1620425.469803049</v>
      </c>
      <c r="K434" s="21">
        <f>T434*(1+IF($AK434+IF(입력란!$C$26=1,10,0)&gt;100,100,$AK434+IF(입력란!$C$26=1,10,0))/100*(($AL434+IF(입력란!$C$30=1,17,IF(입력란!$C$30=2,20,IF(입력란!$C$30=3,22,0))))/100-1))</f>
        <v>377766.77570665476</v>
      </c>
      <c r="L434" s="21"/>
      <c r="M434" s="21"/>
      <c r="N434" s="21"/>
      <c r="O434" s="21"/>
      <c r="P434" s="21"/>
      <c r="Q434" s="20">
        <f>Z434*(1+IF($AK434+IF(입력란!$C$26=1,10,0)&gt;100,100,$AK434+IF(입력란!$C$26=1,10,0))/100*(($AL434+IF(입력란!$C$30=1,17,IF(입력란!$C$30=2,20,IF(입력란!$C$30=3,22,0))))/100-1))</f>
        <v>25184.451713776987</v>
      </c>
      <c r="R434" s="19">
        <f>SUM(S434:Z434)</f>
        <v>1263924.9425192506</v>
      </c>
      <c r="S434" s="21">
        <f>AN434*IF(MID(E434,1,1)="2",트라이포드!$E$21,1)*IF(MID(E434,3,1)="2",트라이포드!$L$21,트라이포드!$K$21)*IF(G434="무력화",1.5,1)*IF(MID(E434,3,1)="3",트라이포드!$N$21,트라이포드!$M$21)*IF(MID(E434,5,1)="1",트라이포드!$P$21,트라이포드!$O$21)*IF(MID(E434,5,1)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999141.97583764</v>
      </c>
      <c r="T434" s="21">
        <f>AN434*IF(MID(E434,3,1)="1",트라이포드!$J$21,트라이포드!$I$21)*IF(MID(E434,5,1)="1",2,1)*(1+입력란!$P$17/100)*IF(입력란!$C$30=1,1.07,IF(입력란!$C$30=2,1.08,IF(입력란!$C$30=3,1.09,1)))</f>
        <v>248234.03126400997</v>
      </c>
      <c r="U434" s="21"/>
      <c r="V434" s="21"/>
      <c r="W434" s="21"/>
      <c r="X434" s="21"/>
      <c r="Y434" s="21"/>
      <c r="Z434" s="20">
        <f>AN434*IF(MID(E434,1,1)="2",트라이포드!$F$21,0)*IF(MID(E434,5,1)="1",2,1)*(1+입력란!$P$17/100)*IF(입력란!$C$30=1,1.07,IF(입력란!$C$30=2,1.08,IF(입력란!$C$30=3,1.09,1)))</f>
        <v>16548.935417600667</v>
      </c>
      <c r="AA434" s="21">
        <f>SUM(AB434:AI434)</f>
        <v>2527849.8850385011</v>
      </c>
      <c r="AB434" s="21">
        <f>S434*2</f>
        <v>1998283.95167528</v>
      </c>
      <c r="AC434" s="21">
        <f>T434*2</f>
        <v>496468.06252801995</v>
      </c>
      <c r="AD434" s="21"/>
      <c r="AE434" s="21"/>
      <c r="AF434" s="21"/>
      <c r="AG434" s="21"/>
      <c r="AH434" s="21"/>
      <c r="AI434" s="20">
        <f>Z434*2</f>
        <v>33097.870835201335</v>
      </c>
      <c r="AJ434" s="21">
        <f>(AQ434-IF(MID(E434,1,1)="1",트라이포드!$D$21,트라이포드!$C$21))*(1-입력란!$P$10/100)</f>
        <v>35.567196189119997</v>
      </c>
      <c r="AK4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4" s="21">
        <f>입력란!$P$24+IF(입력란!$C$18=1,10,IF(입력란!$C$18=2,25,IF(입력란!$C$18=3,50,0)))+IF(입력란!$C$23&lt;&gt;0,-12)</f>
        <v>200</v>
      </c>
      <c r="AM434" s="21">
        <f>SUM(AN434:AP434)</f>
        <v>516477.12079148414</v>
      </c>
      <c r="AN434" s="21">
        <f>(VLOOKUP(C434,$B$4:$AJ$7,25,FALSE)+VLOOKUP(C434,$B$8:$AJ$11,25,FALSE)*입력란!$P$4)*입력란!$P$25/100</f>
        <v>516477.12079148414</v>
      </c>
      <c r="AO434" s="21"/>
      <c r="AP434" s="21"/>
      <c r="AQ434" s="22">
        <v>36</v>
      </c>
    </row>
    <row r="435" spans="2:43" ht="13.5" customHeight="1" x14ac:dyDescent="0.55000000000000004">
      <c r="B435" s="66">
        <v>420</v>
      </c>
      <c r="C435" s="29">
        <v>7</v>
      </c>
      <c r="D435" s="67" t="s">
        <v>220</v>
      </c>
      <c r="E435" s="27" t="s">
        <v>204</v>
      </c>
      <c r="F435" s="29" t="s">
        <v>215</v>
      </c>
      <c r="G435" s="29"/>
      <c r="H435" s="37">
        <f>I435/AJ435</f>
        <v>81418.182536889479</v>
      </c>
      <c r="I435" s="37">
        <f>SUM(J435:Q435)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2895816.4716511318</v>
      </c>
      <c r="J435" s="21">
        <f>S435*(1+IF($AK435+IF(입력란!$C$10=1,0,IF(입력란!$C$9=1,10,0))+IF(입력란!$C$26=1,10,0)&gt;100,100,$AK435+IF(입력란!$C$10=1,0,IF(입력란!$C$9=1,10,0))+IF(입력란!$C$26=1,10,0))/100*(($AL435+IF(입력란!$C$30=1,IF(OR(입력란!$C$9=1,입력란!$C$10=1),55,17),IF(입력란!$C$30=2,IF(OR(입력란!$C$9=1,입력란!$C$10=1),60,20),IF(입력란!$C$30=3,IF(OR(입력란!$C$9=1,입력란!$C$10=1),65,22),0))))/100-1))</f>
        <v>2025531.8372538115</v>
      </c>
      <c r="K435" s="21">
        <f>T435*(1+IF($AK435+IF(입력란!$C$26=1,10,0)&gt;100,100,$AK435+IF(입력란!$C$26=1,10,0))/100*(($AL435+IF(입력란!$C$30=1,17,IF(입력란!$C$30=2,20,IF(입력란!$C$30=3,22,0))))/100-1))</f>
        <v>0</v>
      </c>
      <c r="L435" s="21"/>
      <c r="M435" s="21"/>
      <c r="N435" s="21"/>
      <c r="O435" s="21"/>
      <c r="P435" s="21"/>
      <c r="Q435" s="20">
        <f>Z435*(1+IF($AK435+IF(입력란!$C$26=1,10,0)&gt;100,100,$AK435+IF(입력란!$C$26=1,10,0))/100*(($AL435+IF(입력란!$C$30=1,17,IF(입력란!$C$30=2,20,IF(입력란!$C$30=3,22,0))))/100-1))</f>
        <v>25184.451713776987</v>
      </c>
      <c r="R435" s="19">
        <f>SUM(S435:Z435)</f>
        <v>1265476.4052146508</v>
      </c>
      <c r="S435" s="21">
        <f>AN435*IF(MID(E435,1,1)="2",트라이포드!$E$21,1)*IF(MID(E435,3,1)="2",트라이포드!$L$21,트라이포드!$K$21)*IF(G435="무력화",1.5,1)*IF(MID(E435,3,1)="3",트라이포드!$N$21,트라이포드!$M$21)*IF(MID(E435,5,1)="1",트라이포드!$P$21,트라이포드!$O$21)*IF(MID(E435,5,1)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1248927.4697970501</v>
      </c>
      <c r="T435" s="21">
        <f>AN435*IF(MID(E435,3,1)="1",트라이포드!$J$21,트라이포드!$I$21)*IF(MID(E435,5,1)="1",2,1)*(1+입력란!$P$17/100)*IF(입력란!$C$30=1,1.07,IF(입력란!$C$30=2,1.08,IF(입력란!$C$30=3,1.09,1)))</f>
        <v>0</v>
      </c>
      <c r="U435" s="21"/>
      <c r="V435" s="21"/>
      <c r="W435" s="21"/>
      <c r="X435" s="21"/>
      <c r="Y435" s="21"/>
      <c r="Z435" s="20">
        <f>AN435*IF(MID(E435,1,1)="2",트라이포드!$F$21,0)*IF(MID(E435,5,1)="1",2,1)*(1+입력란!$P$17/100)*IF(입력란!$C$30=1,1.07,IF(입력란!$C$30=2,1.08,IF(입력란!$C$30=3,1.09,1)))</f>
        <v>16548.935417600667</v>
      </c>
      <c r="AA435" s="21">
        <f>SUM(AB435:AI435)</f>
        <v>2530952.8104293016</v>
      </c>
      <c r="AB435" s="21">
        <f>S435*2</f>
        <v>2497854.9395941002</v>
      </c>
      <c r="AC435" s="21">
        <f>T435*2</f>
        <v>0</v>
      </c>
      <c r="AD435" s="21"/>
      <c r="AE435" s="21"/>
      <c r="AF435" s="21"/>
      <c r="AG435" s="21"/>
      <c r="AH435" s="21"/>
      <c r="AI435" s="20">
        <f>Z435*2</f>
        <v>33097.870835201335</v>
      </c>
      <c r="AJ435" s="21">
        <f>(AQ435-IF(MID(E435,1,1)="1",트라이포드!$D$21,트라이포드!$C$21))*(1-입력란!$P$10/100)</f>
        <v>35.567196189119997</v>
      </c>
      <c r="AK4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5" s="21">
        <f>입력란!$P$24+IF(입력란!$C$18=1,10,IF(입력란!$C$18=2,25,IF(입력란!$C$18=3,50,0)))+IF(입력란!$C$23&lt;&gt;0,-12)</f>
        <v>200</v>
      </c>
      <c r="AM435" s="21">
        <f>SUM(AN435:AP435)</f>
        <v>516477.12079148414</v>
      </c>
      <c r="AN435" s="21">
        <f>(VLOOKUP(C435,$B$4:$AJ$7,25,FALSE)+VLOOKUP(C435,$B$8:$AJ$11,25,FALSE)*입력란!$P$4)*입력란!$P$25/100</f>
        <v>516477.12079148414</v>
      </c>
      <c r="AO435" s="21"/>
      <c r="AP435" s="21"/>
      <c r="AQ435" s="22">
        <v>36</v>
      </c>
    </row>
    <row r="436" spans="2:43" ht="13.5" customHeight="1" x14ac:dyDescent="0.55000000000000004">
      <c r="B436" s="66">
        <v>421</v>
      </c>
      <c r="C436" s="29">
        <v>7</v>
      </c>
      <c r="D436" s="67" t="s">
        <v>50</v>
      </c>
      <c r="E436" s="27" t="s">
        <v>80</v>
      </c>
      <c r="F436" s="29" t="s">
        <v>215</v>
      </c>
      <c r="G436" s="29" t="s">
        <v>229</v>
      </c>
      <c r="H436" s="37">
        <f>I436/AJ436</f>
        <v>121627.33329728959</v>
      </c>
      <c r="I436" s="37">
        <f>SUM(J436:Q436)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4325943.2253441857</v>
      </c>
      <c r="J436" s="21">
        <f>S436*(1+IF($AK436+IF(입력란!$C$10=1,0,IF(입력란!$C$9=1,10,0))+IF(입력란!$C$26=1,10,0)&gt;100,100,$AK436+IF(입력란!$C$10=1,0,IF(입력란!$C$9=1,10,0))+IF(입력란!$C$26=1,10,0))/100*(($AL436+IF(입력란!$C$30=1,IF(OR(입력란!$C$9=1,입력란!$C$10=1),55,17),IF(입력란!$C$30=2,IF(OR(입력란!$C$9=1,입력란!$C$10=1),60,20),IF(입력란!$C$30=3,IF(OR(입력란!$C$9=1,입력란!$C$10=1),65,22),0))))/100-1))</f>
        <v>3038297.7558807172</v>
      </c>
      <c r="K436" s="21">
        <f>T436*(1+IF($AK436+IF(입력란!$C$26=1,10,0)&gt;100,100,$AK436+IF(입력란!$C$26=1,10,0))/100*(($AL436+IF(입력란!$C$30=1,17,IF(입력란!$C$30=2,20,IF(입력란!$C$30=3,22,0))))/100-1))</f>
        <v>0</v>
      </c>
      <c r="L436" s="21"/>
      <c r="M436" s="21"/>
      <c r="N436" s="21"/>
      <c r="O436" s="21"/>
      <c r="P436" s="21"/>
      <c r="Q436" s="20">
        <f>Z436*(1+IF($AK436+IF(입력란!$C$26=1,10,0)&gt;100,100,$AK436+IF(입력란!$C$26=1,10,0))/100*(($AL436+IF(입력란!$C$30=1,17,IF(입력란!$C$30=2,20,IF(입력란!$C$30=3,22,0))))/100-1))</f>
        <v>25184.451713776987</v>
      </c>
      <c r="R436" s="19">
        <f>SUM(S436:Z436)</f>
        <v>1889940.1401131758</v>
      </c>
      <c r="S436" s="21">
        <f>AN436*IF(MID(E436,1,1)="2",트라이포드!$E$21,1)*IF(MID(E436,3,1)="2",트라이포드!$L$21,트라이포드!$K$21)*IF(G436="무력화",1.5,1)*IF(MID(E436,3,1)="3",트라이포드!$N$21,트라이포드!$M$21)*IF(MID(E436,5,1)="1",트라이포드!$P$21,트라이포드!$O$21)*IF(MID(E436,5,1)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1873391.2046955752</v>
      </c>
      <c r="T436" s="21">
        <f>AN436*IF(MID(E436,3,1)="1",트라이포드!$J$21,트라이포드!$I$21)*IF(MID(E436,5,1)="1",2,1)*(1+입력란!$P$17/100)*IF(입력란!$C$30=1,1.07,IF(입력란!$C$30=2,1.08,IF(입력란!$C$30=3,1.09,1)))</f>
        <v>0</v>
      </c>
      <c r="U436" s="21"/>
      <c r="V436" s="21"/>
      <c r="W436" s="21"/>
      <c r="X436" s="21"/>
      <c r="Y436" s="21"/>
      <c r="Z436" s="20">
        <f>AN436*IF(MID(E436,1,1)="2",트라이포드!$F$21,0)*IF(MID(E436,5,1)="1",2,1)*(1+입력란!$P$17/100)*IF(입력란!$C$30=1,1.07,IF(입력란!$C$30=2,1.08,IF(입력란!$C$30=3,1.09,1)))</f>
        <v>16548.935417600667</v>
      </c>
      <c r="AA436" s="21">
        <f>SUM(AB436:AI436)</f>
        <v>3779880.2802263517</v>
      </c>
      <c r="AB436" s="21">
        <f>S436*2</f>
        <v>3746782.4093911503</v>
      </c>
      <c r="AC436" s="21">
        <f>T436*2</f>
        <v>0</v>
      </c>
      <c r="AD436" s="21"/>
      <c r="AE436" s="21"/>
      <c r="AF436" s="21"/>
      <c r="AG436" s="21"/>
      <c r="AH436" s="21"/>
      <c r="AI436" s="20">
        <f>Z436*2</f>
        <v>33097.870835201335</v>
      </c>
      <c r="AJ436" s="21">
        <f>(AQ436-IF(MID(E436,1,1)="1",트라이포드!$D$21,트라이포드!$C$21))*(1-입력란!$P$10/100)</f>
        <v>35.567196189119997</v>
      </c>
      <c r="AK4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6" s="21">
        <f>입력란!$P$24+IF(입력란!$C$18=1,10,IF(입력란!$C$18=2,25,IF(입력란!$C$18=3,50,0)))+IF(입력란!$C$23&lt;&gt;0,-12)</f>
        <v>200</v>
      </c>
      <c r="AM436" s="21">
        <f>SUM(AN436:AP436)</f>
        <v>516477.12079148414</v>
      </c>
      <c r="AN436" s="21">
        <f>(VLOOKUP(C436,$B$4:$AJ$7,25,FALSE)+VLOOKUP(C436,$B$8:$AJ$11,25,FALSE)*입력란!$P$4)*입력란!$P$25/100</f>
        <v>516477.12079148414</v>
      </c>
      <c r="AO436" s="21"/>
      <c r="AP436" s="21"/>
      <c r="AQ436" s="22">
        <v>36</v>
      </c>
    </row>
    <row r="437" spans="2:43" ht="13.5" customHeight="1" x14ac:dyDescent="0.55000000000000004">
      <c r="B437" s="66">
        <v>422</v>
      </c>
      <c r="C437" s="29">
        <v>7</v>
      </c>
      <c r="D437" s="67" t="s">
        <v>220</v>
      </c>
      <c r="E437" s="27" t="s">
        <v>222</v>
      </c>
      <c r="F437" s="29" t="s">
        <v>215</v>
      </c>
      <c r="G437" s="29" t="s">
        <v>402</v>
      </c>
      <c r="H437" s="37">
        <f>I437/AJ437</f>
        <v>81418.182536889479</v>
      </c>
      <c r="I437" s="37">
        <f>SUM(J437:Q437)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2895816.4716511318</v>
      </c>
      <c r="J437" s="21">
        <f>S437*(1+IF($AK437+IF(입력란!$C$10=1,0,IF(입력란!$C$9=1,10,0))+IF(입력란!$C$26=1,10,0)&gt;100,100,$AK437+IF(입력란!$C$10=1,0,IF(입력란!$C$9=1,10,0))+IF(입력란!$C$26=1,10,0))/100*(($AL437+IF(입력란!$C$30=1,IF(OR(입력란!$C$9=1,입력란!$C$10=1),55,17),IF(입력란!$C$30=2,IF(OR(입력란!$C$9=1,입력란!$C$10=1),60,20),IF(입력란!$C$30=3,IF(OR(입력란!$C$9=1,입력란!$C$10=1),65,22),0))))/100-1))</f>
        <v>2025531.8372538115</v>
      </c>
      <c r="K437" s="21">
        <f>T437*(1+IF($AK437+IF(입력란!$C$26=1,10,0)&gt;100,100,$AK437+IF(입력란!$C$26=1,10,0))/100*(($AL437+IF(입력란!$C$30=1,17,IF(입력란!$C$30=2,20,IF(입력란!$C$30=3,22,0))))/100-1))</f>
        <v>0</v>
      </c>
      <c r="L437" s="21"/>
      <c r="M437" s="21"/>
      <c r="N437" s="21"/>
      <c r="O437" s="21"/>
      <c r="P437" s="21"/>
      <c r="Q437" s="20">
        <f>Z437*(1+IF($AK437+IF(입력란!$C$26=1,10,0)&gt;100,100,$AK437+IF(입력란!$C$26=1,10,0))/100*(($AL437+IF(입력란!$C$30=1,17,IF(입력란!$C$30=2,20,IF(입력란!$C$30=3,22,0))))/100-1))</f>
        <v>25184.451713776987</v>
      </c>
      <c r="R437" s="19">
        <f>SUM(S437:Z437)</f>
        <v>1265476.4052146508</v>
      </c>
      <c r="S437" s="21">
        <f>AN437*IF(MID(E437,1,1)="2",트라이포드!$E$21,1)*IF(MID(E437,3,1)="2",트라이포드!$L$21,트라이포드!$K$21)*IF(G437="무력화",1.5,1)*IF(MID(E437,3,1)="3",트라이포드!$N$21,트라이포드!$M$21)*IF(MID(E437,5,1)="1",트라이포드!$P$21,트라이포드!$O$21)*IF(MID(E437,5,1)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1248927.4697970501</v>
      </c>
      <c r="T437" s="21">
        <f>AN437*IF(MID(E437,3,1)="1",트라이포드!$J$21,트라이포드!$I$21)*IF(MID(E437,5,1)="1",2,1)*(1+입력란!$P$17/100)*IF(입력란!$C$30=1,1.07,IF(입력란!$C$30=2,1.08,IF(입력란!$C$30=3,1.09,1)))</f>
        <v>0</v>
      </c>
      <c r="U437" s="21"/>
      <c r="V437" s="21"/>
      <c r="W437" s="21"/>
      <c r="X437" s="21"/>
      <c r="Y437" s="21"/>
      <c r="Z437" s="20">
        <f>AN437*IF(MID(E437,1,1)="2",트라이포드!$F$21,0)*IF(MID(E437,5,1)="1",2,1)*(1+입력란!$P$17/100)*IF(입력란!$C$30=1,1.07,IF(입력란!$C$30=2,1.08,IF(입력란!$C$30=3,1.09,1)))</f>
        <v>16548.935417600667</v>
      </c>
      <c r="AA437" s="21">
        <f>SUM(AB437:AI437)</f>
        <v>2530952.8104293016</v>
      </c>
      <c r="AB437" s="21">
        <f>S437*2</f>
        <v>2497854.9395941002</v>
      </c>
      <c r="AC437" s="21">
        <f>T437*2</f>
        <v>0</v>
      </c>
      <c r="AD437" s="21"/>
      <c r="AE437" s="21"/>
      <c r="AF437" s="21"/>
      <c r="AG437" s="21"/>
      <c r="AH437" s="21"/>
      <c r="AI437" s="20">
        <f>Z437*2</f>
        <v>33097.870835201335</v>
      </c>
      <c r="AJ437" s="21">
        <f>(AQ437-IF(MID(E437,1,1)="1",트라이포드!$D$21,트라이포드!$C$21))*(1-입력란!$P$10/100)</f>
        <v>35.567196189119997</v>
      </c>
      <c r="AK4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7" s="21">
        <f>입력란!$P$24+IF(입력란!$C$18=1,10,IF(입력란!$C$18=2,25,IF(입력란!$C$18=3,50,0)))+IF(입력란!$C$23&lt;&gt;0,-12)</f>
        <v>200</v>
      </c>
      <c r="AM437" s="21">
        <f>SUM(AN437:AP437)</f>
        <v>516477.12079148414</v>
      </c>
      <c r="AN437" s="21">
        <f>(VLOOKUP(C437,$B$4:$AJ$7,25,FALSE)+VLOOKUP(C437,$B$8:$AJ$11,25,FALSE)*입력란!$P$4)*입력란!$P$25/100</f>
        <v>516477.12079148414</v>
      </c>
      <c r="AO437" s="21"/>
      <c r="AP437" s="21"/>
      <c r="AQ437" s="22">
        <v>36</v>
      </c>
    </row>
    <row r="438" spans="2:43" ht="13.5" customHeight="1" x14ac:dyDescent="0.55000000000000004">
      <c r="B438" s="66">
        <v>423</v>
      </c>
      <c r="C438" s="29">
        <v>10</v>
      </c>
      <c r="D438" s="67" t="s">
        <v>220</v>
      </c>
      <c r="E438" s="27" t="s">
        <v>184</v>
      </c>
      <c r="F438" s="29"/>
      <c r="G438" s="29"/>
      <c r="H438" s="37">
        <f>I438/AJ438</f>
        <v>55965.493198446391</v>
      </c>
      <c r="I438" s="37">
        <f>SUM(J438:Q438)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1990535.6764100036</v>
      </c>
      <c r="J438" s="21">
        <f>S438*(1+IF($AK438+IF(입력란!$C$10=1,0,IF(입력란!$C$9=1,10,0))+IF(입력란!$C$26=1,10,0)&gt;100,100,$AK438+IF(입력란!$C$10=1,0,IF(입력란!$C$9=1,10,0))+IF(입력란!$C$26=1,10,0))/100*(($AL438+IF(입력란!$C$30=1,IF(OR(입력란!$C$9=1,입력란!$C$10=1),55,17),IF(입력란!$C$30=2,IF(OR(입력란!$C$9=1,입력란!$C$10=1),60,20),IF(입력란!$C$30=3,IF(OR(입력란!$C$9=1,입력란!$C$10=1),65,22),0))))/100-1))</f>
        <v>1409627.9841441847</v>
      </c>
      <c r="K438" s="21">
        <f>T438*(1+IF($AK438+IF(입력란!$C$26=1,10,0)&gt;100,100,$AK438+IF(입력란!$C$26=1,10,0))/100*(($AL438+IF(입력란!$C$30=1,17,IF(입력란!$C$30=2,20,IF(입력란!$C$30=3,22,0))))/100-1))</f>
        <v>0</v>
      </c>
      <c r="L438" s="21"/>
      <c r="M438" s="21"/>
      <c r="N438" s="21"/>
      <c r="O438" s="21"/>
      <c r="P438" s="21"/>
      <c r="Q438" s="20">
        <f>Z438*(1+IF($AK438+IF(입력란!$C$26=1,10,0)&gt;100,100,$AK438+IF(입력란!$C$26=1,10,0))/100*(($AL438+IF(입력란!$C$30=1,17,IF(입력란!$C$30=2,20,IF(입력란!$C$30=3,22,0))))/100-1))</f>
        <v>0</v>
      </c>
      <c r="R438" s="19">
        <f>SUM(S438:Z438)</f>
        <v>869165.8552151944</v>
      </c>
      <c r="S438" s="21">
        <f>AN438*IF(MID(E438,1,1)="2",트라이포드!$E$21,1)*IF(MID(E438,3,1)="2",트라이포드!$L$21,트라이포드!$K$21)*IF(G438="무력화",1.5,1)*IF(MID(E438,3,1)="3",트라이포드!$N$21,트라이포드!$M$21)*IF(MID(E438,5,1)="1",트라이포드!$P$21,트라이포드!$O$21)*IF(MID(E438,5,1)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869165.8552151944</v>
      </c>
      <c r="T438" s="21">
        <f>AN438*IF(MID(E438,3,1)="1",트라이포드!$J$21,트라이포드!$I$21)*IF(MID(E438,5,1)="1",2,1)*(1+입력란!$P$17/100)*IF(입력란!$C$30=1,1.07,IF(입력란!$C$30=2,1.08,IF(입력란!$C$30=3,1.09,1)))</f>
        <v>0</v>
      </c>
      <c r="U438" s="21"/>
      <c r="V438" s="21"/>
      <c r="W438" s="21"/>
      <c r="X438" s="21"/>
      <c r="Y438" s="21"/>
      <c r="Z438" s="20">
        <f>AN438*IF(MID(E438,1,1)="2",트라이포드!$F$21,0)*IF(MID(E438,5,1)="1",2,1)*(1+입력란!$P$17/100)*IF(입력란!$C$30=1,1.07,IF(입력란!$C$30=2,1.08,IF(입력란!$C$30=3,1.09,1)))</f>
        <v>0</v>
      </c>
      <c r="AA438" s="21">
        <f>SUM(AB438:AI438)</f>
        <v>1738331.7104303888</v>
      </c>
      <c r="AB438" s="21">
        <f>S438*2</f>
        <v>1738331.7104303888</v>
      </c>
      <c r="AC438" s="21">
        <f>T438*2</f>
        <v>0</v>
      </c>
      <c r="AD438" s="21"/>
      <c r="AE438" s="21"/>
      <c r="AF438" s="21"/>
      <c r="AG438" s="21"/>
      <c r="AH438" s="21"/>
      <c r="AI438" s="20">
        <f>Z438*2</f>
        <v>0</v>
      </c>
      <c r="AJ438" s="21">
        <f>(AQ438-IF(MID(E438,1,1)="1",트라이포드!$D$21,트라이포드!$C$21))*(1-입력란!$P$10/100)</f>
        <v>35.567196189119997</v>
      </c>
      <c r="AK4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8" s="21">
        <f>입력란!$P$24+IF(입력란!$C$18=1,10,IF(입력란!$C$18=2,25,IF(입력란!$C$18=3,50,0)))+IF(입력란!$C$23&lt;&gt;0,-12)</f>
        <v>200</v>
      </c>
      <c r="AM438" s="21">
        <f>SUM(AN438:AP438)</f>
        <v>516683.24686067627</v>
      </c>
      <c r="AN438" s="21">
        <f>(VLOOKUP(C438,$B$4:$AJ$7,25,FALSE)+VLOOKUP(C438,$B$8:$AJ$11,25,FALSE)*입력란!$P$4)*입력란!$P$25/100</f>
        <v>516683.24686067627</v>
      </c>
      <c r="AO438" s="21"/>
      <c r="AP438" s="21"/>
      <c r="AQ438" s="22">
        <v>36</v>
      </c>
    </row>
    <row r="439" spans="2:43" ht="13.5" customHeight="1" x14ac:dyDescent="0.55000000000000004">
      <c r="B439" s="66">
        <v>424</v>
      </c>
      <c r="C439" s="29">
        <v>10</v>
      </c>
      <c r="D439" s="67" t="s">
        <v>220</v>
      </c>
      <c r="E439" s="27" t="s">
        <v>190</v>
      </c>
      <c r="F439" s="29"/>
      <c r="G439" s="29"/>
      <c r="H439" s="37">
        <f>I439/AJ439</f>
        <v>100737.8877572035</v>
      </c>
      <c r="I439" s="37">
        <f>SUM(J439:Q439)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3582964.2175380061</v>
      </c>
      <c r="J439" s="21">
        <f>S439*(1+IF($AK439+IF(입력란!$C$10=1,0,IF(입력란!$C$9=1,10,0))+IF(입력란!$C$26=1,10,0)&gt;100,100,$AK439+IF(입력란!$C$10=1,0,IF(입력란!$C$9=1,10,0))+IF(입력란!$C$26=1,10,0))/100*(($AL439+IF(입력란!$C$30=1,IF(OR(입력란!$C$9=1,입력란!$C$10=1),55,17),IF(입력란!$C$30=2,IF(OR(입력란!$C$9=1,입력란!$C$10=1),60,20),IF(입력란!$C$30=3,IF(OR(입력란!$C$9=1,입력란!$C$10=1),65,22),0))))/100-1))</f>
        <v>2537330.3714595325</v>
      </c>
      <c r="K439" s="21">
        <f>T439*(1+IF($AK439+IF(입력란!$C$26=1,10,0)&gt;100,100,$AK439+IF(입력란!$C$26=1,10,0))/100*(($AL439+IF(입력란!$C$30=1,17,IF(입력란!$C$30=2,20,IF(입력란!$C$30=3,22,0))))/100-1))</f>
        <v>0</v>
      </c>
      <c r="L439" s="21"/>
      <c r="M439" s="21"/>
      <c r="N439" s="21"/>
      <c r="O439" s="21"/>
      <c r="P439" s="21"/>
      <c r="Q439" s="20">
        <f>Z439*(1+IF($AK439+IF(입력란!$C$26=1,10,0)&gt;100,100,$AK439+IF(입력란!$C$26=1,10,0))/100*(($AL439+IF(입력란!$C$30=1,17,IF(입력란!$C$30=2,20,IF(입력란!$C$30=3,22,0))))/100-1))</f>
        <v>0</v>
      </c>
      <c r="R439" s="19">
        <f>SUM(S439:Z439)</f>
        <v>1564498.5393873497</v>
      </c>
      <c r="S439" s="21">
        <f>AN439*IF(MID(E439,1,1)="2",트라이포드!$E$21,1)*IF(MID(E439,3,1)="2",트라이포드!$L$21,트라이포드!$K$21)*IF(G439="무력화",1.5,1)*IF(MID(E439,3,1)="3",트라이포드!$N$21,트라이포드!$M$21)*IF(MID(E439,5,1)="1",트라이포드!$P$21,트라이포드!$O$21)*IF(MID(E439,5,1)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1564498.5393873497</v>
      </c>
      <c r="T439" s="21">
        <f>AN439*IF(MID(E439,3,1)="1",트라이포드!$J$21,트라이포드!$I$21)*IF(MID(E439,5,1)="1",2,1)*(1+입력란!$P$17/100)*IF(입력란!$C$30=1,1.07,IF(입력란!$C$30=2,1.08,IF(입력란!$C$30=3,1.09,1)))</f>
        <v>0</v>
      </c>
      <c r="U439" s="21"/>
      <c r="V439" s="21"/>
      <c r="W439" s="21"/>
      <c r="X439" s="21"/>
      <c r="Y439" s="21"/>
      <c r="Z439" s="20">
        <f>AN439*IF(MID(E439,1,1)="2",트라이포드!$F$21,0)*IF(MID(E439,5,1)="1",2,1)*(1+입력란!$P$17/100)*IF(입력란!$C$30=1,1.07,IF(입력란!$C$30=2,1.08,IF(입력란!$C$30=3,1.09,1)))</f>
        <v>0</v>
      </c>
      <c r="AA439" s="21">
        <f>SUM(AB439:AI439)</f>
        <v>3128997.0787746995</v>
      </c>
      <c r="AB439" s="21">
        <f>S439*2</f>
        <v>3128997.0787746995</v>
      </c>
      <c r="AC439" s="21">
        <f>T439*2</f>
        <v>0</v>
      </c>
      <c r="AD439" s="21"/>
      <c r="AE439" s="21"/>
      <c r="AF439" s="21"/>
      <c r="AG439" s="21"/>
      <c r="AH439" s="21"/>
      <c r="AI439" s="20">
        <f>Z439*2</f>
        <v>0</v>
      </c>
      <c r="AJ439" s="21">
        <f>(AQ439-IF(MID(E439,1,1)="1",트라이포드!$D$21,트라이포드!$C$21))*(1-입력란!$P$10/100)</f>
        <v>35.567196189119997</v>
      </c>
      <c r="AK4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39" s="21">
        <f>입력란!$P$24+IF(입력란!$C$18=1,10,IF(입력란!$C$18=2,25,IF(입력란!$C$18=3,50,0)))+IF(입력란!$C$23&lt;&gt;0,-12)</f>
        <v>200</v>
      </c>
      <c r="AM439" s="21">
        <f>SUM(AN439:AP439)</f>
        <v>516683.24686067627</v>
      </c>
      <c r="AN439" s="21">
        <f>(VLOOKUP(C439,$B$4:$AJ$7,25,FALSE)+VLOOKUP(C439,$B$8:$AJ$11,25,FALSE)*입력란!$P$4)*입력란!$P$25/100</f>
        <v>516683.24686067627</v>
      </c>
      <c r="AO439" s="21"/>
      <c r="AP439" s="21"/>
      <c r="AQ439" s="22">
        <v>36</v>
      </c>
    </row>
    <row r="440" spans="2:43" ht="13.5" customHeight="1" x14ac:dyDescent="0.55000000000000004">
      <c r="B440" s="66">
        <v>425</v>
      </c>
      <c r="C440" s="29">
        <v>10</v>
      </c>
      <c r="D440" s="67" t="s">
        <v>220</v>
      </c>
      <c r="E440" s="27" t="s">
        <v>205</v>
      </c>
      <c r="F440" s="29"/>
      <c r="G440" s="29"/>
      <c r="H440" s="37">
        <f>I440/AJ440</f>
        <v>100737.8877572035</v>
      </c>
      <c r="I440" s="37">
        <f>SUM(J440:Q440)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3582964.2175380061</v>
      </c>
      <c r="J440" s="21">
        <f>S440*(1+IF($AK440+IF(입력란!$C$10=1,0,IF(입력란!$C$9=1,10,0))+IF(입력란!$C$26=1,10,0)&gt;100,100,$AK440+IF(입력란!$C$10=1,0,IF(입력란!$C$9=1,10,0))+IF(입력란!$C$26=1,10,0))/100*(($AL440+IF(입력란!$C$30=1,IF(OR(입력란!$C$9=1,입력란!$C$10=1),55,17),IF(입력란!$C$30=2,IF(OR(입력란!$C$9=1,입력란!$C$10=1),60,20),IF(입력란!$C$30=3,IF(OR(입력란!$C$9=1,입력란!$C$10=1),65,22),0))))/100-1))</f>
        <v>2537330.3714595325</v>
      </c>
      <c r="K440" s="21">
        <f>T440*(1+IF($AK440+IF(입력란!$C$26=1,10,0)&gt;100,100,$AK440+IF(입력란!$C$26=1,10,0))/100*(($AL440+IF(입력란!$C$30=1,17,IF(입력란!$C$30=2,20,IF(입력란!$C$30=3,22,0))))/100-1))</f>
        <v>0</v>
      </c>
      <c r="L440" s="21"/>
      <c r="M440" s="21"/>
      <c r="N440" s="21"/>
      <c r="O440" s="21"/>
      <c r="P440" s="21"/>
      <c r="Q440" s="20">
        <f>Z440*(1+IF($AK440+IF(입력란!$C$26=1,10,0)&gt;100,100,$AK440+IF(입력란!$C$26=1,10,0))/100*(($AL440+IF(입력란!$C$30=1,17,IF(입력란!$C$30=2,20,IF(입력란!$C$30=3,22,0))))/100-1))</f>
        <v>0</v>
      </c>
      <c r="R440" s="19">
        <f>SUM(S440:Z440)</f>
        <v>1564498.5393873497</v>
      </c>
      <c r="S440" s="21">
        <f>AN440*IF(MID(E440,1,1)="2",트라이포드!$E$21,1)*IF(MID(E440,3,1)="2",트라이포드!$L$21,트라이포드!$K$21)*IF(G440="무력화",1.5,1)*IF(MID(E440,3,1)="3",트라이포드!$N$21,트라이포드!$M$21)*IF(MID(E440,5,1)="1",트라이포드!$P$21,트라이포드!$O$21)*IF(MID(E440,5,1)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1564498.5393873497</v>
      </c>
      <c r="T440" s="21">
        <f>AN440*IF(MID(E440,3,1)="1",트라이포드!$J$21,트라이포드!$I$21)*IF(MID(E440,5,1)="1",2,1)*(1+입력란!$P$17/100)*IF(입력란!$C$30=1,1.07,IF(입력란!$C$30=2,1.08,IF(입력란!$C$30=3,1.09,1)))</f>
        <v>0</v>
      </c>
      <c r="U440" s="21"/>
      <c r="V440" s="21"/>
      <c r="W440" s="21"/>
      <c r="X440" s="21"/>
      <c r="Y440" s="21"/>
      <c r="Z440" s="20">
        <f>AN440*IF(MID(E440,1,1)="2",트라이포드!$F$21,0)*IF(MID(E440,5,1)="1",2,1)*(1+입력란!$P$17/100)*IF(입력란!$C$30=1,1.07,IF(입력란!$C$30=2,1.08,IF(입력란!$C$30=3,1.09,1)))</f>
        <v>0</v>
      </c>
      <c r="AA440" s="21">
        <f>SUM(AB440:AI440)</f>
        <v>3128997.0787746995</v>
      </c>
      <c r="AB440" s="21">
        <f>S440*2</f>
        <v>3128997.0787746995</v>
      </c>
      <c r="AC440" s="21">
        <f>T440*2</f>
        <v>0</v>
      </c>
      <c r="AD440" s="21"/>
      <c r="AE440" s="21"/>
      <c r="AF440" s="21"/>
      <c r="AG440" s="21"/>
      <c r="AH440" s="21"/>
      <c r="AI440" s="20">
        <f>Z440*2</f>
        <v>0</v>
      </c>
      <c r="AJ440" s="21">
        <f>(AQ440-IF(MID(E440,1,1)="1",트라이포드!$D$21,트라이포드!$C$21))*(1-입력란!$P$10/100)</f>
        <v>35.567196189119997</v>
      </c>
      <c r="AK44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0" s="21">
        <f>입력란!$P$24+IF(입력란!$C$18=1,10,IF(입력란!$C$18=2,25,IF(입력란!$C$18=3,50,0)))+IF(입력란!$C$23&lt;&gt;0,-12)</f>
        <v>200</v>
      </c>
      <c r="AM440" s="21">
        <f>SUM(AN440:AP440)</f>
        <v>516683.24686067627</v>
      </c>
      <c r="AN440" s="21">
        <f>(VLOOKUP(C440,$B$4:$AJ$7,25,FALSE)+VLOOKUP(C440,$B$8:$AJ$11,25,FALSE)*입력란!$P$4)*입력란!$P$25/100</f>
        <v>516683.24686067627</v>
      </c>
      <c r="AO440" s="21"/>
      <c r="AP440" s="21"/>
      <c r="AQ440" s="22">
        <v>36</v>
      </c>
    </row>
    <row r="441" spans="2:43" ht="13.5" customHeight="1" x14ac:dyDescent="0.55000000000000004">
      <c r="B441" s="66">
        <v>426</v>
      </c>
      <c r="C441" s="29">
        <v>10</v>
      </c>
      <c r="D441" s="67" t="s">
        <v>220</v>
      </c>
      <c r="E441" s="27" t="s">
        <v>196</v>
      </c>
      <c r="F441" s="29"/>
      <c r="G441" s="29"/>
      <c r="H441" s="37">
        <f>I441/AJ441</f>
        <v>162305.73908467239</v>
      </c>
      <c r="I441" s="37">
        <f>SUM(J441:Q441)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4650278.9409637582</v>
      </c>
      <c r="J441" s="21">
        <f>S441*(1+IF($AK441+IF(입력란!$C$10=1,0,IF(입력란!$C$9=1,10,0))+IF(입력란!$C$26=1,10,0)&gt;100,100,$AK441+IF(입력란!$C$10=1,0,IF(입력란!$C$9=1,10,0))+IF(입력란!$C$26=1,10,0))/100*(($AL441+IF(입력란!$C$30=1,IF(OR(입력란!$C$9=1,입력란!$C$10=1),55,17),IF(입력란!$C$30=2,IF(OR(입력란!$C$9=1,입력란!$C$10=1),60,20),IF(입력란!$C$30=3,IF(OR(입력란!$C$9=1,입력란!$C$10=1),65,22),0))))/100-1))</f>
        <v>2537330.3714595325</v>
      </c>
      <c r="K441" s="21">
        <f>T441*(1+IF($AK441+IF(입력란!$C$26=1,10,0)&gt;100,100,$AK441+IF(입력란!$C$26=1,10,0))/100*(($AL441+IF(입력란!$C$30=1,17,IF(입력란!$C$30=2,20,IF(입력란!$C$30=3,22,0))))/100-1))</f>
        <v>755835.08492723736</v>
      </c>
      <c r="L441" s="21"/>
      <c r="M441" s="21"/>
      <c r="N441" s="21"/>
      <c r="O441" s="21"/>
      <c r="P441" s="21"/>
      <c r="Q441" s="20">
        <f>Z441*(1+IF($AK441+IF(입력란!$C$26=1,10,0)&gt;100,100,$AK441+IF(입력란!$C$26=1,10,0))/100*(($AL441+IF(입력란!$C$30=1,17,IF(입력란!$C$30=2,20,IF(입력란!$C$30=3,22,0))))/100-1))</f>
        <v>0</v>
      </c>
      <c r="R441" s="19">
        <f>SUM(S441:Z441)</f>
        <v>2061164.7423674609</v>
      </c>
      <c r="S441" s="21">
        <f>AN441*IF(MID(E441,1,1)="2",트라이포드!$E$21,1)*IF(MID(E441,3,1)="2",트라이포드!$L$21,트라이포드!$K$21)*IF(G441="무력화",1.5,1)*IF(MID(E441,3,1)="3",트라이포드!$N$21,트라이포드!$M$21)*IF(MID(E441,5,1)="1",트라이포드!$P$21,트라이포드!$O$21)*IF(MID(E441,5,1)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1564498.5393873497</v>
      </c>
      <c r="T441" s="21">
        <f>AN441*IF(MID(E441,3,1)="1",트라이포드!$J$21,트라이포드!$I$21)*IF(MID(E441,5,1)="1",2,1)*(1+입력란!$P$17/100)*IF(입력란!$C$30=1,1.07,IF(입력란!$C$30=2,1.08,IF(입력란!$C$30=3,1.09,1)))</f>
        <v>496666.20298011106</v>
      </c>
      <c r="U441" s="21"/>
      <c r="V441" s="21"/>
      <c r="W441" s="21"/>
      <c r="X441" s="21"/>
      <c r="Y441" s="21"/>
      <c r="Z441" s="20">
        <f>AN441*IF(MID(E441,1,1)="2",트라이포드!$F$21,0)*IF(MID(E441,5,1)="1",2,1)*(1+입력란!$P$17/100)*IF(입력란!$C$30=1,1.07,IF(입력란!$C$30=2,1.08,IF(입력란!$C$30=3,1.09,1)))</f>
        <v>0</v>
      </c>
      <c r="AA441" s="21">
        <f>SUM(AB441:AI441)</f>
        <v>4122329.4847349217</v>
      </c>
      <c r="AB441" s="21">
        <f>S441*2</f>
        <v>3128997.0787746995</v>
      </c>
      <c r="AC441" s="21">
        <f>T441*2</f>
        <v>993332.40596022212</v>
      </c>
      <c r="AD441" s="21"/>
      <c r="AE441" s="21"/>
      <c r="AF441" s="21"/>
      <c r="AG441" s="21"/>
      <c r="AH441" s="21"/>
      <c r="AI441" s="20">
        <f>Z441*2</f>
        <v>0</v>
      </c>
      <c r="AJ441" s="21">
        <f>(AQ441-IF(MID(E441,1,1)="1",트라이포드!$D$21,트라이포드!$C$21))*(1-입력란!$P$10/100)</f>
        <v>28.65135248568</v>
      </c>
      <c r="AK44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1" s="21">
        <f>입력란!$P$24+IF(입력란!$C$18=1,10,IF(입력란!$C$18=2,25,IF(입력란!$C$18=3,50,0)))+IF(입력란!$C$23&lt;&gt;0,-12)</f>
        <v>200</v>
      </c>
      <c r="AM441" s="21">
        <f>SUM(AN441:AP441)</f>
        <v>516683.24686067627</v>
      </c>
      <c r="AN441" s="21">
        <f>(VLOOKUP(C441,$B$4:$AJ$7,25,FALSE)+VLOOKUP(C441,$B$8:$AJ$11,25,FALSE)*입력란!$P$4)*입력란!$P$25/100</f>
        <v>516683.24686067627</v>
      </c>
      <c r="AO441" s="21"/>
      <c r="AP441" s="21"/>
      <c r="AQ441" s="22">
        <v>36</v>
      </c>
    </row>
    <row r="442" spans="2:43" ht="13.5" customHeight="1" x14ac:dyDescent="0.55000000000000004">
      <c r="B442" s="66">
        <v>427</v>
      </c>
      <c r="C442" s="29">
        <v>10</v>
      </c>
      <c r="D442" s="67" t="s">
        <v>220</v>
      </c>
      <c r="E442" s="27" t="s">
        <v>197</v>
      </c>
      <c r="F442" s="29"/>
      <c r="G442" s="29"/>
      <c r="H442" s="37">
        <f>I442/AJ442</f>
        <v>143679.83435715217</v>
      </c>
      <c r="I442" s="37">
        <f>SUM(J442:Q442)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4116621.5792508824</v>
      </c>
      <c r="J442" s="21">
        <f>S442*(1+IF($AK442+IF(입력란!$C$10=1,0,IF(입력란!$C$9=1,10,0))+IF(입력란!$C$26=1,10,0)&gt;100,100,$AK442+IF(입력란!$C$10=1,0,IF(입력란!$C$9=1,10,0))+IF(입력란!$C$26=1,10,0))/100*(($AL442+IF(입력란!$C$30=1,IF(OR(입력란!$C$9=1,입력란!$C$10=1),55,17),IF(입력란!$C$30=2,IF(OR(입력란!$C$9=1,입력란!$C$10=1),60,20),IF(입력란!$C$30=3,IF(OR(입력란!$C$9=1,입력란!$C$10=1),65,22),0))))/100-1))</f>
        <v>2537330.3714595325</v>
      </c>
      <c r="K442" s="21">
        <f>T442*(1+IF($AK442+IF(입력란!$C$26=1,10,0)&gt;100,100,$AK442+IF(입력란!$C$26=1,10,0))/100*(($AL442+IF(입력란!$C$30=1,17,IF(입력란!$C$30=2,20,IF(입력란!$C$30=3,22,0))))/100-1))</f>
        <v>377917.54246361868</v>
      </c>
      <c r="L442" s="21"/>
      <c r="M442" s="21"/>
      <c r="N442" s="21"/>
      <c r="O442" s="21"/>
      <c r="P442" s="21"/>
      <c r="Q442" s="20">
        <f>Z442*(1+IF($AK442+IF(입력란!$C$26=1,10,0)&gt;100,100,$AK442+IF(입력란!$C$26=1,10,0))/100*(($AL442+IF(입력란!$C$30=1,17,IF(입력란!$C$30=2,20,IF(입력란!$C$30=3,22,0))))/100-1))</f>
        <v>0</v>
      </c>
      <c r="R442" s="19">
        <f>SUM(S442:Z442)</f>
        <v>1812831.6408774052</v>
      </c>
      <c r="S442" s="21">
        <f>AN442*IF(MID(E442,1,1)="2",트라이포드!$E$21,1)*IF(MID(E442,3,1)="2",트라이포드!$L$21,트라이포드!$K$21)*IF(G442="무력화",1.5,1)*IF(MID(E442,3,1)="3",트라이포드!$N$21,트라이포드!$M$21)*IF(MID(E442,5,1)="1",트라이포드!$P$21,트라이포드!$O$21)*IF(MID(E442,5,1)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1564498.5393873497</v>
      </c>
      <c r="T442" s="21">
        <f>AN442*IF(MID(E442,3,1)="1",트라이포드!$J$21,트라이포드!$I$21)*IF(MID(E442,5,1)="1",2,1)*(1+입력란!$P$17/100)*IF(입력란!$C$30=1,1.07,IF(입력란!$C$30=2,1.08,IF(입력란!$C$30=3,1.09,1)))</f>
        <v>248333.10149005553</v>
      </c>
      <c r="U442" s="21"/>
      <c r="V442" s="21"/>
      <c r="W442" s="21"/>
      <c r="X442" s="21"/>
      <c r="Y442" s="21"/>
      <c r="Z442" s="20">
        <f>AN442*IF(MID(E442,1,1)="2",트라이포드!$F$21,0)*IF(MID(E442,5,1)="1",2,1)*(1+입력란!$P$17/100)*IF(입력란!$C$30=1,1.07,IF(입력란!$C$30=2,1.08,IF(입력란!$C$30=3,1.09,1)))</f>
        <v>0</v>
      </c>
      <c r="AA442" s="21">
        <f>SUM(AB442:AI442)</f>
        <v>3625663.2817548104</v>
      </c>
      <c r="AB442" s="21">
        <f>S442*2</f>
        <v>3128997.0787746995</v>
      </c>
      <c r="AC442" s="21">
        <f>T442*2</f>
        <v>496666.20298011106</v>
      </c>
      <c r="AD442" s="21"/>
      <c r="AE442" s="21"/>
      <c r="AF442" s="21"/>
      <c r="AG442" s="21"/>
      <c r="AH442" s="21"/>
      <c r="AI442" s="20">
        <f>Z442*2</f>
        <v>0</v>
      </c>
      <c r="AJ442" s="21">
        <f>(AQ442-IF(MID(E442,1,1)="1",트라이포드!$D$21,트라이포드!$C$21))*(1-입력란!$P$10/100)</f>
        <v>28.65135248568</v>
      </c>
      <c r="AK44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2" s="21">
        <f>입력란!$P$24+IF(입력란!$C$18=1,10,IF(입력란!$C$18=2,25,IF(입력란!$C$18=3,50,0)))+IF(입력란!$C$23&lt;&gt;0,-12)</f>
        <v>200</v>
      </c>
      <c r="AM442" s="21">
        <f>SUM(AN442:AP442)</f>
        <v>516683.24686067627</v>
      </c>
      <c r="AN442" s="21">
        <f>(VLOOKUP(C442,$B$4:$AJ$7,25,FALSE)+VLOOKUP(C442,$B$8:$AJ$11,25,FALSE)*입력란!$P$4)*입력란!$P$25/100</f>
        <v>516683.24686067627</v>
      </c>
      <c r="AO442" s="21"/>
      <c r="AP442" s="21"/>
      <c r="AQ442" s="22">
        <v>36</v>
      </c>
    </row>
    <row r="443" spans="2:43" ht="13.5" customHeight="1" x14ac:dyDescent="0.55000000000000004">
      <c r="B443" s="66">
        <v>428</v>
      </c>
      <c r="C443" s="29">
        <v>10</v>
      </c>
      <c r="D443" s="67" t="s">
        <v>220</v>
      </c>
      <c r="E443" s="27" t="s">
        <v>206</v>
      </c>
      <c r="F443" s="29"/>
      <c r="G443" s="29"/>
      <c r="H443" s="37">
        <f>I443/AJ443</f>
        <v>156317.41203703987</v>
      </c>
      <c r="I443" s="37">
        <f>SUM(J443:Q443)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4478705.2719225073</v>
      </c>
      <c r="J443" s="21">
        <f>S443*(1+IF($AK443+IF(입력란!$C$10=1,0,IF(입력란!$C$9=1,10,0))+IF(입력란!$C$26=1,10,0)&gt;100,100,$AK443+IF(입력란!$C$10=1,0,IF(입력란!$C$9=1,10,0))+IF(입력란!$C$26=1,10,0))/100*(($AL443+IF(입력란!$C$30=1,IF(OR(입력란!$C$9=1,입력란!$C$10=1),55,17),IF(입력란!$C$30=2,IF(OR(입력란!$C$9=1,입력란!$C$10=1),60,20),IF(입력란!$C$30=3,IF(OR(입력란!$C$9=1,입력란!$C$10=1),65,22),0))))/100-1))</f>
        <v>3171662.9643244157</v>
      </c>
      <c r="K443" s="21">
        <f>T443*(1+IF($AK443+IF(입력란!$C$26=1,10,0)&gt;100,100,$AK443+IF(입력란!$C$26=1,10,0))/100*(($AL443+IF(입력란!$C$30=1,17,IF(입력란!$C$30=2,20,IF(입력란!$C$30=3,22,0))))/100-1))</f>
        <v>0</v>
      </c>
      <c r="L443" s="21"/>
      <c r="M443" s="21"/>
      <c r="N443" s="21"/>
      <c r="O443" s="21"/>
      <c r="P443" s="21"/>
      <c r="Q443" s="20">
        <f>Z443*(1+IF($AK443+IF(입력란!$C$26=1,10,0)&gt;100,100,$AK443+IF(입력란!$C$26=1,10,0))/100*(($AL443+IF(입력란!$C$30=1,17,IF(입력란!$C$30=2,20,IF(입력란!$C$30=3,22,0))))/100-1))</f>
        <v>0</v>
      </c>
      <c r="R443" s="19">
        <f>SUM(S443:Z443)</f>
        <v>1955623.1742341872</v>
      </c>
      <c r="S443" s="21">
        <f>AN443*IF(MID(E443,1,1)="2",트라이포드!$E$21,1)*IF(MID(E443,3,1)="2",트라이포드!$L$21,트라이포드!$K$21)*IF(G443="무력화",1.5,1)*IF(MID(E443,3,1)="3",트라이포드!$N$21,트라이포드!$M$21)*IF(MID(E443,5,1)="1",트라이포드!$P$21,트라이포드!$O$21)*IF(MID(E443,5,1)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1955623.1742341872</v>
      </c>
      <c r="T443" s="21">
        <f>AN443*IF(MID(E443,3,1)="1",트라이포드!$J$21,트라이포드!$I$21)*IF(MID(E443,5,1)="1",2,1)*(1+입력란!$P$17/100)*IF(입력란!$C$30=1,1.07,IF(입력란!$C$30=2,1.08,IF(입력란!$C$30=3,1.09,1)))</f>
        <v>0</v>
      </c>
      <c r="U443" s="21"/>
      <c r="V443" s="21"/>
      <c r="W443" s="21"/>
      <c r="X443" s="21"/>
      <c r="Y443" s="21"/>
      <c r="Z443" s="20">
        <f>AN443*IF(MID(E443,1,1)="2",트라이포드!$F$21,0)*IF(MID(E443,5,1)="1",2,1)*(1+입력란!$P$17/100)*IF(입력란!$C$30=1,1.07,IF(입력란!$C$30=2,1.08,IF(입력란!$C$30=3,1.09,1)))</f>
        <v>0</v>
      </c>
      <c r="AA443" s="21">
        <f>SUM(AB443:AI443)</f>
        <v>3911246.3484683745</v>
      </c>
      <c r="AB443" s="21">
        <f>S443*2</f>
        <v>3911246.3484683745</v>
      </c>
      <c r="AC443" s="21">
        <f>T443*2</f>
        <v>0</v>
      </c>
      <c r="AD443" s="21"/>
      <c r="AE443" s="21"/>
      <c r="AF443" s="21"/>
      <c r="AG443" s="21"/>
      <c r="AH443" s="21"/>
      <c r="AI443" s="20">
        <f>Z443*2</f>
        <v>0</v>
      </c>
      <c r="AJ443" s="21">
        <f>(AQ443-IF(MID(E443,1,1)="1",트라이포드!$D$21,트라이포드!$C$21))*(1-입력란!$P$10/100)</f>
        <v>28.65135248568</v>
      </c>
      <c r="AK44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3" s="21">
        <f>입력란!$P$24+IF(입력란!$C$18=1,10,IF(입력란!$C$18=2,25,IF(입력란!$C$18=3,50,0)))+IF(입력란!$C$23&lt;&gt;0,-12)</f>
        <v>200</v>
      </c>
      <c r="AM443" s="21">
        <f>SUM(AN443:AP443)</f>
        <v>516683.24686067627</v>
      </c>
      <c r="AN443" s="21">
        <f>(VLOOKUP(C443,$B$4:$AJ$7,25,FALSE)+VLOOKUP(C443,$B$8:$AJ$11,25,FALSE)*입력란!$P$4)*입력란!$P$25/100</f>
        <v>516683.24686067627</v>
      </c>
      <c r="AO443" s="21"/>
      <c r="AP443" s="21"/>
      <c r="AQ443" s="22">
        <v>36</v>
      </c>
    </row>
    <row r="444" spans="2:43" ht="13.5" customHeight="1" x14ac:dyDescent="0.55000000000000004">
      <c r="B444" s="66">
        <v>429</v>
      </c>
      <c r="C444" s="29">
        <v>10</v>
      </c>
      <c r="D444" s="67" t="s">
        <v>50</v>
      </c>
      <c r="E444" s="27" t="s">
        <v>180</v>
      </c>
      <c r="F444" s="29"/>
      <c r="G444" s="29" t="s">
        <v>229</v>
      </c>
      <c r="H444" s="37">
        <f>I444/AJ444</f>
        <v>234476.11805555984</v>
      </c>
      <c r="I444" s="37">
        <f>SUM(J444:Q444)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6718057.9078837615</v>
      </c>
      <c r="J444" s="21">
        <f>S444*(1+IF($AK444+IF(입력란!$C$10=1,0,IF(입력란!$C$9=1,10,0))+IF(입력란!$C$26=1,10,0)&gt;100,100,$AK444+IF(입력란!$C$10=1,0,IF(입력란!$C$9=1,10,0))+IF(입력란!$C$26=1,10,0))/100*(($AL444+IF(입력란!$C$30=1,IF(OR(입력란!$C$9=1,입력란!$C$10=1),55,17),IF(입력란!$C$30=2,IF(OR(입력란!$C$9=1,입력란!$C$10=1),60,20),IF(입력란!$C$30=3,IF(OR(입력란!$C$9=1,입력란!$C$10=1),65,22),0))))/100-1))</f>
        <v>4757494.446486623</v>
      </c>
      <c r="K444" s="21">
        <f>T444*(1+IF($AK444+IF(입력란!$C$26=1,10,0)&gt;100,100,$AK444+IF(입력란!$C$26=1,10,0))/100*(($AL444+IF(입력란!$C$30=1,17,IF(입력란!$C$30=2,20,IF(입력란!$C$30=3,22,0))))/100-1))</f>
        <v>0</v>
      </c>
      <c r="L444" s="21"/>
      <c r="M444" s="21"/>
      <c r="N444" s="21"/>
      <c r="O444" s="21"/>
      <c r="P444" s="21"/>
      <c r="Q444" s="20">
        <f>Z444*(1+IF($AK444+IF(입력란!$C$26=1,10,0)&gt;100,100,$AK444+IF(입력란!$C$26=1,10,0))/100*(($AL444+IF(입력란!$C$30=1,17,IF(입력란!$C$30=2,20,IF(입력란!$C$30=3,22,0))))/100-1))</f>
        <v>0</v>
      </c>
      <c r="R444" s="19">
        <f>SUM(S444:Z444)</f>
        <v>2933434.7613512808</v>
      </c>
      <c r="S444" s="21">
        <f>AN444*IF(MID(E444,1,1)="2",트라이포드!$E$21,1)*IF(MID(E444,3,1)="2",트라이포드!$L$21,트라이포드!$K$21)*IF(G444="무력화",1.5,1)*IF(MID(E444,3,1)="3",트라이포드!$N$21,트라이포드!$M$21)*IF(MID(E444,5,1)="1",트라이포드!$P$21,트라이포드!$O$21)*IF(MID(E444,5,1)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2933434.7613512808</v>
      </c>
      <c r="T444" s="21">
        <f>AN444*IF(MID(E444,3,1)="1",트라이포드!$J$21,트라이포드!$I$21)*IF(MID(E444,5,1)="1",2,1)*(1+입력란!$P$17/100)*IF(입력란!$C$30=1,1.07,IF(입력란!$C$30=2,1.08,IF(입력란!$C$30=3,1.09,1)))</f>
        <v>0</v>
      </c>
      <c r="U444" s="21"/>
      <c r="V444" s="21"/>
      <c r="W444" s="21"/>
      <c r="X444" s="21"/>
      <c r="Y444" s="21"/>
      <c r="Z444" s="20">
        <f>AN444*IF(MID(E444,1,1)="2",트라이포드!$F$21,0)*IF(MID(E444,5,1)="1",2,1)*(1+입력란!$P$17/100)*IF(입력란!$C$30=1,1.07,IF(입력란!$C$30=2,1.08,IF(입력란!$C$30=3,1.09,1)))</f>
        <v>0</v>
      </c>
      <c r="AA444" s="21">
        <f>SUM(AB444:AI444)</f>
        <v>5866869.5227025617</v>
      </c>
      <c r="AB444" s="21">
        <f>S444*2</f>
        <v>5866869.5227025617</v>
      </c>
      <c r="AC444" s="21">
        <f>T444*2</f>
        <v>0</v>
      </c>
      <c r="AD444" s="21"/>
      <c r="AE444" s="21"/>
      <c r="AF444" s="21"/>
      <c r="AG444" s="21"/>
      <c r="AH444" s="21"/>
      <c r="AI444" s="20">
        <f>Z444*2</f>
        <v>0</v>
      </c>
      <c r="AJ444" s="21">
        <f>(AQ444-IF(MID(E444,1,1)="1",트라이포드!$D$21,트라이포드!$C$21))*(1-입력란!$P$10/100)</f>
        <v>28.65135248568</v>
      </c>
      <c r="AK44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4" s="21">
        <f>입력란!$P$24+IF(입력란!$C$18=1,10,IF(입력란!$C$18=2,25,IF(입력란!$C$18=3,50,0)))+IF(입력란!$C$23&lt;&gt;0,-12)</f>
        <v>200</v>
      </c>
      <c r="AM444" s="21">
        <f>SUM(AN444:AP444)</f>
        <v>516683.24686067627</v>
      </c>
      <c r="AN444" s="21">
        <f>(VLOOKUP(C444,$B$4:$AJ$7,25,FALSE)+VLOOKUP(C444,$B$8:$AJ$11,25,FALSE)*입력란!$P$4)*입력란!$P$25/100</f>
        <v>516683.24686067627</v>
      </c>
      <c r="AO444" s="21"/>
      <c r="AP444" s="21"/>
      <c r="AQ444" s="22">
        <v>36</v>
      </c>
    </row>
    <row r="445" spans="2:43" ht="13.5" customHeight="1" x14ac:dyDescent="0.55000000000000004">
      <c r="B445" s="66">
        <v>430</v>
      </c>
      <c r="C445" s="29">
        <v>10</v>
      </c>
      <c r="D445" s="67" t="s">
        <v>220</v>
      </c>
      <c r="E445" s="27" t="s">
        <v>217</v>
      </c>
      <c r="F445" s="29"/>
      <c r="G445" s="29"/>
      <c r="H445" s="37">
        <f>I445/AJ445</f>
        <v>156317.41203703987</v>
      </c>
      <c r="I445" s="37">
        <f>SUM(J445:Q445)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4478705.2719225073</v>
      </c>
      <c r="J445" s="21">
        <f>S445*(1+IF($AK445+IF(입력란!$C$10=1,0,IF(입력란!$C$9=1,10,0))+IF(입력란!$C$26=1,10,0)&gt;100,100,$AK445+IF(입력란!$C$10=1,0,IF(입력란!$C$9=1,10,0))+IF(입력란!$C$26=1,10,0))/100*(($AL445+IF(입력란!$C$30=1,IF(OR(입력란!$C$9=1,입력란!$C$10=1),55,17),IF(입력란!$C$30=2,IF(OR(입력란!$C$9=1,입력란!$C$10=1),60,20),IF(입력란!$C$30=3,IF(OR(입력란!$C$9=1,입력란!$C$10=1),65,22),0))))/100-1))</f>
        <v>3171662.9643244157</v>
      </c>
      <c r="K445" s="21">
        <f>T445*(1+IF($AK445+IF(입력란!$C$26=1,10,0)&gt;100,100,$AK445+IF(입력란!$C$26=1,10,0))/100*(($AL445+IF(입력란!$C$30=1,17,IF(입력란!$C$30=2,20,IF(입력란!$C$30=3,22,0))))/100-1))</f>
        <v>0</v>
      </c>
      <c r="L445" s="21"/>
      <c r="M445" s="21"/>
      <c r="N445" s="21"/>
      <c r="O445" s="21"/>
      <c r="P445" s="21"/>
      <c r="Q445" s="20">
        <f>Z445*(1+IF($AK445+IF(입력란!$C$26=1,10,0)&gt;100,100,$AK445+IF(입력란!$C$26=1,10,0))/100*(($AL445+IF(입력란!$C$30=1,17,IF(입력란!$C$30=2,20,IF(입력란!$C$30=3,22,0))))/100-1))</f>
        <v>0</v>
      </c>
      <c r="R445" s="19">
        <f>SUM(S445:Z445)</f>
        <v>1955623.1742341872</v>
      </c>
      <c r="S445" s="21">
        <f>AN445*IF(MID(E445,1,1)="2",트라이포드!$E$21,1)*IF(MID(E445,3,1)="2",트라이포드!$L$21,트라이포드!$K$21)*IF(G445="무력화",1.5,1)*IF(MID(E445,3,1)="3",트라이포드!$N$21,트라이포드!$M$21)*IF(MID(E445,5,1)="1",트라이포드!$P$21,트라이포드!$O$21)*IF(MID(E445,5,1)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1955623.1742341872</v>
      </c>
      <c r="T445" s="21">
        <f>AN445*IF(MID(E445,3,1)="1",트라이포드!$J$21,트라이포드!$I$21)*IF(MID(E445,5,1)="1",2,1)*(1+입력란!$P$17/100)*IF(입력란!$C$30=1,1.07,IF(입력란!$C$30=2,1.08,IF(입력란!$C$30=3,1.09,1)))</f>
        <v>0</v>
      </c>
      <c r="U445" s="21"/>
      <c r="V445" s="21"/>
      <c r="W445" s="21"/>
      <c r="X445" s="21"/>
      <c r="Y445" s="21"/>
      <c r="Z445" s="20">
        <f>AN445*IF(MID(E445,1,1)="2",트라이포드!$F$21,0)*IF(MID(E445,5,1)="1",2,1)*(1+입력란!$P$17/100)*IF(입력란!$C$30=1,1.07,IF(입력란!$C$30=2,1.08,IF(입력란!$C$30=3,1.09,1)))</f>
        <v>0</v>
      </c>
      <c r="AA445" s="21">
        <f>SUM(AB445:AI445)</f>
        <v>3911246.3484683745</v>
      </c>
      <c r="AB445" s="21">
        <f>S445*2</f>
        <v>3911246.3484683745</v>
      </c>
      <c r="AC445" s="21">
        <f>T445*2</f>
        <v>0</v>
      </c>
      <c r="AD445" s="21"/>
      <c r="AE445" s="21"/>
      <c r="AF445" s="21"/>
      <c r="AG445" s="21"/>
      <c r="AH445" s="21"/>
      <c r="AI445" s="20">
        <f>Z445*2</f>
        <v>0</v>
      </c>
      <c r="AJ445" s="21">
        <f>(AQ445-IF(MID(E445,1,1)="1",트라이포드!$D$21,트라이포드!$C$21))*(1-입력란!$P$10/100)</f>
        <v>28.65135248568</v>
      </c>
      <c r="AK4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5" s="21">
        <f>입력란!$P$24+IF(입력란!$C$18=1,10,IF(입력란!$C$18=2,25,IF(입력란!$C$18=3,50,0)))+IF(입력란!$C$23&lt;&gt;0,-12)</f>
        <v>200</v>
      </c>
      <c r="AM445" s="21">
        <f>SUM(AN445:AP445)</f>
        <v>516683.24686067627</v>
      </c>
      <c r="AN445" s="21">
        <f>(VLOOKUP(C445,$B$4:$AJ$7,25,FALSE)+VLOOKUP(C445,$B$8:$AJ$11,25,FALSE)*입력란!$P$4)*입력란!$P$25/100</f>
        <v>516683.24686067627</v>
      </c>
      <c r="AO445" s="21"/>
      <c r="AP445" s="21"/>
      <c r="AQ445" s="22">
        <v>36</v>
      </c>
    </row>
    <row r="446" spans="2:43" ht="13.5" customHeight="1" x14ac:dyDescent="0.55000000000000004">
      <c r="B446" s="66">
        <v>431</v>
      </c>
      <c r="C446" s="29">
        <v>10</v>
      </c>
      <c r="D446" s="67" t="s">
        <v>50</v>
      </c>
      <c r="E446" s="27" t="s">
        <v>181</v>
      </c>
      <c r="F446" s="29"/>
      <c r="G446" s="29" t="s">
        <v>229</v>
      </c>
      <c r="H446" s="37">
        <f>I446/AJ446</f>
        <v>234476.11805555984</v>
      </c>
      <c r="I446" s="37">
        <f>SUM(J446:Q446)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6718057.9078837615</v>
      </c>
      <c r="J446" s="21">
        <f>S446*(1+IF($AK446+IF(입력란!$C$10=1,0,IF(입력란!$C$9=1,10,0))+IF(입력란!$C$26=1,10,0)&gt;100,100,$AK446+IF(입력란!$C$10=1,0,IF(입력란!$C$9=1,10,0))+IF(입력란!$C$26=1,10,0))/100*(($AL446+IF(입력란!$C$30=1,IF(OR(입력란!$C$9=1,입력란!$C$10=1),55,17),IF(입력란!$C$30=2,IF(OR(입력란!$C$9=1,입력란!$C$10=1),60,20),IF(입력란!$C$30=3,IF(OR(입력란!$C$9=1,입력란!$C$10=1),65,22),0))))/100-1))</f>
        <v>4757494.446486623</v>
      </c>
      <c r="K446" s="21">
        <f>T446*(1+IF($AK446+IF(입력란!$C$26=1,10,0)&gt;100,100,$AK446+IF(입력란!$C$26=1,10,0))/100*(($AL446+IF(입력란!$C$30=1,17,IF(입력란!$C$30=2,20,IF(입력란!$C$30=3,22,0))))/100-1))</f>
        <v>0</v>
      </c>
      <c r="L446" s="21"/>
      <c r="M446" s="21"/>
      <c r="N446" s="21"/>
      <c r="O446" s="21"/>
      <c r="P446" s="21"/>
      <c r="Q446" s="20">
        <f>Z446*(1+IF($AK446+IF(입력란!$C$26=1,10,0)&gt;100,100,$AK446+IF(입력란!$C$26=1,10,0))/100*(($AL446+IF(입력란!$C$30=1,17,IF(입력란!$C$30=2,20,IF(입력란!$C$30=3,22,0))))/100-1))</f>
        <v>0</v>
      </c>
      <c r="R446" s="19">
        <f>SUM(S446:Z446)</f>
        <v>2933434.7613512808</v>
      </c>
      <c r="S446" s="21">
        <f>AN446*IF(MID(E446,1,1)="2",트라이포드!$E$21,1)*IF(MID(E446,3,1)="2",트라이포드!$L$21,트라이포드!$K$21)*IF(G446="무력화",1.5,1)*IF(MID(E446,3,1)="3",트라이포드!$N$21,트라이포드!$M$21)*IF(MID(E446,5,1)="1",트라이포드!$P$21,트라이포드!$O$21)*IF(MID(E446,5,1)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2933434.7613512808</v>
      </c>
      <c r="T446" s="21">
        <f>AN446*IF(MID(E446,3,1)="1",트라이포드!$J$21,트라이포드!$I$21)*IF(MID(E446,5,1)="1",2,1)*(1+입력란!$P$17/100)*IF(입력란!$C$30=1,1.07,IF(입력란!$C$30=2,1.08,IF(입력란!$C$30=3,1.09,1)))</f>
        <v>0</v>
      </c>
      <c r="U446" s="21"/>
      <c r="V446" s="21"/>
      <c r="W446" s="21"/>
      <c r="X446" s="21"/>
      <c r="Y446" s="21"/>
      <c r="Z446" s="20">
        <f>AN446*IF(MID(E446,1,1)="2",트라이포드!$F$21,0)*IF(MID(E446,5,1)="1",2,1)*(1+입력란!$P$17/100)*IF(입력란!$C$30=1,1.07,IF(입력란!$C$30=2,1.08,IF(입력란!$C$30=3,1.09,1)))</f>
        <v>0</v>
      </c>
      <c r="AA446" s="21">
        <f>SUM(AB446:AI446)</f>
        <v>5866869.5227025617</v>
      </c>
      <c r="AB446" s="21">
        <f>S446*2</f>
        <v>5866869.5227025617</v>
      </c>
      <c r="AC446" s="21">
        <f>T446*2</f>
        <v>0</v>
      </c>
      <c r="AD446" s="21"/>
      <c r="AE446" s="21"/>
      <c r="AF446" s="21"/>
      <c r="AG446" s="21"/>
      <c r="AH446" s="21"/>
      <c r="AI446" s="20">
        <f>Z446*2</f>
        <v>0</v>
      </c>
      <c r="AJ446" s="21">
        <f>(AQ446-IF(MID(E446,1,1)="1",트라이포드!$D$21,트라이포드!$C$21))*(1-입력란!$P$10/100)</f>
        <v>28.65135248568</v>
      </c>
      <c r="AK4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6" s="21">
        <f>입력란!$P$24+IF(입력란!$C$18=1,10,IF(입력란!$C$18=2,25,IF(입력란!$C$18=3,50,0)))+IF(입력란!$C$23&lt;&gt;0,-12)</f>
        <v>200</v>
      </c>
      <c r="AM446" s="21">
        <f>SUM(AN446:AP446)</f>
        <v>516683.24686067627</v>
      </c>
      <c r="AN446" s="21">
        <f>(VLOOKUP(C446,$B$4:$AJ$7,25,FALSE)+VLOOKUP(C446,$B$8:$AJ$11,25,FALSE)*입력란!$P$4)*입력란!$P$25/100</f>
        <v>516683.24686067627</v>
      </c>
      <c r="AO446" s="21"/>
      <c r="AP446" s="21"/>
      <c r="AQ446" s="22">
        <v>36</v>
      </c>
    </row>
    <row r="447" spans="2:43" ht="13.5" customHeight="1" x14ac:dyDescent="0.55000000000000004">
      <c r="B447" s="66">
        <v>432</v>
      </c>
      <c r="C447" s="29">
        <v>10</v>
      </c>
      <c r="D447" s="67" t="s">
        <v>220</v>
      </c>
      <c r="E447" s="27" t="s">
        <v>198</v>
      </c>
      <c r="F447" s="29"/>
      <c r="G447" s="29" t="s">
        <v>402</v>
      </c>
      <c r="H447" s="37">
        <f>I447/AJ447</f>
        <v>156317.41203703987</v>
      </c>
      <c r="I447" s="37">
        <f>SUM(J447:Q447)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4478705.2719225073</v>
      </c>
      <c r="J447" s="21">
        <f>S447*(1+IF($AK447+IF(입력란!$C$10=1,0,IF(입력란!$C$9=1,10,0))+IF(입력란!$C$26=1,10,0)&gt;100,100,$AK447+IF(입력란!$C$10=1,0,IF(입력란!$C$9=1,10,0))+IF(입력란!$C$26=1,10,0))/100*(($AL447+IF(입력란!$C$30=1,IF(OR(입력란!$C$9=1,입력란!$C$10=1),55,17),IF(입력란!$C$30=2,IF(OR(입력란!$C$9=1,입력란!$C$10=1),60,20),IF(입력란!$C$30=3,IF(OR(입력란!$C$9=1,입력란!$C$10=1),65,22),0))))/100-1))</f>
        <v>3171662.9643244157</v>
      </c>
      <c r="K447" s="21">
        <f>T447*(1+IF($AK447+IF(입력란!$C$26=1,10,0)&gt;100,100,$AK447+IF(입력란!$C$26=1,10,0))/100*(($AL447+IF(입력란!$C$30=1,17,IF(입력란!$C$30=2,20,IF(입력란!$C$30=3,22,0))))/100-1))</f>
        <v>0</v>
      </c>
      <c r="L447" s="21"/>
      <c r="M447" s="21"/>
      <c r="N447" s="21"/>
      <c r="O447" s="21"/>
      <c r="P447" s="21"/>
      <c r="Q447" s="20">
        <f>Z447*(1+IF($AK447+IF(입력란!$C$26=1,10,0)&gt;100,100,$AK447+IF(입력란!$C$26=1,10,0))/100*(($AL447+IF(입력란!$C$30=1,17,IF(입력란!$C$30=2,20,IF(입력란!$C$30=3,22,0))))/100-1))</f>
        <v>0</v>
      </c>
      <c r="R447" s="19">
        <f>SUM(S447:Z447)</f>
        <v>1955623.1742341872</v>
      </c>
      <c r="S447" s="21">
        <f>AN447*IF(MID(E447,1,1)="2",트라이포드!$E$21,1)*IF(MID(E447,3,1)="2",트라이포드!$L$21,트라이포드!$K$21)*IF(G447="무력화",1.5,1)*IF(MID(E447,3,1)="3",트라이포드!$N$21,트라이포드!$M$21)*IF(MID(E447,5,1)="1",트라이포드!$P$21,트라이포드!$O$21)*IF(MID(E447,5,1)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1955623.1742341872</v>
      </c>
      <c r="T447" s="21">
        <f>AN447*IF(MID(E447,3,1)="1",트라이포드!$J$21,트라이포드!$I$21)*IF(MID(E447,5,1)="1",2,1)*(1+입력란!$P$17/100)*IF(입력란!$C$30=1,1.07,IF(입력란!$C$30=2,1.08,IF(입력란!$C$30=3,1.09,1)))</f>
        <v>0</v>
      </c>
      <c r="U447" s="21"/>
      <c r="V447" s="21"/>
      <c r="W447" s="21"/>
      <c r="X447" s="21"/>
      <c r="Y447" s="21"/>
      <c r="Z447" s="20">
        <f>AN447*IF(MID(E447,1,1)="2",트라이포드!$F$21,0)*IF(MID(E447,5,1)="1",2,1)*(1+입력란!$P$17/100)*IF(입력란!$C$30=1,1.07,IF(입력란!$C$30=2,1.08,IF(입력란!$C$30=3,1.09,1)))</f>
        <v>0</v>
      </c>
      <c r="AA447" s="21">
        <f>SUM(AB447:AI447)</f>
        <v>3911246.3484683745</v>
      </c>
      <c r="AB447" s="21">
        <f>S447*2</f>
        <v>3911246.3484683745</v>
      </c>
      <c r="AC447" s="21">
        <f>T447*2</f>
        <v>0</v>
      </c>
      <c r="AD447" s="21"/>
      <c r="AE447" s="21"/>
      <c r="AF447" s="21"/>
      <c r="AG447" s="21"/>
      <c r="AH447" s="21"/>
      <c r="AI447" s="20">
        <f>Z447*2</f>
        <v>0</v>
      </c>
      <c r="AJ447" s="21">
        <f>(AQ447-IF(MID(E447,1,1)="1",트라이포드!$D$21,트라이포드!$C$21))*(1-입력란!$P$10/100)</f>
        <v>28.65135248568</v>
      </c>
      <c r="AK4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7" s="21">
        <f>입력란!$P$24+IF(입력란!$C$18=1,10,IF(입력란!$C$18=2,25,IF(입력란!$C$18=3,50,0)))+IF(입력란!$C$23&lt;&gt;0,-12)</f>
        <v>200</v>
      </c>
      <c r="AM447" s="21">
        <f>SUM(AN447:AP447)</f>
        <v>516683.24686067627</v>
      </c>
      <c r="AN447" s="21">
        <f>(VLOOKUP(C447,$B$4:$AJ$7,25,FALSE)+VLOOKUP(C447,$B$8:$AJ$11,25,FALSE)*입력란!$P$4)*입력란!$P$25/100</f>
        <v>516683.24686067627</v>
      </c>
      <c r="AO447" s="21"/>
      <c r="AP447" s="21"/>
      <c r="AQ447" s="22">
        <v>36</v>
      </c>
    </row>
    <row r="448" spans="2:43" ht="13.5" customHeight="1" x14ac:dyDescent="0.55000000000000004">
      <c r="B448" s="66">
        <v>433</v>
      </c>
      <c r="C448" s="29">
        <v>10</v>
      </c>
      <c r="D448" s="67" t="s">
        <v>220</v>
      </c>
      <c r="E448" s="27" t="s">
        <v>199</v>
      </c>
      <c r="F448" s="29"/>
      <c r="G448" s="29" t="s">
        <v>402</v>
      </c>
      <c r="H448" s="37">
        <f>I448/AJ448</f>
        <v>156317.41203703987</v>
      </c>
      <c r="I448" s="37">
        <f>SUM(J448:Q448)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4478705.2719225073</v>
      </c>
      <c r="J448" s="21">
        <f>S448*(1+IF($AK448+IF(입력란!$C$10=1,0,IF(입력란!$C$9=1,10,0))+IF(입력란!$C$26=1,10,0)&gt;100,100,$AK448+IF(입력란!$C$10=1,0,IF(입력란!$C$9=1,10,0))+IF(입력란!$C$26=1,10,0))/100*(($AL448+IF(입력란!$C$30=1,IF(OR(입력란!$C$9=1,입력란!$C$10=1),55,17),IF(입력란!$C$30=2,IF(OR(입력란!$C$9=1,입력란!$C$10=1),60,20),IF(입력란!$C$30=3,IF(OR(입력란!$C$9=1,입력란!$C$10=1),65,22),0))))/100-1))</f>
        <v>3171662.9643244157</v>
      </c>
      <c r="K448" s="21">
        <f>T448*(1+IF($AK448+IF(입력란!$C$26=1,10,0)&gt;100,100,$AK448+IF(입력란!$C$26=1,10,0))/100*(($AL448+IF(입력란!$C$30=1,17,IF(입력란!$C$30=2,20,IF(입력란!$C$30=3,22,0))))/100-1))</f>
        <v>0</v>
      </c>
      <c r="L448" s="21"/>
      <c r="M448" s="21"/>
      <c r="N448" s="21"/>
      <c r="O448" s="21"/>
      <c r="P448" s="21"/>
      <c r="Q448" s="20">
        <f>Z448*(1+IF($AK448+IF(입력란!$C$26=1,10,0)&gt;100,100,$AK448+IF(입력란!$C$26=1,10,0))/100*(($AL448+IF(입력란!$C$30=1,17,IF(입력란!$C$30=2,20,IF(입력란!$C$30=3,22,0))))/100-1))</f>
        <v>0</v>
      </c>
      <c r="R448" s="19">
        <f>SUM(S448:Z448)</f>
        <v>1955623.1742341872</v>
      </c>
      <c r="S448" s="21">
        <f>AN448*IF(MID(E448,1,1)="2",트라이포드!$E$21,1)*IF(MID(E448,3,1)="2",트라이포드!$L$21,트라이포드!$K$21)*IF(G448="무력화",1.5,1)*IF(MID(E448,3,1)="3",트라이포드!$N$21,트라이포드!$M$21)*IF(MID(E448,5,1)="1",트라이포드!$P$21,트라이포드!$O$21)*IF(MID(E448,5,1)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1955623.1742341872</v>
      </c>
      <c r="T448" s="21">
        <f>AN448*IF(MID(E448,3,1)="1",트라이포드!$J$21,트라이포드!$I$21)*IF(MID(E448,5,1)="1",2,1)*(1+입력란!$P$17/100)*IF(입력란!$C$30=1,1.07,IF(입력란!$C$30=2,1.08,IF(입력란!$C$30=3,1.09,1)))</f>
        <v>0</v>
      </c>
      <c r="U448" s="21"/>
      <c r="V448" s="21"/>
      <c r="W448" s="21"/>
      <c r="X448" s="21"/>
      <c r="Y448" s="21"/>
      <c r="Z448" s="20">
        <f>AN448*IF(MID(E448,1,1)="2",트라이포드!$F$21,0)*IF(MID(E448,5,1)="1",2,1)*(1+입력란!$P$17/100)*IF(입력란!$C$30=1,1.07,IF(입력란!$C$30=2,1.08,IF(입력란!$C$30=3,1.09,1)))</f>
        <v>0</v>
      </c>
      <c r="AA448" s="21">
        <f>SUM(AB448:AI448)</f>
        <v>3911246.3484683745</v>
      </c>
      <c r="AB448" s="21">
        <f>S448*2</f>
        <v>3911246.3484683745</v>
      </c>
      <c r="AC448" s="21">
        <f>T448*2</f>
        <v>0</v>
      </c>
      <c r="AD448" s="21"/>
      <c r="AE448" s="21"/>
      <c r="AF448" s="21"/>
      <c r="AG448" s="21"/>
      <c r="AH448" s="21"/>
      <c r="AI448" s="20">
        <f>Z448*2</f>
        <v>0</v>
      </c>
      <c r="AJ448" s="21">
        <f>(AQ448-IF(MID(E448,1,1)="1",트라이포드!$D$21,트라이포드!$C$21))*(1-입력란!$P$10/100)</f>
        <v>28.65135248568</v>
      </c>
      <c r="AK4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8" s="21">
        <f>입력란!$P$24+IF(입력란!$C$18=1,10,IF(입력란!$C$18=2,25,IF(입력란!$C$18=3,50,0)))+IF(입력란!$C$23&lt;&gt;0,-12)</f>
        <v>200</v>
      </c>
      <c r="AM448" s="21">
        <f>SUM(AN448:AP448)</f>
        <v>516683.24686067627</v>
      </c>
      <c r="AN448" s="21">
        <f>(VLOOKUP(C448,$B$4:$AJ$7,25,FALSE)+VLOOKUP(C448,$B$8:$AJ$11,25,FALSE)*입력란!$P$4)*입력란!$P$25/100</f>
        <v>516683.24686067627</v>
      </c>
      <c r="AO448" s="21"/>
      <c r="AP448" s="21"/>
      <c r="AQ448" s="22">
        <v>36</v>
      </c>
    </row>
    <row r="449" spans="2:43" ht="13.5" customHeight="1" x14ac:dyDescent="0.55000000000000004">
      <c r="B449" s="66">
        <v>434</v>
      </c>
      <c r="C449" s="29">
        <v>10</v>
      </c>
      <c r="D449" s="67" t="s">
        <v>220</v>
      </c>
      <c r="E449" s="27" t="s">
        <v>223</v>
      </c>
      <c r="F449" s="29" t="s">
        <v>215</v>
      </c>
      <c r="G449" s="29"/>
      <c r="H449" s="37">
        <f>I449/AJ449</f>
        <v>147857.53311918917</v>
      </c>
      <c r="I449" s="37">
        <f>SUM(J449:Q449)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5258877.888489509</v>
      </c>
      <c r="J449" s="21">
        <f>S449*(1+IF($AK449+IF(입력란!$C$10=1,0,IF(입력란!$C$9=1,10,0))+IF(입력란!$C$26=1,10,0)&gt;100,100,$AK449+IF(입력란!$C$10=1,0,IF(입력란!$C$9=1,10,0))+IF(입력란!$C$26=1,10,0))/100*(($AL449+IF(입력란!$C$30=1,IF(OR(입력란!$C$9=1,입력란!$C$10=1),55,17),IF(입력란!$C$30=2,IF(OR(입력란!$C$9=1,입력란!$C$10=1),60,20),IF(입력란!$C$30=3,IF(OR(입력란!$C$9=1,입력란!$C$10=1),65,22),0))))/100-1))</f>
        <v>2917929.927178462</v>
      </c>
      <c r="K449" s="21">
        <f>T449*(1+IF($AK449+IF(입력란!$C$26=1,10,0)&gt;100,100,$AK449+IF(입력란!$C$26=1,10,0))/100*(($AL449+IF(입력란!$C$30=1,17,IF(입력란!$C$30=2,20,IF(입력란!$C$30=3,22,0))))/100-1))</f>
        <v>755835.08492723736</v>
      </c>
      <c r="L449" s="21"/>
      <c r="M449" s="21"/>
      <c r="N449" s="21"/>
      <c r="O449" s="21"/>
      <c r="P449" s="21"/>
      <c r="Q449" s="20">
        <f>Z449*(1+IF($AK449+IF(입력란!$C$26=1,10,0)&gt;100,100,$AK449+IF(입력란!$C$26=1,10,0))/100*(($AL449+IF(입력란!$C$30=1,17,IF(입력란!$C$30=2,20,IF(입력란!$C$30=3,22,0))))/100-1))</f>
        <v>50389.005661815827</v>
      </c>
      <c r="R449" s="19">
        <f>SUM(S449:Z449)</f>
        <v>2328950.603474237</v>
      </c>
      <c r="S449" s="21">
        <f>AN449*IF(MID(E449,1,1)="2",트라이포드!$E$21,1)*IF(MID(E449,3,1)="2",트라이포드!$L$21,트라이포드!$K$21)*IF(G449="무력화",1.5,1)*IF(MID(E449,3,1)="3",트라이포드!$N$21,트라이포드!$M$21)*IF(MID(E449,5,1)="1",트라이포드!$P$21,트라이포드!$O$21)*IF(MID(E449,5,1)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1799173.3202954521</v>
      </c>
      <c r="T449" s="21">
        <f>AN449*IF(MID(E449,3,1)="1",트라이포드!$J$21,트라이포드!$I$21)*IF(MID(E449,5,1)="1",2,1)*(1+입력란!$P$17/100)*IF(입력란!$C$30=1,1.07,IF(입력란!$C$30=2,1.08,IF(입력란!$C$30=3,1.09,1)))</f>
        <v>496666.20298011106</v>
      </c>
      <c r="U449" s="21"/>
      <c r="V449" s="21"/>
      <c r="W449" s="21"/>
      <c r="X449" s="21"/>
      <c r="Y449" s="21"/>
      <c r="Z449" s="20">
        <f>AN449*IF(MID(E449,1,1)="2",트라이포드!$F$21,0)*IF(MID(E449,5,1)="1",2,1)*(1+입력란!$P$17/100)*IF(입력란!$C$30=1,1.07,IF(입력란!$C$30=2,1.08,IF(입력란!$C$30=3,1.09,1)))</f>
        <v>33111.08019867407</v>
      </c>
      <c r="AA449" s="21">
        <f>SUM(AB449:AI449)</f>
        <v>4657901.206948474</v>
      </c>
      <c r="AB449" s="21">
        <f>S449*2</f>
        <v>3598346.6405909043</v>
      </c>
      <c r="AC449" s="21">
        <f>T449*2</f>
        <v>993332.40596022212</v>
      </c>
      <c r="AD449" s="21"/>
      <c r="AE449" s="21"/>
      <c r="AF449" s="21"/>
      <c r="AG449" s="21"/>
      <c r="AH449" s="21"/>
      <c r="AI449" s="20">
        <f>Z449*2</f>
        <v>66222.16039734814</v>
      </c>
      <c r="AJ449" s="21">
        <f>(AQ449-IF(MID(E449,1,1)="1",트라이포드!$D$21,트라이포드!$C$21))*(1-입력란!$P$10/100)</f>
        <v>35.567196189119997</v>
      </c>
      <c r="AK4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49" s="21">
        <f>입력란!$P$24+IF(입력란!$C$18=1,10,IF(입력란!$C$18=2,25,IF(입력란!$C$18=3,50,0)))+IF(입력란!$C$23&lt;&gt;0,-12)</f>
        <v>200</v>
      </c>
      <c r="AM449" s="21">
        <f>SUM(AN449:AP449)</f>
        <v>516683.24686067627</v>
      </c>
      <c r="AN449" s="21">
        <f>(VLOOKUP(C449,$B$4:$AJ$7,25,FALSE)+VLOOKUP(C449,$B$8:$AJ$11,25,FALSE)*입력란!$P$4)*입력란!$P$25/100</f>
        <v>516683.24686067627</v>
      </c>
      <c r="AO449" s="21"/>
      <c r="AP449" s="21"/>
      <c r="AQ449" s="22">
        <v>36</v>
      </c>
    </row>
    <row r="450" spans="2:43" ht="13.5" customHeight="1" x14ac:dyDescent="0.55000000000000004">
      <c r="B450" s="66">
        <v>435</v>
      </c>
      <c r="C450" s="29">
        <v>10</v>
      </c>
      <c r="D450" s="67" t="s">
        <v>220</v>
      </c>
      <c r="E450" s="27" t="s">
        <v>224</v>
      </c>
      <c r="F450" s="29" t="s">
        <v>215</v>
      </c>
      <c r="G450" s="29"/>
      <c r="H450" s="37">
        <f>I450/AJ450</f>
        <v>131853.05201998659</v>
      </c>
      <c r="I450" s="37">
        <f>SUM(J450:Q450)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4689643.3693291079</v>
      </c>
      <c r="J450" s="21">
        <f>S450*(1+IF($AK450+IF(입력란!$C$10=1,0,IF(입력란!$C$9=1,10,0))+IF(입력란!$C$26=1,10,0)&gt;100,100,$AK450+IF(입력란!$C$10=1,0,IF(입력란!$C$9=1,10,0))+IF(입력란!$C$26=1,10,0))/100*(($AL450+IF(입력란!$C$30=1,IF(OR(입력란!$C$9=1,입력란!$C$10=1),55,17),IF(입력란!$C$30=2,IF(OR(입력란!$C$9=1,입력란!$C$10=1),60,20),IF(입력란!$C$30=3,IF(OR(입력란!$C$9=1,입력란!$C$10=1),65,22),0))))/100-1))</f>
        <v>2917929.927178462</v>
      </c>
      <c r="K450" s="21">
        <f>T450*(1+IF($AK450+IF(입력란!$C$26=1,10,0)&gt;100,100,$AK450+IF(입력란!$C$26=1,10,0))/100*(($AL450+IF(입력란!$C$30=1,17,IF(입력란!$C$30=2,20,IF(입력란!$C$30=3,22,0))))/100-1))</f>
        <v>377917.54246361868</v>
      </c>
      <c r="L450" s="21"/>
      <c r="M450" s="21"/>
      <c r="N450" s="21"/>
      <c r="O450" s="21"/>
      <c r="P450" s="21"/>
      <c r="Q450" s="20">
        <f>Z450*(1+IF($AK450+IF(입력란!$C$26=1,10,0)&gt;100,100,$AK450+IF(입력란!$C$26=1,10,0))/100*(($AL450+IF(입력란!$C$30=1,17,IF(입력란!$C$30=2,20,IF(입력란!$C$30=3,22,0))))/100-1))</f>
        <v>25194.502830907913</v>
      </c>
      <c r="R450" s="19">
        <f>SUM(S450:Z450)</f>
        <v>2064061.9618848446</v>
      </c>
      <c r="S450" s="21">
        <f>AN450*IF(MID(E450,1,1)="2",트라이포드!$E$21,1)*IF(MID(E450,3,1)="2",트라이포드!$L$21,트라이포드!$K$21)*IF(G450="무력화",1.5,1)*IF(MID(E450,3,1)="3",트라이포드!$N$21,트라이포드!$M$21)*IF(MID(E450,5,1)="1",트라이포드!$P$21,트라이포드!$O$21)*IF(MID(E450,5,1)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1799173.3202954521</v>
      </c>
      <c r="T450" s="21">
        <f>AN450*IF(MID(E450,3,1)="1",트라이포드!$J$21,트라이포드!$I$21)*IF(MID(E450,5,1)="1",2,1)*(1+입력란!$P$17/100)*IF(입력란!$C$30=1,1.07,IF(입력란!$C$30=2,1.08,IF(입력란!$C$30=3,1.09,1)))</f>
        <v>248333.10149005553</v>
      </c>
      <c r="U450" s="21"/>
      <c r="V450" s="21"/>
      <c r="W450" s="21"/>
      <c r="X450" s="21"/>
      <c r="Y450" s="21"/>
      <c r="Z450" s="20">
        <f>AN450*IF(MID(E450,1,1)="2",트라이포드!$F$21,0)*IF(MID(E450,5,1)="1",2,1)*(1+입력란!$P$17/100)*IF(입력란!$C$30=1,1.07,IF(입력란!$C$30=2,1.08,IF(입력란!$C$30=3,1.09,1)))</f>
        <v>16555.540099337035</v>
      </c>
      <c r="AA450" s="21">
        <f>SUM(AB450:AI450)</f>
        <v>4128123.9237696892</v>
      </c>
      <c r="AB450" s="21">
        <f>S450*2</f>
        <v>3598346.6405909043</v>
      </c>
      <c r="AC450" s="21">
        <f>T450*2</f>
        <v>496666.20298011106</v>
      </c>
      <c r="AD450" s="21"/>
      <c r="AE450" s="21"/>
      <c r="AF450" s="21"/>
      <c r="AG450" s="21"/>
      <c r="AH450" s="21"/>
      <c r="AI450" s="20">
        <f>Z450*2</f>
        <v>33111.08019867407</v>
      </c>
      <c r="AJ450" s="21">
        <f>(AQ450-IF(MID(E450,1,1)="1",트라이포드!$D$21,트라이포드!$C$21))*(1-입력란!$P$10/100)</f>
        <v>35.567196189119997</v>
      </c>
      <c r="AK4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0" s="21">
        <f>입력란!$P$24+IF(입력란!$C$18=1,10,IF(입력란!$C$18=2,25,IF(입력란!$C$18=3,50,0)))+IF(입력란!$C$23&lt;&gt;0,-12)</f>
        <v>200</v>
      </c>
      <c r="AM450" s="21">
        <f>SUM(AN450:AP450)</f>
        <v>516683.24686067627</v>
      </c>
      <c r="AN450" s="21">
        <f>(VLOOKUP(C450,$B$4:$AJ$7,25,FALSE)+VLOOKUP(C450,$B$8:$AJ$11,25,FALSE)*입력란!$P$4)*입력란!$P$25/100</f>
        <v>516683.24686067627</v>
      </c>
      <c r="AO450" s="21"/>
      <c r="AP450" s="21"/>
      <c r="AQ450" s="22">
        <v>36</v>
      </c>
    </row>
    <row r="451" spans="2:43" ht="13.5" customHeight="1" x14ac:dyDescent="0.55000000000000004">
      <c r="B451" s="66">
        <v>436</v>
      </c>
      <c r="C451" s="29">
        <v>10</v>
      </c>
      <c r="D451" s="67" t="s">
        <v>220</v>
      </c>
      <c r="E451" s="27" t="s">
        <v>225</v>
      </c>
      <c r="F451" s="29" t="s">
        <v>215</v>
      </c>
      <c r="G451" s="29"/>
      <c r="H451" s="37">
        <f>I451/AJ451</f>
        <v>146811.27378838038</v>
      </c>
      <c r="I451" s="37">
        <f>SUM(J451:Q451)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5221665.3776059346</v>
      </c>
      <c r="J451" s="21">
        <f>S451*(1+IF($AK451+IF(입력란!$C$10=1,0,IF(입력란!$C$9=1,10,0))+IF(입력란!$C$26=1,10,0)&gt;100,100,$AK451+IF(입력란!$C$10=1,0,IF(입력란!$C$9=1,10,0))+IF(입력란!$C$26=1,10,0))/100*(($AL451+IF(입력란!$C$30=1,IF(OR(입력란!$C$9=1,입력란!$C$10=1),55,17),IF(입력란!$C$30=2,IF(OR(입력란!$C$9=1,입력란!$C$10=1),60,20),IF(입력란!$C$30=3,IF(OR(입력란!$C$9=1,입력란!$C$10=1),65,22),0))))/100-1))</f>
        <v>3647412.4089730782</v>
      </c>
      <c r="K451" s="21">
        <f>T451*(1+IF($AK451+IF(입력란!$C$26=1,10,0)&gt;100,100,$AK451+IF(입력란!$C$26=1,10,0))/100*(($AL451+IF(입력란!$C$30=1,17,IF(입력란!$C$30=2,20,IF(입력란!$C$30=3,22,0))))/100-1))</f>
        <v>0</v>
      </c>
      <c r="L451" s="21"/>
      <c r="M451" s="21"/>
      <c r="N451" s="21"/>
      <c r="O451" s="21"/>
      <c r="P451" s="21"/>
      <c r="Q451" s="20">
        <f>Z451*(1+IF($AK451+IF(입력란!$C$26=1,10,0)&gt;100,100,$AK451+IF(입력란!$C$26=1,10,0))/100*(($AL451+IF(입력란!$C$30=1,17,IF(입력란!$C$30=2,20,IF(입력란!$C$30=3,22,0))))/100-1))</f>
        <v>50389.005661815827</v>
      </c>
      <c r="R451" s="19">
        <f>SUM(S451:Z451)</f>
        <v>2282077.7305679894</v>
      </c>
      <c r="S451" s="21">
        <f>AN451*IF(MID(E451,1,1)="2",트라이포드!$E$21,1)*IF(MID(E451,3,1)="2",트라이포드!$L$21,트라이포드!$K$21)*IF(G451="무력화",1.5,1)*IF(MID(E451,3,1)="3",트라이포드!$N$21,트라이포드!$M$21)*IF(MID(E451,5,1)="1",트라이포드!$P$21,트라이포드!$O$21)*IF(MID(E451,5,1)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2248966.6503693154</v>
      </c>
      <c r="T451" s="21">
        <f>AN451*IF(MID(E451,3,1)="1",트라이포드!$J$21,트라이포드!$I$21)*IF(MID(E451,5,1)="1",2,1)*(1+입력란!$P$17/100)*IF(입력란!$C$30=1,1.07,IF(입력란!$C$30=2,1.08,IF(입력란!$C$30=3,1.09,1)))</f>
        <v>0</v>
      </c>
      <c r="U451" s="21"/>
      <c r="V451" s="21"/>
      <c r="W451" s="21"/>
      <c r="X451" s="21"/>
      <c r="Y451" s="21"/>
      <c r="Z451" s="20">
        <f>AN451*IF(MID(E451,1,1)="2",트라이포드!$F$21,0)*IF(MID(E451,5,1)="1",2,1)*(1+입력란!$P$17/100)*IF(입력란!$C$30=1,1.07,IF(입력란!$C$30=2,1.08,IF(입력란!$C$30=3,1.09,1)))</f>
        <v>33111.08019867407</v>
      </c>
      <c r="AA451" s="21">
        <f>SUM(AB451:AI451)</f>
        <v>4564155.4611359788</v>
      </c>
      <c r="AB451" s="21">
        <f>S451*2</f>
        <v>4497933.3007386308</v>
      </c>
      <c r="AC451" s="21">
        <f>T451*2</f>
        <v>0</v>
      </c>
      <c r="AD451" s="21"/>
      <c r="AE451" s="21"/>
      <c r="AF451" s="21"/>
      <c r="AG451" s="21"/>
      <c r="AH451" s="21"/>
      <c r="AI451" s="20">
        <f>Z451*2</f>
        <v>66222.16039734814</v>
      </c>
      <c r="AJ451" s="21">
        <f>(AQ451-IF(MID(E451,1,1)="1",트라이포드!$D$21,트라이포드!$C$21))*(1-입력란!$P$10/100)</f>
        <v>35.567196189119997</v>
      </c>
      <c r="AK4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1" s="21">
        <f>입력란!$P$24+IF(입력란!$C$18=1,10,IF(입력란!$C$18=2,25,IF(입력란!$C$18=3,50,0)))+IF(입력란!$C$23&lt;&gt;0,-12)</f>
        <v>200</v>
      </c>
      <c r="AM451" s="21">
        <f>SUM(AN451:AP451)</f>
        <v>516683.24686067627</v>
      </c>
      <c r="AN451" s="21">
        <f>(VLOOKUP(C451,$B$4:$AJ$7,25,FALSE)+VLOOKUP(C451,$B$8:$AJ$11,25,FALSE)*입력란!$P$4)*입력란!$P$25/100</f>
        <v>516683.24686067627</v>
      </c>
      <c r="AO451" s="21"/>
      <c r="AP451" s="21"/>
      <c r="AQ451" s="22">
        <v>36</v>
      </c>
    </row>
    <row r="452" spans="2:43" ht="13.5" customHeight="1" x14ac:dyDescent="0.55000000000000004">
      <c r="B452" s="66">
        <v>437</v>
      </c>
      <c r="C452" s="29">
        <v>10</v>
      </c>
      <c r="D452" s="67" t="s">
        <v>50</v>
      </c>
      <c r="E452" s="27" t="s">
        <v>100</v>
      </c>
      <c r="F452" s="29" t="s">
        <v>215</v>
      </c>
      <c r="G452" s="29" t="s">
        <v>229</v>
      </c>
      <c r="H452" s="37">
        <f>I452/AJ452</f>
        <v>219216.63061387034</v>
      </c>
      <c r="I452" s="37">
        <f>SUM(J452:Q452)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7796920.9089613752</v>
      </c>
      <c r="J452" s="21">
        <f>S452*(1+IF($AK452+IF(입력란!$C$10=1,0,IF(입력란!$C$9=1,10,0))+IF(입력란!$C$26=1,10,0)&gt;100,100,$AK452+IF(입력란!$C$10=1,0,IF(입력란!$C$9=1,10,0))+IF(입력란!$C$26=1,10,0))/100*(($AL452+IF(입력란!$C$30=1,IF(OR(입력란!$C$9=1,입력란!$C$10=1),55,17),IF(입력란!$C$30=2,IF(OR(입력란!$C$9=1,입력란!$C$10=1),60,20),IF(입력란!$C$30=3,IF(OR(입력란!$C$9=1,입력란!$C$10=1),65,22),0))))/100-1))</f>
        <v>5471118.6134596169</v>
      </c>
      <c r="K452" s="21">
        <f>T452*(1+IF($AK452+IF(입력란!$C$26=1,10,0)&gt;100,100,$AK452+IF(입력란!$C$26=1,10,0))/100*(($AL452+IF(입력란!$C$30=1,17,IF(입력란!$C$30=2,20,IF(입력란!$C$30=3,22,0))))/100-1))</f>
        <v>0</v>
      </c>
      <c r="L452" s="21"/>
      <c r="M452" s="21"/>
      <c r="N452" s="21"/>
      <c r="O452" s="21"/>
      <c r="P452" s="21"/>
      <c r="Q452" s="20">
        <f>Z452*(1+IF($AK452+IF(입력란!$C$26=1,10,0)&gt;100,100,$AK452+IF(입력란!$C$26=1,10,0))/100*(($AL452+IF(입력란!$C$30=1,17,IF(입력란!$C$30=2,20,IF(입력란!$C$30=3,22,0))))/100-1))</f>
        <v>50389.005661815827</v>
      </c>
      <c r="R452" s="19">
        <f>SUM(S452:Z452)</f>
        <v>3406561.0557526471</v>
      </c>
      <c r="S452" s="21">
        <f>AN452*IF(MID(E452,1,1)="2",트라이포드!$E$21,1)*IF(MID(E452,3,1)="2",트라이포드!$L$21,트라이포드!$K$21)*IF(G452="무력화",1.5,1)*IF(MID(E452,3,1)="3",트라이포드!$N$21,트라이포드!$M$21)*IF(MID(E452,5,1)="1",트라이포드!$P$21,트라이포드!$O$21)*IF(MID(E452,5,1)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3373449.9755539731</v>
      </c>
      <c r="T452" s="21">
        <f>AN452*IF(MID(E452,3,1)="1",트라이포드!$J$21,트라이포드!$I$21)*IF(MID(E452,5,1)="1",2,1)*(1+입력란!$P$17/100)*IF(입력란!$C$30=1,1.07,IF(입력란!$C$30=2,1.08,IF(입력란!$C$30=3,1.09,1)))</f>
        <v>0</v>
      </c>
      <c r="U452" s="21"/>
      <c r="V452" s="21"/>
      <c r="W452" s="21"/>
      <c r="X452" s="21"/>
      <c r="Y452" s="21"/>
      <c r="Z452" s="20">
        <f>AN452*IF(MID(E452,1,1)="2",트라이포드!$F$21,0)*IF(MID(E452,5,1)="1",2,1)*(1+입력란!$P$17/100)*IF(입력란!$C$30=1,1.07,IF(입력란!$C$30=2,1.08,IF(입력란!$C$30=3,1.09,1)))</f>
        <v>33111.08019867407</v>
      </c>
      <c r="AA452" s="21">
        <f>SUM(AB452:AI452)</f>
        <v>6813122.1115052942</v>
      </c>
      <c r="AB452" s="21">
        <f>S452*2</f>
        <v>6746899.9511079462</v>
      </c>
      <c r="AC452" s="21">
        <f>T452*2</f>
        <v>0</v>
      </c>
      <c r="AD452" s="21"/>
      <c r="AE452" s="21"/>
      <c r="AF452" s="21"/>
      <c r="AG452" s="21"/>
      <c r="AH452" s="21"/>
      <c r="AI452" s="20">
        <f>Z452*2</f>
        <v>66222.16039734814</v>
      </c>
      <c r="AJ452" s="21">
        <f>(AQ452-IF(MID(E452,1,1)="1",트라이포드!$D$21,트라이포드!$C$21))*(1-입력란!$P$10/100)</f>
        <v>35.567196189119997</v>
      </c>
      <c r="AK4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2" s="21">
        <f>입력란!$P$24+IF(입력란!$C$18=1,10,IF(입력란!$C$18=2,25,IF(입력란!$C$18=3,50,0)))+IF(입력란!$C$23&lt;&gt;0,-12)</f>
        <v>200</v>
      </c>
      <c r="AM452" s="21">
        <f>SUM(AN452:AP452)</f>
        <v>516683.24686067627</v>
      </c>
      <c r="AN452" s="21">
        <f>(VLOOKUP(C452,$B$4:$AJ$7,25,FALSE)+VLOOKUP(C452,$B$8:$AJ$11,25,FALSE)*입력란!$P$4)*입력란!$P$25/100</f>
        <v>516683.24686067627</v>
      </c>
      <c r="AO452" s="21"/>
      <c r="AP452" s="21"/>
      <c r="AQ452" s="22">
        <v>36</v>
      </c>
    </row>
    <row r="453" spans="2:43" ht="13.5" customHeight="1" x14ac:dyDescent="0.55000000000000004">
      <c r="B453" s="66">
        <v>438</v>
      </c>
      <c r="C453" s="29">
        <v>10</v>
      </c>
      <c r="D453" s="67" t="s">
        <v>220</v>
      </c>
      <c r="E453" s="27" t="s">
        <v>207</v>
      </c>
      <c r="F453" s="29" t="s">
        <v>215</v>
      </c>
      <c r="G453" s="29"/>
      <c r="H453" s="37">
        <f>I453/AJ453</f>
        <v>145810.99371968021</v>
      </c>
      <c r="I453" s="37">
        <f>SUM(J453:Q453)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5186088.2201584093</v>
      </c>
      <c r="J453" s="21">
        <f>S453*(1+IF($AK453+IF(입력란!$C$10=1,0,IF(입력란!$C$9=1,10,0))+IF(입력란!$C$26=1,10,0)&gt;100,100,$AK453+IF(입력란!$C$10=1,0,IF(입력란!$C$9=1,10,0))+IF(입력란!$C$26=1,10,0))/100*(($AL453+IF(입력란!$C$30=1,IF(OR(입력란!$C$9=1,입력란!$C$10=1),55,17),IF(입력란!$C$30=2,IF(OR(입력란!$C$9=1,입력란!$C$10=1),60,20),IF(입력란!$C$30=3,IF(OR(입력란!$C$9=1,입력란!$C$10=1),65,22),0))))/100-1))</f>
        <v>3647412.4089730782</v>
      </c>
      <c r="K453" s="21">
        <f>T453*(1+IF($AK453+IF(입력란!$C$26=1,10,0)&gt;100,100,$AK453+IF(입력란!$C$26=1,10,0))/100*(($AL453+IF(입력란!$C$30=1,17,IF(입력란!$C$30=2,20,IF(입력란!$C$30=3,22,0))))/100-1))</f>
        <v>0</v>
      </c>
      <c r="L453" s="21"/>
      <c r="M453" s="21"/>
      <c r="N453" s="21"/>
      <c r="O453" s="21"/>
      <c r="P453" s="21"/>
      <c r="Q453" s="20">
        <f>Z453*(1+IF($AK453+IF(입력란!$C$26=1,10,0)&gt;100,100,$AK453+IF(입력란!$C$26=1,10,0))/100*(($AL453+IF(입력란!$C$30=1,17,IF(입력란!$C$30=2,20,IF(입력란!$C$30=3,22,0))))/100-1))</f>
        <v>25194.502830907913</v>
      </c>
      <c r="R453" s="19">
        <f>SUM(S453:Z453)</f>
        <v>2265522.1904686526</v>
      </c>
      <c r="S453" s="21">
        <f>AN453*IF(MID(E453,1,1)="2",트라이포드!$E$21,1)*IF(MID(E453,3,1)="2",트라이포드!$L$21,트라이포드!$K$21)*IF(G453="무력화",1.5,1)*IF(MID(E453,3,1)="3",트라이포드!$N$21,트라이포드!$M$21)*IF(MID(E453,5,1)="1",트라이포드!$P$21,트라이포드!$O$21)*IF(MID(E453,5,1)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2248966.6503693154</v>
      </c>
      <c r="T453" s="21">
        <f>AN453*IF(MID(E453,3,1)="1",트라이포드!$J$21,트라이포드!$I$21)*IF(MID(E453,5,1)="1",2,1)*(1+입력란!$P$17/100)*IF(입력란!$C$30=1,1.07,IF(입력란!$C$30=2,1.08,IF(입력란!$C$30=3,1.09,1)))</f>
        <v>0</v>
      </c>
      <c r="U453" s="21"/>
      <c r="V453" s="21"/>
      <c r="W453" s="21"/>
      <c r="X453" s="21"/>
      <c r="Y453" s="21"/>
      <c r="Z453" s="20">
        <f>AN453*IF(MID(E453,1,1)="2",트라이포드!$F$21,0)*IF(MID(E453,5,1)="1",2,1)*(1+입력란!$P$17/100)*IF(입력란!$C$30=1,1.07,IF(입력란!$C$30=2,1.08,IF(입력란!$C$30=3,1.09,1)))</f>
        <v>16555.540099337035</v>
      </c>
      <c r="AA453" s="21">
        <f>SUM(AB453:AI453)</f>
        <v>4531044.3809373053</v>
      </c>
      <c r="AB453" s="21">
        <f>S453*2</f>
        <v>4497933.3007386308</v>
      </c>
      <c r="AC453" s="21">
        <f>T453*2</f>
        <v>0</v>
      </c>
      <c r="AD453" s="21"/>
      <c r="AE453" s="21"/>
      <c r="AF453" s="21"/>
      <c r="AG453" s="21"/>
      <c r="AH453" s="21"/>
      <c r="AI453" s="20">
        <f>Z453*2</f>
        <v>33111.08019867407</v>
      </c>
      <c r="AJ453" s="21">
        <f>(AQ453-IF(MID(E453,1,1)="1",트라이포드!$D$21,트라이포드!$C$21))*(1-입력란!$P$10/100)</f>
        <v>35.567196189119997</v>
      </c>
      <c r="AK4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3" s="21">
        <f>입력란!$P$24+IF(입력란!$C$18=1,10,IF(입력란!$C$18=2,25,IF(입력란!$C$18=3,50,0)))+IF(입력란!$C$23&lt;&gt;0,-12)</f>
        <v>200</v>
      </c>
      <c r="AM453" s="21">
        <f>SUM(AN453:AP453)</f>
        <v>516683.24686067627</v>
      </c>
      <c r="AN453" s="21">
        <f>(VLOOKUP(C453,$B$4:$AJ$7,25,FALSE)+VLOOKUP(C453,$B$8:$AJ$11,25,FALSE)*입력란!$P$4)*입력란!$P$25/100</f>
        <v>516683.24686067627</v>
      </c>
      <c r="AO453" s="21"/>
      <c r="AP453" s="21"/>
      <c r="AQ453" s="22">
        <v>36</v>
      </c>
    </row>
    <row r="454" spans="2:43" ht="13.5" customHeight="1" x14ac:dyDescent="0.55000000000000004">
      <c r="B454" s="66">
        <v>439</v>
      </c>
      <c r="C454" s="29">
        <v>10</v>
      </c>
      <c r="D454" s="67" t="s">
        <v>50</v>
      </c>
      <c r="E454" s="27" t="s">
        <v>101</v>
      </c>
      <c r="F454" s="29" t="s">
        <v>215</v>
      </c>
      <c r="G454" s="29" t="s">
        <v>229</v>
      </c>
      <c r="H454" s="37">
        <f>I454/AJ454</f>
        <v>218216.35054517019</v>
      </c>
      <c r="I454" s="37">
        <f>SUM(J454:Q454)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7761343.7515138509</v>
      </c>
      <c r="J454" s="21">
        <f>S454*(1+IF($AK454+IF(입력란!$C$10=1,0,IF(입력란!$C$9=1,10,0))+IF(입력란!$C$26=1,10,0)&gt;100,100,$AK454+IF(입력란!$C$10=1,0,IF(입력란!$C$9=1,10,0))+IF(입력란!$C$26=1,10,0))/100*(($AL454+IF(입력란!$C$30=1,IF(OR(입력란!$C$9=1,입력란!$C$10=1),55,17),IF(입력란!$C$30=2,IF(OR(입력란!$C$9=1,입력란!$C$10=1),60,20),IF(입력란!$C$30=3,IF(OR(입력란!$C$9=1,입력란!$C$10=1),65,22),0))))/100-1))</f>
        <v>5471118.6134596169</v>
      </c>
      <c r="K454" s="21">
        <f>T454*(1+IF($AK454+IF(입력란!$C$26=1,10,0)&gt;100,100,$AK454+IF(입력란!$C$26=1,10,0))/100*(($AL454+IF(입력란!$C$30=1,17,IF(입력란!$C$30=2,20,IF(입력란!$C$30=3,22,0))))/100-1))</f>
        <v>0</v>
      </c>
      <c r="L454" s="21"/>
      <c r="M454" s="21"/>
      <c r="N454" s="21"/>
      <c r="O454" s="21"/>
      <c r="P454" s="21"/>
      <c r="Q454" s="20">
        <f>Z454*(1+IF($AK454+IF(입력란!$C$26=1,10,0)&gt;100,100,$AK454+IF(입력란!$C$26=1,10,0))/100*(($AL454+IF(입력란!$C$30=1,17,IF(입력란!$C$30=2,20,IF(입력란!$C$30=3,22,0))))/100-1))</f>
        <v>25194.502830907913</v>
      </c>
      <c r="R454" s="19">
        <f>SUM(S454:Z454)</f>
        <v>3390005.5156533103</v>
      </c>
      <c r="S454" s="21">
        <f>AN454*IF(MID(E454,1,1)="2",트라이포드!$E$21,1)*IF(MID(E454,3,1)="2",트라이포드!$L$21,트라이포드!$K$21)*IF(G454="무력화",1.5,1)*IF(MID(E454,3,1)="3",트라이포드!$N$21,트라이포드!$M$21)*IF(MID(E454,5,1)="1",트라이포드!$P$21,트라이포드!$O$21)*IF(MID(E454,5,1)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3373449.9755539731</v>
      </c>
      <c r="T454" s="21">
        <f>AN454*IF(MID(E454,3,1)="1",트라이포드!$J$21,트라이포드!$I$21)*IF(MID(E454,5,1)="1",2,1)*(1+입력란!$P$17/100)*IF(입력란!$C$30=1,1.07,IF(입력란!$C$30=2,1.08,IF(입력란!$C$30=3,1.09,1)))</f>
        <v>0</v>
      </c>
      <c r="U454" s="21"/>
      <c r="V454" s="21"/>
      <c r="W454" s="21"/>
      <c r="X454" s="21"/>
      <c r="Y454" s="21"/>
      <c r="Z454" s="20">
        <f>AN454*IF(MID(E454,1,1)="2",트라이포드!$F$21,0)*IF(MID(E454,5,1)="1",2,1)*(1+입력란!$P$17/100)*IF(입력란!$C$30=1,1.07,IF(입력란!$C$30=2,1.08,IF(입력란!$C$30=3,1.09,1)))</f>
        <v>16555.540099337035</v>
      </c>
      <c r="AA454" s="21">
        <f>SUM(AB454:AI454)</f>
        <v>6780011.0313066207</v>
      </c>
      <c r="AB454" s="21">
        <f>S454*2</f>
        <v>6746899.9511079462</v>
      </c>
      <c r="AC454" s="21">
        <f>T454*2</f>
        <v>0</v>
      </c>
      <c r="AD454" s="21"/>
      <c r="AE454" s="21"/>
      <c r="AF454" s="21"/>
      <c r="AG454" s="21"/>
      <c r="AH454" s="21"/>
      <c r="AI454" s="20">
        <f>Z454*2</f>
        <v>33111.08019867407</v>
      </c>
      <c r="AJ454" s="21">
        <f>(AQ454-IF(MID(E454,1,1)="1",트라이포드!$D$21,트라이포드!$C$21))*(1-입력란!$P$10/100)</f>
        <v>35.567196189119997</v>
      </c>
      <c r="AK4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4" s="21">
        <f>입력란!$P$24+IF(입력란!$C$18=1,10,IF(입력란!$C$18=2,25,IF(입력란!$C$18=3,50,0)))+IF(입력란!$C$23&lt;&gt;0,-12)</f>
        <v>200</v>
      </c>
      <c r="AM454" s="21">
        <f>SUM(AN454:AP454)</f>
        <v>516683.24686067627</v>
      </c>
      <c r="AN454" s="21">
        <f>(VLOOKUP(C454,$B$4:$AJ$7,25,FALSE)+VLOOKUP(C454,$B$8:$AJ$11,25,FALSE)*입력란!$P$4)*입력란!$P$25/100</f>
        <v>516683.24686067627</v>
      </c>
      <c r="AO454" s="21"/>
      <c r="AP454" s="21"/>
      <c r="AQ454" s="22">
        <v>36</v>
      </c>
    </row>
    <row r="455" spans="2:43" ht="13.5" customHeight="1" x14ac:dyDescent="0.55000000000000004">
      <c r="B455" s="66">
        <v>440</v>
      </c>
      <c r="C455" s="29">
        <v>10</v>
      </c>
      <c r="D455" s="67" t="s">
        <v>220</v>
      </c>
      <c r="E455" s="27" t="s">
        <v>226</v>
      </c>
      <c r="F455" s="29" t="s">
        <v>215</v>
      </c>
      <c r="G455" s="29" t="s">
        <v>402</v>
      </c>
      <c r="H455" s="37">
        <f>I455/AJ455</f>
        <v>146811.27378838038</v>
      </c>
      <c r="I455" s="37">
        <f>SUM(J455:Q455)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5221665.3776059346</v>
      </c>
      <c r="J455" s="21">
        <f>S455*(1+IF($AK455+IF(입력란!$C$10=1,0,IF(입력란!$C$9=1,10,0))+IF(입력란!$C$26=1,10,0)&gt;100,100,$AK455+IF(입력란!$C$10=1,0,IF(입력란!$C$9=1,10,0))+IF(입력란!$C$26=1,10,0))/100*(($AL455+IF(입력란!$C$30=1,IF(OR(입력란!$C$9=1,입력란!$C$10=1),55,17),IF(입력란!$C$30=2,IF(OR(입력란!$C$9=1,입력란!$C$10=1),60,20),IF(입력란!$C$30=3,IF(OR(입력란!$C$9=1,입력란!$C$10=1),65,22),0))))/100-1))</f>
        <v>3647412.4089730782</v>
      </c>
      <c r="K455" s="21">
        <f>T455*(1+IF($AK455+IF(입력란!$C$26=1,10,0)&gt;100,100,$AK455+IF(입력란!$C$26=1,10,0))/100*(($AL455+IF(입력란!$C$30=1,17,IF(입력란!$C$30=2,20,IF(입력란!$C$30=3,22,0))))/100-1))</f>
        <v>0</v>
      </c>
      <c r="L455" s="21"/>
      <c r="M455" s="21"/>
      <c r="N455" s="21"/>
      <c r="O455" s="21"/>
      <c r="P455" s="21"/>
      <c r="Q455" s="20">
        <f>Z455*(1+IF($AK455+IF(입력란!$C$26=1,10,0)&gt;100,100,$AK455+IF(입력란!$C$26=1,10,0))/100*(($AL455+IF(입력란!$C$30=1,17,IF(입력란!$C$30=2,20,IF(입력란!$C$30=3,22,0))))/100-1))</f>
        <v>50389.005661815827</v>
      </c>
      <c r="R455" s="19">
        <f>SUM(S455:Z455)</f>
        <v>2282077.7305679894</v>
      </c>
      <c r="S455" s="21">
        <f>AN455*IF(MID(E455,1,1)="2",트라이포드!$E$21,1)*IF(MID(E455,3,1)="2",트라이포드!$L$21,트라이포드!$K$21)*IF(G455="무력화",1.5,1)*IF(MID(E455,3,1)="3",트라이포드!$N$21,트라이포드!$M$21)*IF(MID(E455,5,1)="1",트라이포드!$P$21,트라이포드!$O$21)*IF(MID(E455,5,1)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2248966.6503693154</v>
      </c>
      <c r="T455" s="21">
        <f>AN455*IF(MID(E455,3,1)="1",트라이포드!$J$21,트라이포드!$I$21)*IF(MID(E455,5,1)="1",2,1)*(1+입력란!$P$17/100)*IF(입력란!$C$30=1,1.07,IF(입력란!$C$30=2,1.08,IF(입력란!$C$30=3,1.09,1)))</f>
        <v>0</v>
      </c>
      <c r="U455" s="21"/>
      <c r="V455" s="21"/>
      <c r="W455" s="21"/>
      <c r="X455" s="21"/>
      <c r="Y455" s="21"/>
      <c r="Z455" s="20">
        <f>AN455*IF(MID(E455,1,1)="2",트라이포드!$F$21,0)*IF(MID(E455,5,1)="1",2,1)*(1+입력란!$P$17/100)*IF(입력란!$C$30=1,1.07,IF(입력란!$C$30=2,1.08,IF(입력란!$C$30=3,1.09,1)))</f>
        <v>33111.08019867407</v>
      </c>
      <c r="AA455" s="21">
        <f>SUM(AB455:AI455)</f>
        <v>4564155.4611359788</v>
      </c>
      <c r="AB455" s="21">
        <f>S455*2</f>
        <v>4497933.3007386308</v>
      </c>
      <c r="AC455" s="21">
        <f>T455*2</f>
        <v>0</v>
      </c>
      <c r="AD455" s="21"/>
      <c r="AE455" s="21"/>
      <c r="AF455" s="21"/>
      <c r="AG455" s="21"/>
      <c r="AH455" s="21"/>
      <c r="AI455" s="20">
        <f>Z455*2</f>
        <v>66222.16039734814</v>
      </c>
      <c r="AJ455" s="21">
        <f>(AQ455-IF(MID(E455,1,1)="1",트라이포드!$D$21,트라이포드!$C$21))*(1-입력란!$P$10/100)</f>
        <v>35.567196189119997</v>
      </c>
      <c r="AK4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5" s="21">
        <f>입력란!$P$24+IF(입력란!$C$18=1,10,IF(입력란!$C$18=2,25,IF(입력란!$C$18=3,50,0)))+IF(입력란!$C$23&lt;&gt;0,-12)</f>
        <v>200</v>
      </c>
      <c r="AM455" s="21">
        <f>SUM(AN455:AP455)</f>
        <v>516683.24686067627</v>
      </c>
      <c r="AN455" s="21">
        <f>(VLOOKUP(C455,$B$4:$AJ$7,25,FALSE)+VLOOKUP(C455,$B$8:$AJ$11,25,FALSE)*입력란!$P$4)*입력란!$P$25/100</f>
        <v>516683.24686067627</v>
      </c>
      <c r="AO455" s="21"/>
      <c r="AP455" s="21"/>
      <c r="AQ455" s="22">
        <v>36</v>
      </c>
    </row>
    <row r="456" spans="2:43" ht="13.5" customHeight="1" x14ac:dyDescent="0.55000000000000004">
      <c r="B456" s="66">
        <v>441</v>
      </c>
      <c r="C456" s="29">
        <v>10</v>
      </c>
      <c r="D456" s="67" t="s">
        <v>220</v>
      </c>
      <c r="E456" s="27" t="s">
        <v>227</v>
      </c>
      <c r="F456" s="29" t="s">
        <v>215</v>
      </c>
      <c r="G456" s="29" t="s">
        <v>402</v>
      </c>
      <c r="H456" s="37">
        <f>I456/AJ456</f>
        <v>145810.99371968021</v>
      </c>
      <c r="I456" s="37">
        <f>SUM(J456:Q456)*IF(입력란!$C$16=1,1.04,IF(입력란!$C$16=2,1.1,IF(입력란!$C$16=3,1.2,1)))*IF(입력란!$C$21=1,1+입력란!$P$13*0.001,IF(입력란!$C$21=2,1+입력란!$P$13*0.0022,IF(입력란!$C$21=3,1+입력란!$P$13*0.0045,1)))*IF(입력란!$C$18&lt;&gt;0,0.98,1)*(1+입력란!$P$22/100)*IF(입력란!$C$31=1,1.12*1.15,IF(입력란!$C$31=2,1.15*1.18,IF(입력란!$C$31=3,1.17*1.2,1)))*IF(입력란!$C$32=1,1.12,IF(입력란!$C$32=2,1.14,IF(입력란!$C$32=3,1.15,1)))</f>
        <v>5186088.2201584093</v>
      </c>
      <c r="J456" s="21">
        <f>S456*(1+IF($AK456+IF(입력란!$C$10=1,0,IF(입력란!$C$9=1,10,0))+IF(입력란!$C$26=1,10,0)&gt;100,100,$AK456+IF(입력란!$C$10=1,0,IF(입력란!$C$9=1,10,0))+IF(입력란!$C$26=1,10,0))/100*(($AL456+IF(입력란!$C$30=1,IF(OR(입력란!$C$9=1,입력란!$C$10=1),55,17),IF(입력란!$C$30=2,IF(OR(입력란!$C$9=1,입력란!$C$10=1),60,20),IF(입력란!$C$30=3,IF(OR(입력란!$C$9=1,입력란!$C$10=1),65,22),0))))/100-1))</f>
        <v>3647412.4089730782</v>
      </c>
      <c r="K456" s="21">
        <f>T456*(1+IF($AK456+IF(입력란!$C$26=1,10,0)&gt;100,100,$AK456+IF(입력란!$C$26=1,10,0))/100*(($AL456+IF(입력란!$C$30=1,17,IF(입력란!$C$30=2,20,IF(입력란!$C$30=3,22,0))))/100-1))</f>
        <v>0</v>
      </c>
      <c r="L456" s="21"/>
      <c r="M456" s="21"/>
      <c r="N456" s="21"/>
      <c r="O456" s="21"/>
      <c r="P456" s="21"/>
      <c r="Q456" s="20">
        <f>Z456*(1+IF($AK456+IF(입력란!$C$26=1,10,0)&gt;100,100,$AK456+IF(입력란!$C$26=1,10,0))/100*(($AL456+IF(입력란!$C$30=1,17,IF(입력란!$C$30=2,20,IF(입력란!$C$30=3,22,0))))/100-1))</f>
        <v>25194.502830907913</v>
      </c>
      <c r="R456" s="19">
        <f>SUM(S456:Z456)</f>
        <v>2265522.1904686526</v>
      </c>
      <c r="S456" s="21">
        <f>AN456*IF(MID(E456,1,1)="2",트라이포드!$E$21,1)*IF(MID(E456,3,1)="2",트라이포드!$L$21,트라이포드!$K$21)*IF(G456="무력화",1.5,1)*IF(MID(E456,3,1)="3",트라이포드!$N$21,트라이포드!$M$21)*IF(MID(E456,5,1)="1",트라이포드!$P$21,트라이포드!$O$21)*IF(MID(E456,5,1)="2",트라이포드!$R$21,트라이포드!$Q$21)*(1+입력란!$P$17/100)*IF(입력란!$C$10=1,1.2,IF(입력란!$C$9=1,IF(입력란!$C$15=0,1.05,IF(입력란!$C$15=1,1.05*1.05,IF(입력란!$C$15=2,1.05*1.12,IF(입력란!$C$15=3,1.05*1.25)))),1))*IF(입력란!$C$30=1,IF(OR(입력란!$C$9=1,입력란!$C$10=1),1.21,1.07),IF(입력란!$C$30=2,IF(OR(입력란!$C$9=1,입력란!$C$10=1),1.24,1.08),IF(입력란!$C$30=3,IF(OR(입력란!$C$9=1,입력란!$C$10=1),1.26,1.09),1)))</f>
        <v>2248966.6503693154</v>
      </c>
      <c r="T456" s="21">
        <f>AN456*IF(MID(E456,3,1)="1",트라이포드!$J$21,트라이포드!$I$21)*IF(MID(E456,5,1)="1",2,1)*(1+입력란!$P$17/100)*IF(입력란!$C$30=1,1.07,IF(입력란!$C$30=2,1.08,IF(입력란!$C$30=3,1.09,1)))</f>
        <v>0</v>
      </c>
      <c r="U456" s="21"/>
      <c r="V456" s="21"/>
      <c r="W456" s="21"/>
      <c r="X456" s="21"/>
      <c r="Y456" s="21"/>
      <c r="Z456" s="20">
        <f>AN456*IF(MID(E456,1,1)="2",트라이포드!$F$21,0)*IF(MID(E456,5,1)="1",2,1)*(1+입력란!$P$17/100)*IF(입력란!$C$30=1,1.07,IF(입력란!$C$30=2,1.08,IF(입력란!$C$30=3,1.09,1)))</f>
        <v>16555.540099337035</v>
      </c>
      <c r="AA456" s="21">
        <f>SUM(AB456:AI456)</f>
        <v>4531044.3809373053</v>
      </c>
      <c r="AB456" s="21">
        <f>S456*2</f>
        <v>4497933.3007386308</v>
      </c>
      <c r="AC456" s="21">
        <f>T456*2</f>
        <v>0</v>
      </c>
      <c r="AD456" s="21"/>
      <c r="AE456" s="21"/>
      <c r="AF456" s="21"/>
      <c r="AG456" s="21"/>
      <c r="AH456" s="21"/>
      <c r="AI456" s="20">
        <f>Z456*2</f>
        <v>33111.08019867407</v>
      </c>
      <c r="AJ456" s="21">
        <f>(AQ456-IF(MID(E456,1,1)="1",트라이포드!$D$21,트라이포드!$C$21))*(1-입력란!$P$10/100)</f>
        <v>35.567196189119997</v>
      </c>
      <c r="AK4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6" s="21">
        <f>입력란!$P$24+IF(입력란!$C$18=1,10,IF(입력란!$C$18=2,25,IF(입력란!$C$18=3,50,0)))+IF(입력란!$C$23&lt;&gt;0,-12)</f>
        <v>200</v>
      </c>
      <c r="AM456" s="21">
        <f>SUM(AN456:AP456)</f>
        <v>516683.24686067627</v>
      </c>
      <c r="AN456" s="21">
        <f>(VLOOKUP(C456,$B$4:$AJ$7,25,FALSE)+VLOOKUP(C456,$B$8:$AJ$11,25,FALSE)*입력란!$P$4)*입력란!$P$25/100</f>
        <v>516683.24686067627</v>
      </c>
      <c r="AO456" s="21"/>
      <c r="AP456" s="21"/>
      <c r="AQ456" s="22">
        <v>36</v>
      </c>
    </row>
    <row r="457" spans="2:43" ht="13.5" customHeight="1" x14ac:dyDescent="0.55000000000000004">
      <c r="B457" s="66">
        <v>442</v>
      </c>
      <c r="C457" s="29">
        <v>1</v>
      </c>
      <c r="D457" s="49" t="s">
        <v>230</v>
      </c>
      <c r="E457" s="27" t="s">
        <v>231</v>
      </c>
      <c r="F457" s="29"/>
      <c r="G457" s="29"/>
      <c r="H457" s="37">
        <f>I457/AJ457</f>
        <v>66251.554834790702</v>
      </c>
      <c r="I457" s="37">
        <f>SUM(J457:Q457)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1767286.5364824319</v>
      </c>
      <c r="J457" s="21">
        <f>S457*(1+IF($AK457+IF(입력란!$C$26=1,10,0)&gt;100,100,$AK457+IF(입력란!$C$26=1,10,0))/100*(($AL457+IF(입력란!$C$30=1,17,IF(입력란!$C$30=2,20,IF(입력란!$C$30=3,22,0))))/100-1))</f>
        <v>1001278.1185228307</v>
      </c>
      <c r="K457" s="21">
        <f>T457*(1+IF($AK457+IF(입력란!$C$26=1,10,0)&gt;100,100,$AK457+IF(입력란!$C$26=1,10,0))/100*(($AL457+IF(입력란!$C$30=1,17,IF(입력란!$C$30=2,20,IF(입력란!$C$30=3,22,0))))/100-1))</f>
        <v>250252.60627175329</v>
      </c>
      <c r="L457" s="21"/>
      <c r="M457" s="21"/>
      <c r="N457" s="21"/>
      <c r="O457" s="21"/>
      <c r="P457" s="21"/>
      <c r="Q457" s="20">
        <f>Z457*(1+IF($AK457+IF(입력란!$C$26=1,10,0)&gt;100,100,$AK457+IF(입력란!$C$26=1,10,0))/100*(($AL457+IF(입력란!$C$30=1,17,IF(입력란!$C$30=2,20,IF(입력란!$C$30=3,22,0))))/100-1))</f>
        <v>0</v>
      </c>
      <c r="R457" s="19">
        <f>SUM(S457:Z457)</f>
        <v>822392.37816872681</v>
      </c>
      <c r="S457" s="21">
        <f>AN457*IF(MID(E457,3,1)="1",트라이포드!$J$22,트라이포드!$I$22)*IF(MID(E457,3,1)="3",IF(G457="생명50%이하",트라이포드!$N$22,트라이포드!$M$22),1)*IF(MID(E457,5,1)="2",트라이포드!$R$22,트라이포드!$Q$22)*(1+입력란!$P$19/100)</f>
        <v>657949.0832999344</v>
      </c>
      <c r="T457" s="21">
        <f>AO457*3*IF(MID(E457,5,1)="1",트라이포드!$P$22,트라이포드!$O$22)*(1+입력란!$P$19/100)</f>
        <v>164443.29486879238</v>
      </c>
      <c r="U457" s="21"/>
      <c r="V457" s="21"/>
      <c r="W457" s="21"/>
      <c r="X457" s="21"/>
      <c r="Y457" s="21"/>
      <c r="Z457" s="20">
        <f>(AN457+AO457*3)*IF(MID(E457,1,1)="2",트라이포드!$F$22,트라이포드!$E$22)*(1+입력란!$P$19/100)</f>
        <v>0</v>
      </c>
      <c r="AA457" s="21">
        <f>SUM(AB457:AI457)</f>
        <v>1644784.7563374536</v>
      </c>
      <c r="AB457" s="21">
        <f>S457*2</f>
        <v>1315898.1665998688</v>
      </c>
      <c r="AC457" s="21">
        <f>T457*2</f>
        <v>328886.58973758476</v>
      </c>
      <c r="AD457" s="21"/>
      <c r="AE457" s="21"/>
      <c r="AF457" s="21"/>
      <c r="AG457" s="21"/>
      <c r="AH457" s="21"/>
      <c r="AI457" s="20">
        <f>Z457*2</f>
        <v>0</v>
      </c>
      <c r="AJ457" s="21">
        <f>AQ457*(1-입력란!$P$10/100)</f>
        <v>26.675397141839998</v>
      </c>
      <c r="AK4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7" s="21">
        <f>입력란!$P$24+IF(입력란!$C$18=1,10,IF(입력란!$C$18=2,25,IF(입력란!$C$18=3,50,0)))+IF(입력란!$C$23&lt;&gt;0,-12)</f>
        <v>200</v>
      </c>
      <c r="AM457" s="21">
        <f>SUM(AN457:AP457)</f>
        <v>523606.26160094392</v>
      </c>
      <c r="AN457" s="21">
        <f>(VLOOKUP(C457,$B$4:$AJ$7,26,FALSE)+VLOOKUP(C457,$B$8:$AJ$11,26,FALSE)*입력란!$P$4)*입력란!$P$25/100</f>
        <v>483338.79697493906</v>
      </c>
      <c r="AO457" s="21">
        <f>(VLOOKUP(C457,$B$4:$AJ$7,27,FALSE)+VLOOKUP(C457,$B$8:$AJ$11,27,FALSE)*입력란!$P$4)*입력란!$P$25/100</f>
        <v>40267.464626004847</v>
      </c>
      <c r="AP457" s="21"/>
      <c r="AQ457" s="22">
        <v>27</v>
      </c>
    </row>
    <row r="458" spans="2:43" ht="13.5" customHeight="1" x14ac:dyDescent="0.55000000000000004">
      <c r="B458" s="66">
        <v>443</v>
      </c>
      <c r="C458" s="29">
        <v>4</v>
      </c>
      <c r="D458" s="49" t="s">
        <v>230</v>
      </c>
      <c r="E458" s="27" t="s">
        <v>232</v>
      </c>
      <c r="F458" s="29"/>
      <c r="G458" s="29"/>
      <c r="H458" s="37">
        <f>I458/AJ458</f>
        <v>66339.749548701511</v>
      </c>
      <c r="I458" s="37">
        <f>SUM(J458:Q458)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1769639.1655018134</v>
      </c>
      <c r="J458" s="21">
        <f>S458*(1+IF($AK458+IF(입력란!$C$26=1,10,0)&gt;100,100,$AK458+IF(입력란!$C$26=1,10,0))/100*(($AL458+IF(입력란!$C$30=1,17,IF(입력란!$C$30=2,20,IF(입력란!$C$30=3,22,0))))/100-1))</f>
        <v>1002580.4849352314</v>
      </c>
      <c r="K458" s="21">
        <f>T458*(1+IF($AK458+IF(입력란!$C$26=1,10,0)&gt;100,100,$AK458+IF(입력란!$C$26=1,10,0))/100*(($AL458+IF(입력란!$C$30=1,17,IF(입력란!$C$30=2,20,IF(입력란!$C$30=3,22,0))))/100-1))</f>
        <v>250616.2897279037</v>
      </c>
      <c r="L458" s="21"/>
      <c r="M458" s="21"/>
      <c r="N458" s="21"/>
      <c r="O458" s="21"/>
      <c r="P458" s="21"/>
      <c r="Q458" s="20">
        <f>Z458*(1+IF($AK458+IF(입력란!$C$26=1,10,0)&gt;100,100,$AK458+IF(입력란!$C$26=1,10,0))/100*(($AL458+IF(입력란!$C$30=1,17,IF(입력란!$C$30=2,20,IF(입력란!$C$30=3,22,0))))/100-1))</f>
        <v>0</v>
      </c>
      <c r="R458" s="19">
        <f>SUM(S458:Z458)</f>
        <v>823487.15489805583</v>
      </c>
      <c r="S458" s="21">
        <f>AN458*IF(MID(E458,3,1)="1",트라이포드!$J$22,트라이포드!$I$22)*IF(MID(E458,3,1)="3",IF(G458="생명50%이하",트라이포드!$N$22,트라이포드!$M$22),1)*IF(MID(E458,5,1)="2",트라이포드!$R$22,트라이포드!$Q$22)*(1+입력란!$P$19/100)</f>
        <v>658804.88027712575</v>
      </c>
      <c r="T458" s="21">
        <f>AO458*3*IF(MID(E458,5,1)="1",트라이포드!$P$22,트라이포드!$O$22)*(1+입력란!$P$19/100)</f>
        <v>164682.27462093011</v>
      </c>
      <c r="U458" s="21"/>
      <c r="V458" s="21"/>
      <c r="W458" s="21"/>
      <c r="X458" s="21"/>
      <c r="Y458" s="21"/>
      <c r="Z458" s="20">
        <f>(AN458+AO458*3)*IF(MID(E458,1,1)="2",트라이포드!$F$22,트라이포드!$E$22)*(1+입력란!$P$19/100)</f>
        <v>0</v>
      </c>
      <c r="AA458" s="21">
        <f>SUM(AB458:AI458)</f>
        <v>1646974.3097961117</v>
      </c>
      <c r="AB458" s="21">
        <f>S458*2</f>
        <v>1317609.7605542515</v>
      </c>
      <c r="AC458" s="21">
        <f>T458*2</f>
        <v>329364.54924186022</v>
      </c>
      <c r="AD458" s="21"/>
      <c r="AE458" s="21"/>
      <c r="AF458" s="21"/>
      <c r="AG458" s="21"/>
      <c r="AH458" s="21"/>
      <c r="AI458" s="20">
        <f>Z458*2</f>
        <v>0</v>
      </c>
      <c r="AJ458" s="21">
        <f>AQ458*(1-입력란!$P$10/100)</f>
        <v>26.675397141839998</v>
      </c>
      <c r="AK4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8" s="21">
        <f>입력란!$P$24+IF(입력란!$C$18=1,10,IF(입력란!$C$18=2,25,IF(입력란!$C$18=3,50,0)))+IF(입력란!$C$23&lt;&gt;0,-12)</f>
        <v>200</v>
      </c>
      <c r="AM458" s="21">
        <f>SUM(AN458:AP458)</f>
        <v>524293.46160094382</v>
      </c>
      <c r="AN458" s="21">
        <f>(VLOOKUP(C458,$B$4:$AJ$7,26,FALSE)+VLOOKUP(C458,$B$8:$AJ$11,26,FALSE)*입력란!$P$4)*입력란!$P$25/100</f>
        <v>483967.47766149894</v>
      </c>
      <c r="AO458" s="21">
        <f>(VLOOKUP(C458,$B$4:$AJ$7,27,FALSE)+VLOOKUP(C458,$B$8:$AJ$11,27,FALSE)*입력란!$P$4)*입력란!$P$25/100</f>
        <v>40325.983939444872</v>
      </c>
      <c r="AP458" s="21"/>
      <c r="AQ458" s="22">
        <v>27</v>
      </c>
    </row>
    <row r="459" spans="2:43" ht="13.5" customHeight="1" x14ac:dyDescent="0.55000000000000004">
      <c r="B459" s="66">
        <v>444</v>
      </c>
      <c r="C459" s="29">
        <v>4</v>
      </c>
      <c r="D459" s="49" t="s">
        <v>230</v>
      </c>
      <c r="E459" s="27" t="s">
        <v>236</v>
      </c>
      <c r="F459" s="29"/>
      <c r="G459" s="29"/>
      <c r="H459" s="37">
        <f>I459/AJ459</f>
        <v>79607.699458441799</v>
      </c>
      <c r="I459" s="37">
        <f>SUM(J459:Q459)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2123566.9986021761</v>
      </c>
      <c r="J459" s="21">
        <f>S459*(1+IF($AK459+IF(입력란!$C$26=1,10,0)&gt;100,100,$AK459+IF(입력란!$C$26=1,10,0))/100*(($AL459+IF(입력란!$C$30=1,17,IF(입력란!$C$30=2,20,IF(입력란!$C$30=3,22,0))))/100-1))</f>
        <v>1002580.4849352314</v>
      </c>
      <c r="K459" s="21">
        <f>T459*(1+IF($AK459+IF(입력란!$C$26=1,10,0)&gt;100,100,$AK459+IF(입력란!$C$26=1,10,0))/100*(($AL459+IF(입력란!$C$30=1,17,IF(입력란!$C$30=2,20,IF(입력란!$C$30=3,22,0))))/100-1))</f>
        <v>250616.2897279037</v>
      </c>
      <c r="L459" s="21"/>
      <c r="M459" s="21"/>
      <c r="N459" s="21"/>
      <c r="O459" s="21"/>
      <c r="P459" s="21"/>
      <c r="Q459" s="20">
        <f>Z459*(1+IF($AK459+IF(입력란!$C$26=1,10,0)&gt;100,100,$AK459+IF(입력란!$C$26=1,10,0))/100*(($AL459+IF(입력란!$C$30=1,17,IF(입력란!$C$30=2,20,IF(입력란!$C$30=3,22,0))))/100-1))</f>
        <v>250639.35493262703</v>
      </c>
      <c r="R459" s="19">
        <f>SUM(S459:Z459)</f>
        <v>988184.58587766695</v>
      </c>
      <c r="S459" s="21">
        <f>AN459*IF(MID(E459,3,1)="1",트라이포드!$J$22,트라이포드!$I$22)*IF(MID(E459,3,1)="3",IF(G459="생명50%이하",트라이포드!$N$22,트라이포드!$M$22),1)*IF(MID(E459,5,1)="2",트라이포드!$R$22,트라이포드!$Q$22)*(1+입력란!$P$19/100)</f>
        <v>658804.88027712575</v>
      </c>
      <c r="T459" s="21">
        <f>AO459*3*IF(MID(E459,5,1)="1",트라이포드!$P$22,트라이포드!$O$22)*(1+입력란!$P$19/100)</f>
        <v>164682.27462093011</v>
      </c>
      <c r="U459" s="21"/>
      <c r="V459" s="21"/>
      <c r="W459" s="21"/>
      <c r="X459" s="21"/>
      <c r="Y459" s="21"/>
      <c r="Z459" s="20">
        <f>(AN459+AO459*3)*IF(MID(E459,1,1)="2",트라이포드!$F$22,트라이포드!$E$22)*(1+입력란!$P$19/100)</f>
        <v>164697.43097961118</v>
      </c>
      <c r="AA459" s="21">
        <f>SUM(AB459:AI459)</f>
        <v>1976369.1717553339</v>
      </c>
      <c r="AB459" s="21">
        <f>S459*2</f>
        <v>1317609.7605542515</v>
      </c>
      <c r="AC459" s="21">
        <f>T459*2</f>
        <v>329364.54924186022</v>
      </c>
      <c r="AD459" s="21"/>
      <c r="AE459" s="21"/>
      <c r="AF459" s="21"/>
      <c r="AG459" s="21"/>
      <c r="AH459" s="21"/>
      <c r="AI459" s="20">
        <f>Z459*2</f>
        <v>329394.86195922235</v>
      </c>
      <c r="AJ459" s="21">
        <f>AQ459*(1-입력란!$P$10/100)</f>
        <v>26.675397141839998</v>
      </c>
      <c r="AK4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59" s="21">
        <f>입력란!$P$24+IF(입력란!$C$18=1,10,IF(입력란!$C$18=2,25,IF(입력란!$C$18=3,50,0)))+IF(입력란!$C$23&lt;&gt;0,-12)</f>
        <v>200</v>
      </c>
      <c r="AM459" s="21">
        <f>SUM(AN459:AP459)</f>
        <v>524293.46160094382</v>
      </c>
      <c r="AN459" s="21">
        <f>(VLOOKUP(C459,$B$4:$AJ$7,26,FALSE)+VLOOKUP(C459,$B$8:$AJ$11,26,FALSE)*입력란!$P$4)*입력란!$P$25/100</f>
        <v>483967.47766149894</v>
      </c>
      <c r="AO459" s="21">
        <f>(VLOOKUP(C459,$B$4:$AJ$7,27,FALSE)+VLOOKUP(C459,$B$8:$AJ$11,27,FALSE)*입력란!$P$4)*입력란!$P$25/100</f>
        <v>40325.983939444872</v>
      </c>
      <c r="AP459" s="21"/>
      <c r="AQ459" s="22">
        <v>27</v>
      </c>
    </row>
    <row r="460" spans="2:43" ht="13.5" customHeight="1" x14ac:dyDescent="0.55000000000000004">
      <c r="B460" s="66">
        <v>445</v>
      </c>
      <c r="C460" s="29">
        <v>7</v>
      </c>
      <c r="D460" s="49" t="s">
        <v>230</v>
      </c>
      <c r="E460" s="27" t="s">
        <v>232</v>
      </c>
      <c r="F460" s="29"/>
      <c r="G460" s="29"/>
      <c r="H460" s="37">
        <f>I460/AJ460</f>
        <v>66380.864089191513</v>
      </c>
      <c r="I460" s="37">
        <f>SUM(J460:Q460)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1770735.9121976886</v>
      </c>
      <c r="J460" s="21">
        <f>S460*(1+IF($AK460+IF(입력란!$C$26=1,10,0)&gt;100,100,$AK460+IF(입력란!$C$26=1,10,0))/100*(($AL460+IF(입력란!$C$30=1,17,IF(입력란!$C$30=2,20,IF(입력란!$C$30=3,22,0))))/100-1))</f>
        <v>1003200.5507790549</v>
      </c>
      <c r="K460" s="21">
        <f>T460*(1+IF($AK460+IF(입력란!$C$26=1,10,0)&gt;100,100,$AK460+IF(입력란!$C$26=1,10,0))/100*(($AL460+IF(입력란!$C$30=1,17,IF(입력란!$C$30=2,20,IF(입력란!$C$30=3,22,0))))/100-1))</f>
        <v>250772.90166601853</v>
      </c>
      <c r="L460" s="21"/>
      <c r="M460" s="21"/>
      <c r="N460" s="21"/>
      <c r="O460" s="21"/>
      <c r="P460" s="21"/>
      <c r="Q460" s="20">
        <f>Z460*(1+IF($AK460+IF(입력란!$C$26=1,10,0)&gt;100,100,$AK460+IF(입력란!$C$26=1,10,0))/100*(($AL460+IF(입력란!$C$30=1,17,IF(입력란!$C$30=2,20,IF(입력란!$C$30=3,22,0))))/100-1))</f>
        <v>0</v>
      </c>
      <c r="R460" s="19">
        <f>SUM(S460:Z460)</f>
        <v>823997.51702940813</v>
      </c>
      <c r="S460" s="21">
        <f>AN460*IF(MID(E460,3,1)="1",트라이포드!$J$22,트라이포드!$I$22)*IF(MID(E460,3,1)="3",IF(G460="생명50%이하",트라이포드!$N$22,트라이포드!$M$22),1)*IF(MID(E460,5,1)="2",트라이포드!$R$22,트라이포드!$Q$22)*(1+입력란!$P$19/100)</f>
        <v>659212.33126000664</v>
      </c>
      <c r="T460" s="21">
        <f>AO460*3*IF(MID(E460,5,1)="1",트라이포드!$P$22,트라이포드!$O$22)*(1+입력란!$P$19/100)</f>
        <v>164785.18576940152</v>
      </c>
      <c r="U460" s="21"/>
      <c r="V460" s="21"/>
      <c r="W460" s="21"/>
      <c r="X460" s="21"/>
      <c r="Y460" s="21"/>
      <c r="Z460" s="20">
        <f>(AN460+AO460*3)*IF(MID(E460,1,1)="2",트라이포드!$F$22,트라이포드!$E$22)*(1+입력란!$P$19/100)</f>
        <v>0</v>
      </c>
      <c r="AA460" s="21">
        <f>SUM(AB460:AI460)</f>
        <v>1647995.0340588163</v>
      </c>
      <c r="AB460" s="21">
        <f>S460*2</f>
        <v>1318424.6625200133</v>
      </c>
      <c r="AC460" s="21">
        <f>T460*2</f>
        <v>329570.37153880304</v>
      </c>
      <c r="AD460" s="21"/>
      <c r="AE460" s="21"/>
      <c r="AF460" s="21"/>
      <c r="AG460" s="21"/>
      <c r="AH460" s="21"/>
      <c r="AI460" s="20">
        <f>Z460*2</f>
        <v>0</v>
      </c>
      <c r="AJ460" s="21">
        <f>AQ460*(1-입력란!$P$10/100)</f>
        <v>26.675397141839998</v>
      </c>
      <c r="AK4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0" s="21">
        <f>입력란!$P$24+IF(입력란!$C$18=1,10,IF(입력란!$C$18=2,25,IF(입력란!$C$18=3,50,0)))+IF(입력란!$C$23&lt;&gt;0,-12)</f>
        <v>200</v>
      </c>
      <c r="AM460" s="21">
        <f>SUM(AN460:AP460)</f>
        <v>524617.98091438389</v>
      </c>
      <c r="AN460" s="21">
        <f>(VLOOKUP(C460,$B$4:$AJ$7,26,FALSE)+VLOOKUP(C460,$B$8:$AJ$11,26,FALSE)*입력란!$P$4)*입력란!$P$25/100</f>
        <v>484266.79697493906</v>
      </c>
      <c r="AO460" s="21">
        <f>(VLOOKUP(C460,$B$4:$AJ$7,27,FALSE)+VLOOKUP(C460,$B$8:$AJ$11,27,FALSE)*입력란!$P$4)*입력란!$P$25/100</f>
        <v>40351.183939444876</v>
      </c>
      <c r="AP460" s="21"/>
      <c r="AQ460" s="22">
        <v>27</v>
      </c>
    </row>
    <row r="461" spans="2:43" ht="13.5" customHeight="1" x14ac:dyDescent="0.55000000000000004">
      <c r="B461" s="66">
        <v>446</v>
      </c>
      <c r="C461" s="29">
        <v>7</v>
      </c>
      <c r="D461" s="49" t="s">
        <v>230</v>
      </c>
      <c r="E461" s="27" t="s">
        <v>234</v>
      </c>
      <c r="F461" s="29"/>
      <c r="G461" s="29"/>
      <c r="H461" s="37">
        <f>I461/AJ461</f>
        <v>79657.325262595681</v>
      </c>
      <c r="I461" s="37">
        <f>SUM(J461:Q461)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2124890.7866364638</v>
      </c>
      <c r="J461" s="21">
        <f>S461*(1+IF($AK461+IF(입력란!$C$26=1,10,0)&gt;100,100,$AK461+IF(입력란!$C$26=1,10,0))/100*(($AL461+IF(입력란!$C$30=1,17,IF(입력란!$C$30=2,20,IF(입력란!$C$30=3,22,0))))/100-1))</f>
        <v>1254000.6884738186</v>
      </c>
      <c r="K461" s="21">
        <f>T461*(1+IF($AK461+IF(입력란!$C$26=1,10,0)&gt;100,100,$AK461+IF(입력란!$C$26=1,10,0))/100*(($AL461+IF(입력란!$C$30=1,17,IF(입력란!$C$30=2,20,IF(입력란!$C$30=3,22,0))))/100-1))</f>
        <v>250772.90166601853</v>
      </c>
      <c r="L461" s="21"/>
      <c r="M461" s="21"/>
      <c r="N461" s="21"/>
      <c r="O461" s="21"/>
      <c r="P461" s="21"/>
      <c r="Q461" s="20">
        <f>Z461*(1+IF($AK461+IF(입력란!$C$26=1,10,0)&gt;100,100,$AK461+IF(입력란!$C$26=1,10,0))/100*(($AL461+IF(입력란!$C$30=1,17,IF(입력란!$C$30=2,20,IF(입력란!$C$30=3,22,0))))/100-1))</f>
        <v>0</v>
      </c>
      <c r="R461" s="19">
        <f>SUM(S461:Z461)</f>
        <v>988800.59984440985</v>
      </c>
      <c r="S461" s="21">
        <f>AN461*IF(MID(E461,3,1)="1",트라이포드!$J$22,트라이포드!$I$22)*IF(MID(E461,3,1)="3",IF(G461="생명50%이하",트라이포드!$N$22,트라이포드!$M$22),1)*IF(MID(E461,5,1)="2",트라이포드!$R$22,트라이포드!$Q$22)*(1+입력란!$P$19/100)</f>
        <v>824015.41407500836</v>
      </c>
      <c r="T461" s="21">
        <f>AO461*3*IF(MID(E461,5,1)="1",트라이포드!$P$22,트라이포드!$O$22)*(1+입력란!$P$19/100)</f>
        <v>164785.18576940152</v>
      </c>
      <c r="U461" s="21"/>
      <c r="V461" s="21"/>
      <c r="W461" s="21"/>
      <c r="X461" s="21"/>
      <c r="Y461" s="21"/>
      <c r="Z461" s="20">
        <f>(AN461+AO461*3)*IF(MID(E461,1,1)="2",트라이포드!$F$22,트라이포드!$E$22)*(1+입력란!$P$19/100)</f>
        <v>0</v>
      </c>
      <c r="AA461" s="21">
        <f>SUM(AB461:AI461)</f>
        <v>1977601.1996888197</v>
      </c>
      <c r="AB461" s="21">
        <f>S461*2</f>
        <v>1648030.8281500167</v>
      </c>
      <c r="AC461" s="21">
        <f>T461*2</f>
        <v>329570.37153880304</v>
      </c>
      <c r="AD461" s="21"/>
      <c r="AE461" s="21"/>
      <c r="AF461" s="21"/>
      <c r="AG461" s="21"/>
      <c r="AH461" s="21"/>
      <c r="AI461" s="20">
        <f>Z461*2</f>
        <v>0</v>
      </c>
      <c r="AJ461" s="21">
        <f>AQ461*(1-입력란!$P$10/100)</f>
        <v>26.675397141839998</v>
      </c>
      <c r="AK4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1" s="21">
        <f>입력란!$P$24+IF(입력란!$C$18=1,10,IF(입력란!$C$18=2,25,IF(입력란!$C$18=3,50,0)))+IF(입력란!$C$23&lt;&gt;0,-12)</f>
        <v>200</v>
      </c>
      <c r="AM461" s="21">
        <f>SUM(AN461:AP461)</f>
        <v>524617.98091438389</v>
      </c>
      <c r="AN461" s="21">
        <f>(VLOOKUP(C461,$B$4:$AJ$7,26,FALSE)+VLOOKUP(C461,$B$8:$AJ$11,26,FALSE)*입력란!$P$4)*입력란!$P$25/100</f>
        <v>484266.79697493906</v>
      </c>
      <c r="AO461" s="21">
        <f>(VLOOKUP(C461,$B$4:$AJ$7,27,FALSE)+VLOOKUP(C461,$B$8:$AJ$11,27,FALSE)*입력란!$P$4)*입력란!$P$25/100</f>
        <v>40351.183939444876</v>
      </c>
      <c r="AP461" s="21"/>
      <c r="AQ461" s="22">
        <v>27</v>
      </c>
    </row>
    <row r="462" spans="2:43" ht="13.5" customHeight="1" x14ac:dyDescent="0.55000000000000004">
      <c r="B462" s="66">
        <v>447</v>
      </c>
      <c r="C462" s="29">
        <v>7</v>
      </c>
      <c r="D462" s="49" t="s">
        <v>230</v>
      </c>
      <c r="E462" s="27" t="s">
        <v>235</v>
      </c>
      <c r="F462" s="29"/>
      <c r="G462" s="29"/>
      <c r="H462" s="37">
        <f>I462/AJ462</f>
        <v>66380.864089191513</v>
      </c>
      <c r="I462" s="37">
        <f>SUM(J462:Q462)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1770735.9121976886</v>
      </c>
      <c r="J462" s="21">
        <f>S462*(1+IF($AK462+IF(입력란!$C$26=1,10,0)&gt;100,100,$AK462+IF(입력란!$C$26=1,10,0))/100*(($AL462+IF(입력란!$C$30=1,17,IF(입력란!$C$30=2,20,IF(입력란!$C$30=3,22,0))))/100-1))</f>
        <v>1003200.5507790549</v>
      </c>
      <c r="K462" s="21">
        <f>T462*(1+IF($AK462+IF(입력란!$C$26=1,10,0)&gt;100,100,$AK462+IF(입력란!$C$26=1,10,0))/100*(($AL462+IF(입력란!$C$30=1,17,IF(입력란!$C$30=2,20,IF(입력란!$C$30=3,22,0))))/100-1))</f>
        <v>250772.90166601853</v>
      </c>
      <c r="L462" s="21"/>
      <c r="M462" s="21"/>
      <c r="N462" s="21"/>
      <c r="O462" s="21"/>
      <c r="P462" s="21"/>
      <c r="Q462" s="20">
        <f>Z462*(1+IF($AK462+IF(입력란!$C$26=1,10,0)&gt;100,100,$AK462+IF(입력란!$C$26=1,10,0))/100*(($AL462+IF(입력란!$C$30=1,17,IF(입력란!$C$30=2,20,IF(입력란!$C$30=3,22,0))))/100-1))</f>
        <v>0</v>
      </c>
      <c r="R462" s="19">
        <f>SUM(S462:Z462)</f>
        <v>823997.51702940813</v>
      </c>
      <c r="S462" s="21">
        <f>AN462*IF(MID(E462,3,1)="1",트라이포드!$J$22,트라이포드!$I$22)*IF(MID(E462,3,1)="3",IF(G462="생명50%이하",트라이포드!$N$22,트라이포드!$M$22),1)*IF(MID(E462,5,1)="2",트라이포드!$R$22,트라이포드!$Q$22)*(1+입력란!$P$19/100)</f>
        <v>659212.33126000664</v>
      </c>
      <c r="T462" s="21">
        <f>AO462*3*IF(MID(E462,5,1)="1",트라이포드!$P$22,트라이포드!$O$22)*(1+입력란!$P$19/100)</f>
        <v>164785.18576940152</v>
      </c>
      <c r="U462" s="21"/>
      <c r="V462" s="21"/>
      <c r="W462" s="21"/>
      <c r="X462" s="21"/>
      <c r="Y462" s="21"/>
      <c r="Z462" s="20">
        <f>(AN462+AO462*3)*IF(MID(E462,1,1)="2",트라이포드!$F$22,트라이포드!$E$22)*(1+입력란!$P$19/100)</f>
        <v>0</v>
      </c>
      <c r="AA462" s="21">
        <f>SUM(AB462:AI462)</f>
        <v>1647995.0340588163</v>
      </c>
      <c r="AB462" s="21">
        <f>S462*2</f>
        <v>1318424.6625200133</v>
      </c>
      <c r="AC462" s="21">
        <f>T462*2</f>
        <v>329570.37153880304</v>
      </c>
      <c r="AD462" s="21"/>
      <c r="AE462" s="21"/>
      <c r="AF462" s="21"/>
      <c r="AG462" s="21"/>
      <c r="AH462" s="21"/>
      <c r="AI462" s="20">
        <f>Z462*2</f>
        <v>0</v>
      </c>
      <c r="AJ462" s="21">
        <f>AQ462*(1-입력란!$P$10/100)</f>
        <v>26.675397141839998</v>
      </c>
      <c r="AK4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2" s="21">
        <f>입력란!$P$24+IF(입력란!$C$18=1,10,IF(입력란!$C$18=2,25,IF(입력란!$C$18=3,50,0)))+IF(입력란!$C$23&lt;&gt;0,-12)</f>
        <v>200</v>
      </c>
      <c r="AM462" s="21">
        <f>SUM(AN462:AP462)</f>
        <v>524617.98091438389</v>
      </c>
      <c r="AN462" s="21">
        <f>(VLOOKUP(C462,$B$4:$AJ$7,26,FALSE)+VLOOKUP(C462,$B$8:$AJ$11,26,FALSE)*입력란!$P$4)*입력란!$P$25/100</f>
        <v>484266.79697493906</v>
      </c>
      <c r="AO462" s="21">
        <f>(VLOOKUP(C462,$B$4:$AJ$7,27,FALSE)+VLOOKUP(C462,$B$8:$AJ$11,27,FALSE)*입력란!$P$4)*입력란!$P$25/100</f>
        <v>40351.183939444876</v>
      </c>
      <c r="AP462" s="21"/>
      <c r="AQ462" s="22">
        <v>27</v>
      </c>
    </row>
    <row r="463" spans="2:43" ht="13.5" customHeight="1" x14ac:dyDescent="0.55000000000000004">
      <c r="B463" s="66">
        <v>448</v>
      </c>
      <c r="C463" s="29">
        <v>7</v>
      </c>
      <c r="D463" s="49" t="s">
        <v>230</v>
      </c>
      <c r="E463" s="27" t="s">
        <v>237</v>
      </c>
      <c r="F463" s="29"/>
      <c r="G463" s="29"/>
      <c r="H463" s="37">
        <f>I463/AJ463</f>
        <v>92933.498080433987</v>
      </c>
      <c r="I463" s="37">
        <f>SUM(J463:Q463)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2479037.9690760016</v>
      </c>
      <c r="J463" s="21">
        <f>S463*(1+IF($AK463+IF(입력란!$C$26=1,10,0)&gt;100,100,$AK463+IF(입력란!$C$26=1,10,0))/100*(($AL463+IF(입력란!$C$30=1,17,IF(입력란!$C$30=2,20,IF(입력란!$C$30=3,22,0))))/100-1))</f>
        <v>1254000.6884738186</v>
      </c>
      <c r="K463" s="21">
        <f>T463*(1+IF($AK463+IF(입력란!$C$26=1,10,0)&gt;100,100,$AK463+IF(입력란!$C$26=1,10,0))/100*(($AL463+IF(입력란!$C$30=1,17,IF(입력란!$C$30=2,20,IF(입력란!$C$30=3,22,0))))/100-1))</f>
        <v>250772.90166601853</v>
      </c>
      <c r="L463" s="21"/>
      <c r="M463" s="21"/>
      <c r="N463" s="21"/>
      <c r="O463" s="21"/>
      <c r="P463" s="21"/>
      <c r="Q463" s="20">
        <f>Z463*(1+IF($AK463+IF(입력란!$C$26=1,10,0)&gt;100,100,$AK463+IF(입력란!$C$26=1,10,0))/100*(($AL463+IF(입력란!$C$30=1,17,IF(입력란!$C$30=2,20,IF(입력란!$C$30=3,22,0))))/100-1))</f>
        <v>250794.6904890147</v>
      </c>
      <c r="R463" s="19">
        <f>SUM(S463:Z463)</f>
        <v>1153600.1032502914</v>
      </c>
      <c r="S463" s="21">
        <f>AN463*IF(MID(E463,3,1)="1",트라이포드!$J$22,트라이포드!$I$22)*IF(MID(E463,3,1)="3",IF(G463="생명50%이하",트라이포드!$N$22,트라이포드!$M$22),1)*IF(MID(E463,5,1)="2",트라이포드!$R$22,트라이포드!$Q$22)*(1+입력란!$P$19/100)</f>
        <v>824015.41407500836</v>
      </c>
      <c r="T463" s="21">
        <f>AO463*3*IF(MID(E463,5,1)="1",트라이포드!$P$22,트라이포드!$O$22)*(1+입력란!$P$19/100)</f>
        <v>164785.18576940152</v>
      </c>
      <c r="U463" s="21"/>
      <c r="V463" s="21"/>
      <c r="W463" s="21"/>
      <c r="X463" s="21"/>
      <c r="Y463" s="21"/>
      <c r="Z463" s="20">
        <f>(AN463+AO463*3)*IF(MID(E463,1,1)="2",트라이포드!$F$22,트라이포드!$E$22)*(1+입력란!$P$19/100)</f>
        <v>164799.50340588164</v>
      </c>
      <c r="AA463" s="21">
        <f>SUM(AB463:AI463)</f>
        <v>2307200.2065005829</v>
      </c>
      <c r="AB463" s="21">
        <f>S463*2</f>
        <v>1648030.8281500167</v>
      </c>
      <c r="AC463" s="21">
        <f>T463*2</f>
        <v>329570.37153880304</v>
      </c>
      <c r="AD463" s="21"/>
      <c r="AE463" s="21"/>
      <c r="AF463" s="21"/>
      <c r="AG463" s="21"/>
      <c r="AH463" s="21"/>
      <c r="AI463" s="20">
        <f>Z463*2</f>
        <v>329599.00681176328</v>
      </c>
      <c r="AJ463" s="21">
        <f>AQ463*(1-입력란!$P$10/100)</f>
        <v>26.675397141839998</v>
      </c>
      <c r="AK4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3" s="21">
        <f>입력란!$P$24+IF(입력란!$C$18=1,10,IF(입력란!$C$18=2,25,IF(입력란!$C$18=3,50,0)))+IF(입력란!$C$23&lt;&gt;0,-12)</f>
        <v>200</v>
      </c>
      <c r="AM463" s="21">
        <f>SUM(AN463:AP463)</f>
        <v>524617.98091438389</v>
      </c>
      <c r="AN463" s="21">
        <f>(VLOOKUP(C463,$B$4:$AJ$7,26,FALSE)+VLOOKUP(C463,$B$8:$AJ$11,26,FALSE)*입력란!$P$4)*입력란!$P$25/100</f>
        <v>484266.79697493906</v>
      </c>
      <c r="AO463" s="21">
        <f>(VLOOKUP(C463,$B$4:$AJ$7,27,FALSE)+VLOOKUP(C463,$B$8:$AJ$11,27,FALSE)*입력란!$P$4)*입력란!$P$25/100</f>
        <v>40351.183939444876</v>
      </c>
      <c r="AP463" s="21"/>
      <c r="AQ463" s="22">
        <v>27</v>
      </c>
    </row>
    <row r="464" spans="2:43" ht="13.5" customHeight="1" x14ac:dyDescent="0.55000000000000004">
      <c r="B464" s="66">
        <v>449</v>
      </c>
      <c r="C464" s="29">
        <v>7</v>
      </c>
      <c r="D464" s="49" t="s">
        <v>230</v>
      </c>
      <c r="E464" s="27" t="s">
        <v>238</v>
      </c>
      <c r="F464" s="29"/>
      <c r="G464" s="29"/>
      <c r="H464" s="37">
        <f>I464/AJ464</f>
        <v>79657.036907029789</v>
      </c>
      <c r="I464" s="37">
        <f>SUM(J464:Q464)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2124883.0946372258</v>
      </c>
      <c r="J464" s="21">
        <f>S464*(1+IF($AK464+IF(입력란!$C$26=1,10,0)&gt;100,100,$AK464+IF(입력란!$C$26=1,10,0))/100*(($AL464+IF(입력란!$C$30=1,17,IF(입력란!$C$30=2,20,IF(입력란!$C$30=3,22,0))))/100-1))</f>
        <v>1003200.5507790549</v>
      </c>
      <c r="K464" s="21">
        <f>T464*(1+IF($AK464+IF(입력란!$C$26=1,10,0)&gt;100,100,$AK464+IF(입력란!$C$26=1,10,0))/100*(($AL464+IF(입력란!$C$30=1,17,IF(입력란!$C$30=2,20,IF(입력란!$C$30=3,22,0))))/100-1))</f>
        <v>250772.90166601853</v>
      </c>
      <c r="L464" s="21"/>
      <c r="M464" s="21"/>
      <c r="N464" s="21"/>
      <c r="O464" s="21"/>
      <c r="P464" s="21"/>
      <c r="Q464" s="20">
        <f>Z464*(1+IF($AK464+IF(입력란!$C$26=1,10,0)&gt;100,100,$AK464+IF(입력란!$C$26=1,10,0))/100*(($AL464+IF(입력란!$C$30=1,17,IF(입력란!$C$30=2,20,IF(입력란!$C$30=3,22,0))))/100-1))</f>
        <v>250794.6904890147</v>
      </c>
      <c r="R464" s="19">
        <f>SUM(S464:Z464)</f>
        <v>988797.02043528971</v>
      </c>
      <c r="S464" s="21">
        <f>AN464*IF(MID(E464,3,1)="1",트라이포드!$J$22,트라이포드!$I$22)*IF(MID(E464,3,1)="3",IF(G464="생명50%이하",트라이포드!$N$22,트라이포드!$M$22),1)*IF(MID(E464,5,1)="2",트라이포드!$R$22,트라이포드!$Q$22)*(1+입력란!$P$19/100)</f>
        <v>659212.33126000664</v>
      </c>
      <c r="T464" s="21">
        <f>AO464*3*IF(MID(E464,5,1)="1",트라이포드!$P$22,트라이포드!$O$22)*(1+입력란!$P$19/100)</f>
        <v>164785.18576940152</v>
      </c>
      <c r="U464" s="21"/>
      <c r="V464" s="21"/>
      <c r="W464" s="21"/>
      <c r="X464" s="21"/>
      <c r="Y464" s="21"/>
      <c r="Z464" s="20">
        <f>(AN464+AO464*3)*IF(MID(E464,1,1)="2",트라이포드!$F$22,트라이포드!$E$22)*(1+입력란!$P$19/100)</f>
        <v>164799.50340588164</v>
      </c>
      <c r="AA464" s="21">
        <f>SUM(AB464:AI464)</f>
        <v>1977594.0408705794</v>
      </c>
      <c r="AB464" s="21">
        <f>S464*2</f>
        <v>1318424.6625200133</v>
      </c>
      <c r="AC464" s="21">
        <f>T464*2</f>
        <v>329570.37153880304</v>
      </c>
      <c r="AD464" s="21"/>
      <c r="AE464" s="21"/>
      <c r="AF464" s="21"/>
      <c r="AG464" s="21"/>
      <c r="AH464" s="21"/>
      <c r="AI464" s="20">
        <f>Z464*2</f>
        <v>329599.00681176328</v>
      </c>
      <c r="AJ464" s="21">
        <f>AQ464*(1-입력란!$P$10/100)</f>
        <v>26.675397141839998</v>
      </c>
      <c r="AK4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4" s="21">
        <f>입력란!$P$24+IF(입력란!$C$18=1,10,IF(입력란!$C$18=2,25,IF(입력란!$C$18=3,50,0)))+IF(입력란!$C$23&lt;&gt;0,-12)</f>
        <v>200</v>
      </c>
      <c r="AM464" s="21">
        <f>SUM(AN464:AP464)</f>
        <v>524617.98091438389</v>
      </c>
      <c r="AN464" s="21">
        <f>(VLOOKUP(C464,$B$4:$AJ$7,26,FALSE)+VLOOKUP(C464,$B$8:$AJ$11,26,FALSE)*입력란!$P$4)*입력란!$P$25/100</f>
        <v>484266.79697493906</v>
      </c>
      <c r="AO464" s="21">
        <f>(VLOOKUP(C464,$B$4:$AJ$7,27,FALSE)+VLOOKUP(C464,$B$8:$AJ$11,27,FALSE)*입력란!$P$4)*입력란!$P$25/100</f>
        <v>40351.183939444876</v>
      </c>
      <c r="AP464" s="21"/>
      <c r="AQ464" s="22">
        <v>27</v>
      </c>
    </row>
    <row r="465" spans="2:43" ht="13.5" customHeight="1" x14ac:dyDescent="0.55000000000000004">
      <c r="B465" s="66">
        <v>450</v>
      </c>
      <c r="C465" s="29">
        <v>10</v>
      </c>
      <c r="D465" s="49" t="s">
        <v>230</v>
      </c>
      <c r="E465" s="27" t="s">
        <v>232</v>
      </c>
      <c r="F465" s="29"/>
      <c r="G465" s="29"/>
      <c r="H465" s="37">
        <f>I465/AJ465</f>
        <v>66406.744408523693</v>
      </c>
      <c r="I465" s="37">
        <f>SUM(J465:Q465)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1771426.2799940323</v>
      </c>
      <c r="J465" s="21">
        <f>S465*(1+IF($AK465+IF(입력란!$C$26=1,10,0)&gt;100,100,$AK465+IF(입력란!$C$26=1,10,0))/100*(($AL465+IF(입력란!$C$30=1,17,IF(입력란!$C$30=2,20,IF(입력란!$C$30=3,22,0))))/100-1))</f>
        <v>1003590.0090378588</v>
      </c>
      <c r="K465" s="21">
        <f>T465*(1+IF($AK465+IF(입력란!$C$26=1,10,0)&gt;100,100,$AK465+IF(입력란!$C$26=1,10,0))/100*(($AL465+IF(입력란!$C$30=1,17,IF(입력란!$C$30=2,20,IF(입력란!$C$30=3,22,0))))/100-1))</f>
        <v>250872.33781720253</v>
      </c>
      <c r="L465" s="21"/>
      <c r="M465" s="21"/>
      <c r="N465" s="21"/>
      <c r="O465" s="21"/>
      <c r="P465" s="21"/>
      <c r="Q465" s="20">
        <f>Z465*(1+IF($AK465+IF(입력란!$C$26=1,10,0)&gt;100,100,$AK465+IF(입력란!$C$26=1,10,0))/100*(($AL465+IF(입력란!$C$30=1,17,IF(입력란!$C$30=2,20,IF(입력란!$C$30=3,22,0))))/100-1))</f>
        <v>0</v>
      </c>
      <c r="R465" s="19">
        <f>SUM(S465:Z465)</f>
        <v>824318.77405373682</v>
      </c>
      <c r="S465" s="21">
        <f>AN465*IF(MID(E465,3,1)="1",트라이포드!$J$22,트라이포드!$I$22)*IF(MID(E465,3,1)="3",IF(G465="생명50%이하",트라이포드!$N$22,트라이포드!$M$22),1)*IF(MID(E465,5,1)="2",트라이포드!$R$22,트라이포드!$Q$22)*(1+입력란!$P$19/100)</f>
        <v>659468.24787260743</v>
      </c>
      <c r="T465" s="21">
        <f>AO465*3*IF(MID(E465,5,1)="1",트라이포드!$P$22,트라이포드!$O$22)*(1+입력란!$P$19/100)</f>
        <v>164850.52618112939</v>
      </c>
      <c r="U465" s="21"/>
      <c r="V465" s="21"/>
      <c r="W465" s="21"/>
      <c r="X465" s="21"/>
      <c r="Y465" s="21"/>
      <c r="Z465" s="20">
        <f>(AN465+AO465*3)*IF(MID(E465,1,1)="2",트라이포드!$F$22,트라이포드!$E$22)*(1+입력란!$P$19/100)</f>
        <v>0</v>
      </c>
      <c r="AA465" s="21">
        <f>SUM(AB465:AI465)</f>
        <v>1648637.5481074736</v>
      </c>
      <c r="AB465" s="21">
        <f>S465*2</f>
        <v>1318936.4957452149</v>
      </c>
      <c r="AC465" s="21">
        <f>T465*2</f>
        <v>329701.05236225878</v>
      </c>
      <c r="AD465" s="21"/>
      <c r="AE465" s="21"/>
      <c r="AF465" s="21"/>
      <c r="AG465" s="21"/>
      <c r="AH465" s="21"/>
      <c r="AI465" s="20">
        <f>Z465*2</f>
        <v>0</v>
      </c>
      <c r="AJ465" s="21">
        <f>AQ465*(1-입력란!$P$10/100)</f>
        <v>26.675397141839998</v>
      </c>
      <c r="AK4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5" s="21">
        <f>입력란!$P$24+IF(입력란!$C$18=1,10,IF(입력란!$C$18=2,25,IF(입력란!$C$18=3,50,0)))+IF(입력란!$C$23&lt;&gt;0,-12)</f>
        <v>200</v>
      </c>
      <c r="AM465" s="21">
        <f>SUM(AN465:AP465)</f>
        <v>524821.98091438389</v>
      </c>
      <c r="AN465" s="21">
        <f>(VLOOKUP(C465,$B$4:$AJ$7,26,FALSE)+VLOOKUP(C465,$B$8:$AJ$11,26,FALSE)*입력란!$P$4)*입력란!$P$25/100</f>
        <v>484454.79697493906</v>
      </c>
      <c r="AO465" s="21">
        <f>(VLOOKUP(C465,$B$4:$AJ$7,27,FALSE)+VLOOKUP(C465,$B$8:$AJ$11,27,FALSE)*입력란!$P$4)*입력란!$P$25/100</f>
        <v>40367.183939444876</v>
      </c>
      <c r="AP465" s="21"/>
      <c r="AQ465" s="22">
        <v>27</v>
      </c>
    </row>
    <row r="466" spans="2:43" ht="13.5" customHeight="1" x14ac:dyDescent="0.55000000000000004">
      <c r="B466" s="66">
        <v>451</v>
      </c>
      <c r="C466" s="29">
        <v>10</v>
      </c>
      <c r="D466" s="49" t="s">
        <v>230</v>
      </c>
      <c r="E466" s="27" t="s">
        <v>239</v>
      </c>
      <c r="F466" s="29"/>
      <c r="G466" s="29"/>
      <c r="H466" s="37">
        <f>I466/AJ466</f>
        <v>92967.310787198134</v>
      </c>
      <c r="I466" s="37">
        <f>SUM(J466:Q466)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2479939.936457376</v>
      </c>
      <c r="J466" s="21">
        <f>S466*(1+IF($AK466+IF(입력란!$C$26=1,10,0)&gt;100,100,$AK466+IF(입력란!$C$26=1,10,0))/100*(($AL466+IF(입력란!$C$30=1,17,IF(입력란!$C$30=2,20,IF(입력란!$C$30=3,22,0))))/100-1))</f>
        <v>1003590.0090378588</v>
      </c>
      <c r="K466" s="21">
        <f>T466*(1+IF($AK466+IF(입력란!$C$26=1,10,0)&gt;100,100,$AK466+IF(입력란!$C$26=1,10,0))/100*(($AL466+IF(입력란!$C$30=1,17,IF(입력란!$C$30=2,20,IF(입력란!$C$30=3,22,0))))/100-1))</f>
        <v>752617.01345160767</v>
      </c>
      <c r="L466" s="21"/>
      <c r="M466" s="21"/>
      <c r="N466" s="21"/>
      <c r="O466" s="21"/>
      <c r="P466" s="21"/>
      <c r="Q466" s="20">
        <f>Z466*(1+IF($AK466+IF(입력란!$C$26=1,10,0)&gt;100,100,$AK466+IF(입력란!$C$26=1,10,0))/100*(($AL466+IF(입력란!$C$30=1,17,IF(입력란!$C$30=2,20,IF(입력란!$C$30=3,22,0))))/100-1))</f>
        <v>0</v>
      </c>
      <c r="R466" s="19">
        <f>SUM(S466:Z466)</f>
        <v>1154019.8264159956</v>
      </c>
      <c r="S466" s="21">
        <f>AN466*IF(MID(E466,3,1)="1",트라이포드!$J$22,트라이포드!$I$22)*IF(MID(E466,3,1)="3",IF(G466="생명50%이하",트라이포드!$N$22,트라이포드!$M$22),1)*IF(MID(E466,5,1)="2",트라이포드!$R$22,트라이포드!$Q$22)*(1+입력란!$P$19/100)</f>
        <v>659468.24787260743</v>
      </c>
      <c r="T466" s="21">
        <f>AO466*3*IF(MID(E466,5,1)="1",트라이포드!$P$22,트라이포드!$O$22)*(1+입력란!$P$19/100)</f>
        <v>494551.57854338823</v>
      </c>
      <c r="U466" s="21"/>
      <c r="V466" s="21"/>
      <c r="W466" s="21"/>
      <c r="X466" s="21"/>
      <c r="Y466" s="21"/>
      <c r="Z466" s="20">
        <f>(AN466+AO466*3)*IF(MID(E466,1,1)="2",트라이포드!$F$22,트라이포드!$E$22)*(1+입력란!$P$19/100)</f>
        <v>0</v>
      </c>
      <c r="AA466" s="21">
        <f>SUM(AB466:AI466)</f>
        <v>2308039.6528319912</v>
      </c>
      <c r="AB466" s="21">
        <f>S466*2</f>
        <v>1318936.4957452149</v>
      </c>
      <c r="AC466" s="21">
        <f>T466*2</f>
        <v>989103.15708677645</v>
      </c>
      <c r="AD466" s="21"/>
      <c r="AE466" s="21"/>
      <c r="AF466" s="21"/>
      <c r="AG466" s="21"/>
      <c r="AH466" s="21"/>
      <c r="AI466" s="20">
        <f>Z466*2</f>
        <v>0</v>
      </c>
      <c r="AJ466" s="21">
        <f>AQ466*(1-입력란!$P$10/100)</f>
        <v>26.675397141839998</v>
      </c>
      <c r="AK4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6" s="21">
        <f>입력란!$P$24+IF(입력란!$C$18=1,10,IF(입력란!$C$18=2,25,IF(입력란!$C$18=3,50,0)))+IF(입력란!$C$23&lt;&gt;0,-12)</f>
        <v>200</v>
      </c>
      <c r="AM466" s="21">
        <f>SUM(AN466:AP466)</f>
        <v>524821.98091438389</v>
      </c>
      <c r="AN466" s="21">
        <f>(VLOOKUP(C466,$B$4:$AJ$7,26,FALSE)+VLOOKUP(C466,$B$8:$AJ$11,26,FALSE)*입력란!$P$4)*입력란!$P$25/100</f>
        <v>484454.79697493906</v>
      </c>
      <c r="AO466" s="21">
        <f>(VLOOKUP(C466,$B$4:$AJ$7,27,FALSE)+VLOOKUP(C466,$B$8:$AJ$11,27,FALSE)*입력란!$P$4)*입력란!$P$25/100</f>
        <v>40367.183939444876</v>
      </c>
      <c r="AP466" s="21"/>
      <c r="AQ466" s="22">
        <v>27</v>
      </c>
    </row>
    <row r="467" spans="2:43" ht="13.5" customHeight="1" x14ac:dyDescent="0.55000000000000004">
      <c r="B467" s="66">
        <v>452</v>
      </c>
      <c r="C467" s="29">
        <v>10</v>
      </c>
      <c r="D467" s="49" t="s">
        <v>230</v>
      </c>
      <c r="E467" s="27" t="s">
        <v>240</v>
      </c>
      <c r="F467" s="29"/>
      <c r="G467" s="29"/>
      <c r="H467" s="37">
        <f>I467/AJ467</f>
        <v>82344.682774279659</v>
      </c>
      <c r="I467" s="37">
        <f>SUM(J467:Q467)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2196577.1155227409</v>
      </c>
      <c r="J467" s="21">
        <f>S467*(1+IF($AK467+IF(입력란!$C$26=1,10,0)&gt;100,100,$AK467+IF(입력란!$C$26=1,10,0))/100*(($AL467+IF(입력란!$C$30=1,17,IF(입력란!$C$30=2,20,IF(입력란!$C$30=3,22,0))))/100-1))</f>
        <v>1304667.0117492166</v>
      </c>
      <c r="K467" s="21">
        <f>T467*(1+IF($AK467+IF(입력란!$C$26=1,10,0)&gt;100,100,$AK467+IF(입력란!$C$26=1,10,0))/100*(($AL467+IF(입력란!$C$30=1,17,IF(입력란!$C$30=2,20,IF(입력란!$C$30=3,22,0))))/100-1))</f>
        <v>250872.33781720253</v>
      </c>
      <c r="L467" s="21"/>
      <c r="M467" s="21"/>
      <c r="N467" s="21"/>
      <c r="O467" s="21"/>
      <c r="P467" s="21"/>
      <c r="Q467" s="20">
        <f>Z467*(1+IF($AK467+IF(입력란!$C$26=1,10,0)&gt;100,100,$AK467+IF(입력란!$C$26=1,10,0))/100*(($AL467+IF(입력란!$C$30=1,17,IF(입력란!$C$30=2,20,IF(입력란!$C$30=3,22,0))))/100-1))</f>
        <v>0</v>
      </c>
      <c r="R467" s="19">
        <f>SUM(S467:Z467)</f>
        <v>1022159.2484155191</v>
      </c>
      <c r="S467" s="21">
        <f>AN467*IF(MID(E467,3,1)="1",트라이포드!$J$22,트라이포드!$I$22)*IF(MID(E467,3,1)="3",IF(G467="생명50%이하",트라이포드!$N$22,트라이포드!$M$22),1)*IF(MID(E467,5,1)="2",트라이포드!$R$22,트라이포드!$Q$22)*(1+입력란!$P$19/100)</f>
        <v>857308.72223438974</v>
      </c>
      <c r="T467" s="21">
        <f>AO467*3*IF(MID(E467,5,1)="1",트라이포드!$P$22,트라이포드!$O$22)*(1+입력란!$P$19/100)</f>
        <v>164850.52618112939</v>
      </c>
      <c r="U467" s="21"/>
      <c r="V467" s="21"/>
      <c r="W467" s="21"/>
      <c r="X467" s="21"/>
      <c r="Y467" s="21"/>
      <c r="Z467" s="20">
        <f>(AN467+AO467*3)*IF(MID(E467,1,1)="2",트라이포드!$F$22,트라이포드!$E$22)*(1+입력란!$P$19/100)</f>
        <v>0</v>
      </c>
      <c r="AA467" s="21">
        <f>SUM(AB467:AI467)</f>
        <v>2044318.4968310383</v>
      </c>
      <c r="AB467" s="21">
        <f>S467*2</f>
        <v>1714617.4444687795</v>
      </c>
      <c r="AC467" s="21">
        <f>T467*2</f>
        <v>329701.05236225878</v>
      </c>
      <c r="AD467" s="21"/>
      <c r="AE467" s="21"/>
      <c r="AF467" s="21"/>
      <c r="AG467" s="21"/>
      <c r="AH467" s="21"/>
      <c r="AI467" s="20">
        <f>Z467*2</f>
        <v>0</v>
      </c>
      <c r="AJ467" s="21">
        <f>AQ467*(1-입력란!$P$10/100)</f>
        <v>26.675397141839998</v>
      </c>
      <c r="AK4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7" s="21">
        <f>입력란!$P$24+IF(입력란!$C$18=1,10,IF(입력란!$C$18=2,25,IF(입력란!$C$18=3,50,0)))+IF(입력란!$C$23&lt;&gt;0,-12)</f>
        <v>200</v>
      </c>
      <c r="AM467" s="21">
        <f>SUM(AN467:AP467)</f>
        <v>524821.98091438389</v>
      </c>
      <c r="AN467" s="21">
        <f>(VLOOKUP(C467,$B$4:$AJ$7,26,FALSE)+VLOOKUP(C467,$B$8:$AJ$11,26,FALSE)*입력란!$P$4)*입력란!$P$25/100</f>
        <v>484454.79697493906</v>
      </c>
      <c r="AO467" s="21">
        <f>(VLOOKUP(C467,$B$4:$AJ$7,27,FALSE)+VLOOKUP(C467,$B$8:$AJ$11,27,FALSE)*입력란!$P$4)*입력란!$P$25/100</f>
        <v>40367.183939444876</v>
      </c>
      <c r="AP467" s="21"/>
      <c r="AQ467" s="22">
        <v>27</v>
      </c>
    </row>
    <row r="468" spans="2:43" ht="13.5" customHeight="1" x14ac:dyDescent="0.55000000000000004">
      <c r="B468" s="66">
        <v>453</v>
      </c>
      <c r="C468" s="29">
        <v>10</v>
      </c>
      <c r="D468" s="49" t="s">
        <v>230</v>
      </c>
      <c r="E468" s="27" t="s">
        <v>241</v>
      </c>
      <c r="F468" s="29"/>
      <c r="G468" s="29"/>
      <c r="H468" s="37">
        <f>I468/AJ468</f>
        <v>106248.65966890287</v>
      </c>
      <c r="I468" s="37">
        <f>SUM(J468:Q468)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2834225.1924561821</v>
      </c>
      <c r="J468" s="21">
        <f>S468*(1+IF($AK468+IF(입력란!$C$26=1,10,0)&gt;100,100,$AK468+IF(입력란!$C$26=1,10,0))/100*(($AL468+IF(입력란!$C$30=1,17,IF(입력란!$C$30=2,20,IF(입력란!$C$30=3,22,0))))/100-1))</f>
        <v>1003590.0090378588</v>
      </c>
      <c r="K468" s="21">
        <f>T468*(1+IF($AK468+IF(입력란!$C$26=1,10,0)&gt;100,100,$AK468+IF(입력란!$C$26=1,10,0))/100*(($AL468+IF(입력란!$C$30=1,17,IF(입력란!$C$30=2,20,IF(입력란!$C$30=3,22,0))))/100-1))</f>
        <v>752617.01345160767</v>
      </c>
      <c r="L468" s="21"/>
      <c r="M468" s="21"/>
      <c r="N468" s="21"/>
      <c r="O468" s="21"/>
      <c r="P468" s="21"/>
      <c r="Q468" s="20">
        <f>Z468*(1+IF($AK468+IF(입력란!$C$26=1,10,0)&gt;100,100,$AK468+IF(입력란!$C$26=1,10,0))/100*(($AL468+IF(입력란!$C$30=1,17,IF(입력란!$C$30=2,20,IF(입력란!$C$30=3,22,0))))/100-1))</f>
        <v>250892.46937101227</v>
      </c>
      <c r="R468" s="19">
        <f>SUM(S468:Z468)</f>
        <v>1318883.5812267431</v>
      </c>
      <c r="S468" s="21">
        <f>AN468*IF(MID(E468,3,1)="1",트라이포드!$J$22,트라이포드!$I$22)*IF(MID(E468,3,1)="3",IF(G468="생명50%이하",트라이포드!$N$22,트라이포드!$M$22),1)*IF(MID(E468,5,1)="2",트라이포드!$R$22,트라이포드!$Q$22)*(1+입력란!$P$19/100)</f>
        <v>659468.24787260743</v>
      </c>
      <c r="T468" s="21">
        <f>AO468*3*IF(MID(E468,5,1)="1",트라이포드!$P$22,트라이포드!$O$22)*(1+입력란!$P$19/100)</f>
        <v>494551.57854338823</v>
      </c>
      <c r="U468" s="21"/>
      <c r="V468" s="21"/>
      <c r="W468" s="21"/>
      <c r="X468" s="21"/>
      <c r="Y468" s="21"/>
      <c r="Z468" s="20">
        <f>(AN468+AO468*3)*IF(MID(E468,1,1)="2",트라이포드!$F$22,트라이포드!$E$22)*(1+입력란!$P$19/100)</f>
        <v>164863.75481074737</v>
      </c>
      <c r="AA468" s="21">
        <f>SUM(AB468:AI468)</f>
        <v>2637767.1624534861</v>
      </c>
      <c r="AB468" s="21">
        <f>S468*2</f>
        <v>1318936.4957452149</v>
      </c>
      <c r="AC468" s="21">
        <f>T468*2</f>
        <v>989103.15708677645</v>
      </c>
      <c r="AD468" s="21"/>
      <c r="AE468" s="21"/>
      <c r="AF468" s="21"/>
      <c r="AG468" s="21"/>
      <c r="AH468" s="21"/>
      <c r="AI468" s="20">
        <f>Z468*2</f>
        <v>329727.50962149474</v>
      </c>
      <c r="AJ468" s="21">
        <f>AQ468*(1-입력란!$P$10/100)</f>
        <v>26.675397141839998</v>
      </c>
      <c r="AK4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8" s="21">
        <f>입력란!$P$24+IF(입력란!$C$18=1,10,IF(입력란!$C$18=2,25,IF(입력란!$C$18=3,50,0)))+IF(입력란!$C$23&lt;&gt;0,-12)</f>
        <v>200</v>
      </c>
      <c r="AM468" s="21">
        <f>SUM(AN468:AP468)</f>
        <v>524821.98091438389</v>
      </c>
      <c r="AN468" s="21">
        <f>(VLOOKUP(C468,$B$4:$AJ$7,26,FALSE)+VLOOKUP(C468,$B$8:$AJ$11,26,FALSE)*입력란!$P$4)*입력란!$P$25/100</f>
        <v>484454.79697493906</v>
      </c>
      <c r="AO468" s="21">
        <f>(VLOOKUP(C468,$B$4:$AJ$7,27,FALSE)+VLOOKUP(C468,$B$8:$AJ$11,27,FALSE)*입력란!$P$4)*입력란!$P$25/100</f>
        <v>40367.183939444876</v>
      </c>
      <c r="AP468" s="21"/>
      <c r="AQ468" s="22">
        <v>27</v>
      </c>
    </row>
    <row r="469" spans="2:43" ht="13.5" customHeight="1" x14ac:dyDescent="0.55000000000000004">
      <c r="B469" s="66">
        <v>454</v>
      </c>
      <c r="C469" s="29">
        <v>10</v>
      </c>
      <c r="D469" s="49" t="s">
        <v>230</v>
      </c>
      <c r="E469" s="27" t="s">
        <v>242</v>
      </c>
      <c r="F469" s="29"/>
      <c r="G469" s="29"/>
      <c r="H469" s="37">
        <f>I469/AJ469</f>
        <v>95626.031655984378</v>
      </c>
      <c r="I469" s="37">
        <f>SUM(J469:Q469)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2550862.371521547</v>
      </c>
      <c r="J469" s="21">
        <f>S469*(1+IF($AK469+IF(입력란!$C$26=1,10,0)&gt;100,100,$AK469+IF(입력란!$C$26=1,10,0))/100*(($AL469+IF(입력란!$C$30=1,17,IF(입력란!$C$30=2,20,IF(입력란!$C$30=3,22,0))))/100-1))</f>
        <v>1304667.0117492166</v>
      </c>
      <c r="K469" s="21">
        <f>T469*(1+IF($AK469+IF(입력란!$C$26=1,10,0)&gt;100,100,$AK469+IF(입력란!$C$26=1,10,0))/100*(($AL469+IF(입력란!$C$30=1,17,IF(입력란!$C$30=2,20,IF(입력란!$C$30=3,22,0))))/100-1))</f>
        <v>250872.33781720253</v>
      </c>
      <c r="L469" s="21"/>
      <c r="M469" s="21"/>
      <c r="N469" s="21"/>
      <c r="O469" s="21"/>
      <c r="P469" s="21"/>
      <c r="Q469" s="20">
        <f>Z469*(1+IF($AK469+IF(입력란!$C$26=1,10,0)&gt;100,100,$AK469+IF(입력란!$C$26=1,10,0))/100*(($AL469+IF(입력란!$C$30=1,17,IF(입력란!$C$30=2,20,IF(입력란!$C$30=3,22,0))))/100-1))</f>
        <v>250892.46937101227</v>
      </c>
      <c r="R469" s="19">
        <f>SUM(S469:Z469)</f>
        <v>1187023.0032262665</v>
      </c>
      <c r="S469" s="21">
        <f>AN469*IF(MID(E469,3,1)="1",트라이포드!$J$22,트라이포드!$I$22)*IF(MID(E469,3,1)="3",IF(G469="생명50%이하",트라이포드!$N$22,트라이포드!$M$22),1)*IF(MID(E469,5,1)="2",트라이포드!$R$22,트라이포드!$Q$22)*(1+입력란!$P$19/100)</f>
        <v>857308.72223438974</v>
      </c>
      <c r="T469" s="21">
        <f>AO469*3*IF(MID(E469,5,1)="1",트라이포드!$P$22,트라이포드!$O$22)*(1+입력란!$P$19/100)</f>
        <v>164850.52618112939</v>
      </c>
      <c r="U469" s="21"/>
      <c r="V469" s="21"/>
      <c r="W469" s="21"/>
      <c r="X469" s="21"/>
      <c r="Y469" s="21"/>
      <c r="Z469" s="20">
        <f>(AN469+AO469*3)*IF(MID(E469,1,1)="2",트라이포드!$F$22,트라이포드!$E$22)*(1+입력란!$P$19/100)</f>
        <v>164863.75481074737</v>
      </c>
      <c r="AA469" s="21">
        <f>SUM(AB469:AI469)</f>
        <v>2374046.006452533</v>
      </c>
      <c r="AB469" s="21">
        <f>S469*2</f>
        <v>1714617.4444687795</v>
      </c>
      <c r="AC469" s="21">
        <f>T469*2</f>
        <v>329701.05236225878</v>
      </c>
      <c r="AD469" s="21"/>
      <c r="AE469" s="21"/>
      <c r="AF469" s="21"/>
      <c r="AG469" s="21"/>
      <c r="AH469" s="21"/>
      <c r="AI469" s="20">
        <f>Z469*2</f>
        <v>329727.50962149474</v>
      </c>
      <c r="AJ469" s="21">
        <f>AQ469*(1-입력란!$P$10/100)</f>
        <v>26.675397141839998</v>
      </c>
      <c r="AK4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69" s="21">
        <f>입력란!$P$24+IF(입력란!$C$18=1,10,IF(입력란!$C$18=2,25,IF(입력란!$C$18=3,50,0)))+IF(입력란!$C$23&lt;&gt;0,-12)</f>
        <v>200</v>
      </c>
      <c r="AM469" s="21">
        <f>SUM(AN469:AP469)</f>
        <v>524821.98091438389</v>
      </c>
      <c r="AN469" s="21">
        <f>(VLOOKUP(C469,$B$4:$AJ$7,26,FALSE)+VLOOKUP(C469,$B$8:$AJ$11,26,FALSE)*입력란!$P$4)*입력란!$P$25/100</f>
        <v>484454.79697493906</v>
      </c>
      <c r="AO469" s="21">
        <f>(VLOOKUP(C469,$B$4:$AJ$7,27,FALSE)+VLOOKUP(C469,$B$8:$AJ$11,27,FALSE)*입력란!$P$4)*입력란!$P$25/100</f>
        <v>40367.183939444876</v>
      </c>
      <c r="AP469" s="21"/>
      <c r="AQ469" s="22">
        <v>27</v>
      </c>
    </row>
    <row r="470" spans="2:43" ht="13.5" customHeight="1" x14ac:dyDescent="0.55000000000000004">
      <c r="B470" s="66">
        <v>455</v>
      </c>
      <c r="C470" s="29">
        <v>10</v>
      </c>
      <c r="D470" s="49" t="s">
        <v>230</v>
      </c>
      <c r="E470" s="27" t="s">
        <v>243</v>
      </c>
      <c r="F470" s="29"/>
      <c r="G470" s="29"/>
      <c r="H470" s="37">
        <f>I470/AJ470</f>
        <v>119530.27497369949</v>
      </c>
      <c r="I470" s="37">
        <f>SUM(J470:Q470)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3188517.5553967725</v>
      </c>
      <c r="J470" s="21">
        <f>S470*(1+IF($AK470+IF(입력란!$C$26=1,10,0)&gt;100,100,$AK470+IF(입력란!$C$26=1,10,0))/100*(($AL470+IF(입력란!$C$30=1,17,IF(입력란!$C$30=2,20,IF(입력란!$C$30=3,22,0))))/100-1))</f>
        <v>1254487.5112973237</v>
      </c>
      <c r="K470" s="21">
        <f>T470*(1+IF($AK470+IF(입력란!$C$26=1,10,0)&gt;100,100,$AK470+IF(입력란!$C$26=1,10,0))/100*(($AL470+IF(입력란!$C$30=1,17,IF(입력란!$C$30=2,20,IF(입력란!$C$30=3,22,0))))/100-1))</f>
        <v>752617.01345160767</v>
      </c>
      <c r="L470" s="21"/>
      <c r="M470" s="21"/>
      <c r="N470" s="21"/>
      <c r="O470" s="21"/>
      <c r="P470" s="21"/>
      <c r="Q470" s="20">
        <f>Z470*(1+IF($AK470+IF(입력란!$C$26=1,10,0)&gt;100,100,$AK470+IF(입력란!$C$26=1,10,0))/100*(($AL470+IF(입력란!$C$30=1,17,IF(입력란!$C$30=2,20,IF(입력란!$C$30=3,22,0))))/100-1))</f>
        <v>250892.46937101227</v>
      </c>
      <c r="R470" s="19">
        <f>SUM(S470:Z470)</f>
        <v>1483750.643194895</v>
      </c>
      <c r="S470" s="21">
        <f>AN470*IF(MID(E470,3,1)="1",트라이포드!$J$22,트라이포드!$I$22)*IF(MID(E470,3,1)="3",IF(G470="생명50%이하",트라이포드!$N$22,트라이포드!$M$22),1)*IF(MID(E470,5,1)="2",트라이포드!$R$22,트라이포드!$Q$22)*(1+입력란!$P$19/100)</f>
        <v>824335.30984075938</v>
      </c>
      <c r="T470" s="21">
        <f>AO470*3*IF(MID(E470,5,1)="1",트라이포드!$P$22,트라이포드!$O$22)*(1+입력란!$P$19/100)</f>
        <v>494551.57854338823</v>
      </c>
      <c r="U470" s="21"/>
      <c r="V470" s="21"/>
      <c r="W470" s="21"/>
      <c r="X470" s="21"/>
      <c r="Y470" s="21"/>
      <c r="Z470" s="20">
        <f>(AN470+AO470*3)*IF(MID(E470,1,1)="2",트라이포드!$F$22,트라이포드!$E$22)*(1+입력란!$P$19/100)</f>
        <v>164863.75481074737</v>
      </c>
      <c r="AA470" s="21">
        <f>SUM(AB470:AI470)</f>
        <v>2967501.28638979</v>
      </c>
      <c r="AB470" s="21">
        <f>S470*2</f>
        <v>1648670.6196815188</v>
      </c>
      <c r="AC470" s="21">
        <f>T470*2</f>
        <v>989103.15708677645</v>
      </c>
      <c r="AD470" s="21"/>
      <c r="AE470" s="21"/>
      <c r="AF470" s="21"/>
      <c r="AG470" s="21"/>
      <c r="AH470" s="21"/>
      <c r="AI470" s="20">
        <f>Z470*2</f>
        <v>329727.50962149474</v>
      </c>
      <c r="AJ470" s="21">
        <f>AQ470*(1-입력란!$P$10/100)</f>
        <v>26.675397141839998</v>
      </c>
      <c r="AK4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0" s="21">
        <f>입력란!$P$24+IF(입력란!$C$18=1,10,IF(입력란!$C$18=2,25,IF(입력란!$C$18=3,50,0)))+IF(입력란!$C$23&lt;&gt;0,-12)</f>
        <v>200</v>
      </c>
      <c r="AM470" s="21">
        <f>SUM(AN470:AP470)</f>
        <v>524821.98091438389</v>
      </c>
      <c r="AN470" s="21">
        <f>(VLOOKUP(C470,$B$4:$AJ$7,26,FALSE)+VLOOKUP(C470,$B$8:$AJ$11,26,FALSE)*입력란!$P$4)*입력란!$P$25/100</f>
        <v>484454.79697493906</v>
      </c>
      <c r="AO470" s="21">
        <f>(VLOOKUP(C470,$B$4:$AJ$7,27,FALSE)+VLOOKUP(C470,$B$8:$AJ$11,27,FALSE)*입력란!$P$4)*입력란!$P$25/100</f>
        <v>40367.183939444876</v>
      </c>
      <c r="AP470" s="21"/>
      <c r="AQ470" s="22">
        <v>27</v>
      </c>
    </row>
    <row r="471" spans="2:43" ht="13.5" customHeight="1" x14ac:dyDescent="0.55000000000000004">
      <c r="B471" s="66">
        <v>456</v>
      </c>
      <c r="C471" s="29">
        <v>10</v>
      </c>
      <c r="D471" s="49" t="s">
        <v>230</v>
      </c>
      <c r="E471" s="27" t="s">
        <v>244</v>
      </c>
      <c r="F471" s="29"/>
      <c r="G471" s="29"/>
      <c r="H471" s="37">
        <f>I471/AJ471</f>
        <v>112892.13155222</v>
      </c>
      <c r="I471" s="37">
        <f>SUM(J471:Q471)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3011442.4433443146</v>
      </c>
      <c r="J471" s="21">
        <f>S471*(1+IF($AK471+IF(입력란!$C$26=1,10,0)&gt;100,100,$AK471+IF(입력란!$C$26=1,10,0))/100*(($AL471+IF(입력란!$C$30=1,17,IF(입력란!$C$30=2,20,IF(입력란!$C$30=3,22,0))))/100-1))</f>
        <v>1630833.7646865211</v>
      </c>
      <c r="K471" s="21">
        <f>T471*(1+IF($AK471+IF(입력란!$C$26=1,10,0)&gt;100,100,$AK471+IF(입력란!$C$26=1,10,0))/100*(($AL471+IF(입력란!$C$30=1,17,IF(입력란!$C$30=2,20,IF(입력란!$C$30=3,22,0))))/100-1))</f>
        <v>250872.33781720253</v>
      </c>
      <c r="L471" s="21"/>
      <c r="M471" s="21"/>
      <c r="N471" s="21"/>
      <c r="O471" s="21"/>
      <c r="P471" s="21"/>
      <c r="Q471" s="20">
        <f>Z471*(1+IF($AK471+IF(입력란!$C$26=1,10,0)&gt;100,100,$AK471+IF(입력란!$C$26=1,10,0))/100*(($AL471+IF(입력란!$C$30=1,17,IF(입력란!$C$30=2,20,IF(입력란!$C$30=3,22,0))))/100-1))</f>
        <v>250892.46937101227</v>
      </c>
      <c r="R471" s="19">
        <f>SUM(S471:Z471)</f>
        <v>1401350.1837848641</v>
      </c>
      <c r="S471" s="21">
        <f>AN471*IF(MID(E471,3,1)="1",트라이포드!$J$22,트라이포드!$I$22)*IF(MID(E471,3,1)="3",IF(G471="생명50%이하",트라이포드!$N$22,트라이포드!$M$22),1)*IF(MID(E471,5,1)="2",트라이포드!$R$22,트라이포드!$Q$22)*(1+입력란!$P$19/100)</f>
        <v>1071635.9027929874</v>
      </c>
      <c r="T471" s="21">
        <f>AO471*3*IF(MID(E471,5,1)="1",트라이포드!$P$22,트라이포드!$O$22)*(1+입력란!$P$19/100)</f>
        <v>164850.52618112939</v>
      </c>
      <c r="U471" s="21"/>
      <c r="V471" s="21"/>
      <c r="W471" s="21"/>
      <c r="X471" s="21"/>
      <c r="Y471" s="21"/>
      <c r="Z471" s="20">
        <f>(AN471+AO471*3)*IF(MID(E471,1,1)="2",트라이포드!$F$22,트라이포드!$E$22)*(1+입력란!$P$19/100)</f>
        <v>164863.75481074737</v>
      </c>
      <c r="AA471" s="21">
        <f>SUM(AB471:AI471)</f>
        <v>2802700.3675697283</v>
      </c>
      <c r="AB471" s="21">
        <f>S471*2</f>
        <v>2143271.8055859748</v>
      </c>
      <c r="AC471" s="21">
        <f>T471*2</f>
        <v>329701.05236225878</v>
      </c>
      <c r="AD471" s="21"/>
      <c r="AE471" s="21"/>
      <c r="AF471" s="21"/>
      <c r="AG471" s="21"/>
      <c r="AH471" s="21"/>
      <c r="AI471" s="20">
        <f>Z471*2</f>
        <v>329727.50962149474</v>
      </c>
      <c r="AJ471" s="21">
        <f>AQ471*(1-입력란!$P$10/100)</f>
        <v>26.675397141839998</v>
      </c>
      <c r="AK4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1" s="21">
        <f>입력란!$P$24+IF(입력란!$C$18=1,10,IF(입력란!$C$18=2,25,IF(입력란!$C$18=3,50,0)))+IF(입력란!$C$23&lt;&gt;0,-12)</f>
        <v>200</v>
      </c>
      <c r="AM471" s="21">
        <f>SUM(AN471:AP471)</f>
        <v>524821.98091438389</v>
      </c>
      <c r="AN471" s="21">
        <f>(VLOOKUP(C471,$B$4:$AJ$7,26,FALSE)+VLOOKUP(C471,$B$8:$AJ$11,26,FALSE)*입력란!$P$4)*입력란!$P$25/100</f>
        <v>484454.79697493906</v>
      </c>
      <c r="AO471" s="21">
        <f>(VLOOKUP(C471,$B$4:$AJ$7,27,FALSE)+VLOOKUP(C471,$B$8:$AJ$11,27,FALSE)*입력란!$P$4)*입력란!$P$25/100</f>
        <v>40367.183939444876</v>
      </c>
      <c r="AP471" s="21"/>
      <c r="AQ471" s="22">
        <v>27</v>
      </c>
    </row>
    <row r="472" spans="2:43" ht="13.5" customHeight="1" x14ac:dyDescent="0.55000000000000004">
      <c r="B472" s="66">
        <v>457</v>
      </c>
      <c r="C472" s="29">
        <v>10</v>
      </c>
      <c r="D472" s="49" t="s">
        <v>230</v>
      </c>
      <c r="E472" s="27" t="s">
        <v>245</v>
      </c>
      <c r="F472" s="29"/>
      <c r="G472" s="29"/>
      <c r="H472" s="37">
        <f>I472/AJ472</f>
        <v>106248.65966890287</v>
      </c>
      <c r="I472" s="37">
        <f>SUM(J472:Q472)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2834225.1924561821</v>
      </c>
      <c r="J472" s="21">
        <f>S472*(1+IF($AK472+IF(입력란!$C$26=1,10,0)&gt;100,100,$AK472+IF(입력란!$C$26=1,10,0))/100*(($AL472+IF(입력란!$C$30=1,17,IF(입력란!$C$30=2,20,IF(입력란!$C$30=3,22,0))))/100-1))</f>
        <v>1003590.0090378588</v>
      </c>
      <c r="K472" s="21">
        <f>T472*(1+IF($AK472+IF(입력란!$C$26=1,10,0)&gt;100,100,$AK472+IF(입력란!$C$26=1,10,0))/100*(($AL472+IF(입력란!$C$30=1,17,IF(입력란!$C$30=2,20,IF(입력란!$C$30=3,22,0))))/100-1))</f>
        <v>752617.01345160767</v>
      </c>
      <c r="L472" s="21"/>
      <c r="M472" s="21"/>
      <c r="N472" s="21"/>
      <c r="O472" s="21"/>
      <c r="P472" s="21"/>
      <c r="Q472" s="20">
        <f>Z472*(1+IF($AK472+IF(입력란!$C$26=1,10,0)&gt;100,100,$AK472+IF(입력란!$C$26=1,10,0))/100*(($AL472+IF(입력란!$C$30=1,17,IF(입력란!$C$30=2,20,IF(입력란!$C$30=3,22,0))))/100-1))</f>
        <v>250892.46937101227</v>
      </c>
      <c r="R472" s="19">
        <f>SUM(S472:Z472)</f>
        <v>1318883.5812267431</v>
      </c>
      <c r="S472" s="21">
        <f>AN472*IF(MID(E472,3,1)="1",트라이포드!$J$22,트라이포드!$I$22)*IF(MID(E472,3,1)="3",IF(G472="생명50%이하",트라이포드!$N$22,트라이포드!$M$22),1)*IF(MID(E472,5,1)="2",트라이포드!$R$22,트라이포드!$Q$22)*(1+입력란!$P$19/100)</f>
        <v>659468.24787260743</v>
      </c>
      <c r="T472" s="21">
        <f>AO472*3*IF(MID(E472,5,1)="1",트라이포드!$P$22,트라이포드!$O$22)*(1+입력란!$P$19/100)</f>
        <v>494551.57854338823</v>
      </c>
      <c r="U472" s="21"/>
      <c r="V472" s="21"/>
      <c r="W472" s="21"/>
      <c r="X472" s="21"/>
      <c r="Y472" s="21"/>
      <c r="Z472" s="20">
        <f>(AN472+AO472*3)*IF(MID(E472,1,1)="2",트라이포드!$F$22,트라이포드!$E$22)*(1+입력란!$P$19/100)</f>
        <v>164863.75481074737</v>
      </c>
      <c r="AA472" s="21">
        <f>SUM(AB472:AI472)</f>
        <v>2637767.1624534861</v>
      </c>
      <c r="AB472" s="21">
        <f>S472*2</f>
        <v>1318936.4957452149</v>
      </c>
      <c r="AC472" s="21">
        <f>T472*2</f>
        <v>989103.15708677645</v>
      </c>
      <c r="AD472" s="21"/>
      <c r="AE472" s="21"/>
      <c r="AF472" s="21"/>
      <c r="AG472" s="21"/>
      <c r="AH472" s="21"/>
      <c r="AI472" s="20">
        <f>Z472*2</f>
        <v>329727.50962149474</v>
      </c>
      <c r="AJ472" s="21">
        <f>AQ472*(1-입력란!$P$10/100)</f>
        <v>26.675397141839998</v>
      </c>
      <c r="AK4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2" s="21">
        <f>입력란!$P$24+IF(입력란!$C$18=1,10,IF(입력란!$C$18=2,25,IF(입력란!$C$18=3,50,0)))+IF(입력란!$C$23&lt;&gt;0,-12)</f>
        <v>200</v>
      </c>
      <c r="AM472" s="21">
        <f>SUM(AN472:AP472)</f>
        <v>524821.98091438389</v>
      </c>
      <c r="AN472" s="21">
        <f>(VLOOKUP(C472,$B$4:$AJ$7,26,FALSE)+VLOOKUP(C472,$B$8:$AJ$11,26,FALSE)*입력란!$P$4)*입력란!$P$25/100</f>
        <v>484454.79697493906</v>
      </c>
      <c r="AO472" s="21">
        <f>(VLOOKUP(C472,$B$4:$AJ$7,27,FALSE)+VLOOKUP(C472,$B$8:$AJ$11,27,FALSE)*입력란!$P$4)*입력란!$P$25/100</f>
        <v>40367.183939444876</v>
      </c>
      <c r="AP472" s="21"/>
      <c r="AQ472" s="22">
        <v>27</v>
      </c>
    </row>
    <row r="473" spans="2:43" ht="13.5" customHeight="1" x14ac:dyDescent="0.55000000000000004">
      <c r="B473" s="66">
        <v>458</v>
      </c>
      <c r="C473" s="29">
        <v>10</v>
      </c>
      <c r="D473" s="49" t="s">
        <v>230</v>
      </c>
      <c r="E473" s="27" t="s">
        <v>246</v>
      </c>
      <c r="F473" s="29"/>
      <c r="G473" s="29"/>
      <c r="H473" s="37">
        <f>I473/AJ473</f>
        <v>95626.031655984378</v>
      </c>
      <c r="I473" s="37">
        <f>SUM(J473:Q473)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2550862.371521547</v>
      </c>
      <c r="J473" s="21">
        <f>S473*(1+IF($AK473+IF(입력란!$C$26=1,10,0)&gt;100,100,$AK473+IF(입력란!$C$26=1,10,0))/100*(($AL473+IF(입력란!$C$30=1,17,IF(입력란!$C$30=2,20,IF(입력란!$C$30=3,22,0))))/100-1))</f>
        <v>1304667.0117492166</v>
      </c>
      <c r="K473" s="21">
        <f>T473*(1+IF($AK473+IF(입력란!$C$26=1,10,0)&gt;100,100,$AK473+IF(입력란!$C$26=1,10,0))/100*(($AL473+IF(입력란!$C$30=1,17,IF(입력란!$C$30=2,20,IF(입력란!$C$30=3,22,0))))/100-1))</f>
        <v>250872.33781720253</v>
      </c>
      <c r="L473" s="21"/>
      <c r="M473" s="21"/>
      <c r="N473" s="21"/>
      <c r="O473" s="21"/>
      <c r="P473" s="21"/>
      <c r="Q473" s="20">
        <f>Z473*(1+IF($AK473+IF(입력란!$C$26=1,10,0)&gt;100,100,$AK473+IF(입력란!$C$26=1,10,0))/100*(($AL473+IF(입력란!$C$30=1,17,IF(입력란!$C$30=2,20,IF(입력란!$C$30=3,22,0))))/100-1))</f>
        <v>250892.46937101227</v>
      </c>
      <c r="R473" s="19">
        <f>SUM(S473:Z473)</f>
        <v>1187023.0032262665</v>
      </c>
      <c r="S473" s="21">
        <f>AN473*IF(MID(E473,3,1)="1",트라이포드!$J$22,트라이포드!$I$22)*IF(MID(E473,3,1)="3",IF(G473="생명50%이하",트라이포드!$N$22,트라이포드!$M$22),1)*IF(MID(E473,5,1)="2",트라이포드!$R$22,트라이포드!$Q$22)*(1+입력란!$P$19/100)</f>
        <v>857308.72223438974</v>
      </c>
      <c r="T473" s="21">
        <f>AO473*3*IF(MID(E473,5,1)="1",트라이포드!$P$22,트라이포드!$O$22)*(1+입력란!$P$19/100)</f>
        <v>164850.52618112939</v>
      </c>
      <c r="U473" s="21"/>
      <c r="V473" s="21"/>
      <c r="W473" s="21"/>
      <c r="X473" s="21"/>
      <c r="Y473" s="21"/>
      <c r="Z473" s="20">
        <f>(AN473+AO473*3)*IF(MID(E473,1,1)="2",트라이포드!$F$22,트라이포드!$E$22)*(1+입력란!$P$19/100)</f>
        <v>164863.75481074737</v>
      </c>
      <c r="AA473" s="21">
        <f>SUM(AB473:AI473)</f>
        <v>2374046.006452533</v>
      </c>
      <c r="AB473" s="21">
        <f>S473*2</f>
        <v>1714617.4444687795</v>
      </c>
      <c r="AC473" s="21">
        <f>T473*2</f>
        <v>329701.05236225878</v>
      </c>
      <c r="AD473" s="21"/>
      <c r="AE473" s="21"/>
      <c r="AF473" s="21"/>
      <c r="AG473" s="21"/>
      <c r="AH473" s="21"/>
      <c r="AI473" s="20">
        <f>Z473*2</f>
        <v>329727.50962149474</v>
      </c>
      <c r="AJ473" s="21">
        <f>AQ473*(1-입력란!$P$10/100)</f>
        <v>26.675397141839998</v>
      </c>
      <c r="AK4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3" s="21">
        <f>입력란!$P$24+IF(입력란!$C$18=1,10,IF(입력란!$C$18=2,25,IF(입력란!$C$18=3,50,0)))+IF(입력란!$C$23&lt;&gt;0,-12)</f>
        <v>200</v>
      </c>
      <c r="AM473" s="21">
        <f>SUM(AN473:AP473)</f>
        <v>524821.98091438389</v>
      </c>
      <c r="AN473" s="21">
        <f>(VLOOKUP(C473,$B$4:$AJ$7,26,FALSE)+VLOOKUP(C473,$B$8:$AJ$11,26,FALSE)*입력란!$P$4)*입력란!$P$25/100</f>
        <v>484454.79697493906</v>
      </c>
      <c r="AO473" s="21">
        <f>(VLOOKUP(C473,$B$4:$AJ$7,27,FALSE)+VLOOKUP(C473,$B$8:$AJ$11,27,FALSE)*입력란!$P$4)*입력란!$P$25/100</f>
        <v>40367.183939444876</v>
      </c>
      <c r="AP473" s="21"/>
      <c r="AQ473" s="22">
        <v>27</v>
      </c>
    </row>
    <row r="474" spans="2:43" ht="13.5" customHeight="1" x14ac:dyDescent="0.55000000000000004">
      <c r="B474" s="66">
        <v>459</v>
      </c>
      <c r="C474" s="29">
        <v>1</v>
      </c>
      <c r="D474" s="49" t="s">
        <v>230</v>
      </c>
      <c r="E474" s="27" t="s">
        <v>231</v>
      </c>
      <c r="F474" s="29"/>
      <c r="G474" s="29" t="s">
        <v>376</v>
      </c>
      <c r="H474" s="37">
        <f>I474/AJ474</f>
        <v>66251.554834790702</v>
      </c>
      <c r="I474" s="37">
        <f>SUM(J474:Q474)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1767286.5364824319</v>
      </c>
      <c r="J474" s="21">
        <f>S474*(1+IF($AK474+IF(입력란!$C$26=1,10,0)&gt;100,100,$AK474+IF(입력란!$C$26=1,10,0))/100*(($AL474+IF(입력란!$C$30=1,17,IF(입력란!$C$30=2,20,IF(입력란!$C$30=3,22,0))))/100-1))</f>
        <v>1001278.1185228307</v>
      </c>
      <c r="K474" s="21">
        <f>T474*(1+IF($AK474+IF(입력란!$C$26=1,10,0)&gt;100,100,$AK474+IF(입력란!$C$26=1,10,0))/100*(($AL474+IF(입력란!$C$30=1,17,IF(입력란!$C$30=2,20,IF(입력란!$C$30=3,22,0))))/100-1))</f>
        <v>250252.60627175329</v>
      </c>
      <c r="L474" s="21"/>
      <c r="M474" s="21"/>
      <c r="N474" s="21"/>
      <c r="O474" s="21"/>
      <c r="P474" s="21"/>
      <c r="Q474" s="20">
        <f>Z474*(1+IF($AK474+IF(입력란!$C$26=1,10,0)&gt;100,100,$AK474+IF(입력란!$C$26=1,10,0))/100*(($AL474+IF(입력란!$C$30=1,17,IF(입력란!$C$30=2,20,IF(입력란!$C$30=3,22,0))))/100-1))</f>
        <v>0</v>
      </c>
      <c r="R474" s="19">
        <f>SUM(S474:Z474)</f>
        <v>822392.37816872681</v>
      </c>
      <c r="S474" s="21">
        <f>AN474*IF(MID(E474,3,1)="1",트라이포드!$J$22,트라이포드!$I$22)*IF(MID(E474,3,1)="3",IF(G474="생명50%이하",트라이포드!$N$22,트라이포드!$M$22),1)*IF(MID(E474,5,1)="2",트라이포드!$R$22,트라이포드!$Q$22)*(1+입력란!$P$19/100)</f>
        <v>657949.0832999344</v>
      </c>
      <c r="T474" s="21">
        <f>AO474*3*IF(MID(E474,5,1)="1",트라이포드!$P$22,트라이포드!$O$22)*(1+입력란!$P$19/100)</f>
        <v>164443.29486879238</v>
      </c>
      <c r="U474" s="21"/>
      <c r="V474" s="21"/>
      <c r="W474" s="21"/>
      <c r="X474" s="21"/>
      <c r="Y474" s="21"/>
      <c r="Z474" s="20">
        <f>(AN474+AO474*3)*IF(MID(E474,1,1)="2",트라이포드!$F$22,트라이포드!$E$22)*(1+입력란!$P$19/100)</f>
        <v>0</v>
      </c>
      <c r="AA474" s="21">
        <f>SUM(AB474:AI474)</f>
        <v>1644784.7563374536</v>
      </c>
      <c r="AB474" s="21">
        <f>S474*2</f>
        <v>1315898.1665998688</v>
      </c>
      <c r="AC474" s="21">
        <f>T474*2</f>
        <v>328886.58973758476</v>
      </c>
      <c r="AD474" s="21"/>
      <c r="AE474" s="21"/>
      <c r="AF474" s="21"/>
      <c r="AG474" s="21"/>
      <c r="AH474" s="21"/>
      <c r="AI474" s="20">
        <f>Z474*2</f>
        <v>0</v>
      </c>
      <c r="AJ474" s="21">
        <f>AQ474*(1-입력란!$P$10/100)</f>
        <v>26.675397141839998</v>
      </c>
      <c r="AK4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4" s="21">
        <f>입력란!$P$24+IF(입력란!$C$18=1,10,IF(입력란!$C$18=2,25,IF(입력란!$C$18=3,50,0)))+IF(입력란!$C$23&lt;&gt;0,-12)</f>
        <v>200</v>
      </c>
      <c r="AM474" s="21">
        <f>SUM(AN474:AP474)</f>
        <v>523606.26160094392</v>
      </c>
      <c r="AN474" s="21">
        <f>(VLOOKUP(C474,$B$4:$AJ$7,26,FALSE)+VLOOKUP(C474,$B$8:$AJ$11,26,FALSE)*입력란!$P$4)*입력란!$P$25/100</f>
        <v>483338.79697493906</v>
      </c>
      <c r="AO474" s="21">
        <f>(VLOOKUP(C474,$B$4:$AJ$7,27,FALSE)+VLOOKUP(C474,$B$8:$AJ$11,27,FALSE)*입력란!$P$4)*입력란!$P$25/100</f>
        <v>40267.464626004847</v>
      </c>
      <c r="AP474" s="21"/>
      <c r="AQ474" s="22">
        <v>27</v>
      </c>
    </row>
    <row r="475" spans="2:43" ht="13.5" customHeight="1" x14ac:dyDescent="0.55000000000000004">
      <c r="B475" s="66">
        <v>460</v>
      </c>
      <c r="C475" s="29">
        <v>4</v>
      </c>
      <c r="D475" s="49" t="s">
        <v>230</v>
      </c>
      <c r="E475" s="27" t="s">
        <v>232</v>
      </c>
      <c r="F475" s="29"/>
      <c r="G475" s="29" t="s">
        <v>376</v>
      </c>
      <c r="H475" s="37">
        <f>I475/AJ475</f>
        <v>66339.749548701511</v>
      </c>
      <c r="I475" s="37">
        <f>SUM(J475:Q475)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1769639.1655018134</v>
      </c>
      <c r="J475" s="21">
        <f>S475*(1+IF($AK475+IF(입력란!$C$26=1,10,0)&gt;100,100,$AK475+IF(입력란!$C$26=1,10,0))/100*(($AL475+IF(입력란!$C$30=1,17,IF(입력란!$C$30=2,20,IF(입력란!$C$30=3,22,0))))/100-1))</f>
        <v>1002580.4849352314</v>
      </c>
      <c r="K475" s="21">
        <f>T475*(1+IF($AK475+IF(입력란!$C$26=1,10,0)&gt;100,100,$AK475+IF(입력란!$C$26=1,10,0))/100*(($AL475+IF(입력란!$C$30=1,17,IF(입력란!$C$30=2,20,IF(입력란!$C$30=3,22,0))))/100-1))</f>
        <v>250616.2897279037</v>
      </c>
      <c r="L475" s="21"/>
      <c r="M475" s="21"/>
      <c r="N475" s="21"/>
      <c r="O475" s="21"/>
      <c r="P475" s="21"/>
      <c r="Q475" s="20">
        <f>Z475*(1+IF($AK475+IF(입력란!$C$26=1,10,0)&gt;100,100,$AK475+IF(입력란!$C$26=1,10,0))/100*(($AL475+IF(입력란!$C$30=1,17,IF(입력란!$C$30=2,20,IF(입력란!$C$30=3,22,0))))/100-1))</f>
        <v>0</v>
      </c>
      <c r="R475" s="19">
        <f>SUM(S475:Z475)</f>
        <v>823487.15489805583</v>
      </c>
      <c r="S475" s="21">
        <f>AN475*IF(MID(E475,3,1)="1",트라이포드!$J$22,트라이포드!$I$22)*IF(MID(E475,3,1)="3",IF(G475="생명50%이하",트라이포드!$N$22,트라이포드!$M$22),1)*IF(MID(E475,5,1)="2",트라이포드!$R$22,트라이포드!$Q$22)*(1+입력란!$P$19/100)</f>
        <v>658804.88027712575</v>
      </c>
      <c r="T475" s="21">
        <f>AO475*3*IF(MID(E475,5,1)="1",트라이포드!$P$22,트라이포드!$O$22)*(1+입력란!$P$19/100)</f>
        <v>164682.27462093011</v>
      </c>
      <c r="U475" s="21"/>
      <c r="V475" s="21"/>
      <c r="W475" s="21"/>
      <c r="X475" s="21"/>
      <c r="Y475" s="21"/>
      <c r="Z475" s="20">
        <f>(AN475+AO475*3)*IF(MID(E475,1,1)="2",트라이포드!$F$22,트라이포드!$E$22)*(1+입력란!$P$19/100)</f>
        <v>0</v>
      </c>
      <c r="AA475" s="21">
        <f>SUM(AB475:AI475)</f>
        <v>1646974.3097961117</v>
      </c>
      <c r="AB475" s="21">
        <f>S475*2</f>
        <v>1317609.7605542515</v>
      </c>
      <c r="AC475" s="21">
        <f>T475*2</f>
        <v>329364.54924186022</v>
      </c>
      <c r="AD475" s="21"/>
      <c r="AE475" s="21"/>
      <c r="AF475" s="21"/>
      <c r="AG475" s="21"/>
      <c r="AH475" s="21"/>
      <c r="AI475" s="20">
        <f>Z475*2</f>
        <v>0</v>
      </c>
      <c r="AJ475" s="21">
        <f>AQ475*(1-입력란!$P$10/100)</f>
        <v>26.675397141839998</v>
      </c>
      <c r="AK4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5" s="21">
        <f>입력란!$P$24+IF(입력란!$C$18=1,10,IF(입력란!$C$18=2,25,IF(입력란!$C$18=3,50,0)))+IF(입력란!$C$23&lt;&gt;0,-12)</f>
        <v>200</v>
      </c>
      <c r="AM475" s="21">
        <f>SUM(AN475:AP475)</f>
        <v>524293.46160094382</v>
      </c>
      <c r="AN475" s="21">
        <f>(VLOOKUP(C475,$B$4:$AJ$7,26,FALSE)+VLOOKUP(C475,$B$8:$AJ$11,26,FALSE)*입력란!$P$4)*입력란!$P$25/100</f>
        <v>483967.47766149894</v>
      </c>
      <c r="AO475" s="21">
        <f>(VLOOKUP(C475,$B$4:$AJ$7,27,FALSE)+VLOOKUP(C475,$B$8:$AJ$11,27,FALSE)*입력란!$P$4)*입력란!$P$25/100</f>
        <v>40325.983939444872</v>
      </c>
      <c r="AP475" s="21"/>
      <c r="AQ475" s="22">
        <v>27</v>
      </c>
    </row>
    <row r="476" spans="2:43" ht="13.5" customHeight="1" x14ac:dyDescent="0.55000000000000004">
      <c r="B476" s="66">
        <v>461</v>
      </c>
      <c r="C476" s="29">
        <v>4</v>
      </c>
      <c r="D476" s="49" t="s">
        <v>230</v>
      </c>
      <c r="E476" s="27" t="s">
        <v>236</v>
      </c>
      <c r="F476" s="29"/>
      <c r="G476" s="29" t="s">
        <v>375</v>
      </c>
      <c r="H476" s="37">
        <f>I476/AJ476</f>
        <v>79607.699458441799</v>
      </c>
      <c r="I476" s="37">
        <f>SUM(J476:Q476)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2123566.9986021761</v>
      </c>
      <c r="J476" s="21">
        <f>S476*(1+IF($AK476+IF(입력란!$C$26=1,10,0)&gt;100,100,$AK476+IF(입력란!$C$26=1,10,0))/100*(($AL476+IF(입력란!$C$30=1,17,IF(입력란!$C$30=2,20,IF(입력란!$C$30=3,22,0))))/100-1))</f>
        <v>1002580.4849352314</v>
      </c>
      <c r="K476" s="21">
        <f>T476*(1+IF($AK476+IF(입력란!$C$26=1,10,0)&gt;100,100,$AK476+IF(입력란!$C$26=1,10,0))/100*(($AL476+IF(입력란!$C$30=1,17,IF(입력란!$C$30=2,20,IF(입력란!$C$30=3,22,0))))/100-1))</f>
        <v>250616.2897279037</v>
      </c>
      <c r="L476" s="21"/>
      <c r="M476" s="21"/>
      <c r="N476" s="21"/>
      <c r="O476" s="21"/>
      <c r="P476" s="21"/>
      <c r="Q476" s="20">
        <f>Z476*(1+IF($AK476+IF(입력란!$C$26=1,10,0)&gt;100,100,$AK476+IF(입력란!$C$26=1,10,0))/100*(($AL476+IF(입력란!$C$30=1,17,IF(입력란!$C$30=2,20,IF(입력란!$C$30=3,22,0))))/100-1))</f>
        <v>250639.35493262703</v>
      </c>
      <c r="R476" s="19">
        <f>SUM(S476:Z476)</f>
        <v>988184.58587766695</v>
      </c>
      <c r="S476" s="21">
        <f>AN476*IF(MID(E476,3,1)="1",트라이포드!$J$22,트라이포드!$I$22)*IF(MID(E476,3,1)="3",IF(G476="생명50%이하",트라이포드!$N$22,트라이포드!$M$22),1)*IF(MID(E476,5,1)="2",트라이포드!$R$22,트라이포드!$Q$22)*(1+입력란!$P$19/100)</f>
        <v>658804.88027712575</v>
      </c>
      <c r="T476" s="21">
        <f>AO476*3*IF(MID(E476,5,1)="1",트라이포드!$P$22,트라이포드!$O$22)*(1+입력란!$P$19/100)</f>
        <v>164682.27462093011</v>
      </c>
      <c r="U476" s="21"/>
      <c r="V476" s="21"/>
      <c r="W476" s="21"/>
      <c r="X476" s="21"/>
      <c r="Y476" s="21"/>
      <c r="Z476" s="20">
        <f>(AN476+AO476*3)*IF(MID(E476,1,1)="2",트라이포드!$F$22,트라이포드!$E$22)*(1+입력란!$P$19/100)</f>
        <v>164697.43097961118</v>
      </c>
      <c r="AA476" s="21">
        <f>SUM(AB476:AI476)</f>
        <v>1976369.1717553339</v>
      </c>
      <c r="AB476" s="21">
        <f>S476*2</f>
        <v>1317609.7605542515</v>
      </c>
      <c r="AC476" s="21">
        <f>T476*2</f>
        <v>329364.54924186022</v>
      </c>
      <c r="AD476" s="21"/>
      <c r="AE476" s="21"/>
      <c r="AF476" s="21"/>
      <c r="AG476" s="21"/>
      <c r="AH476" s="21"/>
      <c r="AI476" s="20">
        <f>Z476*2</f>
        <v>329394.86195922235</v>
      </c>
      <c r="AJ476" s="21">
        <f>AQ476*(1-입력란!$P$10/100)</f>
        <v>26.675397141839998</v>
      </c>
      <c r="AK4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6" s="21">
        <f>입력란!$P$24+IF(입력란!$C$18=1,10,IF(입력란!$C$18=2,25,IF(입력란!$C$18=3,50,0)))+IF(입력란!$C$23&lt;&gt;0,-12)</f>
        <v>200</v>
      </c>
      <c r="AM476" s="21">
        <f>SUM(AN476:AP476)</f>
        <v>524293.46160094382</v>
      </c>
      <c r="AN476" s="21">
        <f>(VLOOKUP(C476,$B$4:$AJ$7,26,FALSE)+VLOOKUP(C476,$B$8:$AJ$11,26,FALSE)*입력란!$P$4)*입력란!$P$25/100</f>
        <v>483967.47766149894</v>
      </c>
      <c r="AO476" s="21">
        <f>(VLOOKUP(C476,$B$4:$AJ$7,27,FALSE)+VLOOKUP(C476,$B$8:$AJ$11,27,FALSE)*입력란!$P$4)*입력란!$P$25/100</f>
        <v>40325.983939444872</v>
      </c>
      <c r="AP476" s="21"/>
      <c r="AQ476" s="22">
        <v>27</v>
      </c>
    </row>
    <row r="477" spans="2:43" ht="13.5" customHeight="1" x14ac:dyDescent="0.55000000000000004">
      <c r="B477" s="66">
        <v>462</v>
      </c>
      <c r="C477" s="29">
        <v>7</v>
      </c>
      <c r="D477" s="49" t="s">
        <v>230</v>
      </c>
      <c r="E477" s="27" t="s">
        <v>232</v>
      </c>
      <c r="F477" s="29"/>
      <c r="G477" s="29" t="s">
        <v>375</v>
      </c>
      <c r="H477" s="37">
        <f>I477/AJ477</f>
        <v>66380.864089191513</v>
      </c>
      <c r="I477" s="37">
        <f>SUM(J477:Q477)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1770735.9121976886</v>
      </c>
      <c r="J477" s="21">
        <f>S477*(1+IF($AK477+IF(입력란!$C$26=1,10,0)&gt;100,100,$AK477+IF(입력란!$C$26=1,10,0))/100*(($AL477+IF(입력란!$C$30=1,17,IF(입력란!$C$30=2,20,IF(입력란!$C$30=3,22,0))))/100-1))</f>
        <v>1003200.5507790549</v>
      </c>
      <c r="K477" s="21">
        <f>T477*(1+IF($AK477+IF(입력란!$C$26=1,10,0)&gt;100,100,$AK477+IF(입력란!$C$26=1,10,0))/100*(($AL477+IF(입력란!$C$30=1,17,IF(입력란!$C$30=2,20,IF(입력란!$C$30=3,22,0))))/100-1))</f>
        <v>250772.90166601853</v>
      </c>
      <c r="L477" s="21"/>
      <c r="M477" s="21"/>
      <c r="N477" s="21"/>
      <c r="O477" s="21"/>
      <c r="P477" s="21"/>
      <c r="Q477" s="20">
        <f>Z477*(1+IF($AK477+IF(입력란!$C$26=1,10,0)&gt;100,100,$AK477+IF(입력란!$C$26=1,10,0))/100*(($AL477+IF(입력란!$C$30=1,17,IF(입력란!$C$30=2,20,IF(입력란!$C$30=3,22,0))))/100-1))</f>
        <v>0</v>
      </c>
      <c r="R477" s="19">
        <f>SUM(S477:Z477)</f>
        <v>823997.51702940813</v>
      </c>
      <c r="S477" s="21">
        <f>AN477*IF(MID(E477,3,1)="1",트라이포드!$J$22,트라이포드!$I$22)*IF(MID(E477,3,1)="3",IF(G477="생명50%이하",트라이포드!$N$22,트라이포드!$M$22),1)*IF(MID(E477,5,1)="2",트라이포드!$R$22,트라이포드!$Q$22)*(1+입력란!$P$19/100)</f>
        <v>659212.33126000664</v>
      </c>
      <c r="T477" s="21">
        <f>AO477*3*IF(MID(E477,5,1)="1",트라이포드!$P$22,트라이포드!$O$22)*(1+입력란!$P$19/100)</f>
        <v>164785.18576940152</v>
      </c>
      <c r="U477" s="21"/>
      <c r="V477" s="21"/>
      <c r="W477" s="21"/>
      <c r="X477" s="21"/>
      <c r="Y477" s="21"/>
      <c r="Z477" s="20">
        <f>(AN477+AO477*3)*IF(MID(E477,1,1)="2",트라이포드!$F$22,트라이포드!$E$22)*(1+입력란!$P$19/100)</f>
        <v>0</v>
      </c>
      <c r="AA477" s="21">
        <f>SUM(AB477:AI477)</f>
        <v>1647995.0340588163</v>
      </c>
      <c r="AB477" s="21">
        <f>S477*2</f>
        <v>1318424.6625200133</v>
      </c>
      <c r="AC477" s="21">
        <f>T477*2</f>
        <v>329570.37153880304</v>
      </c>
      <c r="AD477" s="21"/>
      <c r="AE477" s="21"/>
      <c r="AF477" s="21"/>
      <c r="AG477" s="21"/>
      <c r="AH477" s="21"/>
      <c r="AI477" s="20">
        <f>Z477*2</f>
        <v>0</v>
      </c>
      <c r="AJ477" s="21">
        <f>AQ477*(1-입력란!$P$10/100)</f>
        <v>26.675397141839998</v>
      </c>
      <c r="AK4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7" s="21">
        <f>입력란!$P$24+IF(입력란!$C$18=1,10,IF(입력란!$C$18=2,25,IF(입력란!$C$18=3,50,0)))+IF(입력란!$C$23&lt;&gt;0,-12)</f>
        <v>200</v>
      </c>
      <c r="AM477" s="21">
        <f>SUM(AN477:AP477)</f>
        <v>524617.98091438389</v>
      </c>
      <c r="AN477" s="21">
        <f>(VLOOKUP(C477,$B$4:$AJ$7,26,FALSE)+VLOOKUP(C477,$B$8:$AJ$11,26,FALSE)*입력란!$P$4)*입력란!$P$25/100</f>
        <v>484266.79697493906</v>
      </c>
      <c r="AO477" s="21">
        <f>(VLOOKUP(C477,$B$4:$AJ$7,27,FALSE)+VLOOKUP(C477,$B$8:$AJ$11,27,FALSE)*입력란!$P$4)*입력란!$P$25/100</f>
        <v>40351.183939444876</v>
      </c>
      <c r="AP477" s="21"/>
      <c r="AQ477" s="22">
        <v>27</v>
      </c>
    </row>
    <row r="478" spans="2:43" ht="13.5" customHeight="1" x14ac:dyDescent="0.55000000000000004">
      <c r="B478" s="66">
        <v>463</v>
      </c>
      <c r="C478" s="29">
        <v>7</v>
      </c>
      <c r="D478" s="49" t="s">
        <v>230</v>
      </c>
      <c r="E478" s="27" t="s">
        <v>234</v>
      </c>
      <c r="F478" s="29"/>
      <c r="G478" s="29" t="s">
        <v>375</v>
      </c>
      <c r="H478" s="37">
        <f>I478/AJ478</f>
        <v>79657.325262595681</v>
      </c>
      <c r="I478" s="37">
        <f>SUM(J478:Q478)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2124890.7866364638</v>
      </c>
      <c r="J478" s="21">
        <f>S478*(1+IF($AK478+IF(입력란!$C$26=1,10,0)&gt;100,100,$AK478+IF(입력란!$C$26=1,10,0))/100*(($AL478+IF(입력란!$C$30=1,17,IF(입력란!$C$30=2,20,IF(입력란!$C$30=3,22,0))))/100-1))</f>
        <v>1254000.6884738186</v>
      </c>
      <c r="K478" s="21">
        <f>T478*(1+IF($AK478+IF(입력란!$C$26=1,10,0)&gt;100,100,$AK478+IF(입력란!$C$26=1,10,0))/100*(($AL478+IF(입력란!$C$30=1,17,IF(입력란!$C$30=2,20,IF(입력란!$C$30=3,22,0))))/100-1))</f>
        <v>250772.90166601853</v>
      </c>
      <c r="L478" s="21"/>
      <c r="M478" s="21"/>
      <c r="N478" s="21"/>
      <c r="O478" s="21"/>
      <c r="P478" s="21"/>
      <c r="Q478" s="20">
        <f>Z478*(1+IF($AK478+IF(입력란!$C$26=1,10,0)&gt;100,100,$AK478+IF(입력란!$C$26=1,10,0))/100*(($AL478+IF(입력란!$C$30=1,17,IF(입력란!$C$30=2,20,IF(입력란!$C$30=3,22,0))))/100-1))</f>
        <v>0</v>
      </c>
      <c r="R478" s="19">
        <f>SUM(S478:Z478)</f>
        <v>988800.59984440985</v>
      </c>
      <c r="S478" s="21">
        <f>AN478*IF(MID(E478,3,1)="1",트라이포드!$J$22,트라이포드!$I$22)*IF(MID(E478,3,1)="3",IF(G478="생명50%이하",트라이포드!$N$22,트라이포드!$M$22),1)*IF(MID(E478,5,1)="2",트라이포드!$R$22,트라이포드!$Q$22)*(1+입력란!$P$19/100)</f>
        <v>824015.41407500836</v>
      </c>
      <c r="T478" s="21">
        <f>AO478*3*IF(MID(E478,5,1)="1",트라이포드!$P$22,트라이포드!$O$22)*(1+입력란!$P$19/100)</f>
        <v>164785.18576940152</v>
      </c>
      <c r="U478" s="21"/>
      <c r="V478" s="21"/>
      <c r="W478" s="21"/>
      <c r="X478" s="21"/>
      <c r="Y478" s="21"/>
      <c r="Z478" s="20">
        <f>(AN478+AO478*3)*IF(MID(E478,1,1)="2",트라이포드!$F$22,트라이포드!$E$22)*(1+입력란!$P$19/100)</f>
        <v>0</v>
      </c>
      <c r="AA478" s="21">
        <f>SUM(AB478:AI478)</f>
        <v>1977601.1996888197</v>
      </c>
      <c r="AB478" s="21">
        <f>S478*2</f>
        <v>1648030.8281500167</v>
      </c>
      <c r="AC478" s="21">
        <f>T478*2</f>
        <v>329570.37153880304</v>
      </c>
      <c r="AD478" s="21"/>
      <c r="AE478" s="21"/>
      <c r="AF478" s="21"/>
      <c r="AG478" s="21"/>
      <c r="AH478" s="21"/>
      <c r="AI478" s="20">
        <f>Z478*2</f>
        <v>0</v>
      </c>
      <c r="AJ478" s="21">
        <f>AQ478*(1-입력란!$P$10/100)</f>
        <v>26.675397141839998</v>
      </c>
      <c r="AK4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8" s="21">
        <f>입력란!$P$24+IF(입력란!$C$18=1,10,IF(입력란!$C$18=2,25,IF(입력란!$C$18=3,50,0)))+IF(입력란!$C$23&lt;&gt;0,-12)</f>
        <v>200</v>
      </c>
      <c r="AM478" s="21">
        <f>SUM(AN478:AP478)</f>
        <v>524617.98091438389</v>
      </c>
      <c r="AN478" s="21">
        <f>(VLOOKUP(C478,$B$4:$AJ$7,26,FALSE)+VLOOKUP(C478,$B$8:$AJ$11,26,FALSE)*입력란!$P$4)*입력란!$P$25/100</f>
        <v>484266.79697493906</v>
      </c>
      <c r="AO478" s="21">
        <f>(VLOOKUP(C478,$B$4:$AJ$7,27,FALSE)+VLOOKUP(C478,$B$8:$AJ$11,27,FALSE)*입력란!$P$4)*입력란!$P$25/100</f>
        <v>40351.183939444876</v>
      </c>
      <c r="AP478" s="21"/>
      <c r="AQ478" s="22">
        <v>27</v>
      </c>
    </row>
    <row r="479" spans="2:43" ht="13.5" customHeight="1" x14ac:dyDescent="0.55000000000000004">
      <c r="B479" s="66">
        <v>464</v>
      </c>
      <c r="C479" s="29">
        <v>7</v>
      </c>
      <c r="D479" s="49" t="s">
        <v>230</v>
      </c>
      <c r="E479" s="27" t="s">
        <v>235</v>
      </c>
      <c r="F479" s="29"/>
      <c r="G479" s="29" t="s">
        <v>375</v>
      </c>
      <c r="H479" s="37">
        <f>I479/AJ479</f>
        <v>98244.37090536156</v>
      </c>
      <c r="I479" s="37">
        <f>SUM(J479:Q479)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2620707.6108507505</v>
      </c>
      <c r="J479" s="21">
        <f>S479*(1+IF($AK479+IF(입력란!$C$26=1,10,0)&gt;100,100,$AK479+IF(입력란!$C$26=1,10,0))/100*(($AL479+IF(입력란!$C$30=1,17,IF(입력란!$C$30=2,20,IF(입력란!$C$30=3,22,0))))/100-1))</f>
        <v>1605120.8812464876</v>
      </c>
      <c r="K479" s="21">
        <f>T479*(1+IF($AK479+IF(입력란!$C$26=1,10,0)&gt;100,100,$AK479+IF(입력란!$C$26=1,10,0))/100*(($AL479+IF(입력란!$C$30=1,17,IF(입력란!$C$30=2,20,IF(입력란!$C$30=3,22,0))))/100-1))</f>
        <v>250772.90166601853</v>
      </c>
      <c r="L479" s="21"/>
      <c r="M479" s="21"/>
      <c r="N479" s="21"/>
      <c r="O479" s="21"/>
      <c r="P479" s="21"/>
      <c r="Q479" s="20">
        <f>Z479*(1+IF($AK479+IF(입력란!$C$26=1,10,0)&gt;100,100,$AK479+IF(입력란!$C$26=1,10,0))/100*(($AL479+IF(입력란!$C$30=1,17,IF(입력란!$C$30=2,20,IF(입력란!$C$30=3,22,0))))/100-1))</f>
        <v>0</v>
      </c>
      <c r="R479" s="19">
        <f>SUM(S479:Z479)</f>
        <v>1219524.9157854121</v>
      </c>
      <c r="S479" s="21">
        <f>AN479*IF(MID(E479,3,1)="1",트라이포드!$J$22,트라이포드!$I$22)*IF(MID(E479,3,1)="3",IF(G479="생명50%이하",트라이포드!$N$22,트라이포드!$M$22),1)*IF(MID(E479,5,1)="2",트라이포드!$R$22,트라이포드!$Q$22)*(1+입력란!$P$19/100)</f>
        <v>1054739.7300160106</v>
      </c>
      <c r="T479" s="21">
        <f>AO479*3*IF(MID(E479,5,1)="1",트라이포드!$P$22,트라이포드!$O$22)*(1+입력란!$P$19/100)</f>
        <v>164785.18576940152</v>
      </c>
      <c r="U479" s="21"/>
      <c r="V479" s="21"/>
      <c r="W479" s="21"/>
      <c r="X479" s="21"/>
      <c r="Y479" s="21"/>
      <c r="Z479" s="20">
        <f>(AN479+AO479*3)*IF(MID(E479,1,1)="2",트라이포드!$F$22,트라이포드!$E$22)*(1+입력란!$P$19/100)</f>
        <v>0</v>
      </c>
      <c r="AA479" s="21">
        <f>SUM(AB479:AI479)</f>
        <v>2439049.8315708241</v>
      </c>
      <c r="AB479" s="21">
        <f>S479*2</f>
        <v>2109479.4600320212</v>
      </c>
      <c r="AC479" s="21">
        <f>T479*2</f>
        <v>329570.37153880304</v>
      </c>
      <c r="AD479" s="21"/>
      <c r="AE479" s="21"/>
      <c r="AF479" s="21"/>
      <c r="AG479" s="21"/>
      <c r="AH479" s="21"/>
      <c r="AI479" s="20">
        <f>Z479*2</f>
        <v>0</v>
      </c>
      <c r="AJ479" s="21">
        <f>AQ479*(1-입력란!$P$10/100)</f>
        <v>26.675397141839998</v>
      </c>
      <c r="AK4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79" s="21">
        <f>입력란!$P$24+IF(입력란!$C$18=1,10,IF(입력란!$C$18=2,25,IF(입력란!$C$18=3,50,0)))+IF(입력란!$C$23&lt;&gt;0,-12)</f>
        <v>200</v>
      </c>
      <c r="AM479" s="21">
        <f>SUM(AN479:AP479)</f>
        <v>524617.98091438389</v>
      </c>
      <c r="AN479" s="21">
        <f>(VLOOKUP(C479,$B$4:$AJ$7,26,FALSE)+VLOOKUP(C479,$B$8:$AJ$11,26,FALSE)*입력란!$P$4)*입력란!$P$25/100</f>
        <v>484266.79697493906</v>
      </c>
      <c r="AO479" s="21">
        <f>(VLOOKUP(C479,$B$4:$AJ$7,27,FALSE)+VLOOKUP(C479,$B$8:$AJ$11,27,FALSE)*입력란!$P$4)*입력란!$P$25/100</f>
        <v>40351.183939444876</v>
      </c>
      <c r="AP479" s="21"/>
      <c r="AQ479" s="22">
        <v>27</v>
      </c>
    </row>
    <row r="480" spans="2:43" ht="13.5" customHeight="1" x14ac:dyDescent="0.55000000000000004">
      <c r="B480" s="66">
        <v>465</v>
      </c>
      <c r="C480" s="29">
        <v>7</v>
      </c>
      <c r="D480" s="49" t="s">
        <v>230</v>
      </c>
      <c r="E480" s="27" t="s">
        <v>237</v>
      </c>
      <c r="F480" s="29"/>
      <c r="G480" s="29" t="s">
        <v>375</v>
      </c>
      <c r="H480" s="37">
        <f>I480/AJ480</f>
        <v>92933.498080433987</v>
      </c>
      <c r="I480" s="37">
        <f>SUM(J480:Q480)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2479037.9690760016</v>
      </c>
      <c r="J480" s="21">
        <f>S480*(1+IF($AK480+IF(입력란!$C$26=1,10,0)&gt;100,100,$AK480+IF(입력란!$C$26=1,10,0))/100*(($AL480+IF(입력란!$C$30=1,17,IF(입력란!$C$30=2,20,IF(입력란!$C$30=3,22,0))))/100-1))</f>
        <v>1254000.6884738186</v>
      </c>
      <c r="K480" s="21">
        <f>T480*(1+IF($AK480+IF(입력란!$C$26=1,10,0)&gt;100,100,$AK480+IF(입력란!$C$26=1,10,0))/100*(($AL480+IF(입력란!$C$30=1,17,IF(입력란!$C$30=2,20,IF(입력란!$C$30=3,22,0))))/100-1))</f>
        <v>250772.90166601853</v>
      </c>
      <c r="L480" s="21"/>
      <c r="M480" s="21"/>
      <c r="N480" s="21"/>
      <c r="O480" s="21"/>
      <c r="P480" s="21"/>
      <c r="Q480" s="20">
        <f>Z480*(1+IF($AK480+IF(입력란!$C$26=1,10,0)&gt;100,100,$AK480+IF(입력란!$C$26=1,10,0))/100*(($AL480+IF(입력란!$C$30=1,17,IF(입력란!$C$30=2,20,IF(입력란!$C$30=3,22,0))))/100-1))</f>
        <v>250794.6904890147</v>
      </c>
      <c r="R480" s="19">
        <f>SUM(S480:Z480)</f>
        <v>1153600.1032502914</v>
      </c>
      <c r="S480" s="21">
        <f>AN480*IF(MID(E480,3,1)="1",트라이포드!$J$22,트라이포드!$I$22)*IF(MID(E480,3,1)="3",IF(G480="생명50%이하",트라이포드!$N$22,트라이포드!$M$22),1)*IF(MID(E480,5,1)="2",트라이포드!$R$22,트라이포드!$Q$22)*(1+입력란!$P$19/100)</f>
        <v>824015.41407500836</v>
      </c>
      <c r="T480" s="21">
        <f>AO480*3*IF(MID(E480,5,1)="1",트라이포드!$P$22,트라이포드!$O$22)*(1+입력란!$P$19/100)</f>
        <v>164785.18576940152</v>
      </c>
      <c r="U480" s="21"/>
      <c r="V480" s="21"/>
      <c r="W480" s="21"/>
      <c r="X480" s="21"/>
      <c r="Y480" s="21"/>
      <c r="Z480" s="20">
        <f>(AN480+AO480*3)*IF(MID(E480,1,1)="2",트라이포드!$F$22,트라이포드!$E$22)*(1+입력란!$P$19/100)</f>
        <v>164799.50340588164</v>
      </c>
      <c r="AA480" s="21">
        <f>SUM(AB480:AI480)</f>
        <v>2307200.2065005829</v>
      </c>
      <c r="AB480" s="21">
        <f>S480*2</f>
        <v>1648030.8281500167</v>
      </c>
      <c r="AC480" s="21">
        <f>T480*2</f>
        <v>329570.37153880304</v>
      </c>
      <c r="AD480" s="21"/>
      <c r="AE480" s="21"/>
      <c r="AF480" s="21"/>
      <c r="AG480" s="21"/>
      <c r="AH480" s="21"/>
      <c r="AI480" s="20">
        <f>Z480*2</f>
        <v>329599.00681176328</v>
      </c>
      <c r="AJ480" s="21">
        <f>AQ480*(1-입력란!$P$10/100)</f>
        <v>26.675397141839998</v>
      </c>
      <c r="AK4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0" s="21">
        <f>입력란!$P$24+IF(입력란!$C$18=1,10,IF(입력란!$C$18=2,25,IF(입력란!$C$18=3,50,0)))+IF(입력란!$C$23&lt;&gt;0,-12)</f>
        <v>200</v>
      </c>
      <c r="AM480" s="21">
        <f>SUM(AN480:AP480)</f>
        <v>524617.98091438389</v>
      </c>
      <c r="AN480" s="21">
        <f>(VLOOKUP(C480,$B$4:$AJ$7,26,FALSE)+VLOOKUP(C480,$B$8:$AJ$11,26,FALSE)*입력란!$P$4)*입력란!$P$25/100</f>
        <v>484266.79697493906</v>
      </c>
      <c r="AO480" s="21">
        <f>(VLOOKUP(C480,$B$4:$AJ$7,27,FALSE)+VLOOKUP(C480,$B$8:$AJ$11,27,FALSE)*입력란!$P$4)*입력란!$P$25/100</f>
        <v>40351.183939444876</v>
      </c>
      <c r="AP480" s="21"/>
      <c r="AQ480" s="22">
        <v>27</v>
      </c>
    </row>
    <row r="481" spans="2:43" ht="13.5" customHeight="1" x14ac:dyDescent="0.55000000000000004">
      <c r="B481" s="66">
        <v>466</v>
      </c>
      <c r="C481" s="29">
        <v>7</v>
      </c>
      <c r="D481" s="49" t="s">
        <v>230</v>
      </c>
      <c r="E481" s="27" t="s">
        <v>238</v>
      </c>
      <c r="F481" s="29"/>
      <c r="G481" s="29" t="s">
        <v>375</v>
      </c>
      <c r="H481" s="37">
        <f>I481/AJ481</f>
        <v>111520.54372319985</v>
      </c>
      <c r="I481" s="37">
        <f>SUM(J481:Q481)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2974854.7932902877</v>
      </c>
      <c r="J481" s="21">
        <f>S481*(1+IF($AK481+IF(입력란!$C$26=1,10,0)&gt;100,100,$AK481+IF(입력란!$C$26=1,10,0))/100*(($AL481+IF(입력란!$C$30=1,17,IF(입력란!$C$30=2,20,IF(입력란!$C$30=3,22,0))))/100-1))</f>
        <v>1605120.8812464876</v>
      </c>
      <c r="K481" s="21">
        <f>T481*(1+IF($AK481+IF(입력란!$C$26=1,10,0)&gt;100,100,$AK481+IF(입력란!$C$26=1,10,0))/100*(($AL481+IF(입력란!$C$30=1,17,IF(입력란!$C$30=2,20,IF(입력란!$C$30=3,22,0))))/100-1))</f>
        <v>250772.90166601853</v>
      </c>
      <c r="L481" s="21"/>
      <c r="M481" s="21"/>
      <c r="N481" s="21"/>
      <c r="O481" s="21"/>
      <c r="P481" s="21"/>
      <c r="Q481" s="20">
        <f>Z481*(1+IF($AK481+IF(입력란!$C$26=1,10,0)&gt;100,100,$AK481+IF(입력란!$C$26=1,10,0))/100*(($AL481+IF(입력란!$C$30=1,17,IF(입력란!$C$30=2,20,IF(입력란!$C$30=3,22,0))))/100-1))</f>
        <v>250794.6904890147</v>
      </c>
      <c r="R481" s="19">
        <f>SUM(S481:Z481)</f>
        <v>1384324.4191912937</v>
      </c>
      <c r="S481" s="21">
        <f>AN481*IF(MID(E481,3,1)="1",트라이포드!$J$22,트라이포드!$I$22)*IF(MID(E481,3,1)="3",IF(G481="생명50%이하",트라이포드!$N$22,트라이포드!$M$22),1)*IF(MID(E481,5,1)="2",트라이포드!$R$22,트라이포드!$Q$22)*(1+입력란!$P$19/100)</f>
        <v>1054739.7300160106</v>
      </c>
      <c r="T481" s="21">
        <f>AO481*3*IF(MID(E481,5,1)="1",트라이포드!$P$22,트라이포드!$O$22)*(1+입력란!$P$19/100)</f>
        <v>164785.18576940152</v>
      </c>
      <c r="U481" s="21"/>
      <c r="V481" s="21"/>
      <c r="W481" s="21"/>
      <c r="X481" s="21"/>
      <c r="Y481" s="21"/>
      <c r="Z481" s="20">
        <f>(AN481+AO481*3)*IF(MID(E481,1,1)="2",트라이포드!$F$22,트라이포드!$E$22)*(1+입력란!$P$19/100)</f>
        <v>164799.50340588164</v>
      </c>
      <c r="AA481" s="21">
        <f>SUM(AB481:AI481)</f>
        <v>2768648.8383825873</v>
      </c>
      <c r="AB481" s="21">
        <f>S481*2</f>
        <v>2109479.4600320212</v>
      </c>
      <c r="AC481" s="21">
        <f>T481*2</f>
        <v>329570.37153880304</v>
      </c>
      <c r="AD481" s="21"/>
      <c r="AE481" s="21"/>
      <c r="AF481" s="21"/>
      <c r="AG481" s="21"/>
      <c r="AH481" s="21"/>
      <c r="AI481" s="20">
        <f>Z481*2</f>
        <v>329599.00681176328</v>
      </c>
      <c r="AJ481" s="21">
        <f>AQ481*(1-입력란!$P$10/100)</f>
        <v>26.675397141839998</v>
      </c>
      <c r="AK4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1" s="21">
        <f>입력란!$P$24+IF(입력란!$C$18=1,10,IF(입력란!$C$18=2,25,IF(입력란!$C$18=3,50,0)))+IF(입력란!$C$23&lt;&gt;0,-12)</f>
        <v>200</v>
      </c>
      <c r="AM481" s="21">
        <f>SUM(AN481:AP481)</f>
        <v>524617.98091438389</v>
      </c>
      <c r="AN481" s="21">
        <f>(VLOOKUP(C481,$B$4:$AJ$7,26,FALSE)+VLOOKUP(C481,$B$8:$AJ$11,26,FALSE)*입력란!$P$4)*입력란!$P$25/100</f>
        <v>484266.79697493906</v>
      </c>
      <c r="AO481" s="21">
        <f>(VLOOKUP(C481,$B$4:$AJ$7,27,FALSE)+VLOOKUP(C481,$B$8:$AJ$11,27,FALSE)*입력란!$P$4)*입력란!$P$25/100</f>
        <v>40351.183939444876</v>
      </c>
      <c r="AP481" s="21"/>
      <c r="AQ481" s="22">
        <v>27</v>
      </c>
    </row>
    <row r="482" spans="2:43" ht="13.5" customHeight="1" x14ac:dyDescent="0.55000000000000004">
      <c r="B482" s="66">
        <v>467</v>
      </c>
      <c r="C482" s="29">
        <v>10</v>
      </c>
      <c r="D482" s="49" t="s">
        <v>230</v>
      </c>
      <c r="E482" s="27" t="s">
        <v>232</v>
      </c>
      <c r="F482" s="29"/>
      <c r="G482" s="29" t="s">
        <v>375</v>
      </c>
      <c r="H482" s="37">
        <f>I482/AJ482</f>
        <v>66406.744408523693</v>
      </c>
      <c r="I482" s="37">
        <f>SUM(J482:Q482)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1771426.2799940323</v>
      </c>
      <c r="J482" s="21">
        <f>S482*(1+IF($AK482+IF(입력란!$C$26=1,10,0)&gt;100,100,$AK482+IF(입력란!$C$26=1,10,0))/100*(($AL482+IF(입력란!$C$30=1,17,IF(입력란!$C$30=2,20,IF(입력란!$C$30=3,22,0))))/100-1))</f>
        <v>1003590.0090378588</v>
      </c>
      <c r="K482" s="21">
        <f>T482*(1+IF($AK482+IF(입력란!$C$26=1,10,0)&gt;100,100,$AK482+IF(입력란!$C$26=1,10,0))/100*(($AL482+IF(입력란!$C$30=1,17,IF(입력란!$C$30=2,20,IF(입력란!$C$30=3,22,0))))/100-1))</f>
        <v>250872.33781720253</v>
      </c>
      <c r="L482" s="21"/>
      <c r="M482" s="21"/>
      <c r="N482" s="21"/>
      <c r="O482" s="21"/>
      <c r="P482" s="21"/>
      <c r="Q482" s="20">
        <f>Z482*(1+IF($AK482+IF(입력란!$C$26=1,10,0)&gt;100,100,$AK482+IF(입력란!$C$26=1,10,0))/100*(($AL482+IF(입력란!$C$30=1,17,IF(입력란!$C$30=2,20,IF(입력란!$C$30=3,22,0))))/100-1))</f>
        <v>0</v>
      </c>
      <c r="R482" s="19">
        <f>SUM(S482:Z482)</f>
        <v>824318.77405373682</v>
      </c>
      <c r="S482" s="21">
        <f>AN482*IF(MID(E482,3,1)="1",트라이포드!$J$22,트라이포드!$I$22)*IF(MID(E482,3,1)="3",IF(G482="생명50%이하",트라이포드!$N$22,트라이포드!$M$22),1)*IF(MID(E482,5,1)="2",트라이포드!$R$22,트라이포드!$Q$22)*(1+입력란!$P$19/100)</f>
        <v>659468.24787260743</v>
      </c>
      <c r="T482" s="21">
        <f>AO482*3*IF(MID(E482,5,1)="1",트라이포드!$P$22,트라이포드!$O$22)*(1+입력란!$P$19/100)</f>
        <v>164850.52618112939</v>
      </c>
      <c r="U482" s="21"/>
      <c r="V482" s="21"/>
      <c r="W482" s="21"/>
      <c r="X482" s="21"/>
      <c r="Y482" s="21"/>
      <c r="Z482" s="20">
        <f>(AN482+AO482*3)*IF(MID(E482,1,1)="2",트라이포드!$F$22,트라이포드!$E$22)*(1+입력란!$P$19/100)</f>
        <v>0</v>
      </c>
      <c r="AA482" s="21">
        <f>SUM(AB482:AI482)</f>
        <v>1648637.5481074736</v>
      </c>
      <c r="AB482" s="21">
        <f>S482*2</f>
        <v>1318936.4957452149</v>
      </c>
      <c r="AC482" s="21">
        <f>T482*2</f>
        <v>329701.05236225878</v>
      </c>
      <c r="AD482" s="21"/>
      <c r="AE482" s="21"/>
      <c r="AF482" s="21"/>
      <c r="AG482" s="21"/>
      <c r="AH482" s="21"/>
      <c r="AI482" s="20">
        <f>Z482*2</f>
        <v>0</v>
      </c>
      <c r="AJ482" s="21">
        <f>AQ482*(1-입력란!$P$10/100)</f>
        <v>26.675397141839998</v>
      </c>
      <c r="AK4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2" s="21">
        <f>입력란!$P$24+IF(입력란!$C$18=1,10,IF(입력란!$C$18=2,25,IF(입력란!$C$18=3,50,0)))+IF(입력란!$C$23&lt;&gt;0,-12)</f>
        <v>200</v>
      </c>
      <c r="AM482" s="21">
        <f>SUM(AN482:AP482)</f>
        <v>524821.98091438389</v>
      </c>
      <c r="AN482" s="21">
        <f>(VLOOKUP(C482,$B$4:$AJ$7,26,FALSE)+VLOOKUP(C482,$B$8:$AJ$11,26,FALSE)*입력란!$P$4)*입력란!$P$25/100</f>
        <v>484454.79697493906</v>
      </c>
      <c r="AO482" s="21">
        <f>(VLOOKUP(C482,$B$4:$AJ$7,27,FALSE)+VLOOKUP(C482,$B$8:$AJ$11,27,FALSE)*입력란!$P$4)*입력란!$P$25/100</f>
        <v>40367.183939444876</v>
      </c>
      <c r="AP482" s="21"/>
      <c r="AQ482" s="22">
        <v>27</v>
      </c>
    </row>
    <row r="483" spans="2:43" ht="13.5" customHeight="1" x14ac:dyDescent="0.55000000000000004">
      <c r="B483" s="66">
        <v>468</v>
      </c>
      <c r="C483" s="29">
        <v>10</v>
      </c>
      <c r="D483" s="49" t="s">
        <v>230</v>
      </c>
      <c r="E483" s="27" t="s">
        <v>239</v>
      </c>
      <c r="F483" s="29"/>
      <c r="G483" s="29" t="s">
        <v>375</v>
      </c>
      <c r="H483" s="37">
        <f>I483/AJ483</f>
        <v>92967.310787198134</v>
      </c>
      <c r="I483" s="37">
        <f>SUM(J483:Q483)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2479939.936457376</v>
      </c>
      <c r="J483" s="21">
        <f>S483*(1+IF($AK483+IF(입력란!$C$26=1,10,0)&gt;100,100,$AK483+IF(입력란!$C$26=1,10,0))/100*(($AL483+IF(입력란!$C$30=1,17,IF(입력란!$C$30=2,20,IF(입력란!$C$30=3,22,0))))/100-1))</f>
        <v>1003590.0090378588</v>
      </c>
      <c r="K483" s="21">
        <f>T483*(1+IF($AK483+IF(입력란!$C$26=1,10,0)&gt;100,100,$AK483+IF(입력란!$C$26=1,10,0))/100*(($AL483+IF(입력란!$C$30=1,17,IF(입력란!$C$30=2,20,IF(입력란!$C$30=3,22,0))))/100-1))</f>
        <v>752617.01345160767</v>
      </c>
      <c r="L483" s="21"/>
      <c r="M483" s="21"/>
      <c r="N483" s="21"/>
      <c r="O483" s="21"/>
      <c r="P483" s="21"/>
      <c r="Q483" s="20">
        <f>Z483*(1+IF($AK483+IF(입력란!$C$26=1,10,0)&gt;100,100,$AK483+IF(입력란!$C$26=1,10,0))/100*(($AL483+IF(입력란!$C$30=1,17,IF(입력란!$C$30=2,20,IF(입력란!$C$30=3,22,0))))/100-1))</f>
        <v>0</v>
      </c>
      <c r="R483" s="19">
        <f>SUM(S483:Z483)</f>
        <v>1154019.8264159956</v>
      </c>
      <c r="S483" s="21">
        <f>AN483*IF(MID(E483,3,1)="1",트라이포드!$J$22,트라이포드!$I$22)*IF(MID(E483,3,1)="3",IF(G483="생명50%이하",트라이포드!$N$22,트라이포드!$M$22),1)*IF(MID(E483,5,1)="2",트라이포드!$R$22,트라이포드!$Q$22)*(1+입력란!$P$19/100)</f>
        <v>659468.24787260743</v>
      </c>
      <c r="T483" s="21">
        <f>AO483*3*IF(MID(E483,5,1)="1",트라이포드!$P$22,트라이포드!$O$22)*(1+입력란!$P$19/100)</f>
        <v>494551.57854338823</v>
      </c>
      <c r="U483" s="21"/>
      <c r="V483" s="21"/>
      <c r="W483" s="21"/>
      <c r="X483" s="21"/>
      <c r="Y483" s="21"/>
      <c r="Z483" s="20">
        <f>(AN483+AO483*3)*IF(MID(E483,1,1)="2",트라이포드!$F$22,트라이포드!$E$22)*(1+입력란!$P$19/100)</f>
        <v>0</v>
      </c>
      <c r="AA483" s="21">
        <f>SUM(AB483:AI483)</f>
        <v>2308039.6528319912</v>
      </c>
      <c r="AB483" s="21">
        <f>S483*2</f>
        <v>1318936.4957452149</v>
      </c>
      <c r="AC483" s="21">
        <f>T483*2</f>
        <v>989103.15708677645</v>
      </c>
      <c r="AD483" s="21"/>
      <c r="AE483" s="21"/>
      <c r="AF483" s="21"/>
      <c r="AG483" s="21"/>
      <c r="AH483" s="21"/>
      <c r="AI483" s="20">
        <f>Z483*2</f>
        <v>0</v>
      </c>
      <c r="AJ483" s="21">
        <f>AQ483*(1-입력란!$P$10/100)</f>
        <v>26.675397141839998</v>
      </c>
      <c r="AK4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3" s="21">
        <f>입력란!$P$24+IF(입력란!$C$18=1,10,IF(입력란!$C$18=2,25,IF(입력란!$C$18=3,50,0)))+IF(입력란!$C$23&lt;&gt;0,-12)</f>
        <v>200</v>
      </c>
      <c r="AM483" s="21">
        <f>SUM(AN483:AP483)</f>
        <v>524821.98091438389</v>
      </c>
      <c r="AN483" s="21">
        <f>(VLOOKUP(C483,$B$4:$AJ$7,26,FALSE)+VLOOKUP(C483,$B$8:$AJ$11,26,FALSE)*입력란!$P$4)*입력란!$P$25/100</f>
        <v>484454.79697493906</v>
      </c>
      <c r="AO483" s="21">
        <f>(VLOOKUP(C483,$B$4:$AJ$7,27,FALSE)+VLOOKUP(C483,$B$8:$AJ$11,27,FALSE)*입력란!$P$4)*입력란!$P$25/100</f>
        <v>40367.183939444876</v>
      </c>
      <c r="AP483" s="21"/>
      <c r="AQ483" s="22">
        <v>27</v>
      </c>
    </row>
    <row r="484" spans="2:43" ht="13.5" customHeight="1" x14ac:dyDescent="0.55000000000000004">
      <c r="B484" s="66">
        <v>469</v>
      </c>
      <c r="C484" s="29">
        <v>10</v>
      </c>
      <c r="D484" s="49" t="s">
        <v>230</v>
      </c>
      <c r="E484" s="27" t="s">
        <v>240</v>
      </c>
      <c r="F484" s="29"/>
      <c r="G484" s="29" t="s">
        <v>375</v>
      </c>
      <c r="H484" s="37">
        <f>I484/AJ484</f>
        <v>82344.682774279659</v>
      </c>
      <c r="I484" s="37">
        <f>SUM(J484:Q484)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2196577.1155227409</v>
      </c>
      <c r="J484" s="21">
        <f>S484*(1+IF($AK484+IF(입력란!$C$26=1,10,0)&gt;100,100,$AK484+IF(입력란!$C$26=1,10,0))/100*(($AL484+IF(입력란!$C$30=1,17,IF(입력란!$C$30=2,20,IF(입력란!$C$30=3,22,0))))/100-1))</f>
        <v>1304667.0117492166</v>
      </c>
      <c r="K484" s="21">
        <f>T484*(1+IF($AK484+IF(입력란!$C$26=1,10,0)&gt;100,100,$AK484+IF(입력란!$C$26=1,10,0))/100*(($AL484+IF(입력란!$C$30=1,17,IF(입력란!$C$30=2,20,IF(입력란!$C$30=3,22,0))))/100-1))</f>
        <v>250872.33781720253</v>
      </c>
      <c r="L484" s="21"/>
      <c r="M484" s="21"/>
      <c r="N484" s="21"/>
      <c r="O484" s="21"/>
      <c r="P484" s="21"/>
      <c r="Q484" s="20">
        <f>Z484*(1+IF($AK484+IF(입력란!$C$26=1,10,0)&gt;100,100,$AK484+IF(입력란!$C$26=1,10,0))/100*(($AL484+IF(입력란!$C$30=1,17,IF(입력란!$C$30=2,20,IF(입력란!$C$30=3,22,0))))/100-1))</f>
        <v>0</v>
      </c>
      <c r="R484" s="19">
        <f>SUM(S484:Z484)</f>
        <v>1022159.2484155191</v>
      </c>
      <c r="S484" s="21">
        <f>AN484*IF(MID(E484,3,1)="1",트라이포드!$J$22,트라이포드!$I$22)*IF(MID(E484,3,1)="3",IF(G484="생명50%이하",트라이포드!$N$22,트라이포드!$M$22),1)*IF(MID(E484,5,1)="2",트라이포드!$R$22,트라이포드!$Q$22)*(1+입력란!$P$19/100)</f>
        <v>857308.72223438974</v>
      </c>
      <c r="T484" s="21">
        <f>AO484*3*IF(MID(E484,5,1)="1",트라이포드!$P$22,트라이포드!$O$22)*(1+입력란!$P$19/100)</f>
        <v>164850.52618112939</v>
      </c>
      <c r="U484" s="21"/>
      <c r="V484" s="21"/>
      <c r="W484" s="21"/>
      <c r="X484" s="21"/>
      <c r="Y484" s="21"/>
      <c r="Z484" s="20">
        <f>(AN484+AO484*3)*IF(MID(E484,1,1)="2",트라이포드!$F$22,트라이포드!$E$22)*(1+입력란!$P$19/100)</f>
        <v>0</v>
      </c>
      <c r="AA484" s="21">
        <f>SUM(AB484:AI484)</f>
        <v>2044318.4968310383</v>
      </c>
      <c r="AB484" s="21">
        <f>S484*2</f>
        <v>1714617.4444687795</v>
      </c>
      <c r="AC484" s="21">
        <f>T484*2</f>
        <v>329701.05236225878</v>
      </c>
      <c r="AD484" s="21"/>
      <c r="AE484" s="21"/>
      <c r="AF484" s="21"/>
      <c r="AG484" s="21"/>
      <c r="AH484" s="21"/>
      <c r="AI484" s="20">
        <f>Z484*2</f>
        <v>0</v>
      </c>
      <c r="AJ484" s="21">
        <f>AQ484*(1-입력란!$P$10/100)</f>
        <v>26.675397141839998</v>
      </c>
      <c r="AK4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4" s="21">
        <f>입력란!$P$24+IF(입력란!$C$18=1,10,IF(입력란!$C$18=2,25,IF(입력란!$C$18=3,50,0)))+IF(입력란!$C$23&lt;&gt;0,-12)</f>
        <v>200</v>
      </c>
      <c r="AM484" s="21">
        <f>SUM(AN484:AP484)</f>
        <v>524821.98091438389</v>
      </c>
      <c r="AN484" s="21">
        <f>(VLOOKUP(C484,$B$4:$AJ$7,26,FALSE)+VLOOKUP(C484,$B$8:$AJ$11,26,FALSE)*입력란!$P$4)*입력란!$P$25/100</f>
        <v>484454.79697493906</v>
      </c>
      <c r="AO484" s="21">
        <f>(VLOOKUP(C484,$B$4:$AJ$7,27,FALSE)+VLOOKUP(C484,$B$8:$AJ$11,27,FALSE)*입력란!$P$4)*입력란!$P$25/100</f>
        <v>40367.183939444876</v>
      </c>
      <c r="AP484" s="21"/>
      <c r="AQ484" s="22">
        <v>27</v>
      </c>
    </row>
    <row r="485" spans="2:43" ht="13.5" customHeight="1" x14ac:dyDescent="0.55000000000000004">
      <c r="B485" s="66">
        <v>470</v>
      </c>
      <c r="C485" s="29">
        <v>10</v>
      </c>
      <c r="D485" s="49" t="s">
        <v>230</v>
      </c>
      <c r="E485" s="27" t="s">
        <v>241</v>
      </c>
      <c r="F485" s="29"/>
      <c r="G485" s="29" t="s">
        <v>375</v>
      </c>
      <c r="H485" s="37">
        <f>I485/AJ485</f>
        <v>106248.65966890287</v>
      </c>
      <c r="I485" s="37">
        <f>SUM(J485:Q485)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2834225.1924561821</v>
      </c>
      <c r="J485" s="21">
        <f>S485*(1+IF($AK485+IF(입력란!$C$26=1,10,0)&gt;100,100,$AK485+IF(입력란!$C$26=1,10,0))/100*(($AL485+IF(입력란!$C$30=1,17,IF(입력란!$C$30=2,20,IF(입력란!$C$30=3,22,0))))/100-1))</f>
        <v>1003590.0090378588</v>
      </c>
      <c r="K485" s="21">
        <f>T485*(1+IF($AK485+IF(입력란!$C$26=1,10,0)&gt;100,100,$AK485+IF(입력란!$C$26=1,10,0))/100*(($AL485+IF(입력란!$C$30=1,17,IF(입력란!$C$30=2,20,IF(입력란!$C$30=3,22,0))))/100-1))</f>
        <v>752617.01345160767</v>
      </c>
      <c r="L485" s="21"/>
      <c r="M485" s="21"/>
      <c r="N485" s="21"/>
      <c r="O485" s="21"/>
      <c r="P485" s="21"/>
      <c r="Q485" s="20">
        <f>Z485*(1+IF($AK485+IF(입력란!$C$26=1,10,0)&gt;100,100,$AK485+IF(입력란!$C$26=1,10,0))/100*(($AL485+IF(입력란!$C$30=1,17,IF(입력란!$C$30=2,20,IF(입력란!$C$30=3,22,0))))/100-1))</f>
        <v>250892.46937101227</v>
      </c>
      <c r="R485" s="19">
        <f>SUM(S485:Z485)</f>
        <v>1318883.5812267431</v>
      </c>
      <c r="S485" s="21">
        <f>AN485*IF(MID(E485,3,1)="1",트라이포드!$J$22,트라이포드!$I$22)*IF(MID(E485,3,1)="3",IF(G485="생명50%이하",트라이포드!$N$22,트라이포드!$M$22),1)*IF(MID(E485,5,1)="2",트라이포드!$R$22,트라이포드!$Q$22)*(1+입력란!$P$19/100)</f>
        <v>659468.24787260743</v>
      </c>
      <c r="T485" s="21">
        <f>AO485*3*IF(MID(E485,5,1)="1",트라이포드!$P$22,트라이포드!$O$22)*(1+입력란!$P$19/100)</f>
        <v>494551.57854338823</v>
      </c>
      <c r="U485" s="21"/>
      <c r="V485" s="21"/>
      <c r="W485" s="21"/>
      <c r="X485" s="21"/>
      <c r="Y485" s="21"/>
      <c r="Z485" s="20">
        <f>(AN485+AO485*3)*IF(MID(E485,1,1)="2",트라이포드!$F$22,트라이포드!$E$22)*(1+입력란!$P$19/100)</f>
        <v>164863.75481074737</v>
      </c>
      <c r="AA485" s="21">
        <f>SUM(AB485:AI485)</f>
        <v>2637767.1624534861</v>
      </c>
      <c r="AB485" s="21">
        <f>S485*2</f>
        <v>1318936.4957452149</v>
      </c>
      <c r="AC485" s="21">
        <f>T485*2</f>
        <v>989103.15708677645</v>
      </c>
      <c r="AD485" s="21"/>
      <c r="AE485" s="21"/>
      <c r="AF485" s="21"/>
      <c r="AG485" s="21"/>
      <c r="AH485" s="21"/>
      <c r="AI485" s="20">
        <f>Z485*2</f>
        <v>329727.50962149474</v>
      </c>
      <c r="AJ485" s="21">
        <f>AQ485*(1-입력란!$P$10/100)</f>
        <v>26.675397141839998</v>
      </c>
      <c r="AK4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5" s="21">
        <f>입력란!$P$24+IF(입력란!$C$18=1,10,IF(입력란!$C$18=2,25,IF(입력란!$C$18=3,50,0)))+IF(입력란!$C$23&lt;&gt;0,-12)</f>
        <v>200</v>
      </c>
      <c r="AM485" s="21">
        <f>SUM(AN485:AP485)</f>
        <v>524821.98091438389</v>
      </c>
      <c r="AN485" s="21">
        <f>(VLOOKUP(C485,$B$4:$AJ$7,26,FALSE)+VLOOKUP(C485,$B$8:$AJ$11,26,FALSE)*입력란!$P$4)*입력란!$P$25/100</f>
        <v>484454.79697493906</v>
      </c>
      <c r="AO485" s="21">
        <f>(VLOOKUP(C485,$B$4:$AJ$7,27,FALSE)+VLOOKUP(C485,$B$8:$AJ$11,27,FALSE)*입력란!$P$4)*입력란!$P$25/100</f>
        <v>40367.183939444876</v>
      </c>
      <c r="AP485" s="21"/>
      <c r="AQ485" s="22">
        <v>27</v>
      </c>
    </row>
    <row r="486" spans="2:43" ht="13.5" customHeight="1" x14ac:dyDescent="0.55000000000000004">
      <c r="B486" s="66">
        <v>471</v>
      </c>
      <c r="C486" s="29">
        <v>10</v>
      </c>
      <c r="D486" s="49" t="s">
        <v>230</v>
      </c>
      <c r="E486" s="27" t="s">
        <v>242</v>
      </c>
      <c r="F486" s="29"/>
      <c r="G486" s="29" t="s">
        <v>375</v>
      </c>
      <c r="H486" s="37">
        <f>I486/AJ486</f>
        <v>95626.031655984378</v>
      </c>
      <c r="I486" s="37">
        <f>SUM(J486:Q486)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2550862.371521547</v>
      </c>
      <c r="J486" s="21">
        <f>S486*(1+IF($AK486+IF(입력란!$C$26=1,10,0)&gt;100,100,$AK486+IF(입력란!$C$26=1,10,0))/100*(($AL486+IF(입력란!$C$30=1,17,IF(입력란!$C$30=2,20,IF(입력란!$C$30=3,22,0))))/100-1))</f>
        <v>1304667.0117492166</v>
      </c>
      <c r="K486" s="21">
        <f>T486*(1+IF($AK486+IF(입력란!$C$26=1,10,0)&gt;100,100,$AK486+IF(입력란!$C$26=1,10,0))/100*(($AL486+IF(입력란!$C$30=1,17,IF(입력란!$C$30=2,20,IF(입력란!$C$30=3,22,0))))/100-1))</f>
        <v>250872.33781720253</v>
      </c>
      <c r="L486" s="21"/>
      <c r="M486" s="21"/>
      <c r="N486" s="21"/>
      <c r="O486" s="21"/>
      <c r="P486" s="21"/>
      <c r="Q486" s="20">
        <f>Z486*(1+IF($AK486+IF(입력란!$C$26=1,10,0)&gt;100,100,$AK486+IF(입력란!$C$26=1,10,0))/100*(($AL486+IF(입력란!$C$30=1,17,IF(입력란!$C$30=2,20,IF(입력란!$C$30=3,22,0))))/100-1))</f>
        <v>250892.46937101227</v>
      </c>
      <c r="R486" s="19">
        <f>SUM(S486:Z486)</f>
        <v>1187023.0032262665</v>
      </c>
      <c r="S486" s="21">
        <f>AN486*IF(MID(E486,3,1)="1",트라이포드!$J$22,트라이포드!$I$22)*IF(MID(E486,3,1)="3",IF(G486="생명50%이하",트라이포드!$N$22,트라이포드!$M$22),1)*IF(MID(E486,5,1)="2",트라이포드!$R$22,트라이포드!$Q$22)*(1+입력란!$P$19/100)</f>
        <v>857308.72223438974</v>
      </c>
      <c r="T486" s="21">
        <f>AO486*3*IF(MID(E486,5,1)="1",트라이포드!$P$22,트라이포드!$O$22)*(1+입력란!$P$19/100)</f>
        <v>164850.52618112939</v>
      </c>
      <c r="U486" s="21"/>
      <c r="V486" s="21"/>
      <c r="W486" s="21"/>
      <c r="X486" s="21"/>
      <c r="Y486" s="21"/>
      <c r="Z486" s="20">
        <f>(AN486+AO486*3)*IF(MID(E486,1,1)="2",트라이포드!$F$22,트라이포드!$E$22)*(1+입력란!$P$19/100)</f>
        <v>164863.75481074737</v>
      </c>
      <c r="AA486" s="21">
        <f>SUM(AB486:AI486)</f>
        <v>2374046.006452533</v>
      </c>
      <c r="AB486" s="21">
        <f>S486*2</f>
        <v>1714617.4444687795</v>
      </c>
      <c r="AC486" s="21">
        <f>T486*2</f>
        <v>329701.05236225878</v>
      </c>
      <c r="AD486" s="21"/>
      <c r="AE486" s="21"/>
      <c r="AF486" s="21"/>
      <c r="AG486" s="21"/>
      <c r="AH486" s="21"/>
      <c r="AI486" s="20">
        <f>Z486*2</f>
        <v>329727.50962149474</v>
      </c>
      <c r="AJ486" s="21">
        <f>AQ486*(1-입력란!$P$10/100)</f>
        <v>26.675397141839998</v>
      </c>
      <c r="AK4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6" s="21">
        <f>입력란!$P$24+IF(입력란!$C$18=1,10,IF(입력란!$C$18=2,25,IF(입력란!$C$18=3,50,0)))+IF(입력란!$C$23&lt;&gt;0,-12)</f>
        <v>200</v>
      </c>
      <c r="AM486" s="21">
        <f>SUM(AN486:AP486)</f>
        <v>524821.98091438389</v>
      </c>
      <c r="AN486" s="21">
        <f>(VLOOKUP(C486,$B$4:$AJ$7,26,FALSE)+VLOOKUP(C486,$B$8:$AJ$11,26,FALSE)*입력란!$P$4)*입력란!$P$25/100</f>
        <v>484454.79697493906</v>
      </c>
      <c r="AO486" s="21">
        <f>(VLOOKUP(C486,$B$4:$AJ$7,27,FALSE)+VLOOKUP(C486,$B$8:$AJ$11,27,FALSE)*입력란!$P$4)*입력란!$P$25/100</f>
        <v>40367.183939444876</v>
      </c>
      <c r="AP486" s="21"/>
      <c r="AQ486" s="22">
        <v>27</v>
      </c>
    </row>
    <row r="487" spans="2:43" ht="13.5" customHeight="1" x14ac:dyDescent="0.55000000000000004">
      <c r="B487" s="66">
        <v>472</v>
      </c>
      <c r="C487" s="29">
        <v>10</v>
      </c>
      <c r="D487" s="49" t="s">
        <v>230</v>
      </c>
      <c r="E487" s="27" t="s">
        <v>243</v>
      </c>
      <c r="F487" s="29"/>
      <c r="G487" s="29" t="s">
        <v>375</v>
      </c>
      <c r="H487" s="37">
        <f>I487/AJ487</f>
        <v>119530.27497369949</v>
      </c>
      <c r="I487" s="37">
        <f>SUM(J487:Q487)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3188517.5553967725</v>
      </c>
      <c r="J487" s="21">
        <f>S487*(1+IF($AK487+IF(입력란!$C$26=1,10,0)&gt;100,100,$AK487+IF(입력란!$C$26=1,10,0))/100*(($AL487+IF(입력란!$C$30=1,17,IF(입력란!$C$30=2,20,IF(입력란!$C$30=3,22,0))))/100-1))</f>
        <v>1254487.5112973237</v>
      </c>
      <c r="K487" s="21">
        <f>T487*(1+IF($AK487+IF(입력란!$C$26=1,10,0)&gt;100,100,$AK487+IF(입력란!$C$26=1,10,0))/100*(($AL487+IF(입력란!$C$30=1,17,IF(입력란!$C$30=2,20,IF(입력란!$C$30=3,22,0))))/100-1))</f>
        <v>752617.01345160767</v>
      </c>
      <c r="L487" s="21"/>
      <c r="M487" s="21"/>
      <c r="N487" s="21"/>
      <c r="O487" s="21"/>
      <c r="P487" s="21"/>
      <c r="Q487" s="20">
        <f>Z487*(1+IF($AK487+IF(입력란!$C$26=1,10,0)&gt;100,100,$AK487+IF(입력란!$C$26=1,10,0))/100*(($AL487+IF(입력란!$C$30=1,17,IF(입력란!$C$30=2,20,IF(입력란!$C$30=3,22,0))))/100-1))</f>
        <v>250892.46937101227</v>
      </c>
      <c r="R487" s="19">
        <f>SUM(S487:Z487)</f>
        <v>1483750.643194895</v>
      </c>
      <c r="S487" s="21">
        <f>AN487*IF(MID(E487,3,1)="1",트라이포드!$J$22,트라이포드!$I$22)*IF(MID(E487,3,1)="3",IF(G487="생명50%이하",트라이포드!$N$22,트라이포드!$M$22),1)*IF(MID(E487,5,1)="2",트라이포드!$R$22,트라이포드!$Q$22)*(1+입력란!$P$19/100)</f>
        <v>824335.30984075938</v>
      </c>
      <c r="T487" s="21">
        <f>AO487*3*IF(MID(E487,5,1)="1",트라이포드!$P$22,트라이포드!$O$22)*(1+입력란!$P$19/100)</f>
        <v>494551.57854338823</v>
      </c>
      <c r="U487" s="21"/>
      <c r="V487" s="21"/>
      <c r="W487" s="21"/>
      <c r="X487" s="21"/>
      <c r="Y487" s="21"/>
      <c r="Z487" s="20">
        <f>(AN487+AO487*3)*IF(MID(E487,1,1)="2",트라이포드!$F$22,트라이포드!$E$22)*(1+입력란!$P$19/100)</f>
        <v>164863.75481074737</v>
      </c>
      <c r="AA487" s="21">
        <f>SUM(AB487:AI487)</f>
        <v>2967501.28638979</v>
      </c>
      <c r="AB487" s="21">
        <f>S487*2</f>
        <v>1648670.6196815188</v>
      </c>
      <c r="AC487" s="21">
        <f>T487*2</f>
        <v>989103.15708677645</v>
      </c>
      <c r="AD487" s="21"/>
      <c r="AE487" s="21"/>
      <c r="AF487" s="21"/>
      <c r="AG487" s="21"/>
      <c r="AH487" s="21"/>
      <c r="AI487" s="20">
        <f>Z487*2</f>
        <v>329727.50962149474</v>
      </c>
      <c r="AJ487" s="21">
        <f>AQ487*(1-입력란!$P$10/100)</f>
        <v>26.675397141839998</v>
      </c>
      <c r="AK4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7" s="21">
        <f>입력란!$P$24+IF(입력란!$C$18=1,10,IF(입력란!$C$18=2,25,IF(입력란!$C$18=3,50,0)))+IF(입력란!$C$23&lt;&gt;0,-12)</f>
        <v>200</v>
      </c>
      <c r="AM487" s="21">
        <f>SUM(AN487:AP487)</f>
        <v>524821.98091438389</v>
      </c>
      <c r="AN487" s="21">
        <f>(VLOOKUP(C487,$B$4:$AJ$7,26,FALSE)+VLOOKUP(C487,$B$8:$AJ$11,26,FALSE)*입력란!$P$4)*입력란!$P$25/100</f>
        <v>484454.79697493906</v>
      </c>
      <c r="AO487" s="21">
        <f>(VLOOKUP(C487,$B$4:$AJ$7,27,FALSE)+VLOOKUP(C487,$B$8:$AJ$11,27,FALSE)*입력란!$P$4)*입력란!$P$25/100</f>
        <v>40367.183939444876</v>
      </c>
      <c r="AP487" s="21"/>
      <c r="AQ487" s="22">
        <v>27</v>
      </c>
    </row>
    <row r="488" spans="2:43" ht="13.5" customHeight="1" x14ac:dyDescent="0.55000000000000004">
      <c r="B488" s="66">
        <v>473</v>
      </c>
      <c r="C488" s="29">
        <v>10</v>
      </c>
      <c r="D488" s="49" t="s">
        <v>230</v>
      </c>
      <c r="E488" s="27" t="s">
        <v>244</v>
      </c>
      <c r="F488" s="29"/>
      <c r="G488" s="29" t="s">
        <v>375</v>
      </c>
      <c r="H488" s="37">
        <f>I488/AJ488</f>
        <v>112892.13155222</v>
      </c>
      <c r="I488" s="37">
        <f>SUM(J488:Q488)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3011442.4433443146</v>
      </c>
      <c r="J488" s="21">
        <f>S488*(1+IF($AK488+IF(입력란!$C$26=1,10,0)&gt;100,100,$AK488+IF(입력란!$C$26=1,10,0))/100*(($AL488+IF(입력란!$C$30=1,17,IF(입력란!$C$30=2,20,IF(입력란!$C$30=3,22,0))))/100-1))</f>
        <v>1630833.7646865211</v>
      </c>
      <c r="K488" s="21">
        <f>T488*(1+IF($AK488+IF(입력란!$C$26=1,10,0)&gt;100,100,$AK488+IF(입력란!$C$26=1,10,0))/100*(($AL488+IF(입력란!$C$30=1,17,IF(입력란!$C$30=2,20,IF(입력란!$C$30=3,22,0))))/100-1))</f>
        <v>250872.33781720253</v>
      </c>
      <c r="L488" s="21"/>
      <c r="M488" s="21"/>
      <c r="N488" s="21"/>
      <c r="O488" s="21"/>
      <c r="P488" s="21"/>
      <c r="Q488" s="20">
        <f>Z488*(1+IF($AK488+IF(입력란!$C$26=1,10,0)&gt;100,100,$AK488+IF(입력란!$C$26=1,10,0))/100*(($AL488+IF(입력란!$C$30=1,17,IF(입력란!$C$30=2,20,IF(입력란!$C$30=3,22,0))))/100-1))</f>
        <v>250892.46937101227</v>
      </c>
      <c r="R488" s="19">
        <f>SUM(S488:Z488)</f>
        <v>1401350.1837848641</v>
      </c>
      <c r="S488" s="21">
        <f>AN488*IF(MID(E488,3,1)="1",트라이포드!$J$22,트라이포드!$I$22)*IF(MID(E488,3,1)="3",IF(G488="생명50%이하",트라이포드!$N$22,트라이포드!$M$22),1)*IF(MID(E488,5,1)="2",트라이포드!$R$22,트라이포드!$Q$22)*(1+입력란!$P$19/100)</f>
        <v>1071635.9027929874</v>
      </c>
      <c r="T488" s="21">
        <f>AO488*3*IF(MID(E488,5,1)="1",트라이포드!$P$22,트라이포드!$O$22)*(1+입력란!$P$19/100)</f>
        <v>164850.52618112939</v>
      </c>
      <c r="U488" s="21"/>
      <c r="V488" s="21"/>
      <c r="W488" s="21"/>
      <c r="X488" s="21"/>
      <c r="Y488" s="21"/>
      <c r="Z488" s="20">
        <f>(AN488+AO488*3)*IF(MID(E488,1,1)="2",트라이포드!$F$22,트라이포드!$E$22)*(1+입력란!$P$19/100)</f>
        <v>164863.75481074737</v>
      </c>
      <c r="AA488" s="21">
        <f>SUM(AB488:AI488)</f>
        <v>2802700.3675697283</v>
      </c>
      <c r="AB488" s="21">
        <f>S488*2</f>
        <v>2143271.8055859748</v>
      </c>
      <c r="AC488" s="21">
        <f>T488*2</f>
        <v>329701.05236225878</v>
      </c>
      <c r="AD488" s="21"/>
      <c r="AE488" s="21"/>
      <c r="AF488" s="21"/>
      <c r="AG488" s="21"/>
      <c r="AH488" s="21"/>
      <c r="AI488" s="20">
        <f>Z488*2</f>
        <v>329727.50962149474</v>
      </c>
      <c r="AJ488" s="21">
        <f>AQ488*(1-입력란!$P$10/100)</f>
        <v>26.675397141839998</v>
      </c>
      <c r="AK4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8" s="21">
        <f>입력란!$P$24+IF(입력란!$C$18=1,10,IF(입력란!$C$18=2,25,IF(입력란!$C$18=3,50,0)))+IF(입력란!$C$23&lt;&gt;0,-12)</f>
        <v>200</v>
      </c>
      <c r="AM488" s="21">
        <f>SUM(AN488:AP488)</f>
        <v>524821.98091438389</v>
      </c>
      <c r="AN488" s="21">
        <f>(VLOOKUP(C488,$B$4:$AJ$7,26,FALSE)+VLOOKUP(C488,$B$8:$AJ$11,26,FALSE)*입력란!$P$4)*입력란!$P$25/100</f>
        <v>484454.79697493906</v>
      </c>
      <c r="AO488" s="21">
        <f>(VLOOKUP(C488,$B$4:$AJ$7,27,FALSE)+VLOOKUP(C488,$B$8:$AJ$11,27,FALSE)*입력란!$P$4)*입력란!$P$25/100</f>
        <v>40367.183939444876</v>
      </c>
      <c r="AP488" s="21"/>
      <c r="AQ488" s="22">
        <v>27</v>
      </c>
    </row>
    <row r="489" spans="2:43" ht="13.5" customHeight="1" x14ac:dyDescent="0.55000000000000004">
      <c r="B489" s="66">
        <v>474</v>
      </c>
      <c r="C489" s="29">
        <v>10</v>
      </c>
      <c r="D489" s="49" t="s">
        <v>230</v>
      </c>
      <c r="E489" s="27" t="s">
        <v>245</v>
      </c>
      <c r="F489" s="29"/>
      <c r="G489" s="29" t="s">
        <v>375</v>
      </c>
      <c r="H489" s="37">
        <f>I489/AJ489</f>
        <v>138124.53640041477</v>
      </c>
      <c r="I489" s="37">
        <f>SUM(J489:Q489)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3684526.8635135987</v>
      </c>
      <c r="J489" s="21">
        <f>S489*(1+IF($AK489+IF(입력란!$C$26=1,10,0)&gt;100,100,$AK489+IF(입력란!$C$26=1,10,0))/100*(($AL489+IF(입력란!$C$30=1,17,IF(입력란!$C$30=2,20,IF(입력란!$C$30=3,22,0))))/100-1))</f>
        <v>1605744.0144605741</v>
      </c>
      <c r="K489" s="21">
        <f>T489*(1+IF($AK489+IF(입력란!$C$26=1,10,0)&gt;100,100,$AK489+IF(입력란!$C$26=1,10,0))/100*(($AL489+IF(입력란!$C$30=1,17,IF(입력란!$C$30=2,20,IF(입력란!$C$30=3,22,0))))/100-1))</f>
        <v>752617.01345160767</v>
      </c>
      <c r="L489" s="21"/>
      <c r="M489" s="21"/>
      <c r="N489" s="21"/>
      <c r="O489" s="21"/>
      <c r="P489" s="21"/>
      <c r="Q489" s="20">
        <f>Z489*(1+IF($AK489+IF(입력란!$C$26=1,10,0)&gt;100,100,$AK489+IF(입력란!$C$26=1,10,0))/100*(($AL489+IF(입력란!$C$30=1,17,IF(입력란!$C$30=2,20,IF(입력란!$C$30=3,22,0))))/100-1))</f>
        <v>250892.46937101227</v>
      </c>
      <c r="R489" s="19">
        <f>SUM(S489:Z489)</f>
        <v>1714564.5299503077</v>
      </c>
      <c r="S489" s="21">
        <f>AN489*IF(MID(E489,3,1)="1",트라이포드!$J$22,트라이포드!$I$22)*IF(MID(E489,3,1)="3",IF(G489="생명50%이하",트라이포드!$N$22,트라이포드!$M$22),1)*IF(MID(E489,5,1)="2",트라이포드!$R$22,트라이포드!$Q$22)*(1+입력란!$P$19/100)</f>
        <v>1055149.1965961719</v>
      </c>
      <c r="T489" s="21">
        <f>AO489*3*IF(MID(E489,5,1)="1",트라이포드!$P$22,트라이포드!$O$22)*(1+입력란!$P$19/100)</f>
        <v>494551.57854338823</v>
      </c>
      <c r="U489" s="21"/>
      <c r="V489" s="21"/>
      <c r="W489" s="21"/>
      <c r="X489" s="21"/>
      <c r="Y489" s="21"/>
      <c r="Z489" s="20">
        <f>(AN489+AO489*3)*IF(MID(E489,1,1)="2",트라이포드!$F$22,트라이포드!$E$22)*(1+입력란!$P$19/100)</f>
        <v>164863.75481074737</v>
      </c>
      <c r="AA489" s="21">
        <f>SUM(AB489:AI489)</f>
        <v>3429129.0599006154</v>
      </c>
      <c r="AB489" s="21">
        <f>S489*2</f>
        <v>2110298.3931923439</v>
      </c>
      <c r="AC489" s="21">
        <f>T489*2</f>
        <v>989103.15708677645</v>
      </c>
      <c r="AD489" s="21"/>
      <c r="AE489" s="21"/>
      <c r="AF489" s="21"/>
      <c r="AG489" s="21"/>
      <c r="AH489" s="21"/>
      <c r="AI489" s="20">
        <f>Z489*2</f>
        <v>329727.50962149474</v>
      </c>
      <c r="AJ489" s="21">
        <f>AQ489*(1-입력란!$P$10/100)</f>
        <v>26.675397141839998</v>
      </c>
      <c r="AK4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89" s="21">
        <f>입력란!$P$24+IF(입력란!$C$18=1,10,IF(입력란!$C$18=2,25,IF(입력란!$C$18=3,50,0)))+IF(입력란!$C$23&lt;&gt;0,-12)</f>
        <v>200</v>
      </c>
      <c r="AM489" s="21">
        <f>SUM(AN489:AP489)</f>
        <v>524821.98091438389</v>
      </c>
      <c r="AN489" s="21">
        <f>(VLOOKUP(C489,$B$4:$AJ$7,26,FALSE)+VLOOKUP(C489,$B$8:$AJ$11,26,FALSE)*입력란!$P$4)*입력란!$P$25/100</f>
        <v>484454.79697493906</v>
      </c>
      <c r="AO489" s="21">
        <f>(VLOOKUP(C489,$B$4:$AJ$7,27,FALSE)+VLOOKUP(C489,$B$8:$AJ$11,27,FALSE)*입력란!$P$4)*입력란!$P$25/100</f>
        <v>40367.183939444876</v>
      </c>
      <c r="AP489" s="21"/>
      <c r="AQ489" s="22">
        <v>27</v>
      </c>
    </row>
    <row r="490" spans="2:43" ht="13.5" customHeight="1" x14ac:dyDescent="0.55000000000000004">
      <c r="B490" s="66">
        <v>475</v>
      </c>
      <c r="C490" s="29">
        <v>10</v>
      </c>
      <c r="D490" s="49" t="s">
        <v>230</v>
      </c>
      <c r="E490" s="27" t="s">
        <v>246</v>
      </c>
      <c r="F490" s="29"/>
      <c r="G490" s="29" t="s">
        <v>375</v>
      </c>
      <c r="H490" s="37">
        <f>I490/AJ490</f>
        <v>137064.67140694984</v>
      </c>
      <c r="I490" s="37">
        <f>SUM(J490:Q490)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3656254.543896188</v>
      </c>
      <c r="J490" s="21">
        <f>S490*(1+IF($AK490+IF(입력란!$C$26=1,10,0)&gt;100,100,$AK490+IF(입력란!$C$26=1,10,0))/100*(($AL490+IF(입력란!$C$30=1,17,IF(입력란!$C$30=2,20,IF(입력란!$C$30=3,22,0))))/100-1))</f>
        <v>2087467.2187987464</v>
      </c>
      <c r="K490" s="21">
        <f>T490*(1+IF($AK490+IF(입력란!$C$26=1,10,0)&gt;100,100,$AK490+IF(입력란!$C$26=1,10,0))/100*(($AL490+IF(입력란!$C$30=1,17,IF(입력란!$C$30=2,20,IF(입력란!$C$30=3,22,0))))/100-1))</f>
        <v>250872.33781720253</v>
      </c>
      <c r="L490" s="21"/>
      <c r="M490" s="21"/>
      <c r="N490" s="21"/>
      <c r="O490" s="21"/>
      <c r="P490" s="21"/>
      <c r="Q490" s="20">
        <f>Z490*(1+IF($AK490+IF(입력란!$C$26=1,10,0)&gt;100,100,$AK490+IF(입력란!$C$26=1,10,0))/100*(($AL490+IF(입력란!$C$30=1,17,IF(입력란!$C$30=2,20,IF(입력란!$C$30=3,22,0))))/100-1))</f>
        <v>250892.46937101227</v>
      </c>
      <c r="R490" s="19">
        <f>SUM(S490:Z490)</f>
        <v>1701408.2365669005</v>
      </c>
      <c r="S490" s="21">
        <f>AN490*IF(MID(E490,3,1)="1",트라이포드!$J$22,트라이포드!$I$22)*IF(MID(E490,3,1)="3",IF(G490="생명50%이하",트라이포드!$N$22,트라이포드!$M$22),1)*IF(MID(E490,5,1)="2",트라이포드!$R$22,트라이포드!$Q$22)*(1+입력란!$P$19/100)</f>
        <v>1371693.9555750235</v>
      </c>
      <c r="T490" s="21">
        <f>AO490*3*IF(MID(E490,5,1)="1",트라이포드!$P$22,트라이포드!$O$22)*(1+입력란!$P$19/100)</f>
        <v>164850.52618112939</v>
      </c>
      <c r="U490" s="21"/>
      <c r="V490" s="21"/>
      <c r="W490" s="21"/>
      <c r="X490" s="21"/>
      <c r="Y490" s="21"/>
      <c r="Z490" s="20">
        <f>(AN490+AO490*3)*IF(MID(E490,1,1)="2",트라이포드!$F$22,트라이포드!$E$22)*(1+입력란!$P$19/100)</f>
        <v>164863.75481074737</v>
      </c>
      <c r="AA490" s="21">
        <f>SUM(AB490:AI490)</f>
        <v>3402816.473133801</v>
      </c>
      <c r="AB490" s="21">
        <f>S490*2</f>
        <v>2743387.9111500471</v>
      </c>
      <c r="AC490" s="21">
        <f>T490*2</f>
        <v>329701.05236225878</v>
      </c>
      <c r="AD490" s="21"/>
      <c r="AE490" s="21"/>
      <c r="AF490" s="21"/>
      <c r="AG490" s="21"/>
      <c r="AH490" s="21"/>
      <c r="AI490" s="20">
        <f>Z490*2</f>
        <v>329727.50962149474</v>
      </c>
      <c r="AJ490" s="21">
        <f>AQ490*(1-입력란!$P$10/100)</f>
        <v>26.675397141839998</v>
      </c>
      <c r="AK4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490" s="21">
        <f>입력란!$P$24+IF(입력란!$C$18=1,10,IF(입력란!$C$18=2,25,IF(입력란!$C$18=3,50,0)))+IF(입력란!$C$23&lt;&gt;0,-12)</f>
        <v>200</v>
      </c>
      <c r="AM490" s="21">
        <f>SUM(AN490:AP490)</f>
        <v>524821.98091438389</v>
      </c>
      <c r="AN490" s="21">
        <f>(VLOOKUP(C490,$B$4:$AJ$7,26,FALSE)+VLOOKUP(C490,$B$8:$AJ$11,26,FALSE)*입력란!$P$4)*입력란!$P$25/100</f>
        <v>484454.79697493906</v>
      </c>
      <c r="AO490" s="21">
        <f>(VLOOKUP(C490,$B$4:$AJ$7,27,FALSE)+VLOOKUP(C490,$B$8:$AJ$11,27,FALSE)*입력란!$P$4)*입력란!$P$25/100</f>
        <v>40367.183939444876</v>
      </c>
      <c r="AP490" s="21"/>
      <c r="AQ490" s="22">
        <v>27</v>
      </c>
    </row>
    <row r="491" spans="2:43" ht="13.5" customHeight="1" x14ac:dyDescent="0.55000000000000004">
      <c r="B491" s="66">
        <v>476</v>
      </c>
      <c r="C491" s="29">
        <v>1</v>
      </c>
      <c r="D491" s="49" t="s">
        <v>230</v>
      </c>
      <c r="E491" s="27" t="s">
        <v>231</v>
      </c>
      <c r="F491" s="29"/>
      <c r="G491" s="29" t="s">
        <v>374</v>
      </c>
      <c r="H491" s="37">
        <f>J491*2/(1+1/(K491/J491))</f>
        <v>66251.554834790702</v>
      </c>
      <c r="I491" s="37"/>
      <c r="J491" s="21">
        <f t="array" ref="J491">IFERROR(INDEX($H$16:$H$657,MATCH(1,(C491=$C$16:$C$657)*(D491=$D$16:$D$657)*(E491=$E$16:$E$657)*(""=$G$16:$G$657),0)),"에러")</f>
        <v>66251.554834790702</v>
      </c>
      <c r="K491" s="21">
        <f t="array" ref="K491">IFERROR(INDEX($H$16:$H$657,MATCH(1,(C491=$C$16:$C$657)*(D491=$D$16:$D$657)*(E491=$E$16:$E$657)*("생명50%이하"=$G$16:$G$657),0)),"에러")</f>
        <v>66251.554834790702</v>
      </c>
      <c r="L491" s="21"/>
      <c r="M491" s="21"/>
      <c r="N491" s="21"/>
      <c r="O491" s="21"/>
      <c r="P491" s="21"/>
      <c r="Q491" s="20"/>
      <c r="R491" s="19"/>
      <c r="S491" s="21"/>
      <c r="T491" s="21"/>
      <c r="U491" s="21"/>
      <c r="V491" s="21"/>
      <c r="W491" s="21"/>
      <c r="X491" s="21"/>
      <c r="Y491" s="21"/>
      <c r="Z491" s="20"/>
      <c r="AA491" s="21"/>
      <c r="AB491" s="21"/>
      <c r="AC491" s="21"/>
      <c r="AD491" s="21"/>
      <c r="AE491" s="21"/>
      <c r="AF491" s="21"/>
      <c r="AG491" s="21"/>
      <c r="AH491" s="21"/>
      <c r="AI491" s="20"/>
      <c r="AJ491" s="21"/>
      <c r="AK491" s="21"/>
      <c r="AL491" s="21"/>
      <c r="AM491" s="21"/>
      <c r="AN491" s="21"/>
      <c r="AO491" s="21"/>
      <c r="AP491" s="21"/>
      <c r="AQ491" s="22"/>
    </row>
    <row r="492" spans="2:43" ht="13.5" customHeight="1" x14ac:dyDescent="0.55000000000000004">
      <c r="B492" s="66">
        <v>477</v>
      </c>
      <c r="C492" s="29">
        <v>4</v>
      </c>
      <c r="D492" s="49" t="s">
        <v>230</v>
      </c>
      <c r="E492" s="27" t="s">
        <v>232</v>
      </c>
      <c r="F492" s="29"/>
      <c r="G492" s="29" t="s">
        <v>374</v>
      </c>
      <c r="H492" s="37">
        <f>J492*2/(1+1/(K492/J492))</f>
        <v>66339.749548701511</v>
      </c>
      <c r="I492" s="37"/>
      <c r="J492" s="21">
        <f t="array" ref="J492">IFERROR(INDEX($H$16:$H$657,MATCH(1,(C492=$C$16:$C$657)*(D492=$D$16:$D$657)*(E492=$E$16:$E$657)*(""=$G$16:$G$657),0)),"에러")</f>
        <v>66339.749548701511</v>
      </c>
      <c r="K492" s="21">
        <f t="array" ref="K492">IFERROR(INDEX($H$16:$H$657,MATCH(1,(C492=$C$16:$C$657)*(D492=$D$16:$D$657)*(E492=$E$16:$E$657)*("생명50%이하"=$G$16:$G$657),0)),"에러")</f>
        <v>66339.749548701511</v>
      </c>
      <c r="L492" s="21"/>
      <c r="M492" s="21"/>
      <c r="N492" s="21"/>
      <c r="O492" s="21"/>
      <c r="P492" s="21"/>
      <c r="Q492" s="20"/>
      <c r="R492" s="19"/>
      <c r="S492" s="21"/>
      <c r="T492" s="21"/>
      <c r="U492" s="21"/>
      <c r="V492" s="21"/>
      <c r="W492" s="21"/>
      <c r="X492" s="21"/>
      <c r="Y492" s="21"/>
      <c r="Z492" s="20"/>
      <c r="AA492" s="21"/>
      <c r="AB492" s="21"/>
      <c r="AC492" s="21"/>
      <c r="AD492" s="21"/>
      <c r="AE492" s="21"/>
      <c r="AF492" s="21"/>
      <c r="AG492" s="21"/>
      <c r="AH492" s="21"/>
      <c r="AI492" s="20"/>
      <c r="AJ492" s="21"/>
      <c r="AK492" s="21"/>
      <c r="AL492" s="21"/>
      <c r="AM492" s="21"/>
      <c r="AN492" s="21"/>
      <c r="AO492" s="21"/>
      <c r="AP492" s="21"/>
      <c r="AQ492" s="22"/>
    </row>
    <row r="493" spans="2:43" ht="13.5" customHeight="1" x14ac:dyDescent="0.55000000000000004">
      <c r="B493" s="66">
        <v>478</v>
      </c>
      <c r="C493" s="29">
        <v>4</v>
      </c>
      <c r="D493" s="49" t="s">
        <v>230</v>
      </c>
      <c r="E493" s="27" t="s">
        <v>236</v>
      </c>
      <c r="F493" s="29"/>
      <c r="G493" s="29" t="s">
        <v>374</v>
      </c>
      <c r="H493" s="37">
        <f>J493*2/(1+1/(K493/J493))</f>
        <v>79607.699458441799</v>
      </c>
      <c r="I493" s="37"/>
      <c r="J493" s="21">
        <f t="array" ref="J493">IFERROR(INDEX($H$16:$H$657,MATCH(1,(C493=$C$16:$C$657)*(D493=$D$16:$D$657)*(E493=$E$16:$E$657)*(""=$G$16:$G$657),0)),"에러")</f>
        <v>79607.699458441799</v>
      </c>
      <c r="K493" s="21">
        <f t="array" ref="K493">IFERROR(INDEX($H$16:$H$657,MATCH(1,(C493=$C$16:$C$657)*(D493=$D$16:$D$657)*(E493=$E$16:$E$657)*("생명50%이하"=$G$16:$G$657),0)),"에러")</f>
        <v>79607.699458441799</v>
      </c>
      <c r="L493" s="21"/>
      <c r="M493" s="21"/>
      <c r="N493" s="21"/>
      <c r="O493" s="21"/>
      <c r="P493" s="21"/>
      <c r="Q493" s="20"/>
      <c r="R493" s="19"/>
      <c r="S493" s="21"/>
      <c r="T493" s="21"/>
      <c r="U493" s="21"/>
      <c r="V493" s="21"/>
      <c r="W493" s="21"/>
      <c r="X493" s="21"/>
      <c r="Y493" s="21"/>
      <c r="Z493" s="20"/>
      <c r="AA493" s="21"/>
      <c r="AB493" s="21"/>
      <c r="AC493" s="21"/>
      <c r="AD493" s="21"/>
      <c r="AE493" s="21"/>
      <c r="AF493" s="21"/>
      <c r="AG493" s="21"/>
      <c r="AH493" s="21"/>
      <c r="AI493" s="20"/>
      <c r="AJ493" s="21"/>
      <c r="AK493" s="21"/>
      <c r="AL493" s="21"/>
      <c r="AM493" s="21"/>
      <c r="AN493" s="21"/>
      <c r="AO493" s="21"/>
      <c r="AP493" s="21"/>
      <c r="AQ493" s="22"/>
    </row>
    <row r="494" spans="2:43" ht="13.5" customHeight="1" x14ac:dyDescent="0.55000000000000004">
      <c r="B494" s="66">
        <v>479</v>
      </c>
      <c r="C494" s="29">
        <v>7</v>
      </c>
      <c r="D494" s="49" t="s">
        <v>230</v>
      </c>
      <c r="E494" s="27" t="s">
        <v>232</v>
      </c>
      <c r="F494" s="29"/>
      <c r="G494" s="29" t="s">
        <v>374</v>
      </c>
      <c r="H494" s="37">
        <f>J494*2/(1+1/(K494/J494))</f>
        <v>66380.864089191513</v>
      </c>
      <c r="I494" s="37"/>
      <c r="J494" s="21">
        <f t="array" ref="J494">IFERROR(INDEX($H$16:$H$657,MATCH(1,(C494=$C$16:$C$657)*(D494=$D$16:$D$657)*(E494=$E$16:$E$657)*(""=$G$16:$G$657),0)),"에러")</f>
        <v>66380.864089191513</v>
      </c>
      <c r="K494" s="21">
        <f t="array" ref="K494">IFERROR(INDEX($H$16:$H$657,MATCH(1,(C494=$C$16:$C$657)*(D494=$D$16:$D$657)*(E494=$E$16:$E$657)*("생명50%이하"=$G$16:$G$657),0)),"에러")</f>
        <v>66380.864089191513</v>
      </c>
      <c r="L494" s="21"/>
      <c r="M494" s="21"/>
      <c r="N494" s="21"/>
      <c r="O494" s="21"/>
      <c r="P494" s="21"/>
      <c r="Q494" s="20"/>
      <c r="R494" s="19"/>
      <c r="S494" s="21"/>
      <c r="T494" s="21"/>
      <c r="U494" s="21"/>
      <c r="V494" s="21"/>
      <c r="W494" s="21"/>
      <c r="X494" s="21"/>
      <c r="Y494" s="21"/>
      <c r="Z494" s="20"/>
      <c r="AA494" s="21"/>
      <c r="AB494" s="21"/>
      <c r="AC494" s="21"/>
      <c r="AD494" s="21"/>
      <c r="AE494" s="21"/>
      <c r="AF494" s="21"/>
      <c r="AG494" s="21"/>
      <c r="AH494" s="21"/>
      <c r="AI494" s="20"/>
      <c r="AJ494" s="21"/>
      <c r="AK494" s="21"/>
      <c r="AL494" s="21"/>
      <c r="AM494" s="21"/>
      <c r="AN494" s="21"/>
      <c r="AO494" s="21"/>
      <c r="AP494" s="21"/>
      <c r="AQ494" s="22"/>
    </row>
    <row r="495" spans="2:43" ht="13.5" customHeight="1" x14ac:dyDescent="0.55000000000000004">
      <c r="B495" s="66">
        <v>480</v>
      </c>
      <c r="C495" s="29">
        <v>7</v>
      </c>
      <c r="D495" s="49" t="s">
        <v>230</v>
      </c>
      <c r="E495" s="27" t="s">
        <v>234</v>
      </c>
      <c r="F495" s="29"/>
      <c r="G495" s="29" t="s">
        <v>374</v>
      </c>
      <c r="H495" s="37">
        <f>J495*2/(1+1/(K495/J495))</f>
        <v>79657.325262595681</v>
      </c>
      <c r="I495" s="37"/>
      <c r="J495" s="21">
        <f t="array" ref="J495">IFERROR(INDEX($H$16:$H$657,MATCH(1,(C495=$C$16:$C$657)*(D495=$D$16:$D$657)*(E495=$E$16:$E$657)*(""=$G$16:$G$657),0)),"에러")</f>
        <v>79657.325262595681</v>
      </c>
      <c r="K495" s="21">
        <f t="array" ref="K495">IFERROR(INDEX($H$16:$H$657,MATCH(1,(C495=$C$16:$C$657)*(D495=$D$16:$D$657)*(E495=$E$16:$E$657)*("생명50%이하"=$G$16:$G$657),0)),"에러")</f>
        <v>79657.325262595681</v>
      </c>
      <c r="L495" s="21"/>
      <c r="M495" s="21"/>
      <c r="N495" s="21"/>
      <c r="O495" s="21"/>
      <c r="P495" s="21"/>
      <c r="Q495" s="20"/>
      <c r="R495" s="19"/>
      <c r="S495" s="21"/>
      <c r="T495" s="21"/>
      <c r="U495" s="21"/>
      <c r="V495" s="21"/>
      <c r="W495" s="21"/>
      <c r="X495" s="21"/>
      <c r="Y495" s="21"/>
      <c r="Z495" s="20"/>
      <c r="AA495" s="21"/>
      <c r="AB495" s="21"/>
      <c r="AC495" s="21"/>
      <c r="AD495" s="21"/>
      <c r="AE495" s="21"/>
      <c r="AF495" s="21"/>
      <c r="AG495" s="21"/>
      <c r="AH495" s="21"/>
      <c r="AI495" s="20"/>
      <c r="AJ495" s="21"/>
      <c r="AK495" s="21"/>
      <c r="AL495" s="21"/>
      <c r="AM495" s="21"/>
      <c r="AN495" s="21"/>
      <c r="AO495" s="21"/>
      <c r="AP495" s="21"/>
      <c r="AQ495" s="22"/>
    </row>
    <row r="496" spans="2:43" ht="13.5" customHeight="1" x14ac:dyDescent="0.55000000000000004">
      <c r="B496" s="66">
        <v>481</v>
      </c>
      <c r="C496" s="29">
        <v>7</v>
      </c>
      <c r="D496" s="49" t="s">
        <v>230</v>
      </c>
      <c r="E496" s="27" t="s">
        <v>235</v>
      </c>
      <c r="F496" s="29"/>
      <c r="G496" s="29" t="s">
        <v>374</v>
      </c>
      <c r="H496" s="37">
        <f>J496*2/(1+1/(K496/J496))</f>
        <v>79228.998310164345</v>
      </c>
      <c r="I496" s="37"/>
      <c r="J496" s="21">
        <f t="array" ref="J496">IFERROR(INDEX($H$16:$H$657,MATCH(1,(C496=$C$16:$C$657)*(D496=$D$16:$D$657)*(E496=$E$16:$E$657)*(""=$G$16:$G$657),0)),"에러")</f>
        <v>66380.864089191513</v>
      </c>
      <c r="K496" s="21">
        <f t="array" ref="K496">IFERROR(INDEX($H$16:$H$657,MATCH(1,(C496=$C$16:$C$657)*(D496=$D$16:$D$657)*(E496=$E$16:$E$657)*("생명50%이하"=$G$16:$G$657),0)),"에러")</f>
        <v>98244.37090536156</v>
      </c>
      <c r="L496" s="21"/>
      <c r="M496" s="21"/>
      <c r="N496" s="21"/>
      <c r="O496" s="21"/>
      <c r="P496" s="21"/>
      <c r="Q496" s="20"/>
      <c r="R496" s="19"/>
      <c r="S496" s="21"/>
      <c r="T496" s="21"/>
      <c r="U496" s="21"/>
      <c r="V496" s="21"/>
      <c r="W496" s="21"/>
      <c r="X496" s="21"/>
      <c r="Y496" s="21"/>
      <c r="Z496" s="20"/>
      <c r="AA496" s="21"/>
      <c r="AB496" s="21"/>
      <c r="AC496" s="21"/>
      <c r="AD496" s="21"/>
      <c r="AE496" s="21"/>
      <c r="AF496" s="21"/>
      <c r="AG496" s="21"/>
      <c r="AH496" s="21"/>
      <c r="AI496" s="20"/>
      <c r="AJ496" s="21"/>
      <c r="AK496" s="21"/>
      <c r="AL496" s="21"/>
      <c r="AM496" s="21"/>
      <c r="AN496" s="21"/>
      <c r="AO496" s="21"/>
      <c r="AP496" s="21"/>
      <c r="AQ496" s="22"/>
    </row>
    <row r="497" spans="2:43" ht="13.5" customHeight="1" x14ac:dyDescent="0.55000000000000004">
      <c r="B497" s="66">
        <v>482</v>
      </c>
      <c r="C497" s="29">
        <v>7</v>
      </c>
      <c r="D497" s="49" t="s">
        <v>230</v>
      </c>
      <c r="E497" s="27" t="s">
        <v>237</v>
      </c>
      <c r="F497" s="29"/>
      <c r="G497" s="29" t="s">
        <v>374</v>
      </c>
      <c r="H497" s="37">
        <f>J497*2/(1+1/(K497/J497))</f>
        <v>92933.498080433987</v>
      </c>
      <c r="I497" s="37"/>
      <c r="J497" s="21">
        <f t="array" ref="J497">IFERROR(INDEX($H$16:$H$657,MATCH(1,(C497=$C$16:$C$657)*(D497=$D$16:$D$657)*(E497=$E$16:$E$657)*(""=$G$16:$G$657),0)),"에러")</f>
        <v>92933.498080433987</v>
      </c>
      <c r="K497" s="21">
        <f t="array" ref="K497">IFERROR(INDEX($H$16:$H$657,MATCH(1,(C497=$C$16:$C$657)*(D497=$D$16:$D$657)*(E497=$E$16:$E$657)*("생명50%이하"=$G$16:$G$657),0)),"에러")</f>
        <v>92933.498080433987</v>
      </c>
      <c r="L497" s="21"/>
      <c r="M497" s="21"/>
      <c r="N497" s="21"/>
      <c r="O497" s="21"/>
      <c r="P497" s="21"/>
      <c r="Q497" s="20"/>
      <c r="R497" s="19"/>
      <c r="S497" s="21"/>
      <c r="T497" s="21"/>
      <c r="U497" s="21"/>
      <c r="V497" s="21"/>
      <c r="W497" s="21"/>
      <c r="X497" s="21"/>
      <c r="Y497" s="21"/>
      <c r="Z497" s="20"/>
      <c r="AA497" s="21"/>
      <c r="AB497" s="21"/>
      <c r="AC497" s="21"/>
      <c r="AD497" s="21"/>
      <c r="AE497" s="21"/>
      <c r="AF497" s="21"/>
      <c r="AG497" s="21"/>
      <c r="AH497" s="21"/>
      <c r="AI497" s="20"/>
      <c r="AJ497" s="21"/>
      <c r="AK497" s="21"/>
      <c r="AL497" s="21"/>
      <c r="AM497" s="21"/>
      <c r="AN497" s="21"/>
      <c r="AO497" s="21"/>
      <c r="AP497" s="21"/>
      <c r="AQ497" s="22"/>
    </row>
    <row r="498" spans="2:43" ht="13.5" customHeight="1" x14ac:dyDescent="0.55000000000000004">
      <c r="B498" s="66">
        <v>483</v>
      </c>
      <c r="C498" s="29">
        <v>7</v>
      </c>
      <c r="D498" s="49" t="s">
        <v>230</v>
      </c>
      <c r="E498" s="27" t="s">
        <v>238</v>
      </c>
      <c r="F498" s="29"/>
      <c r="G498" s="29" t="s">
        <v>374</v>
      </c>
      <c r="H498" s="37">
        <f>J498*2/(1+1/(K498/J498))</f>
        <v>92933.450020303149</v>
      </c>
      <c r="I498" s="37"/>
      <c r="J498" s="21">
        <f t="array" ref="J498">IFERROR(INDEX($H$16:$H$657,MATCH(1,(C498=$C$16:$C$657)*(D498=$D$16:$D$657)*(E498=$E$16:$E$657)*(""=$G$16:$G$657),0)),"에러")</f>
        <v>79657.036907029789</v>
      </c>
      <c r="K498" s="21">
        <f t="array" ref="K498">IFERROR(INDEX($H$16:$H$657,MATCH(1,(C498=$C$16:$C$657)*(D498=$D$16:$D$657)*(E498=$E$16:$E$657)*("생명50%이하"=$G$16:$G$657),0)),"에러")</f>
        <v>111520.54372319985</v>
      </c>
      <c r="L498" s="21"/>
      <c r="M498" s="21"/>
      <c r="N498" s="21"/>
      <c r="O498" s="21"/>
      <c r="P498" s="21"/>
      <c r="Q498" s="20"/>
      <c r="R498" s="19"/>
      <c r="S498" s="21"/>
      <c r="T498" s="21"/>
      <c r="U498" s="21"/>
      <c r="V498" s="21"/>
      <c r="W498" s="21"/>
      <c r="X498" s="21"/>
      <c r="Y498" s="21"/>
      <c r="Z498" s="20"/>
      <c r="AA498" s="21"/>
      <c r="AB498" s="21"/>
      <c r="AC498" s="21"/>
      <c r="AD498" s="21"/>
      <c r="AE498" s="21"/>
      <c r="AF498" s="21"/>
      <c r="AG498" s="21"/>
      <c r="AH498" s="21"/>
      <c r="AI498" s="20"/>
      <c r="AJ498" s="21"/>
      <c r="AK498" s="21"/>
      <c r="AL498" s="21"/>
      <c r="AM498" s="21"/>
      <c r="AN498" s="21"/>
      <c r="AO498" s="21"/>
      <c r="AP498" s="21"/>
      <c r="AQ498" s="22"/>
    </row>
    <row r="499" spans="2:43" ht="13.5" customHeight="1" x14ac:dyDescent="0.55000000000000004">
      <c r="B499" s="66">
        <v>484</v>
      </c>
      <c r="C499" s="29">
        <v>10</v>
      </c>
      <c r="D499" s="49" t="s">
        <v>230</v>
      </c>
      <c r="E499" s="27" t="s">
        <v>232</v>
      </c>
      <c r="F499" s="29"/>
      <c r="G499" s="29" t="s">
        <v>374</v>
      </c>
      <c r="H499" s="37">
        <f>J499*2/(1+1/(K499/J499))</f>
        <v>66406.744408523693</v>
      </c>
      <c r="I499" s="37"/>
      <c r="J499" s="21">
        <f t="array" ref="J499">IFERROR(INDEX($H$16:$H$657,MATCH(1,(C499=$C$16:$C$657)*(D499=$D$16:$D$657)*(E499=$E$16:$E$657)*(""=$G$16:$G$657),0)),"에러")</f>
        <v>66406.744408523693</v>
      </c>
      <c r="K499" s="21">
        <f t="array" ref="K499">IFERROR(INDEX($H$16:$H$657,MATCH(1,(C499=$C$16:$C$657)*(D499=$D$16:$D$657)*(E499=$E$16:$E$657)*("생명50%이하"=$G$16:$G$657),0)),"에러")</f>
        <v>66406.744408523693</v>
      </c>
      <c r="L499" s="21"/>
      <c r="M499" s="21"/>
      <c r="N499" s="21"/>
      <c r="O499" s="21"/>
      <c r="P499" s="21"/>
      <c r="Q499" s="20"/>
      <c r="R499" s="19"/>
      <c r="S499" s="21"/>
      <c r="T499" s="21"/>
      <c r="U499" s="21"/>
      <c r="V499" s="21"/>
      <c r="W499" s="21"/>
      <c r="X499" s="21"/>
      <c r="Y499" s="21"/>
      <c r="Z499" s="20"/>
      <c r="AA499" s="21"/>
      <c r="AB499" s="21"/>
      <c r="AC499" s="21"/>
      <c r="AD499" s="21"/>
      <c r="AE499" s="21"/>
      <c r="AF499" s="21"/>
      <c r="AG499" s="21"/>
      <c r="AH499" s="21"/>
      <c r="AI499" s="20"/>
      <c r="AJ499" s="21"/>
      <c r="AK499" s="21"/>
      <c r="AL499" s="21"/>
      <c r="AM499" s="21"/>
      <c r="AN499" s="21"/>
      <c r="AO499" s="21"/>
      <c r="AP499" s="21"/>
      <c r="AQ499" s="22"/>
    </row>
    <row r="500" spans="2:43" ht="13.5" customHeight="1" x14ac:dyDescent="0.55000000000000004">
      <c r="B500" s="66">
        <v>485</v>
      </c>
      <c r="C500" s="29">
        <v>10</v>
      </c>
      <c r="D500" s="49" t="s">
        <v>230</v>
      </c>
      <c r="E500" s="27" t="s">
        <v>239</v>
      </c>
      <c r="F500" s="29"/>
      <c r="G500" s="29" t="s">
        <v>374</v>
      </c>
      <c r="H500" s="37">
        <f>J500*2/(1+1/(K500/J500))</f>
        <v>92967.310787198134</v>
      </c>
      <c r="I500" s="37"/>
      <c r="J500" s="21">
        <f t="array" ref="J500">IFERROR(INDEX($H$16:$H$657,MATCH(1,(C500=$C$16:$C$657)*(D500=$D$16:$D$657)*(E500=$E$16:$E$657)*(""=$G$16:$G$657),0)),"에러")</f>
        <v>92967.310787198134</v>
      </c>
      <c r="K500" s="21">
        <f t="array" ref="K500">IFERROR(INDEX($H$16:$H$657,MATCH(1,(C500=$C$16:$C$657)*(D500=$D$16:$D$657)*(E500=$E$16:$E$657)*("생명50%이하"=$G$16:$G$657),0)),"에러")</f>
        <v>92967.310787198134</v>
      </c>
      <c r="L500" s="21"/>
      <c r="M500" s="21"/>
      <c r="N500" s="21"/>
      <c r="O500" s="21"/>
      <c r="P500" s="21"/>
      <c r="Q500" s="20"/>
      <c r="R500" s="19"/>
      <c r="S500" s="21"/>
      <c r="T500" s="21"/>
      <c r="U500" s="21"/>
      <c r="V500" s="21"/>
      <c r="W500" s="21"/>
      <c r="X500" s="21"/>
      <c r="Y500" s="21"/>
      <c r="Z500" s="20"/>
      <c r="AA500" s="21"/>
      <c r="AB500" s="21"/>
      <c r="AC500" s="21"/>
      <c r="AD500" s="21"/>
      <c r="AE500" s="21"/>
      <c r="AF500" s="21"/>
      <c r="AG500" s="21"/>
      <c r="AH500" s="21"/>
      <c r="AI500" s="20"/>
      <c r="AJ500" s="21"/>
      <c r="AK500" s="21"/>
      <c r="AL500" s="21"/>
      <c r="AM500" s="21"/>
      <c r="AN500" s="21"/>
      <c r="AO500" s="21"/>
      <c r="AP500" s="21"/>
      <c r="AQ500" s="22"/>
    </row>
    <row r="501" spans="2:43" ht="13.5" customHeight="1" x14ac:dyDescent="0.55000000000000004">
      <c r="B501" s="66">
        <v>486</v>
      </c>
      <c r="C501" s="29">
        <v>10</v>
      </c>
      <c r="D501" s="49" t="s">
        <v>230</v>
      </c>
      <c r="E501" s="27" t="s">
        <v>240</v>
      </c>
      <c r="F501" s="29"/>
      <c r="G501" s="29" t="s">
        <v>374</v>
      </c>
      <c r="H501" s="37">
        <f>J501*2/(1+1/(K501/J501))</f>
        <v>82344.682774279659</v>
      </c>
      <c r="I501" s="37"/>
      <c r="J501" s="21">
        <f t="array" ref="J501">IFERROR(INDEX($H$16:$H$657,MATCH(1,(C501=$C$16:$C$657)*(D501=$D$16:$D$657)*(E501=$E$16:$E$657)*(""=$G$16:$G$657),0)),"에러")</f>
        <v>82344.682774279659</v>
      </c>
      <c r="K501" s="21">
        <f t="array" ref="K501">IFERROR(INDEX($H$16:$H$657,MATCH(1,(C501=$C$16:$C$657)*(D501=$D$16:$D$657)*(E501=$E$16:$E$657)*("생명50%이하"=$G$16:$G$657),0)),"에러")</f>
        <v>82344.682774279659</v>
      </c>
      <c r="L501" s="21"/>
      <c r="M501" s="21"/>
      <c r="N501" s="21"/>
      <c r="O501" s="21"/>
      <c r="P501" s="21"/>
      <c r="Q501" s="20"/>
      <c r="R501" s="19"/>
      <c r="S501" s="21"/>
      <c r="T501" s="21"/>
      <c r="U501" s="21"/>
      <c r="V501" s="21"/>
      <c r="W501" s="21"/>
      <c r="X501" s="21"/>
      <c r="Y501" s="21"/>
      <c r="Z501" s="20"/>
      <c r="AA501" s="21"/>
      <c r="AB501" s="21"/>
      <c r="AC501" s="21"/>
      <c r="AD501" s="21"/>
      <c r="AE501" s="21"/>
      <c r="AF501" s="21"/>
      <c r="AG501" s="21"/>
      <c r="AH501" s="21"/>
      <c r="AI501" s="20"/>
      <c r="AJ501" s="21"/>
      <c r="AK501" s="21"/>
      <c r="AL501" s="21"/>
      <c r="AM501" s="21"/>
      <c r="AN501" s="21"/>
      <c r="AO501" s="21"/>
      <c r="AP501" s="21"/>
      <c r="AQ501" s="22"/>
    </row>
    <row r="502" spans="2:43" ht="13.5" customHeight="1" x14ac:dyDescent="0.55000000000000004">
      <c r="B502" s="66">
        <v>487</v>
      </c>
      <c r="C502" s="29">
        <v>10</v>
      </c>
      <c r="D502" s="49" t="s">
        <v>230</v>
      </c>
      <c r="E502" s="27" t="s">
        <v>241</v>
      </c>
      <c r="F502" s="29"/>
      <c r="G502" s="29" t="s">
        <v>374</v>
      </c>
      <c r="H502" s="37">
        <f>J502*2/(1+1/(K502/J502))</f>
        <v>106248.65966890287</v>
      </c>
      <c r="I502" s="37"/>
      <c r="J502" s="21">
        <f t="array" ref="J502">IFERROR(INDEX($H$16:$H$657,MATCH(1,(C502=$C$16:$C$657)*(D502=$D$16:$D$657)*(E502=$E$16:$E$657)*(""=$G$16:$G$657),0)),"에러")</f>
        <v>106248.65966890287</v>
      </c>
      <c r="K502" s="21">
        <f t="array" ref="K502">IFERROR(INDEX($H$16:$H$657,MATCH(1,(C502=$C$16:$C$657)*(D502=$D$16:$D$657)*(E502=$E$16:$E$657)*("생명50%이하"=$G$16:$G$657),0)),"에러")</f>
        <v>106248.65966890287</v>
      </c>
      <c r="L502" s="21"/>
      <c r="M502" s="21"/>
      <c r="N502" s="21"/>
      <c r="O502" s="21"/>
      <c r="P502" s="21"/>
      <c r="Q502" s="20"/>
      <c r="R502" s="19"/>
      <c r="S502" s="21"/>
      <c r="T502" s="21"/>
      <c r="U502" s="21"/>
      <c r="V502" s="21"/>
      <c r="W502" s="21"/>
      <c r="X502" s="21"/>
      <c r="Y502" s="21"/>
      <c r="Z502" s="20"/>
      <c r="AA502" s="21"/>
      <c r="AB502" s="21"/>
      <c r="AC502" s="21"/>
      <c r="AD502" s="21"/>
      <c r="AE502" s="21"/>
      <c r="AF502" s="21"/>
      <c r="AG502" s="21"/>
      <c r="AH502" s="21"/>
      <c r="AI502" s="20"/>
      <c r="AJ502" s="21"/>
      <c r="AK502" s="21"/>
      <c r="AL502" s="21"/>
      <c r="AM502" s="21"/>
      <c r="AN502" s="21"/>
      <c r="AO502" s="21"/>
      <c r="AP502" s="21"/>
      <c r="AQ502" s="22"/>
    </row>
    <row r="503" spans="2:43" ht="13.5" customHeight="1" x14ac:dyDescent="0.55000000000000004">
      <c r="B503" s="66">
        <v>488</v>
      </c>
      <c r="C503" s="29">
        <v>10</v>
      </c>
      <c r="D503" s="49" t="s">
        <v>230</v>
      </c>
      <c r="E503" s="27" t="s">
        <v>242</v>
      </c>
      <c r="F503" s="29"/>
      <c r="G503" s="29" t="s">
        <v>374</v>
      </c>
      <c r="H503" s="37">
        <f>J503*2/(1+1/(K503/J503))</f>
        <v>95626.031655984378</v>
      </c>
      <c r="I503" s="37"/>
      <c r="J503" s="21">
        <f t="array" ref="J503">IFERROR(INDEX($H$16:$H$657,MATCH(1,(C503=$C$16:$C$657)*(D503=$D$16:$D$657)*(E503=$E$16:$E$657)*(""=$G$16:$G$657),0)),"에러")</f>
        <v>95626.031655984378</v>
      </c>
      <c r="K503" s="21">
        <f t="array" ref="K503">IFERROR(INDEX($H$16:$H$657,MATCH(1,(C503=$C$16:$C$657)*(D503=$D$16:$D$657)*(E503=$E$16:$E$657)*("생명50%이하"=$G$16:$G$657),0)),"에러")</f>
        <v>95626.031655984378</v>
      </c>
      <c r="L503" s="21"/>
      <c r="M503" s="21"/>
      <c r="N503" s="21"/>
      <c r="O503" s="21"/>
      <c r="P503" s="21"/>
      <c r="Q503" s="20"/>
      <c r="R503" s="19"/>
      <c r="S503" s="21"/>
      <c r="T503" s="21"/>
      <c r="U503" s="21"/>
      <c r="V503" s="21"/>
      <c r="W503" s="21"/>
      <c r="X503" s="21"/>
      <c r="Y503" s="21"/>
      <c r="Z503" s="20"/>
      <c r="AA503" s="21"/>
      <c r="AB503" s="21"/>
      <c r="AC503" s="21"/>
      <c r="AD503" s="21"/>
      <c r="AE503" s="21"/>
      <c r="AF503" s="21"/>
      <c r="AG503" s="21"/>
      <c r="AH503" s="21"/>
      <c r="AI503" s="20"/>
      <c r="AJ503" s="21"/>
      <c r="AK503" s="21"/>
      <c r="AL503" s="21"/>
      <c r="AM503" s="21"/>
      <c r="AN503" s="21"/>
      <c r="AO503" s="21"/>
      <c r="AP503" s="21"/>
      <c r="AQ503" s="22"/>
    </row>
    <row r="504" spans="2:43" ht="13.5" customHeight="1" x14ac:dyDescent="0.55000000000000004">
      <c r="B504" s="66">
        <v>489</v>
      </c>
      <c r="C504" s="29">
        <v>10</v>
      </c>
      <c r="D504" s="49" t="s">
        <v>230</v>
      </c>
      <c r="E504" s="27" t="s">
        <v>243</v>
      </c>
      <c r="F504" s="29"/>
      <c r="G504" s="29" t="s">
        <v>374</v>
      </c>
      <c r="H504" s="37">
        <f>J504*2/(1+1/(K504/J504))</f>
        <v>119530.27497369949</v>
      </c>
      <c r="I504" s="37"/>
      <c r="J504" s="21">
        <f t="array" ref="J504">IFERROR(INDEX($H$16:$H$657,MATCH(1,(C504=$C$16:$C$657)*(D504=$D$16:$D$657)*(E504=$E$16:$E$657)*(""=$G$16:$G$657),0)),"에러")</f>
        <v>119530.27497369949</v>
      </c>
      <c r="K504" s="21">
        <f t="array" ref="K504">IFERROR(INDEX($H$16:$H$657,MATCH(1,(C504=$C$16:$C$657)*(D504=$D$16:$D$657)*(E504=$E$16:$E$657)*("생명50%이하"=$G$16:$G$657),0)),"에러")</f>
        <v>119530.27497369949</v>
      </c>
      <c r="L504" s="21"/>
      <c r="M504" s="21"/>
      <c r="N504" s="21"/>
      <c r="O504" s="21"/>
      <c r="P504" s="21"/>
      <c r="Q504" s="20"/>
      <c r="R504" s="19"/>
      <c r="S504" s="21"/>
      <c r="T504" s="21"/>
      <c r="U504" s="21"/>
      <c r="V504" s="21"/>
      <c r="W504" s="21"/>
      <c r="X504" s="21"/>
      <c r="Y504" s="21"/>
      <c r="Z504" s="20"/>
      <c r="AA504" s="21"/>
      <c r="AB504" s="21"/>
      <c r="AC504" s="21"/>
      <c r="AD504" s="21"/>
      <c r="AE504" s="21"/>
      <c r="AF504" s="21"/>
      <c r="AG504" s="21"/>
      <c r="AH504" s="21"/>
      <c r="AI504" s="20"/>
      <c r="AJ504" s="21"/>
      <c r="AK504" s="21"/>
      <c r="AL504" s="21"/>
      <c r="AM504" s="21"/>
      <c r="AN504" s="21"/>
      <c r="AO504" s="21"/>
      <c r="AP504" s="21"/>
      <c r="AQ504" s="22"/>
    </row>
    <row r="505" spans="2:43" ht="13.5" customHeight="1" x14ac:dyDescent="0.55000000000000004">
      <c r="B505" s="66">
        <v>490</v>
      </c>
      <c r="C505" s="29">
        <v>10</v>
      </c>
      <c r="D505" s="49" t="s">
        <v>230</v>
      </c>
      <c r="E505" s="27" t="s">
        <v>244</v>
      </c>
      <c r="F505" s="29"/>
      <c r="G505" s="29" t="s">
        <v>374</v>
      </c>
      <c r="H505" s="37">
        <f>J505*2/(1+1/(K505/J505))</f>
        <v>112892.13155222</v>
      </c>
      <c r="I505" s="37"/>
      <c r="J505" s="21">
        <f t="array" ref="J505">IFERROR(INDEX($H$16:$H$657,MATCH(1,(C505=$C$16:$C$657)*(D505=$D$16:$D$657)*(E505=$E$16:$E$657)*(""=$G$16:$G$657),0)),"에러")</f>
        <v>112892.13155222</v>
      </c>
      <c r="K505" s="21">
        <f t="array" ref="K505">IFERROR(INDEX($H$16:$H$657,MATCH(1,(C505=$C$16:$C$657)*(D505=$D$16:$D$657)*(E505=$E$16:$E$657)*("생명50%이하"=$G$16:$G$657),0)),"에러")</f>
        <v>112892.13155222</v>
      </c>
      <c r="L505" s="21"/>
      <c r="M505" s="21"/>
      <c r="N505" s="21"/>
      <c r="O505" s="21"/>
      <c r="P505" s="21"/>
      <c r="Q505" s="20"/>
      <c r="R505" s="19"/>
      <c r="S505" s="21"/>
      <c r="T505" s="21"/>
      <c r="U505" s="21"/>
      <c r="V505" s="21"/>
      <c r="W505" s="21"/>
      <c r="X505" s="21"/>
      <c r="Y505" s="21"/>
      <c r="Z505" s="20"/>
      <c r="AA505" s="21"/>
      <c r="AB505" s="21"/>
      <c r="AC505" s="21"/>
      <c r="AD505" s="21"/>
      <c r="AE505" s="21"/>
      <c r="AF505" s="21"/>
      <c r="AG505" s="21"/>
      <c r="AH505" s="21"/>
      <c r="AI505" s="20"/>
      <c r="AJ505" s="21"/>
      <c r="AK505" s="21"/>
      <c r="AL505" s="21"/>
      <c r="AM505" s="21"/>
      <c r="AN505" s="21"/>
      <c r="AO505" s="21"/>
      <c r="AP505" s="21"/>
      <c r="AQ505" s="22"/>
    </row>
    <row r="506" spans="2:43" ht="13.5" customHeight="1" x14ac:dyDescent="0.55000000000000004">
      <c r="B506" s="66">
        <v>491</v>
      </c>
      <c r="C506" s="29">
        <v>10</v>
      </c>
      <c r="D506" s="49" t="s">
        <v>230</v>
      </c>
      <c r="E506" s="27" t="s">
        <v>245</v>
      </c>
      <c r="F506" s="29"/>
      <c r="G506" s="29" t="s">
        <v>374</v>
      </c>
      <c r="H506" s="37">
        <f>J506*2/(1+1/(K506/J506))</f>
        <v>120107.66398267235</v>
      </c>
      <c r="I506" s="37"/>
      <c r="J506" s="21">
        <f t="array" ref="J506">IFERROR(INDEX($H$16:$H$657,MATCH(1,(C506=$C$16:$C$657)*(D506=$D$16:$D$657)*(E506=$E$16:$E$657)*(""=$G$16:$G$657),0)),"에러")</f>
        <v>106248.65966890287</v>
      </c>
      <c r="K506" s="21">
        <f t="array" ref="K506">IFERROR(INDEX($H$16:$H$657,MATCH(1,(C506=$C$16:$C$657)*(D506=$D$16:$D$657)*(E506=$E$16:$E$657)*("생명50%이하"=$G$16:$G$657),0)),"에러")</f>
        <v>138124.53640041477</v>
      </c>
      <c r="L506" s="21"/>
      <c r="M506" s="21"/>
      <c r="N506" s="21"/>
      <c r="O506" s="21"/>
      <c r="P506" s="21"/>
      <c r="Q506" s="20"/>
      <c r="R506" s="19"/>
      <c r="S506" s="21"/>
      <c r="T506" s="21"/>
      <c r="U506" s="21"/>
      <c r="V506" s="21"/>
      <c r="W506" s="21"/>
      <c r="X506" s="21"/>
      <c r="Y506" s="21"/>
      <c r="Z506" s="20"/>
      <c r="AA506" s="21"/>
      <c r="AB506" s="21"/>
      <c r="AC506" s="21"/>
      <c r="AD506" s="21"/>
      <c r="AE506" s="21"/>
      <c r="AF506" s="21"/>
      <c r="AG506" s="21"/>
      <c r="AH506" s="21"/>
      <c r="AI506" s="20"/>
      <c r="AJ506" s="21"/>
      <c r="AK506" s="21"/>
      <c r="AL506" s="21"/>
      <c r="AM506" s="21"/>
      <c r="AN506" s="21"/>
      <c r="AO506" s="21"/>
      <c r="AP506" s="21"/>
      <c r="AQ506" s="22"/>
    </row>
    <row r="507" spans="2:43" ht="13.5" customHeight="1" x14ac:dyDescent="0.55000000000000004">
      <c r="B507" s="66">
        <v>492</v>
      </c>
      <c r="C507" s="29">
        <v>10</v>
      </c>
      <c r="D507" s="49" t="s">
        <v>230</v>
      </c>
      <c r="E507" s="27" t="s">
        <v>246</v>
      </c>
      <c r="F507" s="29"/>
      <c r="G507" s="29" t="s">
        <v>374</v>
      </c>
      <c r="H507" s="37">
        <f>J507*2/(1+1/(K507/J507))</f>
        <v>112655.55894025673</v>
      </c>
      <c r="I507" s="37"/>
      <c r="J507" s="21">
        <f t="array" ref="J507">IFERROR(INDEX($H$16:$H$657,MATCH(1,(C507=$C$16:$C$657)*(D507=$D$16:$D$657)*(E507=$E$16:$E$657)*(""=$G$16:$G$657),0)),"에러")</f>
        <v>95626.031655984378</v>
      </c>
      <c r="K507" s="21">
        <f t="array" ref="K507">IFERROR(INDEX($H$16:$H$657,MATCH(1,(C507=$C$16:$C$657)*(D507=$D$16:$D$657)*(E507=$E$16:$E$657)*("생명50%이하"=$G$16:$G$657),0)),"에러")</f>
        <v>137064.67140694984</v>
      </c>
      <c r="L507" s="21"/>
      <c r="M507" s="21"/>
      <c r="N507" s="21"/>
      <c r="O507" s="21"/>
      <c r="P507" s="21"/>
      <c r="Q507" s="20"/>
      <c r="R507" s="19"/>
      <c r="S507" s="21"/>
      <c r="T507" s="21"/>
      <c r="U507" s="21"/>
      <c r="V507" s="21"/>
      <c r="W507" s="21"/>
      <c r="X507" s="21"/>
      <c r="Y507" s="21"/>
      <c r="Z507" s="20"/>
      <c r="AA507" s="21"/>
      <c r="AB507" s="21"/>
      <c r="AC507" s="21"/>
      <c r="AD507" s="21"/>
      <c r="AE507" s="21"/>
      <c r="AF507" s="21"/>
      <c r="AG507" s="21"/>
      <c r="AH507" s="21"/>
      <c r="AI507" s="20"/>
      <c r="AJ507" s="21"/>
      <c r="AK507" s="21"/>
      <c r="AL507" s="21"/>
      <c r="AM507" s="21"/>
      <c r="AN507" s="21"/>
      <c r="AO507" s="21"/>
      <c r="AP507" s="21"/>
      <c r="AQ507" s="22"/>
    </row>
    <row r="508" spans="2:43" ht="13.5" customHeight="1" x14ac:dyDescent="0.55000000000000004">
      <c r="B508" s="66">
        <v>493</v>
      </c>
      <c r="C508" s="29">
        <v>1</v>
      </c>
      <c r="D508" s="49" t="s">
        <v>247</v>
      </c>
      <c r="E508" s="27" t="s">
        <v>232</v>
      </c>
      <c r="F508" s="29"/>
      <c r="G508" s="29"/>
      <c r="H508" s="37">
        <f>I508/AJ508</f>
        <v>44903.624129832024</v>
      </c>
      <c r="I508" s="37">
        <f>SUM(J508:Q508)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1064730.6726854923</v>
      </c>
      <c r="J508" s="21">
        <f>S508*(1+IF($AK508+IF(입력란!$C$26=1,10,0)+IF(MID(E508,3,1)="1",IF(G508="생명50%이하",트라이포드!$J$23,트라이포드!$I$23),0)&gt;100,100,$AK508+IF(입력란!$C$26=1,10,0)+IF(MID(E508,3,1)="1",IF(G508="생명50%이하",트라이포드!$J$23,트라이포드!$I$23),0))/100*(($AL508+IF(입력란!$C$30=1,17,IF(입력란!$C$30=2,20,IF(입력란!$C$30=3,22,0))))/100-1))</f>
        <v>754005.15026236966</v>
      </c>
      <c r="K508" s="21">
        <f>T508*(1+IF($AK508+IF(입력란!$C$26=1,10,0)+IF(MID(E508,3,1)="1",IF(G508="생명50%이하",트라이포드!$J$23,트라이포드!$I$23),0)&gt;100,100,$AK508+IF(입력란!$C$26=1,10,0)+IF(MID(E508,3,1)="1",IF(G508="생명50%이하",트라이포드!$J$23,트라이포드!$I$23),0))/100*(($AL508+IF(입력란!$C$30=1,17,IF(입력란!$C$30=2,20,IF(입력란!$C$30=3,22,0))))/100-1))</f>
        <v>0</v>
      </c>
      <c r="L508" s="21">
        <f>U508*(1+IF($AK508+IF(입력란!$C$26=1,10,0)+IF(MID(E508,3,1)="1",IF(G508="생명50%이하",트라이포드!$J$23,트라이포드!$I$23),0)&gt;100,100,$AK508+IF(입력란!$C$26=1,10,0)+IF(MID(E508,3,1)="1",IF(G508="생명50%이하",트라이포드!$J$23,트라이포드!$I$23),0))/100*(($AL508+IF(입력란!$C$30=1,17,IF(입력란!$C$30=2,20,IF(입력란!$C$30=3,22,0))))/100-1))</f>
        <v>0</v>
      </c>
      <c r="M508" s="21">
        <f>V508*(1+IF($AK508+IF(입력란!$C$26=1,10,0)+IF(MID(E508,3,1)="1",IF(G508="생명50%이하",트라이포드!$J$23,트라이포드!$I$23),0)&gt;100,100,$AK508+IF(입력란!$C$26=1,10,0)+IF(MID(E508,3,1)="1",IF(G508="생명50%이하",트라이포드!$J$23,트라이포드!$I$23),0))/100*(($AL508+IF(입력란!$C$30=1,17,IF(입력란!$C$30=2,20,IF(입력란!$C$30=3,22,0))))/100-1))</f>
        <v>0</v>
      </c>
      <c r="N508" s="21"/>
      <c r="O508" s="21"/>
      <c r="P508" s="21"/>
      <c r="Q508" s="20"/>
      <c r="R508" s="19">
        <f>SUM(S508:Z508)</f>
        <v>495463.73604013165</v>
      </c>
      <c r="S508" s="21">
        <f>AN508*IF(MID(E508,3,1)="2",트라이포드!$L$23,트라이포드!$K$23)*IF(MID(E508,5,1)="1",트라이포드!$P$23,트라이포드!$O$23)*(1+입력란!$P$19/100)</f>
        <v>495463.73604013165</v>
      </c>
      <c r="T508" s="21">
        <f>AN508*IF(MID(E508,3,1)="2",트라이포드!$L$23,트라이포드!$K$23)*IF(MID(E508,5,1)="2",트라이포드!$R$23,트라이포드!$F$23)*(1+입력란!$P$19/100)/3</f>
        <v>0</v>
      </c>
      <c r="U508" s="21">
        <f>AN508*IF(MID(E508,3,1)="2",트라이포드!$L$23,트라이포드!$K$23)*IF(MID(E508,5,1)="2",트라이포드!$R$23,트라이포드!$F$23)*(1+입력란!$P$19/100)/3</f>
        <v>0</v>
      </c>
      <c r="V508" s="21">
        <f>AN508*IF(MID(E508,3,1)="2",트라이포드!$L$23,트라이포드!$K$23)*IF(MID(E508,5,1)="2",트라이포드!$R$23,트라이포드!$F$23)*(1+입력란!$P$19/100)/3</f>
        <v>0</v>
      </c>
      <c r="W508" s="21"/>
      <c r="X508" s="21"/>
      <c r="Y508" s="21"/>
      <c r="Z508" s="20"/>
      <c r="AA508" s="21">
        <f>SUM(AB508:AI508)</f>
        <v>990927.47208026331</v>
      </c>
      <c r="AB508" s="21">
        <f>S508*2</f>
        <v>990927.47208026331</v>
      </c>
      <c r="AC508" s="21">
        <f>T508*2</f>
        <v>0</v>
      </c>
      <c r="AD508" s="21">
        <f>U508*2</f>
        <v>0</v>
      </c>
      <c r="AE508" s="21">
        <f>V508*2</f>
        <v>0</v>
      </c>
      <c r="AF508" s="21"/>
      <c r="AG508" s="21"/>
      <c r="AH508" s="21"/>
      <c r="AI508" s="20"/>
      <c r="AJ508" s="21">
        <f>AQ508*(1-입력란!$P$10/100)</f>
        <v>23.711464126079999</v>
      </c>
      <c r="AK5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08" s="21">
        <f>입력란!$P$24+IF(입력란!$C$18=1,10,IF(입력란!$C$18=2,25,IF(입력란!$C$18=3,50,0)))+IF(입력란!$C$23&lt;&gt;0,-12)</f>
        <v>200</v>
      </c>
      <c r="AM508" s="21">
        <f>SUM(AN508:AP508)</f>
        <v>363974.73938447214</v>
      </c>
      <c r="AN508" s="21">
        <f>(VLOOKUP(C508,$B$4:$AJ$7,28,FALSE)+VLOOKUP(C508,$B$8:$AJ$11,28,FALSE)*입력란!$P$4)*입력란!$P$25/100</f>
        <v>363974.73938447214</v>
      </c>
      <c r="AO508" s="21"/>
      <c r="AP508" s="21"/>
      <c r="AQ508" s="22">
        <v>24</v>
      </c>
    </row>
    <row r="509" spans="2:43" ht="13.5" customHeight="1" x14ac:dyDescent="0.55000000000000004">
      <c r="B509" s="66">
        <v>494</v>
      </c>
      <c r="C509" s="29">
        <v>4</v>
      </c>
      <c r="D509" s="49" t="s">
        <v>247</v>
      </c>
      <c r="E509" s="27" t="s">
        <v>232</v>
      </c>
      <c r="F509" s="29"/>
      <c r="G509" s="29"/>
      <c r="H509" s="37">
        <f>I509/AJ509</f>
        <v>44962.496373194284</v>
      </c>
      <c r="I509" s="37">
        <f>SUM(J509:Q509)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1066126.6197719984</v>
      </c>
      <c r="J509" s="21">
        <f>S509*(1+IF($AK509+IF(입력란!$C$26=1,10,0)+IF(MID(E509,3,1)="1",IF(G509="생명50%이하",트라이포드!$J$23,트라이포드!$I$23),0)&gt;100,100,$AK509+IF(입력란!$C$26=1,10,0)+IF(MID(E509,3,1)="1",IF(G509="생명50%이하",트라이포드!$J$23,트라이포드!$I$23),0))/100*(($AL509+IF(입력란!$C$30=1,17,IF(입력란!$C$30=2,20,IF(입력란!$C$30=3,22,0))))/100-1))</f>
        <v>754993.71133205737</v>
      </c>
      <c r="K509" s="21">
        <f>T509*(1+IF($AK509+IF(입력란!$C$26=1,10,0)+IF(MID(E509,3,1)="1",IF(G509="생명50%이하",트라이포드!$J$23,트라이포드!$I$23),0)&gt;100,100,$AK509+IF(입력란!$C$26=1,10,0)+IF(MID(E509,3,1)="1",IF(G509="생명50%이하",트라이포드!$J$23,트라이포드!$I$23),0))/100*(($AL509+IF(입력란!$C$30=1,17,IF(입력란!$C$30=2,20,IF(입력란!$C$30=3,22,0))))/100-1))</f>
        <v>0</v>
      </c>
      <c r="L509" s="21">
        <f>U509*(1+IF($AK509+IF(입력란!$C$26=1,10,0)+IF(MID(E509,3,1)="1",IF(G509="생명50%이하",트라이포드!$J$23,트라이포드!$I$23),0)&gt;100,100,$AK509+IF(입력란!$C$26=1,10,0)+IF(MID(E509,3,1)="1",IF(G509="생명50%이하",트라이포드!$J$23,트라이포드!$I$23),0))/100*(($AL509+IF(입력란!$C$30=1,17,IF(입력란!$C$30=2,20,IF(입력란!$C$30=3,22,0))))/100-1))</f>
        <v>0</v>
      </c>
      <c r="M509" s="21">
        <f>V509*(1+IF($AK509+IF(입력란!$C$26=1,10,0)+IF(MID(E509,3,1)="1",IF(G509="생명50%이하",트라이포드!$J$23,트라이포드!$I$23),0)&gt;100,100,$AK509+IF(입력란!$C$26=1,10,0)+IF(MID(E509,3,1)="1",IF(G509="생명50%이하",트라이포드!$J$23,트라이포드!$I$23),0))/100*(($AL509+IF(입력란!$C$30=1,17,IF(입력란!$C$30=2,20,IF(입력란!$C$30=3,22,0))))/100-1))</f>
        <v>0</v>
      </c>
      <c r="N509" s="21"/>
      <c r="O509" s="21"/>
      <c r="P509" s="21"/>
      <c r="Q509" s="20"/>
      <c r="R509" s="19">
        <f>SUM(S509:Z509)</f>
        <v>496113.32863339293</v>
      </c>
      <c r="S509" s="21">
        <f>AN509*IF(MID(E509,3,1)="2",트라이포드!$L$23,트라이포드!$K$23)*IF(MID(E509,5,1)="1",트라이포드!$P$23,트라이포드!$O$23)*(1+입력란!$P$19/100)</f>
        <v>496113.32863339293</v>
      </c>
      <c r="T509" s="21">
        <f>AN509*IF(MID(E509,3,1)="2",트라이포드!$L$23,트라이포드!$K$23)*IF(MID(E509,5,1)="2",트라이포드!$R$23,트라이포드!$F$23)*(1+입력란!$P$19/100)/3</f>
        <v>0</v>
      </c>
      <c r="U509" s="21">
        <f>AN509*IF(MID(E509,3,1)="2",트라이포드!$L$23,트라이포드!$K$23)*IF(MID(E509,5,1)="2",트라이포드!$R$23,트라이포드!$F$23)*(1+입력란!$P$19/100)/3</f>
        <v>0</v>
      </c>
      <c r="V509" s="21">
        <f>AN509*IF(MID(E509,3,1)="2",트라이포드!$L$23,트라이포드!$K$23)*IF(MID(E509,5,1)="2",트라이포드!$R$23,트라이포드!$F$23)*(1+입력란!$P$19/100)/3</f>
        <v>0</v>
      </c>
      <c r="W509" s="21"/>
      <c r="X509" s="21"/>
      <c r="Y509" s="21"/>
      <c r="Z509" s="20"/>
      <c r="AA509" s="21">
        <f>SUM(AB509:AI509)</f>
        <v>992226.65726678586</v>
      </c>
      <c r="AB509" s="21">
        <f>S509*2</f>
        <v>992226.65726678586</v>
      </c>
      <c r="AC509" s="21">
        <f>T509*2</f>
        <v>0</v>
      </c>
      <c r="AD509" s="21">
        <f>U509*2</f>
        <v>0</v>
      </c>
      <c r="AE509" s="21">
        <f>V509*2</f>
        <v>0</v>
      </c>
      <c r="AF509" s="21"/>
      <c r="AG509" s="21"/>
      <c r="AH509" s="21"/>
      <c r="AI509" s="20"/>
      <c r="AJ509" s="21">
        <f>AQ509*(1-입력란!$P$10/100)</f>
        <v>23.711464126079999</v>
      </c>
      <c r="AK5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09" s="21">
        <f>입력란!$P$24+IF(입력란!$C$18=1,10,IF(입력란!$C$18=2,25,IF(입력란!$C$18=3,50,0)))+IF(입력란!$C$23&lt;&gt;0,-12)</f>
        <v>200</v>
      </c>
      <c r="AM509" s="21">
        <f>SUM(AN509:AP509)</f>
        <v>364451.93938447215</v>
      </c>
      <c r="AN509" s="21">
        <f>(VLOOKUP(C509,$B$4:$AJ$7,28,FALSE)+VLOOKUP(C509,$B$8:$AJ$11,28,FALSE)*입력란!$P$4)*입력란!$P$25/100</f>
        <v>364451.93938447215</v>
      </c>
      <c r="AO509" s="21"/>
      <c r="AP509" s="21"/>
      <c r="AQ509" s="22">
        <v>24</v>
      </c>
    </row>
    <row r="510" spans="2:43" ht="13.5" customHeight="1" x14ac:dyDescent="0.55000000000000004">
      <c r="B510" s="66">
        <v>495</v>
      </c>
      <c r="C510" s="29">
        <v>7</v>
      </c>
      <c r="D510" s="49" t="s">
        <v>247</v>
      </c>
      <c r="E510" s="27" t="s">
        <v>232</v>
      </c>
      <c r="F510" s="29"/>
      <c r="G510" s="29"/>
      <c r="H510" s="37">
        <f>I510/AJ510</f>
        <v>44989.933898181211</v>
      </c>
      <c r="I510" s="37">
        <f>SUM(J510:Q510)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1066777.2036614344</v>
      </c>
      <c r="J510" s="21">
        <f>S510*(1+IF($AK510+IF(입력란!$C$26=1,10,0)+IF(MID(E510,3,1)="1",IF(G510="생명50%이하",트라이포드!$J$23,트라이포드!$I$23),0)&gt;100,100,$AK510+IF(입력란!$C$26=1,10,0)+IF(MID(E510,3,1)="1",IF(G510="생명50%이하",트라이포드!$J$23,트라이포드!$I$23),0))/100*(($AL510+IF(입력란!$C$30=1,17,IF(입력란!$C$30=2,20,IF(입력란!$C$30=3,22,0))))/100-1))</f>
        <v>755454.43216587661</v>
      </c>
      <c r="K510" s="21">
        <f>T510*(1+IF($AK510+IF(입력란!$C$26=1,10,0)+IF(MID(E510,3,1)="1",IF(G510="생명50%이하",트라이포드!$J$23,트라이포드!$I$23),0)&gt;100,100,$AK510+IF(입력란!$C$26=1,10,0)+IF(MID(E510,3,1)="1",IF(G510="생명50%이하",트라이포드!$J$23,트라이포드!$I$23),0))/100*(($AL510+IF(입력란!$C$30=1,17,IF(입력란!$C$30=2,20,IF(입력란!$C$30=3,22,0))))/100-1))</f>
        <v>0</v>
      </c>
      <c r="L510" s="21">
        <f>U510*(1+IF($AK510+IF(입력란!$C$26=1,10,0)+IF(MID(E510,3,1)="1",IF(G510="생명50%이하",트라이포드!$J$23,트라이포드!$I$23),0)&gt;100,100,$AK510+IF(입력란!$C$26=1,10,0)+IF(MID(E510,3,1)="1",IF(G510="생명50%이하",트라이포드!$J$23,트라이포드!$I$23),0))/100*(($AL510+IF(입력란!$C$30=1,17,IF(입력란!$C$30=2,20,IF(입력란!$C$30=3,22,0))))/100-1))</f>
        <v>0</v>
      </c>
      <c r="M510" s="21">
        <f>V510*(1+IF($AK510+IF(입력란!$C$26=1,10,0)+IF(MID(E510,3,1)="1",IF(G510="생명50%이하",트라이포드!$J$23,트라이포드!$I$23),0)&gt;100,100,$AK510+IF(입력란!$C$26=1,10,0)+IF(MID(E510,3,1)="1",IF(G510="생명50%이하",트라이포드!$J$23,트라이포드!$I$23),0))/100*(($AL510+IF(입력란!$C$30=1,17,IF(입력란!$C$30=2,20,IF(입력란!$C$30=3,22,0))))/100-1))</f>
        <v>0</v>
      </c>
      <c r="N510" s="21"/>
      <c r="O510" s="21"/>
      <c r="P510" s="21"/>
      <c r="Q510" s="20"/>
      <c r="R510" s="19">
        <f>SUM(S510:Z510)</f>
        <v>496416.0725410654</v>
      </c>
      <c r="S510" s="21">
        <f>AN510*IF(MID(E510,3,1)="2",트라이포드!$L$23,트라이포드!$K$23)*IF(MID(E510,5,1)="1",트라이포드!$P$23,트라이포드!$O$23)*(1+입력란!$P$19/100)</f>
        <v>496416.0725410654</v>
      </c>
      <c r="T510" s="21">
        <f>AN510*IF(MID(E510,3,1)="2",트라이포드!$L$23,트라이포드!$K$23)*IF(MID(E510,5,1)="2",트라이포드!$R$23,트라이포드!$F$23)*(1+입력란!$P$19/100)/3</f>
        <v>0</v>
      </c>
      <c r="U510" s="21">
        <f>AN510*IF(MID(E510,3,1)="2",트라이포드!$L$23,트라이포드!$K$23)*IF(MID(E510,5,1)="2",트라이포드!$R$23,트라이포드!$F$23)*(1+입력란!$P$19/100)/3</f>
        <v>0</v>
      </c>
      <c r="V510" s="21">
        <f>AN510*IF(MID(E510,3,1)="2",트라이포드!$L$23,트라이포드!$K$23)*IF(MID(E510,5,1)="2",트라이포드!$R$23,트라이포드!$F$23)*(1+입력란!$P$19/100)/3</f>
        <v>0</v>
      </c>
      <c r="W510" s="21"/>
      <c r="X510" s="21"/>
      <c r="Y510" s="21"/>
      <c r="Z510" s="20"/>
      <c r="AA510" s="21">
        <f>SUM(AB510:AI510)</f>
        <v>992832.1450821308</v>
      </c>
      <c r="AB510" s="21">
        <f>S510*2</f>
        <v>992832.1450821308</v>
      </c>
      <c r="AC510" s="21">
        <f>T510*2</f>
        <v>0</v>
      </c>
      <c r="AD510" s="21">
        <f>U510*2</f>
        <v>0</v>
      </c>
      <c r="AE510" s="21">
        <f>V510*2</f>
        <v>0</v>
      </c>
      <c r="AF510" s="21"/>
      <c r="AG510" s="21"/>
      <c r="AH510" s="21"/>
      <c r="AI510" s="20"/>
      <c r="AJ510" s="21">
        <f>AQ510*(1-입력란!$P$10/100)</f>
        <v>23.711464126079999</v>
      </c>
      <c r="AK5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0" s="21">
        <f>입력란!$P$24+IF(입력란!$C$18=1,10,IF(입력란!$C$18=2,25,IF(입력란!$C$18=3,50,0)))+IF(입력란!$C$23&lt;&gt;0,-12)</f>
        <v>200</v>
      </c>
      <c r="AM510" s="21">
        <f>SUM(AN510:AP510)</f>
        <v>364674.33938447217</v>
      </c>
      <c r="AN510" s="21">
        <f>(VLOOKUP(C510,$B$4:$AJ$7,28,FALSE)+VLOOKUP(C510,$B$8:$AJ$11,28,FALSE)*입력란!$P$4)*입력란!$P$25/100</f>
        <v>364674.33938447217</v>
      </c>
      <c r="AO510" s="21"/>
      <c r="AP510" s="21"/>
      <c r="AQ510" s="22">
        <v>24</v>
      </c>
    </row>
    <row r="511" spans="2:43" ht="13.5" customHeight="1" x14ac:dyDescent="0.55000000000000004">
      <c r="B511" s="66">
        <v>496</v>
      </c>
      <c r="C511" s="29">
        <v>7</v>
      </c>
      <c r="D511" s="49" t="s">
        <v>247</v>
      </c>
      <c r="E511" s="27" t="s">
        <v>234</v>
      </c>
      <c r="F511" s="29"/>
      <c r="G511" s="29"/>
      <c r="H511" s="37">
        <f>I511/AJ511</f>
        <v>44989.933898181211</v>
      </c>
      <c r="I511" s="37">
        <f>SUM(J511:Q511)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1066777.2036614344</v>
      </c>
      <c r="J511" s="21">
        <f>S511*(1+IF($AK511+IF(입력란!$C$26=1,10,0)+IF(MID(E511,3,1)="1",IF(G511="생명50%이하",트라이포드!$J$23,트라이포드!$I$23),0)&gt;100,100,$AK511+IF(입력란!$C$26=1,10,0)+IF(MID(E511,3,1)="1",IF(G511="생명50%이하",트라이포드!$J$23,트라이포드!$I$23),0))/100*(($AL511+IF(입력란!$C$30=1,17,IF(입력란!$C$30=2,20,IF(입력란!$C$30=3,22,0))))/100-1))</f>
        <v>755454.43216587661</v>
      </c>
      <c r="K511" s="21">
        <f>T511*(1+IF($AK511+IF(입력란!$C$26=1,10,0)+IF(MID(E511,3,1)="1",IF(G511="생명50%이하",트라이포드!$J$23,트라이포드!$I$23),0)&gt;100,100,$AK511+IF(입력란!$C$26=1,10,0)+IF(MID(E511,3,1)="1",IF(G511="생명50%이하",트라이포드!$J$23,트라이포드!$I$23),0))/100*(($AL511+IF(입력란!$C$30=1,17,IF(입력란!$C$30=2,20,IF(입력란!$C$30=3,22,0))))/100-1))</f>
        <v>0</v>
      </c>
      <c r="L511" s="21">
        <f>U511*(1+IF($AK511+IF(입력란!$C$26=1,10,0)+IF(MID(E511,3,1)="1",IF(G511="생명50%이하",트라이포드!$J$23,트라이포드!$I$23),0)&gt;100,100,$AK511+IF(입력란!$C$26=1,10,0)+IF(MID(E511,3,1)="1",IF(G511="생명50%이하",트라이포드!$J$23,트라이포드!$I$23),0))/100*(($AL511+IF(입력란!$C$30=1,17,IF(입력란!$C$30=2,20,IF(입력란!$C$30=3,22,0))))/100-1))</f>
        <v>0</v>
      </c>
      <c r="M511" s="21">
        <f>V511*(1+IF($AK511+IF(입력란!$C$26=1,10,0)+IF(MID(E511,3,1)="1",IF(G511="생명50%이하",트라이포드!$J$23,트라이포드!$I$23),0)&gt;100,100,$AK511+IF(입력란!$C$26=1,10,0)+IF(MID(E511,3,1)="1",IF(G511="생명50%이하",트라이포드!$J$23,트라이포드!$I$23),0))/100*(($AL511+IF(입력란!$C$30=1,17,IF(입력란!$C$30=2,20,IF(입력란!$C$30=3,22,0))))/100-1))</f>
        <v>0</v>
      </c>
      <c r="N511" s="21"/>
      <c r="O511" s="21"/>
      <c r="P511" s="21"/>
      <c r="Q511" s="20"/>
      <c r="R511" s="19">
        <f>SUM(S511:Z511)</f>
        <v>496416.0725410654</v>
      </c>
      <c r="S511" s="21">
        <f>AN511*IF(MID(E511,3,1)="2",트라이포드!$L$23,트라이포드!$K$23)*IF(MID(E511,5,1)="1",트라이포드!$P$23,트라이포드!$O$23)*(1+입력란!$P$19/100)</f>
        <v>496416.0725410654</v>
      </c>
      <c r="T511" s="21">
        <f>AN511*IF(MID(E511,3,1)="2",트라이포드!$L$23,트라이포드!$K$23)*IF(MID(E511,5,1)="2",트라이포드!$R$23,트라이포드!$F$23)*(1+입력란!$P$19/100)/3</f>
        <v>0</v>
      </c>
      <c r="U511" s="21">
        <f>AN511*IF(MID(E511,3,1)="2",트라이포드!$L$23,트라이포드!$K$23)*IF(MID(E511,5,1)="2",트라이포드!$R$23,트라이포드!$F$23)*(1+입력란!$P$19/100)/3</f>
        <v>0</v>
      </c>
      <c r="V511" s="21">
        <f>AN511*IF(MID(E511,3,1)="2",트라이포드!$L$23,트라이포드!$K$23)*IF(MID(E511,5,1)="2",트라이포드!$R$23,트라이포드!$F$23)*(1+입력란!$P$19/100)/3</f>
        <v>0</v>
      </c>
      <c r="W511" s="21"/>
      <c r="X511" s="21"/>
      <c r="Y511" s="21"/>
      <c r="Z511" s="20"/>
      <c r="AA511" s="21">
        <f>SUM(AB511:AI511)</f>
        <v>992832.1450821308</v>
      </c>
      <c r="AB511" s="21">
        <f>S511*2</f>
        <v>992832.1450821308</v>
      </c>
      <c r="AC511" s="21">
        <f>T511*2</f>
        <v>0</v>
      </c>
      <c r="AD511" s="21">
        <f>U511*2</f>
        <v>0</v>
      </c>
      <c r="AE511" s="21">
        <f>V511*2</f>
        <v>0</v>
      </c>
      <c r="AF511" s="21"/>
      <c r="AG511" s="21"/>
      <c r="AH511" s="21"/>
      <c r="AI511" s="20"/>
      <c r="AJ511" s="21">
        <f>AQ511*(1-입력란!$P$10/100)</f>
        <v>23.711464126079999</v>
      </c>
      <c r="AK5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1" s="21">
        <f>입력란!$P$24+IF(입력란!$C$18=1,10,IF(입력란!$C$18=2,25,IF(입력란!$C$18=3,50,0)))+IF(입력란!$C$23&lt;&gt;0,-12)</f>
        <v>200</v>
      </c>
      <c r="AM511" s="21">
        <f>SUM(AN511:AP511)</f>
        <v>364674.33938447217</v>
      </c>
      <c r="AN511" s="21">
        <f>(VLOOKUP(C511,$B$4:$AJ$7,28,FALSE)+VLOOKUP(C511,$B$8:$AJ$11,28,FALSE)*입력란!$P$4)*입력란!$P$25/100</f>
        <v>364674.33938447217</v>
      </c>
      <c r="AO511" s="21"/>
      <c r="AP511" s="21"/>
      <c r="AQ511" s="22">
        <v>24</v>
      </c>
    </row>
    <row r="512" spans="2:43" ht="13.5" customHeight="1" x14ac:dyDescent="0.55000000000000004">
      <c r="B512" s="66">
        <v>497</v>
      </c>
      <c r="C512" s="29">
        <v>7</v>
      </c>
      <c r="D512" s="49" t="s">
        <v>247</v>
      </c>
      <c r="E512" s="27" t="s">
        <v>233</v>
      </c>
      <c r="F512" s="29" t="s">
        <v>252</v>
      </c>
      <c r="G512" s="29"/>
      <c r="H512" s="37">
        <f>I512/AJ512</f>
        <v>62985.907457453708</v>
      </c>
      <c r="I512" s="37">
        <f>SUM(J512:Q512)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1493488.0851260084</v>
      </c>
      <c r="J512" s="21">
        <f>S512*(1+IF($AK512+IF(입력란!$C$26=1,10,0)+IF(MID(E512,3,1)="1",IF(G512="생명50%이하",트라이포드!$J$23,트라이포드!$I$23),0)&gt;100,100,$AK512+IF(입력란!$C$26=1,10,0)+IF(MID(E512,3,1)="1",IF(G512="생명50%이하",트라이포드!$J$23,트라이포드!$I$23),0))/100*(($AL512+IF(입력란!$C$30=1,17,IF(입력란!$C$30=2,20,IF(입력란!$C$30=3,22,0))))/100-1))</f>
        <v>1057636.2050322273</v>
      </c>
      <c r="K512" s="21">
        <f>T512*(1+IF($AK512+IF(입력란!$C$26=1,10,0)+IF(MID(E512,3,1)="1",IF(G512="생명50%이하",트라이포드!$J$23,트라이포드!$I$23),0)&gt;100,100,$AK512+IF(입력란!$C$26=1,10,0)+IF(MID(E512,3,1)="1",IF(G512="생명50%이하",트라이포드!$J$23,트라이포드!$I$23),0))/100*(($AL512+IF(입력란!$C$30=1,17,IF(입력란!$C$30=2,20,IF(입력란!$C$30=3,22,0))))/100-1))</f>
        <v>0</v>
      </c>
      <c r="L512" s="21">
        <f>U512*(1+IF($AK512+IF(입력란!$C$26=1,10,0)+IF(MID(E512,3,1)="1",IF(G512="생명50%이하",트라이포드!$J$23,트라이포드!$I$23),0)&gt;100,100,$AK512+IF(입력란!$C$26=1,10,0)+IF(MID(E512,3,1)="1",IF(G512="생명50%이하",트라이포드!$J$23,트라이포드!$I$23),0))/100*(($AL512+IF(입력란!$C$30=1,17,IF(입력란!$C$30=2,20,IF(입력란!$C$30=3,22,0))))/100-1))</f>
        <v>0</v>
      </c>
      <c r="M512" s="21">
        <f>V512*(1+IF($AK512+IF(입력란!$C$26=1,10,0)+IF(MID(E512,3,1)="1",IF(G512="생명50%이하",트라이포드!$J$23,트라이포드!$I$23),0)&gt;100,100,$AK512+IF(입력란!$C$26=1,10,0)+IF(MID(E512,3,1)="1",IF(G512="생명50%이하",트라이포드!$J$23,트라이포드!$I$23),0))/100*(($AL512+IF(입력란!$C$30=1,17,IF(입력란!$C$30=2,20,IF(입력란!$C$30=3,22,0))))/100-1))</f>
        <v>0</v>
      </c>
      <c r="N512" s="21"/>
      <c r="O512" s="21"/>
      <c r="P512" s="21"/>
      <c r="Q512" s="20"/>
      <c r="R512" s="19">
        <f>SUM(S512:Z512)</f>
        <v>694982.5015574916</v>
      </c>
      <c r="S512" s="21">
        <f>AN512*IF(MID(E512,3,1)="2",트라이포드!$L$23,트라이포드!$K$23)*IF(MID(E512,5,1)="1",트라이포드!$P$23,트라이포드!$O$23)*(1+입력란!$P$19/100)</f>
        <v>694982.5015574916</v>
      </c>
      <c r="T512" s="21">
        <f>AN512*IF(MID(E512,3,1)="2",트라이포드!$L$23,트라이포드!$K$23)*IF(MID(E512,5,1)="2",트라이포드!$R$23,트라이포드!$F$23)*(1+입력란!$P$19/100)/3</f>
        <v>0</v>
      </c>
      <c r="U512" s="21">
        <f>AN512*IF(MID(E512,3,1)="2",트라이포드!$L$23,트라이포드!$K$23)*IF(MID(E512,5,1)="2",트라이포드!$R$23,트라이포드!$F$23)*(1+입력란!$P$19/100)/3</f>
        <v>0</v>
      </c>
      <c r="V512" s="21">
        <f>AN512*IF(MID(E512,3,1)="2",트라이포드!$L$23,트라이포드!$K$23)*IF(MID(E512,5,1)="2",트라이포드!$R$23,트라이포드!$F$23)*(1+입력란!$P$19/100)/3</f>
        <v>0</v>
      </c>
      <c r="W512" s="21"/>
      <c r="X512" s="21"/>
      <c r="Y512" s="21"/>
      <c r="Z512" s="20"/>
      <c r="AA512" s="21">
        <f>SUM(AB512:AI512)</f>
        <v>1389965.0031149832</v>
      </c>
      <c r="AB512" s="21">
        <f>S512*2</f>
        <v>1389965.0031149832</v>
      </c>
      <c r="AC512" s="21">
        <f>T512*2</f>
        <v>0</v>
      </c>
      <c r="AD512" s="21">
        <f>U512*2</f>
        <v>0</v>
      </c>
      <c r="AE512" s="21">
        <f>V512*2</f>
        <v>0</v>
      </c>
      <c r="AF512" s="21"/>
      <c r="AG512" s="21"/>
      <c r="AH512" s="21"/>
      <c r="AI512" s="20"/>
      <c r="AJ512" s="21">
        <f>AQ512*(1-입력란!$P$10/100)</f>
        <v>23.711464126079999</v>
      </c>
      <c r="AK5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2" s="21">
        <f>입력란!$P$24+IF(입력란!$C$18=1,10,IF(입력란!$C$18=2,25,IF(입력란!$C$18=3,50,0)))+IF(입력란!$C$23&lt;&gt;0,-12)</f>
        <v>200</v>
      </c>
      <c r="AM512" s="21">
        <f>SUM(AN512:AP512)</f>
        <v>364674.33938447217</v>
      </c>
      <c r="AN512" s="21">
        <f>(VLOOKUP(C512,$B$4:$AJ$7,28,FALSE)+VLOOKUP(C512,$B$8:$AJ$11,28,FALSE)*입력란!$P$4)*입력란!$P$25/100</f>
        <v>364674.33938447217</v>
      </c>
      <c r="AO512" s="21"/>
      <c r="AP512" s="21"/>
      <c r="AQ512" s="22">
        <v>24</v>
      </c>
    </row>
    <row r="513" spans="2:43" ht="13.5" customHeight="1" x14ac:dyDescent="0.55000000000000004">
      <c r="B513" s="66">
        <v>498</v>
      </c>
      <c r="C513" s="29">
        <v>10</v>
      </c>
      <c r="D513" s="49" t="s">
        <v>247</v>
      </c>
      <c r="E513" s="27" t="s">
        <v>232</v>
      </c>
      <c r="F513" s="29"/>
      <c r="G513" s="29"/>
      <c r="H513" s="37">
        <f>I513/AJ513</f>
        <v>45007.452461796973</v>
      </c>
      <c r="I513" s="37">
        <f>SUM(J513:Q513)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1067192.5944541499</v>
      </c>
      <c r="J513" s="21">
        <f>S513*(1+IF($AK513+IF(입력란!$C$26=1,10,0)+IF(MID(E513,3,1)="1",IF(G513="생명50%이하",트라이포드!$J$23,트라이포드!$I$23),0)&gt;100,100,$AK513+IF(입력란!$C$26=1,10,0)+IF(MID(E513,3,1)="1",IF(G513="생명50%이하",트라이포드!$J$23,트라이포드!$I$23),0))/100*(($AL513+IF(입력란!$C$30=1,17,IF(입력란!$C$30=2,20,IF(입력란!$C$30=3,22,0))))/100-1))</f>
        <v>755748.59744646261</v>
      </c>
      <c r="K513" s="21">
        <f>T513*(1+IF($AK513+IF(입력란!$C$26=1,10,0)+IF(MID(E513,3,1)="1",IF(G513="생명50%이하",트라이포드!$J$23,트라이포드!$I$23),0)&gt;100,100,$AK513+IF(입력란!$C$26=1,10,0)+IF(MID(E513,3,1)="1",IF(G513="생명50%이하",트라이포드!$J$23,트라이포드!$I$23),0))/100*(($AL513+IF(입력란!$C$30=1,17,IF(입력란!$C$30=2,20,IF(입력란!$C$30=3,22,0))))/100-1))</f>
        <v>0</v>
      </c>
      <c r="L513" s="21">
        <f>U513*(1+IF($AK513+IF(입력란!$C$26=1,10,0)+IF(MID(E513,3,1)="1",IF(G513="생명50%이하",트라이포드!$J$23,트라이포드!$I$23),0)&gt;100,100,$AK513+IF(입력란!$C$26=1,10,0)+IF(MID(E513,3,1)="1",IF(G513="생명50%이하",트라이포드!$J$23,트라이포드!$I$23),0))/100*(($AL513+IF(입력란!$C$30=1,17,IF(입력란!$C$30=2,20,IF(입력란!$C$30=3,22,0))))/100-1))</f>
        <v>0</v>
      </c>
      <c r="M513" s="21">
        <f>V513*(1+IF($AK513+IF(입력란!$C$26=1,10,0)+IF(MID(E513,3,1)="1",IF(G513="생명50%이하",트라이포드!$J$23,트라이포드!$I$23),0)&gt;100,100,$AK513+IF(입력란!$C$26=1,10,0)+IF(MID(E513,3,1)="1",IF(G513="생명50%이하",트라이포드!$J$23,트라이포드!$I$23),0))/100*(($AL513+IF(입력란!$C$30=1,17,IF(입력란!$C$30=2,20,IF(입력란!$C$30=3,22,0))))/100-1))</f>
        <v>0</v>
      </c>
      <c r="N513" s="21"/>
      <c r="O513" s="21"/>
      <c r="P513" s="21"/>
      <c r="Q513" s="20"/>
      <c r="R513" s="19">
        <f>SUM(S513:Z513)</f>
        <v>496609.37125909369</v>
      </c>
      <c r="S513" s="21">
        <f>AN513*IF(MID(E513,3,1)="2",트라이포드!$L$23,트라이포드!$K$23)*IF(MID(E513,5,1)="1",트라이포드!$P$23,트라이포드!$O$23)*(1+입력란!$P$19/100)</f>
        <v>496609.37125909369</v>
      </c>
      <c r="T513" s="21">
        <f>AN513*IF(MID(E513,3,1)="2",트라이포드!$L$23,트라이포드!$K$23)*IF(MID(E513,5,1)="2",트라이포드!$R$23,트라이포드!$F$23)*(1+입력란!$P$19/100)/3</f>
        <v>0</v>
      </c>
      <c r="U513" s="21">
        <f>AN513*IF(MID(E513,3,1)="2",트라이포드!$L$23,트라이포드!$K$23)*IF(MID(E513,5,1)="2",트라이포드!$R$23,트라이포드!$F$23)*(1+입력란!$P$19/100)/3</f>
        <v>0</v>
      </c>
      <c r="V513" s="21">
        <f>AN513*IF(MID(E513,3,1)="2",트라이포드!$L$23,트라이포드!$K$23)*IF(MID(E513,5,1)="2",트라이포드!$R$23,트라이포드!$F$23)*(1+입력란!$P$19/100)/3</f>
        <v>0</v>
      </c>
      <c r="W513" s="21"/>
      <c r="X513" s="21"/>
      <c r="Y513" s="21"/>
      <c r="Z513" s="20"/>
      <c r="AA513" s="21">
        <f>SUM(AB513:AI513)</f>
        <v>993218.74251818738</v>
      </c>
      <c r="AB513" s="21">
        <f>S513*2</f>
        <v>993218.74251818738</v>
      </c>
      <c r="AC513" s="21">
        <f>T513*2</f>
        <v>0</v>
      </c>
      <c r="AD513" s="21">
        <f>U513*2</f>
        <v>0</v>
      </c>
      <c r="AE513" s="21">
        <f>V513*2</f>
        <v>0</v>
      </c>
      <c r="AF513" s="21"/>
      <c r="AG513" s="21"/>
      <c r="AH513" s="21"/>
      <c r="AI513" s="20"/>
      <c r="AJ513" s="21">
        <f>AQ513*(1-입력란!$P$10/100)</f>
        <v>23.711464126079999</v>
      </c>
      <c r="AK5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3" s="21">
        <f>입력란!$P$24+IF(입력란!$C$18=1,10,IF(입력란!$C$18=2,25,IF(입력란!$C$18=3,50,0)))+IF(입력란!$C$23&lt;&gt;0,-12)</f>
        <v>200</v>
      </c>
      <c r="AM513" s="21">
        <f>SUM(AN513:AP513)</f>
        <v>364816.33938447217</v>
      </c>
      <c r="AN513" s="21">
        <f>(VLOOKUP(C513,$B$4:$AJ$7,28,FALSE)+VLOOKUP(C513,$B$8:$AJ$11,28,FALSE)*입력란!$P$4)*입력란!$P$25/100</f>
        <v>364816.33938447217</v>
      </c>
      <c r="AO513" s="21"/>
      <c r="AP513" s="21"/>
      <c r="AQ513" s="22">
        <v>24</v>
      </c>
    </row>
    <row r="514" spans="2:43" ht="13.5" customHeight="1" x14ac:dyDescent="0.55000000000000004">
      <c r="B514" s="66">
        <v>499</v>
      </c>
      <c r="C514" s="29">
        <v>10</v>
      </c>
      <c r="D514" s="49" t="s">
        <v>247</v>
      </c>
      <c r="E514" s="27" t="s">
        <v>239</v>
      </c>
      <c r="F514" s="29"/>
      <c r="G514" s="29"/>
      <c r="H514" s="37">
        <f>I514/AJ514</f>
        <v>90014.904923593946</v>
      </c>
      <c r="I514" s="37">
        <f>SUM(J514:Q514)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2134385.1889082999</v>
      </c>
      <c r="J514" s="21">
        <f>S514*(1+IF($AK514+IF(입력란!$C$26=1,10,0)+IF(MID(E514,3,1)="1",IF(G514="생명50%이하",트라이포드!$J$23,트라이포드!$I$23),0)&gt;100,100,$AK514+IF(입력란!$C$26=1,10,0)+IF(MID(E514,3,1)="1",IF(G514="생명50%이하",트라이포드!$J$23,트라이포드!$I$23),0))/100*(($AL514+IF(입력란!$C$30=1,17,IF(입력란!$C$30=2,20,IF(입력란!$C$30=3,22,0))))/100-1))</f>
        <v>1511497.1948929252</v>
      </c>
      <c r="K514" s="21">
        <f>T514*(1+IF($AK514+IF(입력란!$C$26=1,10,0)+IF(MID(E514,3,1)="1",IF(G514="생명50%이하",트라이포드!$J$23,트라이포드!$I$23),0)&gt;100,100,$AK514+IF(입력란!$C$26=1,10,0)+IF(MID(E514,3,1)="1",IF(G514="생명50%이하",트라이포드!$J$23,트라이포드!$I$23),0))/100*(($AL514+IF(입력란!$C$30=1,17,IF(입력란!$C$30=2,20,IF(입력란!$C$30=3,22,0))))/100-1))</f>
        <v>0</v>
      </c>
      <c r="L514" s="21">
        <f>U514*(1+IF($AK514+IF(입력란!$C$26=1,10,0)+IF(MID(E514,3,1)="1",IF(G514="생명50%이하",트라이포드!$J$23,트라이포드!$I$23),0)&gt;100,100,$AK514+IF(입력란!$C$26=1,10,0)+IF(MID(E514,3,1)="1",IF(G514="생명50%이하",트라이포드!$J$23,트라이포드!$I$23),0))/100*(($AL514+IF(입력란!$C$30=1,17,IF(입력란!$C$30=2,20,IF(입력란!$C$30=3,22,0))))/100-1))</f>
        <v>0</v>
      </c>
      <c r="M514" s="21">
        <f>V514*(1+IF($AK514+IF(입력란!$C$26=1,10,0)+IF(MID(E514,3,1)="1",IF(G514="생명50%이하",트라이포드!$J$23,트라이포드!$I$23),0)&gt;100,100,$AK514+IF(입력란!$C$26=1,10,0)+IF(MID(E514,3,1)="1",IF(G514="생명50%이하",트라이포드!$J$23,트라이포드!$I$23),0))/100*(($AL514+IF(입력란!$C$30=1,17,IF(입력란!$C$30=2,20,IF(입력란!$C$30=3,22,0))))/100-1))</f>
        <v>0</v>
      </c>
      <c r="N514" s="21"/>
      <c r="O514" s="21"/>
      <c r="P514" s="21"/>
      <c r="Q514" s="20"/>
      <c r="R514" s="19">
        <f>SUM(S514:Z514)</f>
        <v>993218.74251818738</v>
      </c>
      <c r="S514" s="21">
        <f>AN514*IF(MID(E514,3,1)="2",트라이포드!$L$23,트라이포드!$K$23)*IF(MID(E514,5,1)="1",트라이포드!$P$23,트라이포드!$O$23)*(1+입력란!$P$19/100)</f>
        <v>993218.74251818738</v>
      </c>
      <c r="T514" s="21">
        <f>AN514*IF(MID(E514,3,1)="2",트라이포드!$L$23,트라이포드!$K$23)*IF(MID(E514,5,1)="2",트라이포드!$R$23,트라이포드!$F$23)*(1+입력란!$P$19/100)/3</f>
        <v>0</v>
      </c>
      <c r="U514" s="21">
        <f>AN514*IF(MID(E514,3,1)="2",트라이포드!$L$23,트라이포드!$K$23)*IF(MID(E514,5,1)="2",트라이포드!$R$23,트라이포드!$F$23)*(1+입력란!$P$19/100)/3</f>
        <v>0</v>
      </c>
      <c r="V514" s="21">
        <f>AN514*IF(MID(E514,3,1)="2",트라이포드!$L$23,트라이포드!$K$23)*IF(MID(E514,5,1)="2",트라이포드!$R$23,트라이포드!$F$23)*(1+입력란!$P$19/100)/3</f>
        <v>0</v>
      </c>
      <c r="W514" s="21"/>
      <c r="X514" s="21"/>
      <c r="Y514" s="21"/>
      <c r="Z514" s="20"/>
      <c r="AA514" s="21">
        <f>SUM(AB514:AI514)</f>
        <v>1986437.4850363748</v>
      </c>
      <c r="AB514" s="21">
        <f>S514*2</f>
        <v>1986437.4850363748</v>
      </c>
      <c r="AC514" s="21">
        <f>T514*2</f>
        <v>0</v>
      </c>
      <c r="AD514" s="21">
        <f>U514*2</f>
        <v>0</v>
      </c>
      <c r="AE514" s="21">
        <f>V514*2</f>
        <v>0</v>
      </c>
      <c r="AF514" s="21"/>
      <c r="AG514" s="21"/>
      <c r="AH514" s="21"/>
      <c r="AI514" s="20"/>
      <c r="AJ514" s="21">
        <f>AQ514*(1-입력란!$P$10/100)</f>
        <v>23.711464126079999</v>
      </c>
      <c r="AK5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4" s="21">
        <f>입력란!$P$24+IF(입력란!$C$18=1,10,IF(입력란!$C$18=2,25,IF(입력란!$C$18=3,50,0)))+IF(입력란!$C$23&lt;&gt;0,-12)</f>
        <v>200</v>
      </c>
      <c r="AM514" s="21">
        <f>SUM(AN514:AP514)</f>
        <v>364816.33938447217</v>
      </c>
      <c r="AN514" s="21">
        <f>(VLOOKUP(C514,$B$4:$AJ$7,28,FALSE)+VLOOKUP(C514,$B$8:$AJ$11,28,FALSE)*입력란!$P$4)*입력란!$P$25/100</f>
        <v>364816.33938447217</v>
      </c>
      <c r="AO514" s="21"/>
      <c r="AP514" s="21"/>
      <c r="AQ514" s="22">
        <v>24</v>
      </c>
    </row>
    <row r="515" spans="2:43" ht="13.5" customHeight="1" x14ac:dyDescent="0.55000000000000004">
      <c r="B515" s="66">
        <v>500</v>
      </c>
      <c r="C515" s="29">
        <v>10</v>
      </c>
      <c r="D515" s="49" t="s">
        <v>247</v>
      </c>
      <c r="E515" s="27" t="s">
        <v>240</v>
      </c>
      <c r="F515" s="29"/>
      <c r="G515" s="29"/>
      <c r="H515" s="37">
        <f>I515/AJ515</f>
        <v>99016.395415953331</v>
      </c>
      <c r="I515" s="37">
        <f>SUM(J515:Q515)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2347823.7077991297</v>
      </c>
      <c r="J515" s="21">
        <f>S515*(1+IF($AK515+IF(입력란!$C$26=1,10,0)+IF(MID(E515,3,1)="1",IF(G515="생명50%이하",트라이포드!$J$23,트라이포드!$I$23),0)&gt;100,100,$AK515+IF(입력란!$C$26=1,10,0)+IF(MID(E515,3,1)="1",IF(G515="생명50%이하",트라이포드!$J$23,트라이포드!$I$23),0))/100*(($AL515+IF(입력란!$C$30=1,17,IF(입력란!$C$30=2,20,IF(입력란!$C$30=3,22,0))))/100-1))</f>
        <v>755748.59744646261</v>
      </c>
      <c r="K515" s="21">
        <f>T515*(1+IF($AK515+IF(입력란!$C$26=1,10,0)+IF(MID(E515,3,1)="1",IF(G515="생명50%이하",트라이포드!$J$23,트라이포드!$I$23),0)&gt;100,100,$AK515+IF(입력란!$C$26=1,10,0)+IF(MID(E515,3,1)="1",IF(G515="생명50%이하",트라이포드!$J$23,트라이포드!$I$23),0))/100*(($AL515+IF(입력란!$C$30=1,17,IF(입력란!$C$30=2,20,IF(입력란!$C$30=3,22,0))))/100-1))</f>
        <v>302299.43897858507</v>
      </c>
      <c r="L515" s="21">
        <f>U515*(1+IF($AK515+IF(입력란!$C$26=1,10,0)+IF(MID(E515,3,1)="1",IF(G515="생명50%이하",트라이포드!$J$23,트라이포드!$I$23),0)&gt;100,100,$AK515+IF(입력란!$C$26=1,10,0)+IF(MID(E515,3,1)="1",IF(G515="생명50%이하",트라이포드!$J$23,트라이포드!$I$23),0))/100*(($AL515+IF(입력란!$C$30=1,17,IF(입력란!$C$30=2,20,IF(입력란!$C$30=3,22,0))))/100-1))</f>
        <v>302299.43897858507</v>
      </c>
      <c r="M515" s="21">
        <f>V515*(1+IF($AK515+IF(입력란!$C$26=1,10,0)+IF(MID(E515,3,1)="1",IF(G515="생명50%이하",트라이포드!$J$23,트라이포드!$I$23),0)&gt;100,100,$AK515+IF(입력란!$C$26=1,10,0)+IF(MID(E515,3,1)="1",IF(G515="생명50%이하",트라이포드!$J$23,트라이포드!$I$23),0))/100*(($AL515+IF(입력란!$C$30=1,17,IF(입력란!$C$30=2,20,IF(입력란!$C$30=3,22,0))))/100-1))</f>
        <v>302299.43897858507</v>
      </c>
      <c r="N515" s="21"/>
      <c r="O515" s="21"/>
      <c r="P515" s="21"/>
      <c r="Q515" s="20"/>
      <c r="R515" s="19">
        <f>SUM(S515:Z515)</f>
        <v>1092540.6167700063</v>
      </c>
      <c r="S515" s="21">
        <f>AN515*IF(MID(E515,3,1)="2",트라이포드!$L$23,트라이포드!$K$23)*IF(MID(E515,5,1)="1",트라이포드!$P$23,트라이포드!$O$23)*(1+입력란!$P$19/100)</f>
        <v>496609.37125909369</v>
      </c>
      <c r="T515" s="21">
        <f>AN515*IF(MID(E515,3,1)="2",트라이포드!$L$23,트라이포드!$K$23)*IF(MID(E515,5,1)="2",트라이포드!$R$23,트라이포드!$F$23)*(1+입력란!$P$19/100)/3</f>
        <v>198643.7485036375</v>
      </c>
      <c r="U515" s="21">
        <f>AN515*IF(MID(E515,3,1)="2",트라이포드!$L$23,트라이포드!$K$23)*IF(MID(E515,5,1)="2",트라이포드!$R$23,트라이포드!$F$23)*(1+입력란!$P$19/100)/3</f>
        <v>198643.7485036375</v>
      </c>
      <c r="V515" s="21">
        <f>AN515*IF(MID(E515,3,1)="2",트라이포드!$L$23,트라이포드!$K$23)*IF(MID(E515,5,1)="2",트라이포드!$R$23,트라이포드!$F$23)*(1+입력란!$P$19/100)/3</f>
        <v>198643.7485036375</v>
      </c>
      <c r="W515" s="21"/>
      <c r="X515" s="21"/>
      <c r="Y515" s="21"/>
      <c r="Z515" s="20"/>
      <c r="AA515" s="21">
        <f>SUM(AB515:AI515)</f>
        <v>2185081.2335400125</v>
      </c>
      <c r="AB515" s="21">
        <f>S515*2</f>
        <v>993218.74251818738</v>
      </c>
      <c r="AC515" s="21">
        <f>T515*2</f>
        <v>397287.497007275</v>
      </c>
      <c r="AD515" s="21">
        <f>U515*2</f>
        <v>397287.497007275</v>
      </c>
      <c r="AE515" s="21">
        <f>V515*2</f>
        <v>397287.497007275</v>
      </c>
      <c r="AF515" s="21"/>
      <c r="AG515" s="21"/>
      <c r="AH515" s="21"/>
      <c r="AI515" s="20"/>
      <c r="AJ515" s="21">
        <f>AQ515*(1-입력란!$P$10/100)</f>
        <v>23.711464126079999</v>
      </c>
      <c r="AK5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5" s="21">
        <f>입력란!$P$24+IF(입력란!$C$18=1,10,IF(입력란!$C$18=2,25,IF(입력란!$C$18=3,50,0)))+IF(입력란!$C$23&lt;&gt;0,-12)</f>
        <v>200</v>
      </c>
      <c r="AM515" s="21">
        <f>SUM(AN515:AP515)</f>
        <v>364816.33938447217</v>
      </c>
      <c r="AN515" s="21">
        <f>(VLOOKUP(C515,$B$4:$AJ$7,28,FALSE)+VLOOKUP(C515,$B$8:$AJ$11,28,FALSE)*입력란!$P$4)*입력란!$P$25/100</f>
        <v>364816.33938447217</v>
      </c>
      <c r="AO515" s="21"/>
      <c r="AP515" s="21"/>
      <c r="AQ515" s="22">
        <v>24</v>
      </c>
    </row>
    <row r="516" spans="2:43" ht="13.5" customHeight="1" x14ac:dyDescent="0.55000000000000004">
      <c r="B516" s="66">
        <v>501</v>
      </c>
      <c r="C516" s="29">
        <v>10</v>
      </c>
      <c r="D516" s="49" t="s">
        <v>247</v>
      </c>
      <c r="E516" s="27" t="s">
        <v>248</v>
      </c>
      <c r="F516" s="29"/>
      <c r="G516" s="29"/>
      <c r="H516" s="37">
        <f>I516/AJ516</f>
        <v>90014.904923593946</v>
      </c>
      <c r="I516" s="37">
        <f>SUM(J516:Q516)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2134385.1889082999</v>
      </c>
      <c r="J516" s="21">
        <f>S516*(1+IF($AK516+IF(입력란!$C$26=1,10,0)+IF(MID(E516,3,1)="1",IF(G516="생명50%이하",트라이포드!$J$23,트라이포드!$I$23),0)&gt;100,100,$AK516+IF(입력란!$C$26=1,10,0)+IF(MID(E516,3,1)="1",IF(G516="생명50%이하",트라이포드!$J$23,트라이포드!$I$23),0))/100*(($AL516+IF(입력란!$C$30=1,17,IF(입력란!$C$30=2,20,IF(입력란!$C$30=3,22,0))))/100-1))</f>
        <v>1511497.1948929252</v>
      </c>
      <c r="K516" s="21">
        <f>T516*(1+IF($AK516+IF(입력란!$C$26=1,10,0)+IF(MID(E516,3,1)="1",IF(G516="생명50%이하",트라이포드!$J$23,트라이포드!$I$23),0)&gt;100,100,$AK516+IF(입력란!$C$26=1,10,0)+IF(MID(E516,3,1)="1",IF(G516="생명50%이하",트라이포드!$J$23,트라이포드!$I$23),0))/100*(($AL516+IF(입력란!$C$30=1,17,IF(입력란!$C$30=2,20,IF(입력란!$C$30=3,22,0))))/100-1))</f>
        <v>0</v>
      </c>
      <c r="L516" s="21">
        <f>U516*(1+IF($AK516+IF(입력란!$C$26=1,10,0)+IF(MID(E516,3,1)="1",IF(G516="생명50%이하",트라이포드!$J$23,트라이포드!$I$23),0)&gt;100,100,$AK516+IF(입력란!$C$26=1,10,0)+IF(MID(E516,3,1)="1",IF(G516="생명50%이하",트라이포드!$J$23,트라이포드!$I$23),0))/100*(($AL516+IF(입력란!$C$30=1,17,IF(입력란!$C$30=2,20,IF(입력란!$C$30=3,22,0))))/100-1))</f>
        <v>0</v>
      </c>
      <c r="M516" s="21">
        <f>V516*(1+IF($AK516+IF(입력란!$C$26=1,10,0)+IF(MID(E516,3,1)="1",IF(G516="생명50%이하",트라이포드!$J$23,트라이포드!$I$23),0)&gt;100,100,$AK516+IF(입력란!$C$26=1,10,0)+IF(MID(E516,3,1)="1",IF(G516="생명50%이하",트라이포드!$J$23,트라이포드!$I$23),0))/100*(($AL516+IF(입력란!$C$30=1,17,IF(입력란!$C$30=2,20,IF(입력란!$C$30=3,22,0))))/100-1))</f>
        <v>0</v>
      </c>
      <c r="N516" s="21"/>
      <c r="O516" s="21"/>
      <c r="P516" s="21"/>
      <c r="Q516" s="20"/>
      <c r="R516" s="19">
        <f>SUM(S516:Z516)</f>
        <v>993218.74251818738</v>
      </c>
      <c r="S516" s="21">
        <f>AN516*IF(MID(E516,3,1)="2",트라이포드!$L$23,트라이포드!$K$23)*IF(MID(E516,5,1)="1",트라이포드!$P$23,트라이포드!$O$23)*(1+입력란!$P$19/100)</f>
        <v>993218.74251818738</v>
      </c>
      <c r="T516" s="21">
        <f>AN516*IF(MID(E516,3,1)="2",트라이포드!$L$23,트라이포드!$K$23)*IF(MID(E516,5,1)="2",트라이포드!$R$23,트라이포드!$F$23)*(1+입력란!$P$19/100)/3</f>
        <v>0</v>
      </c>
      <c r="U516" s="21">
        <f>AN516*IF(MID(E516,3,1)="2",트라이포드!$L$23,트라이포드!$K$23)*IF(MID(E516,5,1)="2",트라이포드!$R$23,트라이포드!$F$23)*(1+입력란!$P$19/100)/3</f>
        <v>0</v>
      </c>
      <c r="V516" s="21">
        <f>AN516*IF(MID(E516,3,1)="2",트라이포드!$L$23,트라이포드!$K$23)*IF(MID(E516,5,1)="2",트라이포드!$R$23,트라이포드!$F$23)*(1+입력란!$P$19/100)/3</f>
        <v>0</v>
      </c>
      <c r="W516" s="21"/>
      <c r="X516" s="21"/>
      <c r="Y516" s="21"/>
      <c r="Z516" s="20"/>
      <c r="AA516" s="21">
        <f>SUM(AB516:AI516)</f>
        <v>1986437.4850363748</v>
      </c>
      <c r="AB516" s="21">
        <f>S516*2</f>
        <v>1986437.4850363748</v>
      </c>
      <c r="AC516" s="21">
        <f>T516*2</f>
        <v>0</v>
      </c>
      <c r="AD516" s="21">
        <f>U516*2</f>
        <v>0</v>
      </c>
      <c r="AE516" s="21">
        <f>V516*2</f>
        <v>0</v>
      </c>
      <c r="AF516" s="21"/>
      <c r="AG516" s="21"/>
      <c r="AH516" s="21"/>
      <c r="AI516" s="20"/>
      <c r="AJ516" s="21">
        <f>AQ516*(1-입력란!$P$10/100)</f>
        <v>23.711464126079999</v>
      </c>
      <c r="AK5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6" s="21">
        <f>입력란!$P$24+IF(입력란!$C$18=1,10,IF(입력란!$C$18=2,25,IF(입력란!$C$18=3,50,0)))+IF(입력란!$C$23&lt;&gt;0,-12)</f>
        <v>200</v>
      </c>
      <c r="AM516" s="21">
        <f>SUM(AN516:AP516)</f>
        <v>364816.33938447217</v>
      </c>
      <c r="AN516" s="21">
        <f>(VLOOKUP(C516,$B$4:$AJ$7,28,FALSE)+VLOOKUP(C516,$B$8:$AJ$11,28,FALSE)*입력란!$P$4)*입력란!$P$25/100</f>
        <v>364816.33938447217</v>
      </c>
      <c r="AO516" s="21"/>
      <c r="AP516" s="21"/>
      <c r="AQ516" s="22">
        <v>24</v>
      </c>
    </row>
    <row r="517" spans="2:43" ht="13.5" customHeight="1" x14ac:dyDescent="0.55000000000000004">
      <c r="B517" s="66">
        <v>502</v>
      </c>
      <c r="C517" s="29">
        <v>10</v>
      </c>
      <c r="D517" s="49" t="s">
        <v>247</v>
      </c>
      <c r="E517" s="27" t="s">
        <v>249</v>
      </c>
      <c r="F517" s="29"/>
      <c r="G517" s="29"/>
      <c r="H517" s="37">
        <f>I517/AJ517</f>
        <v>99016.395415953331</v>
      </c>
      <c r="I517" s="37">
        <f>SUM(J517:Q517)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2347823.7077991297</v>
      </c>
      <c r="J517" s="21">
        <f>S517*(1+IF($AK517+IF(입력란!$C$26=1,10,0)+IF(MID(E517,3,1)="1",IF(G517="생명50%이하",트라이포드!$J$23,트라이포드!$I$23),0)&gt;100,100,$AK517+IF(입력란!$C$26=1,10,0)+IF(MID(E517,3,1)="1",IF(G517="생명50%이하",트라이포드!$J$23,트라이포드!$I$23),0))/100*(($AL517+IF(입력란!$C$30=1,17,IF(입력란!$C$30=2,20,IF(입력란!$C$30=3,22,0))))/100-1))</f>
        <v>755748.59744646261</v>
      </c>
      <c r="K517" s="21">
        <f>T517*(1+IF($AK517+IF(입력란!$C$26=1,10,0)+IF(MID(E517,3,1)="1",IF(G517="생명50%이하",트라이포드!$J$23,트라이포드!$I$23),0)&gt;100,100,$AK517+IF(입력란!$C$26=1,10,0)+IF(MID(E517,3,1)="1",IF(G517="생명50%이하",트라이포드!$J$23,트라이포드!$I$23),0))/100*(($AL517+IF(입력란!$C$30=1,17,IF(입력란!$C$30=2,20,IF(입력란!$C$30=3,22,0))))/100-1))</f>
        <v>302299.43897858507</v>
      </c>
      <c r="L517" s="21">
        <f>U517*(1+IF($AK517+IF(입력란!$C$26=1,10,0)+IF(MID(E517,3,1)="1",IF(G517="생명50%이하",트라이포드!$J$23,트라이포드!$I$23),0)&gt;100,100,$AK517+IF(입력란!$C$26=1,10,0)+IF(MID(E517,3,1)="1",IF(G517="생명50%이하",트라이포드!$J$23,트라이포드!$I$23),0))/100*(($AL517+IF(입력란!$C$30=1,17,IF(입력란!$C$30=2,20,IF(입력란!$C$30=3,22,0))))/100-1))</f>
        <v>302299.43897858507</v>
      </c>
      <c r="M517" s="21">
        <f>V517*(1+IF($AK517+IF(입력란!$C$26=1,10,0)+IF(MID(E517,3,1)="1",IF(G517="생명50%이하",트라이포드!$J$23,트라이포드!$I$23),0)&gt;100,100,$AK517+IF(입력란!$C$26=1,10,0)+IF(MID(E517,3,1)="1",IF(G517="생명50%이하",트라이포드!$J$23,트라이포드!$I$23),0))/100*(($AL517+IF(입력란!$C$30=1,17,IF(입력란!$C$30=2,20,IF(입력란!$C$30=3,22,0))))/100-1))</f>
        <v>302299.43897858507</v>
      </c>
      <c r="N517" s="21"/>
      <c r="O517" s="21"/>
      <c r="P517" s="21"/>
      <c r="Q517" s="20"/>
      <c r="R517" s="19">
        <f>SUM(S517:Z517)</f>
        <v>1092540.6167700063</v>
      </c>
      <c r="S517" s="21">
        <f>AN517*IF(MID(E517,3,1)="2",트라이포드!$L$23,트라이포드!$K$23)*IF(MID(E517,5,1)="1",트라이포드!$P$23,트라이포드!$O$23)*(1+입력란!$P$19/100)</f>
        <v>496609.37125909369</v>
      </c>
      <c r="T517" s="21">
        <f>AN517*IF(MID(E517,3,1)="2",트라이포드!$L$23,트라이포드!$K$23)*IF(MID(E517,5,1)="2",트라이포드!$R$23,트라이포드!$F$23)*(1+입력란!$P$19/100)/3</f>
        <v>198643.7485036375</v>
      </c>
      <c r="U517" s="21">
        <f>AN517*IF(MID(E517,3,1)="2",트라이포드!$L$23,트라이포드!$K$23)*IF(MID(E517,5,1)="2",트라이포드!$R$23,트라이포드!$F$23)*(1+입력란!$P$19/100)/3</f>
        <v>198643.7485036375</v>
      </c>
      <c r="V517" s="21">
        <f>AN517*IF(MID(E517,3,1)="2",트라이포드!$L$23,트라이포드!$K$23)*IF(MID(E517,5,1)="2",트라이포드!$R$23,트라이포드!$F$23)*(1+입력란!$P$19/100)/3</f>
        <v>198643.7485036375</v>
      </c>
      <c r="W517" s="21"/>
      <c r="X517" s="21"/>
      <c r="Y517" s="21"/>
      <c r="Z517" s="20"/>
      <c r="AA517" s="21">
        <f>SUM(AB517:AI517)</f>
        <v>2185081.2335400125</v>
      </c>
      <c r="AB517" s="21">
        <f>S517*2</f>
        <v>993218.74251818738</v>
      </c>
      <c r="AC517" s="21">
        <f>T517*2</f>
        <v>397287.497007275</v>
      </c>
      <c r="AD517" s="21">
        <f>U517*2</f>
        <v>397287.497007275</v>
      </c>
      <c r="AE517" s="21">
        <f>V517*2</f>
        <v>397287.497007275</v>
      </c>
      <c r="AF517" s="21"/>
      <c r="AG517" s="21"/>
      <c r="AH517" s="21"/>
      <c r="AI517" s="20"/>
      <c r="AJ517" s="21">
        <f>AQ517*(1-입력란!$P$10/100)</f>
        <v>23.711464126079999</v>
      </c>
      <c r="AK5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7" s="21">
        <f>입력란!$P$24+IF(입력란!$C$18=1,10,IF(입력란!$C$18=2,25,IF(입력란!$C$18=3,50,0)))+IF(입력란!$C$23&lt;&gt;0,-12)</f>
        <v>200</v>
      </c>
      <c r="AM517" s="21">
        <f>SUM(AN517:AP517)</f>
        <v>364816.33938447217</v>
      </c>
      <c r="AN517" s="21">
        <f>(VLOOKUP(C517,$B$4:$AJ$7,28,FALSE)+VLOOKUP(C517,$B$8:$AJ$11,28,FALSE)*입력란!$P$4)*입력란!$P$25/100</f>
        <v>364816.33938447217</v>
      </c>
      <c r="AO517" s="21"/>
      <c r="AP517" s="21"/>
      <c r="AQ517" s="22">
        <v>24</v>
      </c>
    </row>
    <row r="518" spans="2:43" ht="13.5" customHeight="1" x14ac:dyDescent="0.55000000000000004">
      <c r="B518" s="66">
        <v>503</v>
      </c>
      <c r="C518" s="29">
        <v>10</v>
      </c>
      <c r="D518" s="49" t="s">
        <v>247</v>
      </c>
      <c r="E518" s="27" t="s">
        <v>250</v>
      </c>
      <c r="F518" s="29" t="s">
        <v>252</v>
      </c>
      <c r="G518" s="29"/>
      <c r="H518" s="37">
        <f>I518/AJ518</f>
        <v>126020.86689303152</v>
      </c>
      <c r="I518" s="37">
        <f>SUM(J518:Q518)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2988139.2644716194</v>
      </c>
      <c r="J518" s="21">
        <f>S518*(1+IF($AK518+IF(입력란!$C$26=1,10,0)+IF(MID(E518,3,1)="1",IF(G518="생명50%이하",트라이포드!$J$23,트라이포드!$I$23),0)&gt;100,100,$AK518+IF(입력란!$C$26=1,10,0)+IF(MID(E518,3,1)="1",IF(G518="생명50%이하",트라이포드!$J$23,트라이포드!$I$23),0))/100*(($AL518+IF(입력란!$C$30=1,17,IF(입력란!$C$30=2,20,IF(입력란!$C$30=3,22,0))))/100-1))</f>
        <v>2116096.0728500951</v>
      </c>
      <c r="K518" s="21">
        <f>T518*(1+IF($AK518+IF(입력란!$C$26=1,10,0)+IF(MID(E518,3,1)="1",IF(G518="생명50%이하",트라이포드!$J$23,트라이포드!$I$23),0)&gt;100,100,$AK518+IF(입력란!$C$26=1,10,0)+IF(MID(E518,3,1)="1",IF(G518="생명50%이하",트라이포드!$J$23,트라이포드!$I$23),0))/100*(($AL518+IF(입력란!$C$30=1,17,IF(입력란!$C$30=2,20,IF(입력란!$C$30=3,22,0))))/100-1))</f>
        <v>0</v>
      </c>
      <c r="L518" s="21">
        <f>U518*(1+IF($AK518+IF(입력란!$C$26=1,10,0)+IF(MID(E518,3,1)="1",IF(G518="생명50%이하",트라이포드!$J$23,트라이포드!$I$23),0)&gt;100,100,$AK518+IF(입력란!$C$26=1,10,0)+IF(MID(E518,3,1)="1",IF(G518="생명50%이하",트라이포드!$J$23,트라이포드!$I$23),0))/100*(($AL518+IF(입력란!$C$30=1,17,IF(입력란!$C$30=2,20,IF(입력란!$C$30=3,22,0))))/100-1))</f>
        <v>0</v>
      </c>
      <c r="M518" s="21">
        <f>V518*(1+IF($AK518+IF(입력란!$C$26=1,10,0)+IF(MID(E518,3,1)="1",IF(G518="생명50%이하",트라이포드!$J$23,트라이포드!$I$23),0)&gt;100,100,$AK518+IF(입력란!$C$26=1,10,0)+IF(MID(E518,3,1)="1",IF(G518="생명50%이하",트라이포드!$J$23,트라이포드!$I$23),0))/100*(($AL518+IF(입력란!$C$30=1,17,IF(입력란!$C$30=2,20,IF(입력란!$C$30=3,22,0))))/100-1))</f>
        <v>0</v>
      </c>
      <c r="N518" s="21"/>
      <c r="O518" s="21"/>
      <c r="P518" s="21"/>
      <c r="Q518" s="20"/>
      <c r="R518" s="19">
        <f>SUM(S518:Z518)</f>
        <v>1390506.2395254623</v>
      </c>
      <c r="S518" s="21">
        <f>AN518*IF(MID(E518,3,1)="2",트라이포드!$L$23,트라이포드!$K$23)*IF(MID(E518,5,1)="1",트라이포드!$P$23,트라이포드!$O$23)*(1+입력란!$P$19/100)</f>
        <v>1390506.2395254623</v>
      </c>
      <c r="T518" s="21">
        <f>AN518*IF(MID(E518,3,1)="2",트라이포드!$L$23,트라이포드!$K$23)*IF(MID(E518,5,1)="2",트라이포드!$R$23,트라이포드!$F$23)*(1+입력란!$P$19/100)/3</f>
        <v>0</v>
      </c>
      <c r="U518" s="21">
        <f>AN518*IF(MID(E518,3,1)="2",트라이포드!$L$23,트라이포드!$K$23)*IF(MID(E518,5,1)="2",트라이포드!$R$23,트라이포드!$F$23)*(1+입력란!$P$19/100)/3</f>
        <v>0</v>
      </c>
      <c r="V518" s="21">
        <f>AN518*IF(MID(E518,3,1)="2",트라이포드!$L$23,트라이포드!$K$23)*IF(MID(E518,5,1)="2",트라이포드!$R$23,트라이포드!$F$23)*(1+입력란!$P$19/100)/3</f>
        <v>0</v>
      </c>
      <c r="W518" s="21"/>
      <c r="X518" s="21"/>
      <c r="Y518" s="21"/>
      <c r="Z518" s="20"/>
      <c r="AA518" s="21">
        <f>SUM(AB518:AI518)</f>
        <v>2781012.4790509245</v>
      </c>
      <c r="AB518" s="21">
        <f>S518*2</f>
        <v>2781012.4790509245</v>
      </c>
      <c r="AC518" s="21">
        <f>T518*2</f>
        <v>0</v>
      </c>
      <c r="AD518" s="21">
        <f>U518*2</f>
        <v>0</v>
      </c>
      <c r="AE518" s="21">
        <f>V518*2</f>
        <v>0</v>
      </c>
      <c r="AF518" s="21"/>
      <c r="AG518" s="21"/>
      <c r="AH518" s="21"/>
      <c r="AI518" s="20"/>
      <c r="AJ518" s="21">
        <f>AQ518*(1-입력란!$P$10/100)</f>
        <v>23.711464126079999</v>
      </c>
      <c r="AK5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8" s="21">
        <f>입력란!$P$24+IF(입력란!$C$18=1,10,IF(입력란!$C$18=2,25,IF(입력란!$C$18=3,50,0)))+IF(입력란!$C$23&lt;&gt;0,-12)</f>
        <v>200</v>
      </c>
      <c r="AM518" s="21">
        <f>SUM(AN518:AP518)</f>
        <v>364816.33938447217</v>
      </c>
      <c r="AN518" s="21">
        <f>(VLOOKUP(C518,$B$4:$AJ$7,28,FALSE)+VLOOKUP(C518,$B$8:$AJ$11,28,FALSE)*입력란!$P$4)*입력란!$P$25/100</f>
        <v>364816.33938447217</v>
      </c>
      <c r="AO518" s="21"/>
      <c r="AP518" s="21"/>
      <c r="AQ518" s="22">
        <v>24</v>
      </c>
    </row>
    <row r="519" spans="2:43" ht="13.5" customHeight="1" x14ac:dyDescent="0.55000000000000004">
      <c r="B519" s="66">
        <v>504</v>
      </c>
      <c r="C519" s="29">
        <v>10</v>
      </c>
      <c r="D519" s="49" t="s">
        <v>247</v>
      </c>
      <c r="E519" s="27" t="s">
        <v>251</v>
      </c>
      <c r="F519" s="29" t="s">
        <v>252</v>
      </c>
      <c r="G519" s="29"/>
      <c r="H519" s="37">
        <f>I519/AJ519</f>
        <v>138622.95358233468</v>
      </c>
      <c r="I519" s="37">
        <f>SUM(J519:Q519)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3286953.1909187818</v>
      </c>
      <c r="J519" s="21">
        <f>S519*(1+IF($AK519+IF(입력란!$C$26=1,10,0)+IF(MID(E519,3,1)="1",IF(G519="생명50%이하",트라이포드!$J$23,트라이포드!$I$23),0)&gt;100,100,$AK519+IF(입력란!$C$26=1,10,0)+IF(MID(E519,3,1)="1",IF(G519="생명50%이하",트라이포드!$J$23,트라이포드!$I$23),0))/100*(($AL519+IF(입력란!$C$30=1,17,IF(입력란!$C$30=2,20,IF(입력란!$C$30=3,22,0))))/100-1))</f>
        <v>1058048.0364250476</v>
      </c>
      <c r="K519" s="21">
        <f>T519*(1+IF($AK519+IF(입력란!$C$26=1,10,0)+IF(MID(E519,3,1)="1",IF(G519="생명50%이하",트라이포드!$J$23,트라이포드!$I$23),0)&gt;100,100,$AK519+IF(입력란!$C$26=1,10,0)+IF(MID(E519,3,1)="1",IF(G519="생명50%이하",트라이포드!$J$23,트라이포드!$I$23),0))/100*(($AL519+IF(입력란!$C$30=1,17,IF(입력란!$C$30=2,20,IF(입력란!$C$30=3,22,0))))/100-1))</f>
        <v>423219.2145700191</v>
      </c>
      <c r="L519" s="21">
        <f>U519*(1+IF($AK519+IF(입력란!$C$26=1,10,0)+IF(MID(E519,3,1)="1",IF(G519="생명50%이하",트라이포드!$J$23,트라이포드!$I$23),0)&gt;100,100,$AK519+IF(입력란!$C$26=1,10,0)+IF(MID(E519,3,1)="1",IF(G519="생명50%이하",트라이포드!$J$23,트라이포드!$I$23),0))/100*(($AL519+IF(입력란!$C$30=1,17,IF(입력란!$C$30=2,20,IF(입력란!$C$30=3,22,0))))/100-1))</f>
        <v>423219.2145700191</v>
      </c>
      <c r="M519" s="21">
        <f>V519*(1+IF($AK519+IF(입력란!$C$26=1,10,0)+IF(MID(E519,3,1)="1",IF(G519="생명50%이하",트라이포드!$J$23,트라이포드!$I$23),0)&gt;100,100,$AK519+IF(입력란!$C$26=1,10,0)+IF(MID(E519,3,1)="1",IF(G519="생명50%이하",트라이포드!$J$23,트라이포드!$I$23),0))/100*(($AL519+IF(입력란!$C$30=1,17,IF(입력란!$C$30=2,20,IF(입력란!$C$30=3,22,0))))/100-1))</f>
        <v>423219.2145700191</v>
      </c>
      <c r="N519" s="21"/>
      <c r="O519" s="21"/>
      <c r="P519" s="21"/>
      <c r="Q519" s="20"/>
      <c r="R519" s="19">
        <f>SUM(S519:Z519)</f>
        <v>1529556.8634780087</v>
      </c>
      <c r="S519" s="21">
        <f>AN519*IF(MID(E519,3,1)="2",트라이포드!$L$23,트라이포드!$K$23)*IF(MID(E519,5,1)="1",트라이포드!$P$23,트라이포드!$O$23)*(1+입력란!$P$19/100)</f>
        <v>695253.11976273113</v>
      </c>
      <c r="T519" s="21">
        <f>AN519*IF(MID(E519,3,1)="2",트라이포드!$L$23,트라이포드!$K$23)*IF(MID(E519,5,1)="2",트라이포드!$R$23,트라이포드!$F$23)*(1+입력란!$P$19/100)/3</f>
        <v>278101.24790509249</v>
      </c>
      <c r="U519" s="21">
        <f>AN519*IF(MID(E519,3,1)="2",트라이포드!$L$23,트라이포드!$K$23)*IF(MID(E519,5,1)="2",트라이포드!$R$23,트라이포드!$F$23)*(1+입력란!$P$19/100)/3</f>
        <v>278101.24790509249</v>
      </c>
      <c r="V519" s="21">
        <f>AN519*IF(MID(E519,3,1)="2",트라이포드!$L$23,트라이포드!$K$23)*IF(MID(E519,5,1)="2",트라이포드!$R$23,트라이포드!$F$23)*(1+입력란!$P$19/100)/3</f>
        <v>278101.24790509249</v>
      </c>
      <c r="W519" s="21"/>
      <c r="X519" s="21"/>
      <c r="Y519" s="21"/>
      <c r="Z519" s="20"/>
      <c r="AA519" s="21">
        <f>SUM(AB519:AI519)</f>
        <v>3059113.7269560173</v>
      </c>
      <c r="AB519" s="21">
        <f>S519*2</f>
        <v>1390506.2395254623</v>
      </c>
      <c r="AC519" s="21">
        <f>T519*2</f>
        <v>556202.49581018498</v>
      </c>
      <c r="AD519" s="21">
        <f>U519*2</f>
        <v>556202.49581018498</v>
      </c>
      <c r="AE519" s="21">
        <f>V519*2</f>
        <v>556202.49581018498</v>
      </c>
      <c r="AF519" s="21"/>
      <c r="AG519" s="21"/>
      <c r="AH519" s="21"/>
      <c r="AI519" s="20"/>
      <c r="AJ519" s="21">
        <f>AQ519*(1-입력란!$P$10/100)</f>
        <v>23.711464126079999</v>
      </c>
      <c r="AK5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19" s="21">
        <f>입력란!$P$24+IF(입력란!$C$18=1,10,IF(입력란!$C$18=2,25,IF(입력란!$C$18=3,50,0)))+IF(입력란!$C$23&lt;&gt;0,-12)</f>
        <v>200</v>
      </c>
      <c r="AM519" s="21">
        <f>SUM(AN519:AP519)</f>
        <v>364816.33938447217</v>
      </c>
      <c r="AN519" s="21">
        <f>(VLOOKUP(C519,$B$4:$AJ$7,28,FALSE)+VLOOKUP(C519,$B$8:$AJ$11,28,FALSE)*입력란!$P$4)*입력란!$P$25/100</f>
        <v>364816.33938447217</v>
      </c>
      <c r="AO519" s="21"/>
      <c r="AP519" s="21"/>
      <c r="AQ519" s="22">
        <v>24</v>
      </c>
    </row>
    <row r="520" spans="2:43" ht="13.5" customHeight="1" x14ac:dyDescent="0.55000000000000004">
      <c r="B520" s="66">
        <v>505</v>
      </c>
      <c r="C520" s="29">
        <v>1</v>
      </c>
      <c r="D520" s="49" t="s">
        <v>247</v>
      </c>
      <c r="E520" s="27" t="s">
        <v>232</v>
      </c>
      <c r="F520" s="29"/>
      <c r="G520" s="29" t="s">
        <v>376</v>
      </c>
      <c r="H520" s="37">
        <f>I520/AJ520</f>
        <v>44903.624129832024</v>
      </c>
      <c r="I520" s="37">
        <f>SUM(J520:Q520)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1064730.6726854923</v>
      </c>
      <c r="J520" s="21">
        <f>S520*(1+IF($AK520+IF(입력란!$C$26=1,10,0)+IF(MID(E520,3,1)="1",IF(G520="생명50%이하",트라이포드!$J$23,트라이포드!$I$23),0)&gt;100,100,$AK520+IF(입력란!$C$26=1,10,0)+IF(MID(E520,3,1)="1",IF(G520="생명50%이하",트라이포드!$J$23,트라이포드!$I$23),0))/100*(($AL520+IF(입력란!$C$30=1,17,IF(입력란!$C$30=2,20,IF(입력란!$C$30=3,22,0))))/100-1))</f>
        <v>754005.15026236966</v>
      </c>
      <c r="K520" s="21">
        <f>T520*(1+IF($AK520+IF(입력란!$C$26=1,10,0)+IF(MID(E520,3,1)="1",IF(G520="생명50%이하",트라이포드!$J$23,트라이포드!$I$23),0)&gt;100,100,$AK520+IF(입력란!$C$26=1,10,0)+IF(MID(E520,3,1)="1",IF(G520="생명50%이하",트라이포드!$J$23,트라이포드!$I$23),0))/100*(($AL520+IF(입력란!$C$30=1,17,IF(입력란!$C$30=2,20,IF(입력란!$C$30=3,22,0))))/100-1))</f>
        <v>0</v>
      </c>
      <c r="L520" s="21">
        <f>U520*(1+IF($AK520+IF(입력란!$C$26=1,10,0)+IF(MID(E520,3,1)="1",IF(G520="생명50%이하",트라이포드!$J$23,트라이포드!$I$23),0)&gt;100,100,$AK520+IF(입력란!$C$26=1,10,0)+IF(MID(E520,3,1)="1",IF(G520="생명50%이하",트라이포드!$J$23,트라이포드!$I$23),0))/100*(($AL520+IF(입력란!$C$30=1,17,IF(입력란!$C$30=2,20,IF(입력란!$C$30=3,22,0))))/100-1))</f>
        <v>0</v>
      </c>
      <c r="M520" s="21">
        <f>V520*(1+IF($AK520+IF(입력란!$C$26=1,10,0)+IF(MID(E520,3,1)="1",IF(G520="생명50%이하",트라이포드!$J$23,트라이포드!$I$23),0)&gt;100,100,$AK520+IF(입력란!$C$26=1,10,0)+IF(MID(E520,3,1)="1",IF(G520="생명50%이하",트라이포드!$J$23,트라이포드!$I$23),0))/100*(($AL520+IF(입력란!$C$30=1,17,IF(입력란!$C$30=2,20,IF(입력란!$C$30=3,22,0))))/100-1))</f>
        <v>0</v>
      </c>
      <c r="N520" s="21"/>
      <c r="O520" s="21"/>
      <c r="P520" s="21"/>
      <c r="Q520" s="20"/>
      <c r="R520" s="19">
        <f>SUM(S520:Z520)</f>
        <v>495463.73604013165</v>
      </c>
      <c r="S520" s="21">
        <f>AN520*IF(MID(E520,3,1)="2",트라이포드!$L$23,트라이포드!$K$23)*IF(MID(E520,5,1)="1",트라이포드!$P$23,트라이포드!$O$23)*(1+입력란!$P$19/100)</f>
        <v>495463.73604013165</v>
      </c>
      <c r="T520" s="21">
        <f>AN520*IF(MID(E520,3,1)="2",트라이포드!$L$23,트라이포드!$K$23)*IF(MID(E520,5,1)="2",트라이포드!$R$23,트라이포드!$F$23)*(1+입력란!$P$19/100)/3</f>
        <v>0</v>
      </c>
      <c r="U520" s="21">
        <f>AN520*IF(MID(E520,3,1)="2",트라이포드!$L$23,트라이포드!$K$23)*IF(MID(E520,5,1)="2",트라이포드!$R$23,트라이포드!$F$23)*(1+입력란!$P$19/100)/3</f>
        <v>0</v>
      </c>
      <c r="V520" s="21">
        <f>AN520*IF(MID(E520,3,1)="2",트라이포드!$L$23,트라이포드!$K$23)*IF(MID(E520,5,1)="2",트라이포드!$R$23,트라이포드!$F$23)*(1+입력란!$P$19/100)/3</f>
        <v>0</v>
      </c>
      <c r="W520" s="21"/>
      <c r="X520" s="21"/>
      <c r="Y520" s="21"/>
      <c r="Z520" s="20"/>
      <c r="AA520" s="21">
        <f>SUM(AB520:AI520)</f>
        <v>990927.47208026331</v>
      </c>
      <c r="AB520" s="21">
        <f>S520*2</f>
        <v>990927.47208026331</v>
      </c>
      <c r="AC520" s="21">
        <f>T520*2</f>
        <v>0</v>
      </c>
      <c r="AD520" s="21">
        <f>U520*2</f>
        <v>0</v>
      </c>
      <c r="AE520" s="21">
        <f>V520*2</f>
        <v>0</v>
      </c>
      <c r="AF520" s="21"/>
      <c r="AG520" s="21"/>
      <c r="AH520" s="21"/>
      <c r="AI520" s="20"/>
      <c r="AJ520" s="21">
        <f>AQ520*(1-입력란!$P$10/100)</f>
        <v>23.711464126079999</v>
      </c>
      <c r="AK5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0" s="21">
        <f>입력란!$P$24+IF(입력란!$C$18=1,10,IF(입력란!$C$18=2,25,IF(입력란!$C$18=3,50,0)))+IF(입력란!$C$23&lt;&gt;0,-12)</f>
        <v>200</v>
      </c>
      <c r="AM520" s="21">
        <f>SUM(AN520:AP520)</f>
        <v>363974.73938447214</v>
      </c>
      <c r="AN520" s="21">
        <f>(VLOOKUP(C520,$B$4:$AJ$7,28,FALSE)+VLOOKUP(C520,$B$8:$AJ$11,28,FALSE)*입력란!$P$4)*입력란!$P$25/100</f>
        <v>363974.73938447214</v>
      </c>
      <c r="AO520" s="21"/>
      <c r="AP520" s="21"/>
      <c r="AQ520" s="22">
        <v>24</v>
      </c>
    </row>
    <row r="521" spans="2:43" ht="13.5" customHeight="1" x14ac:dyDescent="0.55000000000000004">
      <c r="B521" s="66">
        <v>506</v>
      </c>
      <c r="C521" s="29">
        <v>4</v>
      </c>
      <c r="D521" s="49" t="s">
        <v>247</v>
      </c>
      <c r="E521" s="27" t="s">
        <v>232</v>
      </c>
      <c r="F521" s="29"/>
      <c r="G521" s="29" t="s">
        <v>376</v>
      </c>
      <c r="H521" s="37">
        <f>I521/AJ521</f>
        <v>44962.496373194284</v>
      </c>
      <c r="I521" s="37">
        <f>SUM(J521:Q521)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1066126.6197719984</v>
      </c>
      <c r="J521" s="21">
        <f>S521*(1+IF($AK521+IF(입력란!$C$26=1,10,0)+IF(MID(E521,3,1)="1",IF(G521="생명50%이하",트라이포드!$J$23,트라이포드!$I$23),0)&gt;100,100,$AK521+IF(입력란!$C$26=1,10,0)+IF(MID(E521,3,1)="1",IF(G521="생명50%이하",트라이포드!$J$23,트라이포드!$I$23),0))/100*(($AL521+IF(입력란!$C$30=1,17,IF(입력란!$C$30=2,20,IF(입력란!$C$30=3,22,0))))/100-1))</f>
        <v>754993.71133205737</v>
      </c>
      <c r="K521" s="21">
        <f>T521*(1+IF($AK521+IF(입력란!$C$26=1,10,0)+IF(MID(E521,3,1)="1",IF(G521="생명50%이하",트라이포드!$J$23,트라이포드!$I$23),0)&gt;100,100,$AK521+IF(입력란!$C$26=1,10,0)+IF(MID(E521,3,1)="1",IF(G521="생명50%이하",트라이포드!$J$23,트라이포드!$I$23),0))/100*(($AL521+IF(입력란!$C$30=1,17,IF(입력란!$C$30=2,20,IF(입력란!$C$30=3,22,0))))/100-1))</f>
        <v>0</v>
      </c>
      <c r="L521" s="21">
        <f>U521*(1+IF($AK521+IF(입력란!$C$26=1,10,0)+IF(MID(E521,3,1)="1",IF(G521="생명50%이하",트라이포드!$J$23,트라이포드!$I$23),0)&gt;100,100,$AK521+IF(입력란!$C$26=1,10,0)+IF(MID(E521,3,1)="1",IF(G521="생명50%이하",트라이포드!$J$23,트라이포드!$I$23),0))/100*(($AL521+IF(입력란!$C$30=1,17,IF(입력란!$C$30=2,20,IF(입력란!$C$30=3,22,0))))/100-1))</f>
        <v>0</v>
      </c>
      <c r="M521" s="21">
        <f>V521*(1+IF($AK521+IF(입력란!$C$26=1,10,0)+IF(MID(E521,3,1)="1",IF(G521="생명50%이하",트라이포드!$J$23,트라이포드!$I$23),0)&gt;100,100,$AK521+IF(입력란!$C$26=1,10,0)+IF(MID(E521,3,1)="1",IF(G521="생명50%이하",트라이포드!$J$23,트라이포드!$I$23),0))/100*(($AL521+IF(입력란!$C$30=1,17,IF(입력란!$C$30=2,20,IF(입력란!$C$30=3,22,0))))/100-1))</f>
        <v>0</v>
      </c>
      <c r="N521" s="21"/>
      <c r="O521" s="21"/>
      <c r="P521" s="21"/>
      <c r="Q521" s="20"/>
      <c r="R521" s="19">
        <f>SUM(S521:Z521)</f>
        <v>496113.32863339293</v>
      </c>
      <c r="S521" s="21">
        <f>AN521*IF(MID(E521,3,1)="2",트라이포드!$L$23,트라이포드!$K$23)*IF(MID(E521,5,1)="1",트라이포드!$P$23,트라이포드!$O$23)*(1+입력란!$P$19/100)</f>
        <v>496113.32863339293</v>
      </c>
      <c r="T521" s="21">
        <f>AN521*IF(MID(E521,3,1)="2",트라이포드!$L$23,트라이포드!$K$23)*IF(MID(E521,5,1)="2",트라이포드!$R$23,트라이포드!$F$23)*(1+입력란!$P$19/100)/3</f>
        <v>0</v>
      </c>
      <c r="U521" s="21">
        <f>AN521*IF(MID(E521,3,1)="2",트라이포드!$L$23,트라이포드!$K$23)*IF(MID(E521,5,1)="2",트라이포드!$R$23,트라이포드!$F$23)*(1+입력란!$P$19/100)/3</f>
        <v>0</v>
      </c>
      <c r="V521" s="21">
        <f>AN521*IF(MID(E521,3,1)="2",트라이포드!$L$23,트라이포드!$K$23)*IF(MID(E521,5,1)="2",트라이포드!$R$23,트라이포드!$F$23)*(1+입력란!$P$19/100)/3</f>
        <v>0</v>
      </c>
      <c r="W521" s="21"/>
      <c r="X521" s="21"/>
      <c r="Y521" s="21"/>
      <c r="Z521" s="20"/>
      <c r="AA521" s="21">
        <f>SUM(AB521:AI521)</f>
        <v>992226.65726678586</v>
      </c>
      <c r="AB521" s="21">
        <f>S521*2</f>
        <v>992226.65726678586</v>
      </c>
      <c r="AC521" s="21">
        <f>T521*2</f>
        <v>0</v>
      </c>
      <c r="AD521" s="21">
        <f>U521*2</f>
        <v>0</v>
      </c>
      <c r="AE521" s="21">
        <f>V521*2</f>
        <v>0</v>
      </c>
      <c r="AF521" s="21"/>
      <c r="AG521" s="21"/>
      <c r="AH521" s="21"/>
      <c r="AI521" s="20"/>
      <c r="AJ521" s="21">
        <f>AQ521*(1-입력란!$P$10/100)</f>
        <v>23.711464126079999</v>
      </c>
      <c r="AK5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1" s="21">
        <f>입력란!$P$24+IF(입력란!$C$18=1,10,IF(입력란!$C$18=2,25,IF(입력란!$C$18=3,50,0)))+IF(입력란!$C$23&lt;&gt;0,-12)</f>
        <v>200</v>
      </c>
      <c r="AM521" s="21">
        <f>SUM(AN521:AP521)</f>
        <v>364451.93938447215</v>
      </c>
      <c r="AN521" s="21">
        <f>(VLOOKUP(C521,$B$4:$AJ$7,28,FALSE)+VLOOKUP(C521,$B$8:$AJ$11,28,FALSE)*입력란!$P$4)*입력란!$P$25/100</f>
        <v>364451.93938447215</v>
      </c>
      <c r="AO521" s="21"/>
      <c r="AP521" s="21"/>
      <c r="AQ521" s="22">
        <v>24</v>
      </c>
    </row>
    <row r="522" spans="2:43" ht="13.5" customHeight="1" x14ac:dyDescent="0.55000000000000004">
      <c r="B522" s="66">
        <v>507</v>
      </c>
      <c r="C522" s="29">
        <v>7</v>
      </c>
      <c r="D522" s="49" t="s">
        <v>247</v>
      </c>
      <c r="E522" s="27" t="s">
        <v>232</v>
      </c>
      <c r="F522" s="29"/>
      <c r="G522" s="29" t="s">
        <v>376</v>
      </c>
      <c r="H522" s="37">
        <f>I522/AJ522</f>
        <v>44989.933898181211</v>
      </c>
      <c r="I522" s="37">
        <f>SUM(J522:Q522)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1066777.2036614344</v>
      </c>
      <c r="J522" s="21">
        <f>S522*(1+IF($AK522+IF(입력란!$C$26=1,10,0)+IF(MID(E522,3,1)="1",IF(G522="생명50%이하",트라이포드!$J$23,트라이포드!$I$23),0)&gt;100,100,$AK522+IF(입력란!$C$26=1,10,0)+IF(MID(E522,3,1)="1",IF(G522="생명50%이하",트라이포드!$J$23,트라이포드!$I$23),0))/100*(($AL522+IF(입력란!$C$30=1,17,IF(입력란!$C$30=2,20,IF(입력란!$C$30=3,22,0))))/100-1))</f>
        <v>755454.43216587661</v>
      </c>
      <c r="K522" s="21">
        <f>T522*(1+IF($AK522+IF(입력란!$C$26=1,10,0)+IF(MID(E522,3,1)="1",IF(G522="생명50%이하",트라이포드!$J$23,트라이포드!$I$23),0)&gt;100,100,$AK522+IF(입력란!$C$26=1,10,0)+IF(MID(E522,3,1)="1",IF(G522="생명50%이하",트라이포드!$J$23,트라이포드!$I$23),0))/100*(($AL522+IF(입력란!$C$30=1,17,IF(입력란!$C$30=2,20,IF(입력란!$C$30=3,22,0))))/100-1))</f>
        <v>0</v>
      </c>
      <c r="L522" s="21">
        <f>U522*(1+IF($AK522+IF(입력란!$C$26=1,10,0)+IF(MID(E522,3,1)="1",IF(G522="생명50%이하",트라이포드!$J$23,트라이포드!$I$23),0)&gt;100,100,$AK522+IF(입력란!$C$26=1,10,0)+IF(MID(E522,3,1)="1",IF(G522="생명50%이하",트라이포드!$J$23,트라이포드!$I$23),0))/100*(($AL522+IF(입력란!$C$30=1,17,IF(입력란!$C$30=2,20,IF(입력란!$C$30=3,22,0))))/100-1))</f>
        <v>0</v>
      </c>
      <c r="M522" s="21">
        <f>V522*(1+IF($AK522+IF(입력란!$C$26=1,10,0)+IF(MID(E522,3,1)="1",IF(G522="생명50%이하",트라이포드!$J$23,트라이포드!$I$23),0)&gt;100,100,$AK522+IF(입력란!$C$26=1,10,0)+IF(MID(E522,3,1)="1",IF(G522="생명50%이하",트라이포드!$J$23,트라이포드!$I$23),0))/100*(($AL522+IF(입력란!$C$30=1,17,IF(입력란!$C$30=2,20,IF(입력란!$C$30=3,22,0))))/100-1))</f>
        <v>0</v>
      </c>
      <c r="N522" s="21"/>
      <c r="O522" s="21"/>
      <c r="P522" s="21"/>
      <c r="Q522" s="20"/>
      <c r="R522" s="19">
        <f>SUM(S522:Z522)</f>
        <v>496416.0725410654</v>
      </c>
      <c r="S522" s="21">
        <f>AN522*IF(MID(E522,3,1)="2",트라이포드!$L$23,트라이포드!$K$23)*IF(MID(E522,5,1)="1",트라이포드!$P$23,트라이포드!$O$23)*(1+입력란!$P$19/100)</f>
        <v>496416.0725410654</v>
      </c>
      <c r="T522" s="21">
        <f>AN522*IF(MID(E522,3,1)="2",트라이포드!$L$23,트라이포드!$K$23)*IF(MID(E522,5,1)="2",트라이포드!$R$23,트라이포드!$F$23)*(1+입력란!$P$19/100)/3</f>
        <v>0</v>
      </c>
      <c r="U522" s="21">
        <f>AN522*IF(MID(E522,3,1)="2",트라이포드!$L$23,트라이포드!$K$23)*IF(MID(E522,5,1)="2",트라이포드!$R$23,트라이포드!$F$23)*(1+입력란!$P$19/100)/3</f>
        <v>0</v>
      </c>
      <c r="V522" s="21">
        <f>AN522*IF(MID(E522,3,1)="2",트라이포드!$L$23,트라이포드!$K$23)*IF(MID(E522,5,1)="2",트라이포드!$R$23,트라이포드!$F$23)*(1+입력란!$P$19/100)/3</f>
        <v>0</v>
      </c>
      <c r="W522" s="21"/>
      <c r="X522" s="21"/>
      <c r="Y522" s="21"/>
      <c r="Z522" s="20"/>
      <c r="AA522" s="21">
        <f>SUM(AB522:AI522)</f>
        <v>992832.1450821308</v>
      </c>
      <c r="AB522" s="21">
        <f>S522*2</f>
        <v>992832.1450821308</v>
      </c>
      <c r="AC522" s="21">
        <f>T522*2</f>
        <v>0</v>
      </c>
      <c r="AD522" s="21">
        <f>U522*2</f>
        <v>0</v>
      </c>
      <c r="AE522" s="21">
        <f>V522*2</f>
        <v>0</v>
      </c>
      <c r="AF522" s="21"/>
      <c r="AG522" s="21"/>
      <c r="AH522" s="21"/>
      <c r="AI522" s="20"/>
      <c r="AJ522" s="21">
        <f>AQ522*(1-입력란!$P$10/100)</f>
        <v>23.711464126079999</v>
      </c>
      <c r="AK5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2" s="21">
        <f>입력란!$P$24+IF(입력란!$C$18=1,10,IF(입력란!$C$18=2,25,IF(입력란!$C$18=3,50,0)))+IF(입력란!$C$23&lt;&gt;0,-12)</f>
        <v>200</v>
      </c>
      <c r="AM522" s="21">
        <f>SUM(AN522:AP522)</f>
        <v>364674.33938447217</v>
      </c>
      <c r="AN522" s="21">
        <f>(VLOOKUP(C522,$B$4:$AJ$7,28,FALSE)+VLOOKUP(C522,$B$8:$AJ$11,28,FALSE)*입력란!$P$4)*입력란!$P$25/100</f>
        <v>364674.33938447217</v>
      </c>
      <c r="AO522" s="21"/>
      <c r="AP522" s="21"/>
      <c r="AQ522" s="22">
        <v>24</v>
      </c>
    </row>
    <row r="523" spans="2:43" ht="13.5" customHeight="1" x14ac:dyDescent="0.55000000000000004">
      <c r="B523" s="66">
        <v>508</v>
      </c>
      <c r="C523" s="29">
        <v>7</v>
      </c>
      <c r="D523" s="49" t="s">
        <v>247</v>
      </c>
      <c r="E523" s="27" t="s">
        <v>234</v>
      </c>
      <c r="F523" s="29"/>
      <c r="G523" s="29" t="s">
        <v>375</v>
      </c>
      <c r="H523" s="37">
        <f>I523/AJ523</f>
        <v>59126.600728482867</v>
      </c>
      <c r="I523" s="37">
        <f>SUM(J523:Q523)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1401978.272070477</v>
      </c>
      <c r="J523" s="21">
        <f>S523*(1+IF($AK523+IF(입력란!$C$26=1,10,0)+IF(MID(E523,3,1)="1",IF(G523="생명50%이하",트라이포드!$J$23,트라이포드!$I$23),0)&gt;100,100,$AK523+IF(입력란!$C$26=1,10,0)+IF(MID(E523,3,1)="1",IF(G523="생명50%이하",트라이포드!$J$23,트라이포드!$I$23),0))/100*(($AL523+IF(입력란!$C$30=1,17,IF(입력란!$C$30=2,20,IF(입력란!$C$30=3,22,0))))/100-1))</f>
        <v>992832.1450821308</v>
      </c>
      <c r="K523" s="21">
        <f>T523*(1+IF($AK523+IF(입력란!$C$26=1,10,0)+IF(MID(E523,3,1)="1",IF(G523="생명50%이하",트라이포드!$J$23,트라이포드!$I$23),0)&gt;100,100,$AK523+IF(입력란!$C$26=1,10,0)+IF(MID(E523,3,1)="1",IF(G523="생명50%이하",트라이포드!$J$23,트라이포드!$I$23),0))/100*(($AL523+IF(입력란!$C$30=1,17,IF(입력란!$C$30=2,20,IF(입력란!$C$30=3,22,0))))/100-1))</f>
        <v>0</v>
      </c>
      <c r="L523" s="21">
        <f>U523*(1+IF($AK523+IF(입력란!$C$26=1,10,0)+IF(MID(E523,3,1)="1",IF(G523="생명50%이하",트라이포드!$J$23,트라이포드!$I$23),0)&gt;100,100,$AK523+IF(입력란!$C$26=1,10,0)+IF(MID(E523,3,1)="1",IF(G523="생명50%이하",트라이포드!$J$23,트라이포드!$I$23),0))/100*(($AL523+IF(입력란!$C$30=1,17,IF(입력란!$C$30=2,20,IF(입력란!$C$30=3,22,0))))/100-1))</f>
        <v>0</v>
      </c>
      <c r="M523" s="21">
        <f>V523*(1+IF($AK523+IF(입력란!$C$26=1,10,0)+IF(MID(E523,3,1)="1",IF(G523="생명50%이하",트라이포드!$J$23,트라이포드!$I$23),0)&gt;100,100,$AK523+IF(입력란!$C$26=1,10,0)+IF(MID(E523,3,1)="1",IF(G523="생명50%이하",트라이포드!$J$23,트라이포드!$I$23),0))/100*(($AL523+IF(입력란!$C$30=1,17,IF(입력란!$C$30=2,20,IF(입력란!$C$30=3,22,0))))/100-1))</f>
        <v>0</v>
      </c>
      <c r="N523" s="21"/>
      <c r="O523" s="21"/>
      <c r="P523" s="21"/>
      <c r="Q523" s="20"/>
      <c r="R523" s="19">
        <f>SUM(S523:Z523)</f>
        <v>496416.0725410654</v>
      </c>
      <c r="S523" s="21">
        <f>AN523*IF(MID(E523,3,1)="2",트라이포드!$L$23,트라이포드!$K$23)*IF(MID(E523,5,1)="1",트라이포드!$P$23,트라이포드!$O$23)*(1+입력란!$P$19/100)</f>
        <v>496416.0725410654</v>
      </c>
      <c r="T523" s="21">
        <f>AN523*IF(MID(E523,3,1)="2",트라이포드!$L$23,트라이포드!$K$23)*IF(MID(E523,5,1)="2",트라이포드!$R$23,트라이포드!$F$23)*(1+입력란!$P$19/100)/3</f>
        <v>0</v>
      </c>
      <c r="U523" s="21">
        <f>AN523*IF(MID(E523,3,1)="2",트라이포드!$L$23,트라이포드!$K$23)*IF(MID(E523,5,1)="2",트라이포드!$R$23,트라이포드!$F$23)*(1+입력란!$P$19/100)/3</f>
        <v>0</v>
      </c>
      <c r="V523" s="21">
        <f>AN523*IF(MID(E523,3,1)="2",트라이포드!$L$23,트라이포드!$K$23)*IF(MID(E523,5,1)="2",트라이포드!$R$23,트라이포드!$F$23)*(1+입력란!$P$19/100)/3</f>
        <v>0</v>
      </c>
      <c r="W523" s="21"/>
      <c r="X523" s="21"/>
      <c r="Y523" s="21"/>
      <c r="Z523" s="20"/>
      <c r="AA523" s="21">
        <f>SUM(AB523:AI523)</f>
        <v>992832.1450821308</v>
      </c>
      <c r="AB523" s="21">
        <f>S523*2</f>
        <v>992832.1450821308</v>
      </c>
      <c r="AC523" s="21">
        <f>T523*2</f>
        <v>0</v>
      </c>
      <c r="AD523" s="21">
        <f>U523*2</f>
        <v>0</v>
      </c>
      <c r="AE523" s="21">
        <f>V523*2</f>
        <v>0</v>
      </c>
      <c r="AF523" s="21"/>
      <c r="AG523" s="21"/>
      <c r="AH523" s="21"/>
      <c r="AI523" s="20"/>
      <c r="AJ523" s="21">
        <f>AQ523*(1-입력란!$P$10/100)</f>
        <v>23.711464126079999</v>
      </c>
      <c r="AK5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3" s="21">
        <f>입력란!$P$24+IF(입력란!$C$18=1,10,IF(입력란!$C$18=2,25,IF(입력란!$C$18=3,50,0)))+IF(입력란!$C$23&lt;&gt;0,-12)</f>
        <v>200</v>
      </c>
      <c r="AM523" s="21">
        <f>SUM(AN523:AP523)</f>
        <v>364674.33938447217</v>
      </c>
      <c r="AN523" s="21">
        <f>(VLOOKUP(C523,$B$4:$AJ$7,28,FALSE)+VLOOKUP(C523,$B$8:$AJ$11,28,FALSE)*입력란!$P$4)*입력란!$P$25/100</f>
        <v>364674.33938447217</v>
      </c>
      <c r="AO523" s="21"/>
      <c r="AP523" s="21"/>
      <c r="AQ523" s="22">
        <v>24</v>
      </c>
    </row>
    <row r="524" spans="2:43" ht="13.5" customHeight="1" x14ac:dyDescent="0.55000000000000004">
      <c r="B524" s="66">
        <v>509</v>
      </c>
      <c r="C524" s="29">
        <v>7</v>
      </c>
      <c r="D524" s="49" t="s">
        <v>247</v>
      </c>
      <c r="E524" s="27" t="s">
        <v>233</v>
      </c>
      <c r="F524" s="29" t="s">
        <v>252</v>
      </c>
      <c r="G524" s="29" t="s">
        <v>375</v>
      </c>
      <c r="H524" s="37">
        <f>I524/AJ524</f>
        <v>62985.907457453708</v>
      </c>
      <c r="I524" s="37">
        <f>SUM(J524:Q524)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1493488.0851260084</v>
      </c>
      <c r="J524" s="21">
        <f>S524*(1+IF($AK524+IF(입력란!$C$26=1,10,0)+IF(MID(E524,3,1)="1",IF(G524="생명50%이하",트라이포드!$J$23,트라이포드!$I$23),0)&gt;100,100,$AK524+IF(입력란!$C$26=1,10,0)+IF(MID(E524,3,1)="1",IF(G524="생명50%이하",트라이포드!$J$23,트라이포드!$I$23),0))/100*(($AL524+IF(입력란!$C$30=1,17,IF(입력란!$C$30=2,20,IF(입력란!$C$30=3,22,0))))/100-1))</f>
        <v>1057636.2050322273</v>
      </c>
      <c r="K524" s="21">
        <f>T524*(1+IF($AK524+IF(입력란!$C$26=1,10,0)+IF(MID(E524,3,1)="1",IF(G524="생명50%이하",트라이포드!$J$23,트라이포드!$I$23),0)&gt;100,100,$AK524+IF(입력란!$C$26=1,10,0)+IF(MID(E524,3,1)="1",IF(G524="생명50%이하",트라이포드!$J$23,트라이포드!$I$23),0))/100*(($AL524+IF(입력란!$C$30=1,17,IF(입력란!$C$30=2,20,IF(입력란!$C$30=3,22,0))))/100-1))</f>
        <v>0</v>
      </c>
      <c r="L524" s="21">
        <f>U524*(1+IF($AK524+IF(입력란!$C$26=1,10,0)+IF(MID(E524,3,1)="1",IF(G524="생명50%이하",트라이포드!$J$23,트라이포드!$I$23),0)&gt;100,100,$AK524+IF(입력란!$C$26=1,10,0)+IF(MID(E524,3,1)="1",IF(G524="생명50%이하",트라이포드!$J$23,트라이포드!$I$23),0))/100*(($AL524+IF(입력란!$C$30=1,17,IF(입력란!$C$30=2,20,IF(입력란!$C$30=3,22,0))))/100-1))</f>
        <v>0</v>
      </c>
      <c r="M524" s="21">
        <f>V524*(1+IF($AK524+IF(입력란!$C$26=1,10,0)+IF(MID(E524,3,1)="1",IF(G524="생명50%이하",트라이포드!$J$23,트라이포드!$I$23),0)&gt;100,100,$AK524+IF(입력란!$C$26=1,10,0)+IF(MID(E524,3,1)="1",IF(G524="생명50%이하",트라이포드!$J$23,트라이포드!$I$23),0))/100*(($AL524+IF(입력란!$C$30=1,17,IF(입력란!$C$30=2,20,IF(입력란!$C$30=3,22,0))))/100-1))</f>
        <v>0</v>
      </c>
      <c r="N524" s="21"/>
      <c r="O524" s="21"/>
      <c r="P524" s="21"/>
      <c r="Q524" s="20"/>
      <c r="R524" s="19">
        <f>SUM(S524:Z524)</f>
        <v>694982.5015574916</v>
      </c>
      <c r="S524" s="21">
        <f>AN524*IF(MID(E524,3,1)="2",트라이포드!$L$23,트라이포드!$K$23)*IF(MID(E524,5,1)="1",트라이포드!$P$23,트라이포드!$O$23)*(1+입력란!$P$19/100)</f>
        <v>694982.5015574916</v>
      </c>
      <c r="T524" s="21">
        <f>AN524*IF(MID(E524,3,1)="2",트라이포드!$L$23,트라이포드!$K$23)*IF(MID(E524,5,1)="2",트라이포드!$R$23,트라이포드!$F$23)*(1+입력란!$P$19/100)/3</f>
        <v>0</v>
      </c>
      <c r="U524" s="21">
        <f>AN524*IF(MID(E524,3,1)="2",트라이포드!$L$23,트라이포드!$K$23)*IF(MID(E524,5,1)="2",트라이포드!$R$23,트라이포드!$F$23)*(1+입력란!$P$19/100)/3</f>
        <v>0</v>
      </c>
      <c r="V524" s="21">
        <f>AN524*IF(MID(E524,3,1)="2",트라이포드!$L$23,트라이포드!$K$23)*IF(MID(E524,5,1)="2",트라이포드!$R$23,트라이포드!$F$23)*(1+입력란!$P$19/100)/3</f>
        <v>0</v>
      </c>
      <c r="W524" s="21"/>
      <c r="X524" s="21"/>
      <c r="Y524" s="21"/>
      <c r="Z524" s="20"/>
      <c r="AA524" s="21">
        <f>SUM(AB524:AI524)</f>
        <v>1389965.0031149832</v>
      </c>
      <c r="AB524" s="21">
        <f>S524*2</f>
        <v>1389965.0031149832</v>
      </c>
      <c r="AC524" s="21">
        <f>T524*2</f>
        <v>0</v>
      </c>
      <c r="AD524" s="21">
        <f>U524*2</f>
        <v>0</v>
      </c>
      <c r="AE524" s="21">
        <f>V524*2</f>
        <v>0</v>
      </c>
      <c r="AF524" s="21"/>
      <c r="AG524" s="21"/>
      <c r="AH524" s="21"/>
      <c r="AI524" s="20"/>
      <c r="AJ524" s="21">
        <f>AQ524*(1-입력란!$P$10/100)</f>
        <v>23.711464126079999</v>
      </c>
      <c r="AK5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4" s="21">
        <f>입력란!$P$24+IF(입력란!$C$18=1,10,IF(입력란!$C$18=2,25,IF(입력란!$C$18=3,50,0)))+IF(입력란!$C$23&lt;&gt;0,-12)</f>
        <v>200</v>
      </c>
      <c r="AM524" s="21">
        <f>SUM(AN524:AP524)</f>
        <v>364674.33938447217</v>
      </c>
      <c r="AN524" s="21">
        <f>(VLOOKUP(C524,$B$4:$AJ$7,28,FALSE)+VLOOKUP(C524,$B$8:$AJ$11,28,FALSE)*입력란!$P$4)*입력란!$P$25/100</f>
        <v>364674.33938447217</v>
      </c>
      <c r="AO524" s="21"/>
      <c r="AP524" s="21"/>
      <c r="AQ524" s="22">
        <v>24</v>
      </c>
    </row>
    <row r="525" spans="2:43" ht="13.5" customHeight="1" x14ac:dyDescent="0.55000000000000004">
      <c r="B525" s="66">
        <v>510</v>
      </c>
      <c r="C525" s="29">
        <v>10</v>
      </c>
      <c r="D525" s="49" t="s">
        <v>247</v>
      </c>
      <c r="E525" s="27" t="s">
        <v>232</v>
      </c>
      <c r="F525" s="29"/>
      <c r="G525" s="29" t="s">
        <v>375</v>
      </c>
      <c r="H525" s="37">
        <f>I525/AJ525</f>
        <v>45007.452461796973</v>
      </c>
      <c r="I525" s="37">
        <f>SUM(J525:Q525)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1067192.5944541499</v>
      </c>
      <c r="J525" s="21">
        <f>S525*(1+IF($AK525+IF(입력란!$C$26=1,10,0)+IF(MID(E525,3,1)="1",IF(G525="생명50%이하",트라이포드!$J$23,트라이포드!$I$23),0)&gt;100,100,$AK525+IF(입력란!$C$26=1,10,0)+IF(MID(E525,3,1)="1",IF(G525="생명50%이하",트라이포드!$J$23,트라이포드!$I$23),0))/100*(($AL525+IF(입력란!$C$30=1,17,IF(입력란!$C$30=2,20,IF(입력란!$C$30=3,22,0))))/100-1))</f>
        <v>755748.59744646261</v>
      </c>
      <c r="K525" s="21">
        <f>T525*(1+IF($AK525+IF(입력란!$C$26=1,10,0)+IF(MID(E525,3,1)="1",IF(G525="생명50%이하",트라이포드!$J$23,트라이포드!$I$23),0)&gt;100,100,$AK525+IF(입력란!$C$26=1,10,0)+IF(MID(E525,3,1)="1",IF(G525="생명50%이하",트라이포드!$J$23,트라이포드!$I$23),0))/100*(($AL525+IF(입력란!$C$30=1,17,IF(입력란!$C$30=2,20,IF(입력란!$C$30=3,22,0))))/100-1))</f>
        <v>0</v>
      </c>
      <c r="L525" s="21">
        <f>U525*(1+IF($AK525+IF(입력란!$C$26=1,10,0)+IF(MID(E525,3,1)="1",IF(G525="생명50%이하",트라이포드!$J$23,트라이포드!$I$23),0)&gt;100,100,$AK525+IF(입력란!$C$26=1,10,0)+IF(MID(E525,3,1)="1",IF(G525="생명50%이하",트라이포드!$J$23,트라이포드!$I$23),0))/100*(($AL525+IF(입력란!$C$30=1,17,IF(입력란!$C$30=2,20,IF(입력란!$C$30=3,22,0))))/100-1))</f>
        <v>0</v>
      </c>
      <c r="M525" s="21">
        <f>V525*(1+IF($AK525+IF(입력란!$C$26=1,10,0)+IF(MID(E525,3,1)="1",IF(G525="생명50%이하",트라이포드!$J$23,트라이포드!$I$23),0)&gt;100,100,$AK525+IF(입력란!$C$26=1,10,0)+IF(MID(E525,3,1)="1",IF(G525="생명50%이하",트라이포드!$J$23,트라이포드!$I$23),0))/100*(($AL525+IF(입력란!$C$30=1,17,IF(입력란!$C$30=2,20,IF(입력란!$C$30=3,22,0))))/100-1))</f>
        <v>0</v>
      </c>
      <c r="N525" s="21"/>
      <c r="O525" s="21"/>
      <c r="P525" s="21"/>
      <c r="Q525" s="20"/>
      <c r="R525" s="19">
        <f>SUM(S525:Z525)</f>
        <v>496609.37125909369</v>
      </c>
      <c r="S525" s="21">
        <f>AN525*IF(MID(E525,3,1)="2",트라이포드!$L$23,트라이포드!$K$23)*IF(MID(E525,5,1)="1",트라이포드!$P$23,트라이포드!$O$23)*(1+입력란!$P$19/100)</f>
        <v>496609.37125909369</v>
      </c>
      <c r="T525" s="21">
        <f>AN525*IF(MID(E525,3,1)="2",트라이포드!$L$23,트라이포드!$K$23)*IF(MID(E525,5,1)="2",트라이포드!$R$23,트라이포드!$F$23)*(1+입력란!$P$19/100)/3</f>
        <v>0</v>
      </c>
      <c r="U525" s="21">
        <f>AN525*IF(MID(E525,3,1)="2",트라이포드!$L$23,트라이포드!$K$23)*IF(MID(E525,5,1)="2",트라이포드!$R$23,트라이포드!$F$23)*(1+입력란!$P$19/100)/3</f>
        <v>0</v>
      </c>
      <c r="V525" s="21">
        <f>AN525*IF(MID(E525,3,1)="2",트라이포드!$L$23,트라이포드!$K$23)*IF(MID(E525,5,1)="2",트라이포드!$R$23,트라이포드!$F$23)*(1+입력란!$P$19/100)/3</f>
        <v>0</v>
      </c>
      <c r="W525" s="21"/>
      <c r="X525" s="21"/>
      <c r="Y525" s="21"/>
      <c r="Z525" s="20"/>
      <c r="AA525" s="21">
        <f>SUM(AB525:AI525)</f>
        <v>993218.74251818738</v>
      </c>
      <c r="AB525" s="21">
        <f>S525*2</f>
        <v>993218.74251818738</v>
      </c>
      <c r="AC525" s="21">
        <f>T525*2</f>
        <v>0</v>
      </c>
      <c r="AD525" s="21">
        <f>U525*2</f>
        <v>0</v>
      </c>
      <c r="AE525" s="21">
        <f>V525*2</f>
        <v>0</v>
      </c>
      <c r="AF525" s="21"/>
      <c r="AG525" s="21"/>
      <c r="AH525" s="21"/>
      <c r="AI525" s="20"/>
      <c r="AJ525" s="21">
        <f>AQ525*(1-입력란!$P$10/100)</f>
        <v>23.711464126079999</v>
      </c>
      <c r="AK5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5" s="21">
        <f>입력란!$P$24+IF(입력란!$C$18=1,10,IF(입력란!$C$18=2,25,IF(입력란!$C$18=3,50,0)))+IF(입력란!$C$23&lt;&gt;0,-12)</f>
        <v>200</v>
      </c>
      <c r="AM525" s="21">
        <f>SUM(AN525:AP525)</f>
        <v>364816.33938447217</v>
      </c>
      <c r="AN525" s="21">
        <f>(VLOOKUP(C525,$B$4:$AJ$7,28,FALSE)+VLOOKUP(C525,$B$8:$AJ$11,28,FALSE)*입력란!$P$4)*입력란!$P$25/100</f>
        <v>364816.33938447217</v>
      </c>
      <c r="AO525" s="21"/>
      <c r="AP525" s="21"/>
      <c r="AQ525" s="22">
        <v>24</v>
      </c>
    </row>
    <row r="526" spans="2:43" ht="13.5" customHeight="1" x14ac:dyDescent="0.55000000000000004">
      <c r="B526" s="66">
        <v>511</v>
      </c>
      <c r="C526" s="29">
        <v>10</v>
      </c>
      <c r="D526" s="49" t="s">
        <v>247</v>
      </c>
      <c r="E526" s="27" t="s">
        <v>239</v>
      </c>
      <c r="F526" s="29"/>
      <c r="G526" s="29" t="s">
        <v>375</v>
      </c>
      <c r="H526" s="37">
        <f>I526/AJ526</f>
        <v>90014.904923593946</v>
      </c>
      <c r="I526" s="37">
        <f>SUM(J526:Q526)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2134385.1889082999</v>
      </c>
      <c r="J526" s="21">
        <f>S526*(1+IF($AK526+IF(입력란!$C$26=1,10,0)+IF(MID(E526,3,1)="1",IF(G526="생명50%이하",트라이포드!$J$23,트라이포드!$I$23),0)&gt;100,100,$AK526+IF(입력란!$C$26=1,10,0)+IF(MID(E526,3,1)="1",IF(G526="생명50%이하",트라이포드!$J$23,트라이포드!$I$23),0))/100*(($AL526+IF(입력란!$C$30=1,17,IF(입력란!$C$30=2,20,IF(입력란!$C$30=3,22,0))))/100-1))</f>
        <v>1511497.1948929252</v>
      </c>
      <c r="K526" s="21">
        <f>T526*(1+IF($AK526+IF(입력란!$C$26=1,10,0)+IF(MID(E526,3,1)="1",IF(G526="생명50%이하",트라이포드!$J$23,트라이포드!$I$23),0)&gt;100,100,$AK526+IF(입력란!$C$26=1,10,0)+IF(MID(E526,3,1)="1",IF(G526="생명50%이하",트라이포드!$J$23,트라이포드!$I$23),0))/100*(($AL526+IF(입력란!$C$30=1,17,IF(입력란!$C$30=2,20,IF(입력란!$C$30=3,22,0))))/100-1))</f>
        <v>0</v>
      </c>
      <c r="L526" s="21">
        <f>U526*(1+IF($AK526+IF(입력란!$C$26=1,10,0)+IF(MID(E526,3,1)="1",IF(G526="생명50%이하",트라이포드!$J$23,트라이포드!$I$23),0)&gt;100,100,$AK526+IF(입력란!$C$26=1,10,0)+IF(MID(E526,3,1)="1",IF(G526="생명50%이하",트라이포드!$J$23,트라이포드!$I$23),0))/100*(($AL526+IF(입력란!$C$30=1,17,IF(입력란!$C$30=2,20,IF(입력란!$C$30=3,22,0))))/100-1))</f>
        <v>0</v>
      </c>
      <c r="M526" s="21">
        <f>V526*(1+IF($AK526+IF(입력란!$C$26=1,10,0)+IF(MID(E526,3,1)="1",IF(G526="생명50%이하",트라이포드!$J$23,트라이포드!$I$23),0)&gt;100,100,$AK526+IF(입력란!$C$26=1,10,0)+IF(MID(E526,3,1)="1",IF(G526="생명50%이하",트라이포드!$J$23,트라이포드!$I$23),0))/100*(($AL526+IF(입력란!$C$30=1,17,IF(입력란!$C$30=2,20,IF(입력란!$C$30=3,22,0))))/100-1))</f>
        <v>0</v>
      </c>
      <c r="N526" s="21"/>
      <c r="O526" s="21"/>
      <c r="P526" s="21"/>
      <c r="Q526" s="20"/>
      <c r="R526" s="19">
        <f>SUM(S526:Z526)</f>
        <v>993218.74251818738</v>
      </c>
      <c r="S526" s="21">
        <f>AN526*IF(MID(E526,3,1)="2",트라이포드!$L$23,트라이포드!$K$23)*IF(MID(E526,5,1)="1",트라이포드!$P$23,트라이포드!$O$23)*(1+입력란!$P$19/100)</f>
        <v>993218.74251818738</v>
      </c>
      <c r="T526" s="21">
        <f>AN526*IF(MID(E526,3,1)="2",트라이포드!$L$23,트라이포드!$K$23)*IF(MID(E526,5,1)="2",트라이포드!$R$23,트라이포드!$F$23)*(1+입력란!$P$19/100)/3</f>
        <v>0</v>
      </c>
      <c r="U526" s="21">
        <f>AN526*IF(MID(E526,3,1)="2",트라이포드!$L$23,트라이포드!$K$23)*IF(MID(E526,5,1)="2",트라이포드!$R$23,트라이포드!$F$23)*(1+입력란!$P$19/100)/3</f>
        <v>0</v>
      </c>
      <c r="V526" s="21">
        <f>AN526*IF(MID(E526,3,1)="2",트라이포드!$L$23,트라이포드!$K$23)*IF(MID(E526,5,1)="2",트라이포드!$R$23,트라이포드!$F$23)*(1+입력란!$P$19/100)/3</f>
        <v>0</v>
      </c>
      <c r="W526" s="21"/>
      <c r="X526" s="21"/>
      <c r="Y526" s="21"/>
      <c r="Z526" s="20"/>
      <c r="AA526" s="21">
        <f>SUM(AB526:AI526)</f>
        <v>1986437.4850363748</v>
      </c>
      <c r="AB526" s="21">
        <f>S526*2</f>
        <v>1986437.4850363748</v>
      </c>
      <c r="AC526" s="21">
        <f>T526*2</f>
        <v>0</v>
      </c>
      <c r="AD526" s="21">
        <f>U526*2</f>
        <v>0</v>
      </c>
      <c r="AE526" s="21">
        <f>V526*2</f>
        <v>0</v>
      </c>
      <c r="AF526" s="21"/>
      <c r="AG526" s="21"/>
      <c r="AH526" s="21"/>
      <c r="AI526" s="20"/>
      <c r="AJ526" s="21">
        <f>AQ526*(1-입력란!$P$10/100)</f>
        <v>23.711464126079999</v>
      </c>
      <c r="AK5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6" s="21">
        <f>입력란!$P$24+IF(입력란!$C$18=1,10,IF(입력란!$C$18=2,25,IF(입력란!$C$18=3,50,0)))+IF(입력란!$C$23&lt;&gt;0,-12)</f>
        <v>200</v>
      </c>
      <c r="AM526" s="21">
        <f>SUM(AN526:AP526)</f>
        <v>364816.33938447217</v>
      </c>
      <c r="AN526" s="21">
        <f>(VLOOKUP(C526,$B$4:$AJ$7,28,FALSE)+VLOOKUP(C526,$B$8:$AJ$11,28,FALSE)*입력란!$P$4)*입력란!$P$25/100</f>
        <v>364816.33938447217</v>
      </c>
      <c r="AO526" s="21"/>
      <c r="AP526" s="21"/>
      <c r="AQ526" s="22">
        <v>24</v>
      </c>
    </row>
    <row r="527" spans="2:43" ht="13.5" customHeight="1" x14ac:dyDescent="0.55000000000000004">
      <c r="B527" s="66">
        <v>512</v>
      </c>
      <c r="C527" s="29">
        <v>10</v>
      </c>
      <c r="D527" s="49" t="s">
        <v>247</v>
      </c>
      <c r="E527" s="27" t="s">
        <v>240</v>
      </c>
      <c r="F527" s="29"/>
      <c r="G527" s="29" t="s">
        <v>375</v>
      </c>
      <c r="H527" s="37">
        <f>I527/AJ527</f>
        <v>99016.395415953331</v>
      </c>
      <c r="I527" s="37">
        <f>SUM(J527:Q527)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2347823.7077991297</v>
      </c>
      <c r="J527" s="21">
        <f>S527*(1+IF($AK527+IF(입력란!$C$26=1,10,0)+IF(MID(E527,3,1)="1",IF(G527="생명50%이하",트라이포드!$J$23,트라이포드!$I$23),0)&gt;100,100,$AK527+IF(입력란!$C$26=1,10,0)+IF(MID(E527,3,1)="1",IF(G527="생명50%이하",트라이포드!$J$23,트라이포드!$I$23),0))/100*(($AL527+IF(입력란!$C$30=1,17,IF(입력란!$C$30=2,20,IF(입력란!$C$30=3,22,0))))/100-1))</f>
        <v>755748.59744646261</v>
      </c>
      <c r="K527" s="21">
        <f>T527*(1+IF($AK527+IF(입력란!$C$26=1,10,0)+IF(MID(E527,3,1)="1",IF(G527="생명50%이하",트라이포드!$J$23,트라이포드!$I$23),0)&gt;100,100,$AK527+IF(입력란!$C$26=1,10,0)+IF(MID(E527,3,1)="1",IF(G527="생명50%이하",트라이포드!$J$23,트라이포드!$I$23),0))/100*(($AL527+IF(입력란!$C$30=1,17,IF(입력란!$C$30=2,20,IF(입력란!$C$30=3,22,0))))/100-1))</f>
        <v>302299.43897858507</v>
      </c>
      <c r="L527" s="21">
        <f>U527*(1+IF($AK527+IF(입력란!$C$26=1,10,0)+IF(MID(E527,3,1)="1",IF(G527="생명50%이하",트라이포드!$J$23,트라이포드!$I$23),0)&gt;100,100,$AK527+IF(입력란!$C$26=1,10,0)+IF(MID(E527,3,1)="1",IF(G527="생명50%이하",트라이포드!$J$23,트라이포드!$I$23),0))/100*(($AL527+IF(입력란!$C$30=1,17,IF(입력란!$C$30=2,20,IF(입력란!$C$30=3,22,0))))/100-1))</f>
        <v>302299.43897858507</v>
      </c>
      <c r="M527" s="21">
        <f>V527*(1+IF($AK527+IF(입력란!$C$26=1,10,0)+IF(MID(E527,3,1)="1",IF(G527="생명50%이하",트라이포드!$J$23,트라이포드!$I$23),0)&gt;100,100,$AK527+IF(입력란!$C$26=1,10,0)+IF(MID(E527,3,1)="1",IF(G527="생명50%이하",트라이포드!$J$23,트라이포드!$I$23),0))/100*(($AL527+IF(입력란!$C$30=1,17,IF(입력란!$C$30=2,20,IF(입력란!$C$30=3,22,0))))/100-1))</f>
        <v>302299.43897858507</v>
      </c>
      <c r="N527" s="21"/>
      <c r="O527" s="21"/>
      <c r="P527" s="21"/>
      <c r="Q527" s="20"/>
      <c r="R527" s="19">
        <f>SUM(S527:Z527)</f>
        <v>1092540.6167700063</v>
      </c>
      <c r="S527" s="21">
        <f>AN527*IF(MID(E527,3,1)="2",트라이포드!$L$23,트라이포드!$K$23)*IF(MID(E527,5,1)="1",트라이포드!$P$23,트라이포드!$O$23)*(1+입력란!$P$19/100)</f>
        <v>496609.37125909369</v>
      </c>
      <c r="T527" s="21">
        <f>AN527*IF(MID(E527,3,1)="2",트라이포드!$L$23,트라이포드!$K$23)*IF(MID(E527,5,1)="2",트라이포드!$R$23,트라이포드!$F$23)*(1+입력란!$P$19/100)/3</f>
        <v>198643.7485036375</v>
      </c>
      <c r="U527" s="21">
        <f>AN527*IF(MID(E527,3,1)="2",트라이포드!$L$23,트라이포드!$K$23)*IF(MID(E527,5,1)="2",트라이포드!$R$23,트라이포드!$F$23)*(1+입력란!$P$19/100)/3</f>
        <v>198643.7485036375</v>
      </c>
      <c r="V527" s="21">
        <f>AN527*IF(MID(E527,3,1)="2",트라이포드!$L$23,트라이포드!$K$23)*IF(MID(E527,5,1)="2",트라이포드!$R$23,트라이포드!$F$23)*(1+입력란!$P$19/100)/3</f>
        <v>198643.7485036375</v>
      </c>
      <c r="W527" s="21"/>
      <c r="X527" s="21"/>
      <c r="Y527" s="21"/>
      <c r="Z527" s="20"/>
      <c r="AA527" s="21">
        <f>SUM(AB527:AI527)</f>
        <v>2185081.2335400125</v>
      </c>
      <c r="AB527" s="21">
        <f>S527*2</f>
        <v>993218.74251818738</v>
      </c>
      <c r="AC527" s="21">
        <f>T527*2</f>
        <v>397287.497007275</v>
      </c>
      <c r="AD527" s="21">
        <f>U527*2</f>
        <v>397287.497007275</v>
      </c>
      <c r="AE527" s="21">
        <f>V527*2</f>
        <v>397287.497007275</v>
      </c>
      <c r="AF527" s="21"/>
      <c r="AG527" s="21"/>
      <c r="AH527" s="21"/>
      <c r="AI527" s="20"/>
      <c r="AJ527" s="21">
        <f>AQ527*(1-입력란!$P$10/100)</f>
        <v>23.711464126079999</v>
      </c>
      <c r="AK5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7" s="21">
        <f>입력란!$P$24+IF(입력란!$C$18=1,10,IF(입력란!$C$18=2,25,IF(입력란!$C$18=3,50,0)))+IF(입력란!$C$23&lt;&gt;0,-12)</f>
        <v>200</v>
      </c>
      <c r="AM527" s="21">
        <f>SUM(AN527:AP527)</f>
        <v>364816.33938447217</v>
      </c>
      <c r="AN527" s="21">
        <f>(VLOOKUP(C527,$B$4:$AJ$7,28,FALSE)+VLOOKUP(C527,$B$8:$AJ$11,28,FALSE)*입력란!$P$4)*입력란!$P$25/100</f>
        <v>364816.33938447217</v>
      </c>
      <c r="AO527" s="21"/>
      <c r="AP527" s="21"/>
      <c r="AQ527" s="22">
        <v>24</v>
      </c>
    </row>
    <row r="528" spans="2:43" ht="13.5" customHeight="1" x14ac:dyDescent="0.55000000000000004">
      <c r="B528" s="66">
        <v>513</v>
      </c>
      <c r="C528" s="29">
        <v>10</v>
      </c>
      <c r="D528" s="49" t="s">
        <v>247</v>
      </c>
      <c r="E528" s="27" t="s">
        <v>248</v>
      </c>
      <c r="F528" s="29"/>
      <c r="G528" s="29" t="s">
        <v>375</v>
      </c>
      <c r="H528" s="37">
        <f>I528/AJ528</f>
        <v>118299.24789564642</v>
      </c>
      <c r="I528" s="37">
        <f>SUM(J528:Q528)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2805048.372619865</v>
      </c>
      <c r="J528" s="21">
        <f>S528*(1+IF($AK528+IF(입력란!$C$26=1,10,0)+IF(MID(E528,3,1)="1",IF(G528="생명50%이하",트라이포드!$J$23,트라이포드!$I$23),0)&gt;100,100,$AK528+IF(입력란!$C$26=1,10,0)+IF(MID(E528,3,1)="1",IF(G528="생명50%이하",트라이포드!$J$23,트라이포드!$I$23),0))/100*(($AL528+IF(입력란!$C$30=1,17,IF(입력란!$C$30=2,20,IF(입력란!$C$30=3,22,0))))/100-1))</f>
        <v>1986437.4850363748</v>
      </c>
      <c r="K528" s="21">
        <f>T528*(1+IF($AK528+IF(입력란!$C$26=1,10,0)+IF(MID(E528,3,1)="1",IF(G528="생명50%이하",트라이포드!$J$23,트라이포드!$I$23),0)&gt;100,100,$AK528+IF(입력란!$C$26=1,10,0)+IF(MID(E528,3,1)="1",IF(G528="생명50%이하",트라이포드!$J$23,트라이포드!$I$23),0))/100*(($AL528+IF(입력란!$C$30=1,17,IF(입력란!$C$30=2,20,IF(입력란!$C$30=3,22,0))))/100-1))</f>
        <v>0</v>
      </c>
      <c r="L528" s="21">
        <f>U528*(1+IF($AK528+IF(입력란!$C$26=1,10,0)+IF(MID(E528,3,1)="1",IF(G528="생명50%이하",트라이포드!$J$23,트라이포드!$I$23),0)&gt;100,100,$AK528+IF(입력란!$C$26=1,10,0)+IF(MID(E528,3,1)="1",IF(G528="생명50%이하",트라이포드!$J$23,트라이포드!$I$23),0))/100*(($AL528+IF(입력란!$C$30=1,17,IF(입력란!$C$30=2,20,IF(입력란!$C$30=3,22,0))))/100-1))</f>
        <v>0</v>
      </c>
      <c r="M528" s="21">
        <f>V528*(1+IF($AK528+IF(입력란!$C$26=1,10,0)+IF(MID(E528,3,1)="1",IF(G528="생명50%이하",트라이포드!$J$23,트라이포드!$I$23),0)&gt;100,100,$AK528+IF(입력란!$C$26=1,10,0)+IF(MID(E528,3,1)="1",IF(G528="생명50%이하",트라이포드!$J$23,트라이포드!$I$23),0))/100*(($AL528+IF(입력란!$C$30=1,17,IF(입력란!$C$30=2,20,IF(입력란!$C$30=3,22,0))))/100-1))</f>
        <v>0</v>
      </c>
      <c r="N528" s="21"/>
      <c r="O528" s="21"/>
      <c r="P528" s="21"/>
      <c r="Q528" s="20"/>
      <c r="R528" s="19">
        <f>SUM(S528:Z528)</f>
        <v>993218.74251818738</v>
      </c>
      <c r="S528" s="21">
        <f>AN528*IF(MID(E528,3,1)="2",트라이포드!$L$23,트라이포드!$K$23)*IF(MID(E528,5,1)="1",트라이포드!$P$23,트라이포드!$O$23)*(1+입력란!$P$19/100)</f>
        <v>993218.74251818738</v>
      </c>
      <c r="T528" s="21">
        <f>AN528*IF(MID(E528,3,1)="2",트라이포드!$L$23,트라이포드!$K$23)*IF(MID(E528,5,1)="2",트라이포드!$R$23,트라이포드!$F$23)*(1+입력란!$P$19/100)/3</f>
        <v>0</v>
      </c>
      <c r="U528" s="21">
        <f>AN528*IF(MID(E528,3,1)="2",트라이포드!$L$23,트라이포드!$K$23)*IF(MID(E528,5,1)="2",트라이포드!$R$23,트라이포드!$F$23)*(1+입력란!$P$19/100)/3</f>
        <v>0</v>
      </c>
      <c r="V528" s="21">
        <f>AN528*IF(MID(E528,3,1)="2",트라이포드!$L$23,트라이포드!$K$23)*IF(MID(E528,5,1)="2",트라이포드!$R$23,트라이포드!$F$23)*(1+입력란!$P$19/100)/3</f>
        <v>0</v>
      </c>
      <c r="W528" s="21"/>
      <c r="X528" s="21"/>
      <c r="Y528" s="21"/>
      <c r="Z528" s="20"/>
      <c r="AA528" s="21">
        <f>SUM(AB528:AI528)</f>
        <v>1986437.4850363748</v>
      </c>
      <c r="AB528" s="21">
        <f>S528*2</f>
        <v>1986437.4850363748</v>
      </c>
      <c r="AC528" s="21">
        <f>T528*2</f>
        <v>0</v>
      </c>
      <c r="AD528" s="21">
        <f>U528*2</f>
        <v>0</v>
      </c>
      <c r="AE528" s="21">
        <f>V528*2</f>
        <v>0</v>
      </c>
      <c r="AF528" s="21"/>
      <c r="AG528" s="21"/>
      <c r="AH528" s="21"/>
      <c r="AI528" s="20"/>
      <c r="AJ528" s="21">
        <f>AQ528*(1-입력란!$P$10/100)</f>
        <v>23.711464126079999</v>
      </c>
      <c r="AK5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8" s="21">
        <f>입력란!$P$24+IF(입력란!$C$18=1,10,IF(입력란!$C$18=2,25,IF(입력란!$C$18=3,50,0)))+IF(입력란!$C$23&lt;&gt;0,-12)</f>
        <v>200</v>
      </c>
      <c r="AM528" s="21">
        <f>SUM(AN528:AP528)</f>
        <v>364816.33938447217</v>
      </c>
      <c r="AN528" s="21">
        <f>(VLOOKUP(C528,$B$4:$AJ$7,28,FALSE)+VLOOKUP(C528,$B$8:$AJ$11,28,FALSE)*입력란!$P$4)*입력란!$P$25/100</f>
        <v>364816.33938447217</v>
      </c>
      <c r="AO528" s="21"/>
      <c r="AP528" s="21"/>
      <c r="AQ528" s="22">
        <v>24</v>
      </c>
    </row>
    <row r="529" spans="2:43" ht="13.5" customHeight="1" x14ac:dyDescent="0.55000000000000004">
      <c r="B529" s="66">
        <v>514</v>
      </c>
      <c r="C529" s="29">
        <v>10</v>
      </c>
      <c r="D529" s="49" t="s">
        <v>247</v>
      </c>
      <c r="E529" s="27" t="s">
        <v>249</v>
      </c>
      <c r="F529" s="29"/>
      <c r="G529" s="29" t="s">
        <v>375</v>
      </c>
      <c r="H529" s="37">
        <f>I529/AJ529</f>
        <v>130129.17268521109</v>
      </c>
      <c r="I529" s="37">
        <f>SUM(J529:Q529)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3085553.2098818519</v>
      </c>
      <c r="J529" s="21">
        <f>S529*(1+IF($AK529+IF(입력란!$C$26=1,10,0)+IF(MID(E529,3,1)="1",IF(G529="생명50%이하",트라이포드!$J$23,트라이포드!$I$23),0)&gt;100,100,$AK529+IF(입력란!$C$26=1,10,0)+IF(MID(E529,3,1)="1",IF(G529="생명50%이하",트라이포드!$J$23,트라이포드!$I$23),0))/100*(($AL529+IF(입력란!$C$30=1,17,IF(입력란!$C$30=2,20,IF(입력란!$C$30=3,22,0))))/100-1))</f>
        <v>993218.74251818738</v>
      </c>
      <c r="K529" s="21">
        <f>T529*(1+IF($AK529+IF(입력란!$C$26=1,10,0)+IF(MID(E529,3,1)="1",IF(G529="생명50%이하",트라이포드!$J$23,트라이포드!$I$23),0)&gt;100,100,$AK529+IF(입력란!$C$26=1,10,0)+IF(MID(E529,3,1)="1",IF(G529="생명50%이하",트라이포드!$J$23,트라이포드!$I$23),0))/100*(($AL529+IF(입력란!$C$30=1,17,IF(입력란!$C$30=2,20,IF(입력란!$C$30=3,22,0))))/100-1))</f>
        <v>397287.497007275</v>
      </c>
      <c r="L529" s="21">
        <f>U529*(1+IF($AK529+IF(입력란!$C$26=1,10,0)+IF(MID(E529,3,1)="1",IF(G529="생명50%이하",트라이포드!$J$23,트라이포드!$I$23),0)&gt;100,100,$AK529+IF(입력란!$C$26=1,10,0)+IF(MID(E529,3,1)="1",IF(G529="생명50%이하",트라이포드!$J$23,트라이포드!$I$23),0))/100*(($AL529+IF(입력란!$C$30=1,17,IF(입력란!$C$30=2,20,IF(입력란!$C$30=3,22,0))))/100-1))</f>
        <v>397287.497007275</v>
      </c>
      <c r="M529" s="21">
        <f>V529*(1+IF($AK529+IF(입력란!$C$26=1,10,0)+IF(MID(E529,3,1)="1",IF(G529="생명50%이하",트라이포드!$J$23,트라이포드!$I$23),0)&gt;100,100,$AK529+IF(입력란!$C$26=1,10,0)+IF(MID(E529,3,1)="1",IF(G529="생명50%이하",트라이포드!$J$23,트라이포드!$I$23),0))/100*(($AL529+IF(입력란!$C$30=1,17,IF(입력란!$C$30=2,20,IF(입력란!$C$30=3,22,0))))/100-1))</f>
        <v>397287.497007275</v>
      </c>
      <c r="N529" s="21"/>
      <c r="O529" s="21"/>
      <c r="P529" s="21"/>
      <c r="Q529" s="20"/>
      <c r="R529" s="19">
        <f>SUM(S529:Z529)</f>
        <v>1092540.6167700063</v>
      </c>
      <c r="S529" s="21">
        <f>AN529*IF(MID(E529,3,1)="2",트라이포드!$L$23,트라이포드!$K$23)*IF(MID(E529,5,1)="1",트라이포드!$P$23,트라이포드!$O$23)*(1+입력란!$P$19/100)</f>
        <v>496609.37125909369</v>
      </c>
      <c r="T529" s="21">
        <f>AN529*IF(MID(E529,3,1)="2",트라이포드!$L$23,트라이포드!$K$23)*IF(MID(E529,5,1)="2",트라이포드!$R$23,트라이포드!$F$23)*(1+입력란!$P$19/100)/3</f>
        <v>198643.7485036375</v>
      </c>
      <c r="U529" s="21">
        <f>AN529*IF(MID(E529,3,1)="2",트라이포드!$L$23,트라이포드!$K$23)*IF(MID(E529,5,1)="2",트라이포드!$R$23,트라이포드!$F$23)*(1+입력란!$P$19/100)/3</f>
        <v>198643.7485036375</v>
      </c>
      <c r="V529" s="21">
        <f>AN529*IF(MID(E529,3,1)="2",트라이포드!$L$23,트라이포드!$K$23)*IF(MID(E529,5,1)="2",트라이포드!$R$23,트라이포드!$F$23)*(1+입력란!$P$19/100)/3</f>
        <v>198643.7485036375</v>
      </c>
      <c r="W529" s="21"/>
      <c r="X529" s="21"/>
      <c r="Y529" s="21"/>
      <c r="Z529" s="20"/>
      <c r="AA529" s="21">
        <f>SUM(AB529:AI529)</f>
        <v>2185081.2335400125</v>
      </c>
      <c r="AB529" s="21">
        <f>S529*2</f>
        <v>993218.74251818738</v>
      </c>
      <c r="AC529" s="21">
        <f>T529*2</f>
        <v>397287.497007275</v>
      </c>
      <c r="AD529" s="21">
        <f>U529*2</f>
        <v>397287.497007275</v>
      </c>
      <c r="AE529" s="21">
        <f>V529*2</f>
        <v>397287.497007275</v>
      </c>
      <c r="AF529" s="21"/>
      <c r="AG529" s="21"/>
      <c r="AH529" s="21"/>
      <c r="AI529" s="20"/>
      <c r="AJ529" s="21">
        <f>AQ529*(1-입력란!$P$10/100)</f>
        <v>23.711464126079999</v>
      </c>
      <c r="AK5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29" s="21">
        <f>입력란!$P$24+IF(입력란!$C$18=1,10,IF(입력란!$C$18=2,25,IF(입력란!$C$18=3,50,0)))+IF(입력란!$C$23&lt;&gt;0,-12)</f>
        <v>200</v>
      </c>
      <c r="AM529" s="21">
        <f>SUM(AN529:AP529)</f>
        <v>364816.33938447217</v>
      </c>
      <c r="AN529" s="21">
        <f>(VLOOKUP(C529,$B$4:$AJ$7,28,FALSE)+VLOOKUP(C529,$B$8:$AJ$11,28,FALSE)*입력란!$P$4)*입력란!$P$25/100</f>
        <v>364816.33938447217</v>
      </c>
      <c r="AO529" s="21"/>
      <c r="AP529" s="21"/>
      <c r="AQ529" s="22">
        <v>24</v>
      </c>
    </row>
    <row r="530" spans="2:43" ht="13.5" customHeight="1" x14ac:dyDescent="0.55000000000000004">
      <c r="B530" s="66">
        <v>515</v>
      </c>
      <c r="C530" s="29">
        <v>10</v>
      </c>
      <c r="D530" s="49" t="s">
        <v>247</v>
      </c>
      <c r="E530" s="27" t="s">
        <v>250</v>
      </c>
      <c r="F530" s="29" t="s">
        <v>252</v>
      </c>
      <c r="G530" s="29" t="s">
        <v>375</v>
      </c>
      <c r="H530" s="37">
        <f>I530/AJ530</f>
        <v>126020.86689303152</v>
      </c>
      <c r="I530" s="37">
        <f>SUM(J530:Q530)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2988139.2644716194</v>
      </c>
      <c r="J530" s="21">
        <f>S530*(1+IF($AK530+IF(입력란!$C$26=1,10,0)+IF(MID(E530,3,1)="1",IF(G530="생명50%이하",트라이포드!$J$23,트라이포드!$I$23),0)&gt;100,100,$AK530+IF(입력란!$C$26=1,10,0)+IF(MID(E530,3,1)="1",IF(G530="생명50%이하",트라이포드!$J$23,트라이포드!$I$23),0))/100*(($AL530+IF(입력란!$C$30=1,17,IF(입력란!$C$30=2,20,IF(입력란!$C$30=3,22,0))))/100-1))</f>
        <v>2116096.0728500951</v>
      </c>
      <c r="K530" s="21">
        <f>T530*(1+IF($AK530+IF(입력란!$C$26=1,10,0)+IF(MID(E530,3,1)="1",IF(G530="생명50%이하",트라이포드!$J$23,트라이포드!$I$23),0)&gt;100,100,$AK530+IF(입력란!$C$26=1,10,0)+IF(MID(E530,3,1)="1",IF(G530="생명50%이하",트라이포드!$J$23,트라이포드!$I$23),0))/100*(($AL530+IF(입력란!$C$30=1,17,IF(입력란!$C$30=2,20,IF(입력란!$C$30=3,22,0))))/100-1))</f>
        <v>0</v>
      </c>
      <c r="L530" s="21">
        <f>U530*(1+IF($AK530+IF(입력란!$C$26=1,10,0)+IF(MID(E530,3,1)="1",IF(G530="생명50%이하",트라이포드!$J$23,트라이포드!$I$23),0)&gt;100,100,$AK530+IF(입력란!$C$26=1,10,0)+IF(MID(E530,3,1)="1",IF(G530="생명50%이하",트라이포드!$J$23,트라이포드!$I$23),0))/100*(($AL530+IF(입력란!$C$30=1,17,IF(입력란!$C$30=2,20,IF(입력란!$C$30=3,22,0))))/100-1))</f>
        <v>0</v>
      </c>
      <c r="M530" s="21">
        <f>V530*(1+IF($AK530+IF(입력란!$C$26=1,10,0)+IF(MID(E530,3,1)="1",IF(G530="생명50%이하",트라이포드!$J$23,트라이포드!$I$23),0)&gt;100,100,$AK530+IF(입력란!$C$26=1,10,0)+IF(MID(E530,3,1)="1",IF(G530="생명50%이하",트라이포드!$J$23,트라이포드!$I$23),0))/100*(($AL530+IF(입력란!$C$30=1,17,IF(입력란!$C$30=2,20,IF(입력란!$C$30=3,22,0))))/100-1))</f>
        <v>0</v>
      </c>
      <c r="N530" s="21"/>
      <c r="O530" s="21"/>
      <c r="P530" s="21"/>
      <c r="Q530" s="20"/>
      <c r="R530" s="19">
        <f>SUM(S530:Z530)</f>
        <v>1390506.2395254623</v>
      </c>
      <c r="S530" s="21">
        <f>AN530*IF(MID(E530,3,1)="2",트라이포드!$L$23,트라이포드!$K$23)*IF(MID(E530,5,1)="1",트라이포드!$P$23,트라이포드!$O$23)*(1+입력란!$P$19/100)</f>
        <v>1390506.2395254623</v>
      </c>
      <c r="T530" s="21">
        <f>AN530*IF(MID(E530,3,1)="2",트라이포드!$L$23,트라이포드!$K$23)*IF(MID(E530,5,1)="2",트라이포드!$R$23,트라이포드!$F$23)*(1+입력란!$P$19/100)/3</f>
        <v>0</v>
      </c>
      <c r="U530" s="21">
        <f>AN530*IF(MID(E530,3,1)="2",트라이포드!$L$23,트라이포드!$K$23)*IF(MID(E530,5,1)="2",트라이포드!$R$23,트라이포드!$F$23)*(1+입력란!$P$19/100)/3</f>
        <v>0</v>
      </c>
      <c r="V530" s="21">
        <f>AN530*IF(MID(E530,3,1)="2",트라이포드!$L$23,트라이포드!$K$23)*IF(MID(E530,5,1)="2",트라이포드!$R$23,트라이포드!$F$23)*(1+입력란!$P$19/100)/3</f>
        <v>0</v>
      </c>
      <c r="W530" s="21"/>
      <c r="X530" s="21"/>
      <c r="Y530" s="21"/>
      <c r="Z530" s="20"/>
      <c r="AA530" s="21">
        <f>SUM(AB530:AI530)</f>
        <v>2781012.4790509245</v>
      </c>
      <c r="AB530" s="21">
        <f>S530*2</f>
        <v>2781012.4790509245</v>
      </c>
      <c r="AC530" s="21">
        <f>T530*2</f>
        <v>0</v>
      </c>
      <c r="AD530" s="21">
        <f>U530*2</f>
        <v>0</v>
      </c>
      <c r="AE530" s="21">
        <f>V530*2</f>
        <v>0</v>
      </c>
      <c r="AF530" s="21"/>
      <c r="AG530" s="21"/>
      <c r="AH530" s="21"/>
      <c r="AI530" s="20"/>
      <c r="AJ530" s="21">
        <f>AQ530*(1-입력란!$P$10/100)</f>
        <v>23.711464126079999</v>
      </c>
      <c r="AK5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30" s="21">
        <f>입력란!$P$24+IF(입력란!$C$18=1,10,IF(입력란!$C$18=2,25,IF(입력란!$C$18=3,50,0)))+IF(입력란!$C$23&lt;&gt;0,-12)</f>
        <v>200</v>
      </c>
      <c r="AM530" s="21">
        <f>SUM(AN530:AP530)</f>
        <v>364816.33938447217</v>
      </c>
      <c r="AN530" s="21">
        <f>(VLOOKUP(C530,$B$4:$AJ$7,28,FALSE)+VLOOKUP(C530,$B$8:$AJ$11,28,FALSE)*입력란!$P$4)*입력란!$P$25/100</f>
        <v>364816.33938447217</v>
      </c>
      <c r="AO530" s="21"/>
      <c r="AP530" s="21"/>
      <c r="AQ530" s="22">
        <v>24</v>
      </c>
    </row>
    <row r="531" spans="2:43" ht="13.5" customHeight="1" x14ac:dyDescent="0.55000000000000004">
      <c r="B531" s="66">
        <v>516</v>
      </c>
      <c r="C531" s="29">
        <v>10</v>
      </c>
      <c r="D531" s="49" t="s">
        <v>247</v>
      </c>
      <c r="E531" s="27" t="s">
        <v>251</v>
      </c>
      <c r="F531" s="29" t="s">
        <v>252</v>
      </c>
      <c r="G531" s="29" t="s">
        <v>375</v>
      </c>
      <c r="H531" s="37">
        <f>I531/AJ531</f>
        <v>138622.95358233468</v>
      </c>
      <c r="I531" s="37">
        <f>SUM(J531:Q531)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3286953.1909187818</v>
      </c>
      <c r="J531" s="21">
        <f>S531*(1+IF($AK531+IF(입력란!$C$26=1,10,0)+IF(MID(E531,3,1)="1",IF(G531="생명50%이하",트라이포드!$J$23,트라이포드!$I$23),0)&gt;100,100,$AK531+IF(입력란!$C$26=1,10,0)+IF(MID(E531,3,1)="1",IF(G531="생명50%이하",트라이포드!$J$23,트라이포드!$I$23),0))/100*(($AL531+IF(입력란!$C$30=1,17,IF(입력란!$C$30=2,20,IF(입력란!$C$30=3,22,0))))/100-1))</f>
        <v>1058048.0364250476</v>
      </c>
      <c r="K531" s="21">
        <f>T531*(1+IF($AK531+IF(입력란!$C$26=1,10,0)+IF(MID(E531,3,1)="1",IF(G531="생명50%이하",트라이포드!$J$23,트라이포드!$I$23),0)&gt;100,100,$AK531+IF(입력란!$C$26=1,10,0)+IF(MID(E531,3,1)="1",IF(G531="생명50%이하",트라이포드!$J$23,트라이포드!$I$23),0))/100*(($AL531+IF(입력란!$C$30=1,17,IF(입력란!$C$30=2,20,IF(입력란!$C$30=3,22,0))))/100-1))</f>
        <v>423219.2145700191</v>
      </c>
      <c r="L531" s="21">
        <f>U531*(1+IF($AK531+IF(입력란!$C$26=1,10,0)+IF(MID(E531,3,1)="1",IF(G531="생명50%이하",트라이포드!$J$23,트라이포드!$I$23),0)&gt;100,100,$AK531+IF(입력란!$C$26=1,10,0)+IF(MID(E531,3,1)="1",IF(G531="생명50%이하",트라이포드!$J$23,트라이포드!$I$23),0))/100*(($AL531+IF(입력란!$C$30=1,17,IF(입력란!$C$30=2,20,IF(입력란!$C$30=3,22,0))))/100-1))</f>
        <v>423219.2145700191</v>
      </c>
      <c r="M531" s="21">
        <f>V531*(1+IF($AK531+IF(입력란!$C$26=1,10,0)+IF(MID(E531,3,1)="1",IF(G531="생명50%이하",트라이포드!$J$23,트라이포드!$I$23),0)&gt;100,100,$AK531+IF(입력란!$C$26=1,10,0)+IF(MID(E531,3,1)="1",IF(G531="생명50%이하",트라이포드!$J$23,트라이포드!$I$23),0))/100*(($AL531+IF(입력란!$C$30=1,17,IF(입력란!$C$30=2,20,IF(입력란!$C$30=3,22,0))))/100-1))</f>
        <v>423219.2145700191</v>
      </c>
      <c r="N531" s="21"/>
      <c r="O531" s="21"/>
      <c r="P531" s="21"/>
      <c r="Q531" s="20"/>
      <c r="R531" s="19">
        <f>SUM(S531:Z531)</f>
        <v>1529556.8634780087</v>
      </c>
      <c r="S531" s="21">
        <f>AN531*IF(MID(E531,3,1)="2",트라이포드!$L$23,트라이포드!$K$23)*IF(MID(E531,5,1)="1",트라이포드!$P$23,트라이포드!$O$23)*(1+입력란!$P$19/100)</f>
        <v>695253.11976273113</v>
      </c>
      <c r="T531" s="21">
        <f>AN531*IF(MID(E531,3,1)="2",트라이포드!$L$23,트라이포드!$K$23)*IF(MID(E531,5,1)="2",트라이포드!$R$23,트라이포드!$F$23)*(1+입력란!$P$19/100)/3</f>
        <v>278101.24790509249</v>
      </c>
      <c r="U531" s="21">
        <f>AN531*IF(MID(E531,3,1)="2",트라이포드!$L$23,트라이포드!$K$23)*IF(MID(E531,5,1)="2",트라이포드!$R$23,트라이포드!$F$23)*(1+입력란!$P$19/100)/3</f>
        <v>278101.24790509249</v>
      </c>
      <c r="V531" s="21">
        <f>AN531*IF(MID(E531,3,1)="2",트라이포드!$L$23,트라이포드!$K$23)*IF(MID(E531,5,1)="2",트라이포드!$R$23,트라이포드!$F$23)*(1+입력란!$P$19/100)/3</f>
        <v>278101.24790509249</v>
      </c>
      <c r="W531" s="21"/>
      <c r="X531" s="21"/>
      <c r="Y531" s="21"/>
      <c r="Z531" s="20"/>
      <c r="AA531" s="21">
        <f>SUM(AB531:AI531)</f>
        <v>3059113.7269560173</v>
      </c>
      <c r="AB531" s="21">
        <f>S531*2</f>
        <v>1390506.2395254623</v>
      </c>
      <c r="AC531" s="21">
        <f>T531*2</f>
        <v>556202.49581018498</v>
      </c>
      <c r="AD531" s="21">
        <f>U531*2</f>
        <v>556202.49581018498</v>
      </c>
      <c r="AE531" s="21">
        <f>V531*2</f>
        <v>556202.49581018498</v>
      </c>
      <c r="AF531" s="21"/>
      <c r="AG531" s="21"/>
      <c r="AH531" s="21"/>
      <c r="AI531" s="20"/>
      <c r="AJ531" s="21">
        <f>AQ531*(1-입력란!$P$10/100)</f>
        <v>23.711464126079999</v>
      </c>
      <c r="AK5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31" s="21">
        <f>입력란!$P$24+IF(입력란!$C$18=1,10,IF(입력란!$C$18=2,25,IF(입력란!$C$18=3,50,0)))+IF(입력란!$C$23&lt;&gt;0,-12)</f>
        <v>200</v>
      </c>
      <c r="AM531" s="21">
        <f>SUM(AN531:AP531)</f>
        <v>364816.33938447217</v>
      </c>
      <c r="AN531" s="21">
        <f>(VLOOKUP(C531,$B$4:$AJ$7,28,FALSE)+VLOOKUP(C531,$B$8:$AJ$11,28,FALSE)*입력란!$P$4)*입력란!$P$25/100</f>
        <v>364816.33938447217</v>
      </c>
      <c r="AO531" s="21"/>
      <c r="AP531" s="21"/>
      <c r="AQ531" s="22">
        <v>24</v>
      </c>
    </row>
    <row r="532" spans="2:43" ht="13.5" customHeight="1" x14ac:dyDescent="0.55000000000000004">
      <c r="B532" s="66">
        <v>517</v>
      </c>
      <c r="C532" s="29">
        <v>1</v>
      </c>
      <c r="D532" s="49" t="s">
        <v>247</v>
      </c>
      <c r="E532" s="27" t="s">
        <v>232</v>
      </c>
      <c r="F532" s="29"/>
      <c r="G532" s="29" t="s">
        <v>374</v>
      </c>
      <c r="H532" s="37">
        <f>J532*2/(1+1/(K532/J532))</f>
        <v>44903.624129832024</v>
      </c>
      <c r="I532" s="37"/>
      <c r="J532" s="21">
        <f t="array" ref="J532">IFERROR(INDEX($H$16:$H$657,MATCH(1,(C532=$C$16:$C$657)*(D532=$D$16:$D$657)*(E532=$E$16:$E$657)*(""=$G$16:$G$657),0)),"에러")</f>
        <v>44903.624129832024</v>
      </c>
      <c r="K532" s="21">
        <f t="array" ref="K532">IFERROR(INDEX($H$16:$H$657,MATCH(1,(C532=$C$16:$C$657)*(D532=$D$16:$D$657)*(E532=$E$16:$E$657)*("생명50%이하"=$G$16:$G$657),0)),"에러")</f>
        <v>44903.624129832024</v>
      </c>
      <c r="L532" s="21"/>
      <c r="M532" s="21"/>
      <c r="N532" s="21"/>
      <c r="O532" s="21"/>
      <c r="P532" s="21"/>
      <c r="Q532" s="20"/>
      <c r="R532" s="19"/>
      <c r="S532" s="21"/>
      <c r="T532" s="21"/>
      <c r="U532" s="21"/>
      <c r="V532" s="21"/>
      <c r="W532" s="21"/>
      <c r="X532" s="21"/>
      <c r="Y532" s="21"/>
      <c r="Z532" s="20"/>
      <c r="AA532" s="21"/>
      <c r="AB532" s="21"/>
      <c r="AC532" s="21"/>
      <c r="AD532" s="21"/>
      <c r="AE532" s="21"/>
      <c r="AF532" s="21"/>
      <c r="AG532" s="21"/>
      <c r="AH532" s="21"/>
      <c r="AI532" s="20"/>
      <c r="AJ532" s="21"/>
      <c r="AK532" s="21"/>
      <c r="AL532" s="21"/>
      <c r="AM532" s="21"/>
      <c r="AN532" s="21"/>
      <c r="AO532" s="21"/>
      <c r="AP532" s="21"/>
      <c r="AQ532" s="22"/>
    </row>
    <row r="533" spans="2:43" ht="13.5" customHeight="1" x14ac:dyDescent="0.55000000000000004">
      <c r="B533" s="66">
        <v>518</v>
      </c>
      <c r="C533" s="29">
        <v>4</v>
      </c>
      <c r="D533" s="49" t="s">
        <v>247</v>
      </c>
      <c r="E533" s="27" t="s">
        <v>232</v>
      </c>
      <c r="F533" s="29"/>
      <c r="G533" s="29" t="s">
        <v>374</v>
      </c>
      <c r="H533" s="37">
        <f>J533*2/(1+1/(K533/J533))</f>
        <v>44962.496373194284</v>
      </c>
      <c r="I533" s="37"/>
      <c r="J533" s="21">
        <f t="array" ref="J533">IFERROR(INDEX($H$16:$H$657,MATCH(1,(C533=$C$16:$C$657)*(D533=$D$16:$D$657)*(E533=$E$16:$E$657)*(""=$G$16:$G$657),0)),"에러")</f>
        <v>44962.496373194284</v>
      </c>
      <c r="K533" s="21">
        <f t="array" ref="K533">IFERROR(INDEX($H$16:$H$657,MATCH(1,(C533=$C$16:$C$657)*(D533=$D$16:$D$657)*(E533=$E$16:$E$657)*("생명50%이하"=$G$16:$G$657),0)),"에러")</f>
        <v>44962.496373194284</v>
      </c>
      <c r="L533" s="21"/>
      <c r="M533" s="21"/>
      <c r="N533" s="21"/>
      <c r="O533" s="21"/>
      <c r="P533" s="21"/>
      <c r="Q533" s="20"/>
      <c r="R533" s="19"/>
      <c r="S533" s="21"/>
      <c r="T533" s="21"/>
      <c r="U533" s="21"/>
      <c r="V533" s="21"/>
      <c r="W533" s="21"/>
      <c r="X533" s="21"/>
      <c r="Y533" s="21"/>
      <c r="Z533" s="20"/>
      <c r="AA533" s="21"/>
      <c r="AB533" s="21"/>
      <c r="AC533" s="21"/>
      <c r="AD533" s="21"/>
      <c r="AE533" s="21"/>
      <c r="AF533" s="21"/>
      <c r="AG533" s="21"/>
      <c r="AH533" s="21"/>
      <c r="AI533" s="20"/>
      <c r="AJ533" s="21"/>
      <c r="AK533" s="21"/>
      <c r="AL533" s="21"/>
      <c r="AM533" s="21"/>
      <c r="AN533" s="21"/>
      <c r="AO533" s="21"/>
      <c r="AP533" s="21"/>
      <c r="AQ533" s="22"/>
    </row>
    <row r="534" spans="2:43" ht="13.5" customHeight="1" x14ac:dyDescent="0.55000000000000004">
      <c r="B534" s="66">
        <v>519</v>
      </c>
      <c r="C534" s="29">
        <v>7</v>
      </c>
      <c r="D534" s="49" t="s">
        <v>247</v>
      </c>
      <c r="E534" s="27" t="s">
        <v>232</v>
      </c>
      <c r="F534" s="29"/>
      <c r="G534" s="29" t="s">
        <v>374</v>
      </c>
      <c r="H534" s="37">
        <f>J534*2/(1+1/(K534/J534))</f>
        <v>44989.933898181211</v>
      </c>
      <c r="I534" s="37"/>
      <c r="J534" s="21">
        <f t="array" ref="J534">IFERROR(INDEX($H$16:$H$657,MATCH(1,(C534=$C$16:$C$657)*(D534=$D$16:$D$657)*(E534=$E$16:$E$657)*(""=$G$16:$G$657),0)),"에러")</f>
        <v>44989.933898181211</v>
      </c>
      <c r="K534" s="21">
        <f t="array" ref="K534">IFERROR(INDEX($H$16:$H$657,MATCH(1,(C534=$C$16:$C$657)*(D534=$D$16:$D$657)*(E534=$E$16:$E$657)*("생명50%이하"=$G$16:$G$657),0)),"에러")</f>
        <v>44989.933898181211</v>
      </c>
      <c r="L534" s="21"/>
      <c r="M534" s="21"/>
      <c r="N534" s="21"/>
      <c r="O534" s="21"/>
      <c r="P534" s="21"/>
      <c r="Q534" s="20"/>
      <c r="R534" s="19"/>
      <c r="S534" s="21"/>
      <c r="T534" s="21"/>
      <c r="U534" s="21"/>
      <c r="V534" s="21"/>
      <c r="W534" s="21"/>
      <c r="X534" s="21"/>
      <c r="Y534" s="21"/>
      <c r="Z534" s="20"/>
      <c r="AA534" s="21"/>
      <c r="AB534" s="21"/>
      <c r="AC534" s="21"/>
      <c r="AD534" s="21"/>
      <c r="AE534" s="21"/>
      <c r="AF534" s="21"/>
      <c r="AG534" s="21"/>
      <c r="AH534" s="21"/>
      <c r="AI534" s="20"/>
      <c r="AJ534" s="21"/>
      <c r="AK534" s="21"/>
      <c r="AL534" s="21"/>
      <c r="AM534" s="21"/>
      <c r="AN534" s="21"/>
      <c r="AO534" s="21"/>
      <c r="AP534" s="21"/>
      <c r="AQ534" s="22"/>
    </row>
    <row r="535" spans="2:43" ht="13.5" customHeight="1" x14ac:dyDescent="0.55000000000000004">
      <c r="B535" s="66">
        <v>520</v>
      </c>
      <c r="C535" s="29">
        <v>7</v>
      </c>
      <c r="D535" s="49" t="s">
        <v>247</v>
      </c>
      <c r="E535" s="27" t="s">
        <v>234</v>
      </c>
      <c r="F535" s="29"/>
      <c r="G535" s="29" t="s">
        <v>374</v>
      </c>
      <c r="H535" s="37">
        <f>J535*2/(1+1/(K535/J535))</f>
        <v>51098.54775587871</v>
      </c>
      <c r="I535" s="37"/>
      <c r="J535" s="21">
        <f t="array" ref="J535">IFERROR(INDEX($H$16:$H$657,MATCH(1,(C535=$C$16:$C$657)*(D535=$D$16:$D$657)*(E535=$E$16:$E$657)*(""=$G$16:$G$657),0)),"에러")</f>
        <v>44989.933898181211</v>
      </c>
      <c r="K535" s="21">
        <f t="array" ref="K535">IFERROR(INDEX($H$16:$H$657,MATCH(1,(C535=$C$16:$C$657)*(D535=$D$16:$D$657)*(E535=$E$16:$E$657)*("생명50%이하"=$G$16:$G$657),0)),"에러")</f>
        <v>59126.600728482867</v>
      </c>
      <c r="L535" s="21"/>
      <c r="M535" s="21"/>
      <c r="N535" s="21"/>
      <c r="O535" s="21"/>
      <c r="P535" s="21"/>
      <c r="Q535" s="20"/>
      <c r="R535" s="19"/>
      <c r="S535" s="21"/>
      <c r="T535" s="21"/>
      <c r="U535" s="21"/>
      <c r="V535" s="21"/>
      <c r="W535" s="21"/>
      <c r="X535" s="21"/>
      <c r="Y535" s="21"/>
      <c r="Z535" s="20"/>
      <c r="AA535" s="21"/>
      <c r="AB535" s="21"/>
      <c r="AC535" s="21"/>
      <c r="AD535" s="21"/>
      <c r="AE535" s="21"/>
      <c r="AF535" s="21"/>
      <c r="AG535" s="21"/>
      <c r="AH535" s="21"/>
      <c r="AI535" s="20"/>
      <c r="AJ535" s="21"/>
      <c r="AK535" s="21"/>
      <c r="AL535" s="21"/>
      <c r="AM535" s="21"/>
      <c r="AN535" s="21"/>
      <c r="AO535" s="21"/>
      <c r="AP535" s="21"/>
      <c r="AQ535" s="22"/>
    </row>
    <row r="536" spans="2:43" ht="13.5" customHeight="1" x14ac:dyDescent="0.55000000000000004">
      <c r="B536" s="66">
        <v>521</v>
      </c>
      <c r="C536" s="29">
        <v>7</v>
      </c>
      <c r="D536" s="49" t="s">
        <v>247</v>
      </c>
      <c r="E536" s="27" t="s">
        <v>233</v>
      </c>
      <c r="F536" s="29" t="s">
        <v>252</v>
      </c>
      <c r="G536" s="29" t="s">
        <v>374</v>
      </c>
      <c r="H536" s="37">
        <f>J536*2/(1+1/(K536/J536))</f>
        <v>62985.907457453708</v>
      </c>
      <c r="I536" s="37"/>
      <c r="J536" s="21">
        <f t="array" ref="J536">IFERROR(INDEX($H$16:$H$657,MATCH(1,(C536=$C$16:$C$657)*(D536=$D$16:$D$657)*(E536=$E$16:$E$657)*(""=$G$16:$G$657),0)),"에러")</f>
        <v>62985.907457453708</v>
      </c>
      <c r="K536" s="21">
        <f t="array" ref="K536">IFERROR(INDEX($H$16:$H$657,MATCH(1,(C536=$C$16:$C$657)*(D536=$D$16:$D$657)*(E536=$E$16:$E$657)*("생명50%이하"=$G$16:$G$657),0)),"에러")</f>
        <v>62985.907457453708</v>
      </c>
      <c r="L536" s="21"/>
      <c r="M536" s="21"/>
      <c r="N536" s="21"/>
      <c r="O536" s="21"/>
      <c r="P536" s="21"/>
      <c r="Q536" s="20"/>
      <c r="R536" s="19"/>
      <c r="S536" s="21"/>
      <c r="T536" s="21"/>
      <c r="U536" s="21"/>
      <c r="V536" s="21"/>
      <c r="W536" s="21"/>
      <c r="X536" s="21"/>
      <c r="Y536" s="21"/>
      <c r="Z536" s="20"/>
      <c r="AA536" s="21"/>
      <c r="AB536" s="21"/>
      <c r="AC536" s="21"/>
      <c r="AD536" s="21"/>
      <c r="AE536" s="21"/>
      <c r="AF536" s="21"/>
      <c r="AG536" s="21"/>
      <c r="AH536" s="21"/>
      <c r="AI536" s="20"/>
      <c r="AJ536" s="21"/>
      <c r="AK536" s="21"/>
      <c r="AL536" s="21"/>
      <c r="AM536" s="21"/>
      <c r="AN536" s="21"/>
      <c r="AO536" s="21"/>
      <c r="AP536" s="21"/>
      <c r="AQ536" s="22"/>
    </row>
    <row r="537" spans="2:43" ht="13.5" customHeight="1" x14ac:dyDescent="0.55000000000000004">
      <c r="B537" s="66">
        <v>522</v>
      </c>
      <c r="C537" s="29">
        <v>10</v>
      </c>
      <c r="D537" s="49" t="s">
        <v>247</v>
      </c>
      <c r="E537" s="27" t="s">
        <v>232</v>
      </c>
      <c r="F537" s="29"/>
      <c r="G537" s="29" t="s">
        <v>374</v>
      </c>
      <c r="H537" s="37">
        <f>J537*2/(1+1/(K537/J537))</f>
        <v>45007.452461796973</v>
      </c>
      <c r="I537" s="37"/>
      <c r="J537" s="21">
        <f t="array" ref="J537">IFERROR(INDEX($H$16:$H$657,MATCH(1,(C537=$C$16:$C$657)*(D537=$D$16:$D$657)*(E537=$E$16:$E$657)*(""=$G$16:$G$657),0)),"에러")</f>
        <v>45007.452461796973</v>
      </c>
      <c r="K537" s="21">
        <f t="array" ref="K537">IFERROR(INDEX($H$16:$H$657,MATCH(1,(C537=$C$16:$C$657)*(D537=$D$16:$D$657)*(E537=$E$16:$E$657)*("생명50%이하"=$G$16:$G$657),0)),"에러")</f>
        <v>45007.452461796973</v>
      </c>
      <c r="L537" s="21"/>
      <c r="M537" s="21"/>
      <c r="N537" s="21"/>
      <c r="O537" s="21"/>
      <c r="P537" s="21"/>
      <c r="Q537" s="20"/>
      <c r="R537" s="19"/>
      <c r="S537" s="21"/>
      <c r="T537" s="21"/>
      <c r="U537" s="21"/>
      <c r="V537" s="21"/>
      <c r="W537" s="21"/>
      <c r="X537" s="21"/>
      <c r="Y537" s="21"/>
      <c r="Z537" s="20"/>
      <c r="AA537" s="21"/>
      <c r="AB537" s="21"/>
      <c r="AC537" s="21"/>
      <c r="AD537" s="21"/>
      <c r="AE537" s="21"/>
      <c r="AF537" s="21"/>
      <c r="AG537" s="21"/>
      <c r="AH537" s="21"/>
      <c r="AI537" s="20"/>
      <c r="AJ537" s="21"/>
      <c r="AK537" s="21"/>
      <c r="AL537" s="21"/>
      <c r="AM537" s="21"/>
      <c r="AN537" s="21"/>
      <c r="AO537" s="21"/>
      <c r="AP537" s="21"/>
      <c r="AQ537" s="22"/>
    </row>
    <row r="538" spans="2:43" ht="13.5" customHeight="1" x14ac:dyDescent="0.55000000000000004">
      <c r="B538" s="66">
        <v>523</v>
      </c>
      <c r="C538" s="29">
        <v>10</v>
      </c>
      <c r="D538" s="49" t="s">
        <v>247</v>
      </c>
      <c r="E538" s="27" t="s">
        <v>239</v>
      </c>
      <c r="F538" s="29"/>
      <c r="G538" s="29" t="s">
        <v>374</v>
      </c>
      <c r="H538" s="37">
        <f>J538*2/(1+1/(K538/J538))</f>
        <v>90014.904923593946</v>
      </c>
      <c r="I538" s="37"/>
      <c r="J538" s="21">
        <f t="array" ref="J538">IFERROR(INDEX($H$16:$H$657,MATCH(1,(C538=$C$16:$C$657)*(D538=$D$16:$D$657)*(E538=$E$16:$E$657)*(""=$G$16:$G$657),0)),"에러")</f>
        <v>90014.904923593946</v>
      </c>
      <c r="K538" s="21">
        <f t="array" ref="K538">IFERROR(INDEX($H$16:$H$657,MATCH(1,(C538=$C$16:$C$657)*(D538=$D$16:$D$657)*(E538=$E$16:$E$657)*("생명50%이하"=$G$16:$G$657),0)),"에러")</f>
        <v>90014.904923593946</v>
      </c>
      <c r="L538" s="21"/>
      <c r="M538" s="21"/>
      <c r="N538" s="21"/>
      <c r="O538" s="21"/>
      <c r="P538" s="21"/>
      <c r="Q538" s="20"/>
      <c r="R538" s="19"/>
      <c r="S538" s="21"/>
      <c r="T538" s="21"/>
      <c r="U538" s="21"/>
      <c r="V538" s="21"/>
      <c r="W538" s="21"/>
      <c r="X538" s="21"/>
      <c r="Y538" s="21"/>
      <c r="Z538" s="20"/>
      <c r="AA538" s="21"/>
      <c r="AB538" s="21"/>
      <c r="AC538" s="21"/>
      <c r="AD538" s="21"/>
      <c r="AE538" s="21"/>
      <c r="AF538" s="21"/>
      <c r="AG538" s="21"/>
      <c r="AH538" s="21"/>
      <c r="AI538" s="20"/>
      <c r="AJ538" s="21"/>
      <c r="AK538" s="21"/>
      <c r="AL538" s="21"/>
      <c r="AM538" s="21"/>
      <c r="AN538" s="21"/>
      <c r="AO538" s="21"/>
      <c r="AP538" s="21"/>
      <c r="AQ538" s="22"/>
    </row>
    <row r="539" spans="2:43" ht="13.5" customHeight="1" x14ac:dyDescent="0.55000000000000004">
      <c r="B539" s="66">
        <v>524</v>
      </c>
      <c r="C539" s="29">
        <v>10</v>
      </c>
      <c r="D539" s="49" t="s">
        <v>247</v>
      </c>
      <c r="E539" s="27" t="s">
        <v>240</v>
      </c>
      <c r="F539" s="29"/>
      <c r="G539" s="29" t="s">
        <v>374</v>
      </c>
      <c r="H539" s="37">
        <f>J539*2/(1+1/(K539/J539))</f>
        <v>99016.395415953331</v>
      </c>
      <c r="I539" s="37"/>
      <c r="J539" s="21">
        <f t="array" ref="J539">IFERROR(INDEX($H$16:$H$657,MATCH(1,(C539=$C$16:$C$657)*(D539=$D$16:$D$657)*(E539=$E$16:$E$657)*(""=$G$16:$G$657),0)),"에러")</f>
        <v>99016.395415953331</v>
      </c>
      <c r="K539" s="21">
        <f t="array" ref="K539">IFERROR(INDEX($H$16:$H$657,MATCH(1,(C539=$C$16:$C$657)*(D539=$D$16:$D$657)*(E539=$E$16:$E$657)*("생명50%이하"=$G$16:$G$657),0)),"에러")</f>
        <v>99016.395415953331</v>
      </c>
      <c r="L539" s="21"/>
      <c r="M539" s="21"/>
      <c r="N539" s="21"/>
      <c r="O539" s="21"/>
      <c r="P539" s="21"/>
      <c r="Q539" s="20"/>
      <c r="R539" s="19"/>
      <c r="S539" s="21"/>
      <c r="T539" s="21"/>
      <c r="U539" s="21"/>
      <c r="V539" s="21"/>
      <c r="W539" s="21"/>
      <c r="X539" s="21"/>
      <c r="Y539" s="21"/>
      <c r="Z539" s="20"/>
      <c r="AA539" s="21"/>
      <c r="AB539" s="21"/>
      <c r="AC539" s="21"/>
      <c r="AD539" s="21"/>
      <c r="AE539" s="21"/>
      <c r="AF539" s="21"/>
      <c r="AG539" s="21"/>
      <c r="AH539" s="21"/>
      <c r="AI539" s="20"/>
      <c r="AJ539" s="21"/>
      <c r="AK539" s="21"/>
      <c r="AL539" s="21"/>
      <c r="AM539" s="21"/>
      <c r="AN539" s="21"/>
      <c r="AO539" s="21"/>
      <c r="AP539" s="21"/>
      <c r="AQ539" s="22"/>
    </row>
    <row r="540" spans="2:43" ht="13.5" customHeight="1" x14ac:dyDescent="0.55000000000000004">
      <c r="B540" s="66">
        <v>525</v>
      </c>
      <c r="C540" s="29">
        <v>10</v>
      </c>
      <c r="D540" s="49" t="s">
        <v>247</v>
      </c>
      <c r="E540" s="27" t="s">
        <v>248</v>
      </c>
      <c r="F540" s="29"/>
      <c r="G540" s="29" t="s">
        <v>374</v>
      </c>
      <c r="H540" s="37">
        <f>J540*2/(1+1/(K540/J540))</f>
        <v>102236.88988716417</v>
      </c>
      <c r="I540" s="37"/>
      <c r="J540" s="21">
        <f t="array" ref="J540">IFERROR(INDEX($H$16:$H$657,MATCH(1,(C540=$C$16:$C$657)*(D540=$D$16:$D$657)*(E540=$E$16:$E$657)*(""=$G$16:$G$657),0)),"에러")</f>
        <v>90014.904923593946</v>
      </c>
      <c r="K540" s="21">
        <f t="array" ref="K540">IFERROR(INDEX($H$16:$H$657,MATCH(1,(C540=$C$16:$C$657)*(D540=$D$16:$D$657)*(E540=$E$16:$E$657)*("생명50%이하"=$G$16:$G$657),0)),"에러")</f>
        <v>118299.24789564642</v>
      </c>
      <c r="L540" s="21"/>
      <c r="M540" s="21"/>
      <c r="N540" s="21"/>
      <c r="O540" s="21"/>
      <c r="P540" s="21"/>
      <c r="Q540" s="20"/>
      <c r="R540" s="19"/>
      <c r="S540" s="21"/>
      <c r="T540" s="21"/>
      <c r="U540" s="21"/>
      <c r="V540" s="21"/>
      <c r="W540" s="21"/>
      <c r="X540" s="21"/>
      <c r="Y540" s="21"/>
      <c r="Z540" s="20"/>
      <c r="AA540" s="21"/>
      <c r="AB540" s="21"/>
      <c r="AC540" s="21"/>
      <c r="AD540" s="21"/>
      <c r="AE540" s="21"/>
      <c r="AF540" s="21"/>
      <c r="AG540" s="21"/>
      <c r="AH540" s="21"/>
      <c r="AI540" s="20"/>
      <c r="AJ540" s="21"/>
      <c r="AK540" s="21"/>
      <c r="AL540" s="21"/>
      <c r="AM540" s="21"/>
      <c r="AN540" s="21"/>
      <c r="AO540" s="21"/>
      <c r="AP540" s="21"/>
      <c r="AQ540" s="22"/>
    </row>
    <row r="541" spans="2:43" ht="13.5" customHeight="1" x14ac:dyDescent="0.55000000000000004">
      <c r="B541" s="66">
        <v>526</v>
      </c>
      <c r="C541" s="29">
        <v>10</v>
      </c>
      <c r="D541" s="49" t="s">
        <v>247</v>
      </c>
      <c r="E541" s="27" t="s">
        <v>249</v>
      </c>
      <c r="F541" s="29"/>
      <c r="G541" s="29" t="s">
        <v>374</v>
      </c>
      <c r="H541" s="37">
        <f>J541*2/(1+1/(K541/J541))</f>
        <v>112460.57887588059</v>
      </c>
      <c r="I541" s="37"/>
      <c r="J541" s="21">
        <f t="array" ref="J541">IFERROR(INDEX($H$16:$H$657,MATCH(1,(C541=$C$16:$C$657)*(D541=$D$16:$D$657)*(E541=$E$16:$E$657)*(""=$G$16:$G$657),0)),"에러")</f>
        <v>99016.395415953331</v>
      </c>
      <c r="K541" s="21">
        <f t="array" ref="K541">IFERROR(INDEX($H$16:$H$657,MATCH(1,(C541=$C$16:$C$657)*(D541=$D$16:$D$657)*(E541=$E$16:$E$657)*("생명50%이하"=$G$16:$G$657),0)),"에러")</f>
        <v>130129.17268521109</v>
      </c>
      <c r="L541" s="21"/>
      <c r="M541" s="21"/>
      <c r="N541" s="21"/>
      <c r="O541" s="21"/>
      <c r="P541" s="21"/>
      <c r="Q541" s="20"/>
      <c r="R541" s="19"/>
      <c r="S541" s="21"/>
      <c r="T541" s="21"/>
      <c r="U541" s="21"/>
      <c r="V541" s="21"/>
      <c r="W541" s="21"/>
      <c r="X541" s="21"/>
      <c r="Y541" s="21"/>
      <c r="Z541" s="20"/>
      <c r="AA541" s="21"/>
      <c r="AB541" s="21"/>
      <c r="AC541" s="21"/>
      <c r="AD541" s="21"/>
      <c r="AE541" s="21"/>
      <c r="AF541" s="21"/>
      <c r="AG541" s="21"/>
      <c r="AH541" s="21"/>
      <c r="AI541" s="20"/>
      <c r="AJ541" s="21"/>
      <c r="AK541" s="21"/>
      <c r="AL541" s="21"/>
      <c r="AM541" s="21"/>
      <c r="AN541" s="21"/>
      <c r="AO541" s="21"/>
      <c r="AP541" s="21"/>
      <c r="AQ541" s="22"/>
    </row>
    <row r="542" spans="2:43" ht="13.5" customHeight="1" x14ac:dyDescent="0.55000000000000004">
      <c r="B542" s="66">
        <v>527</v>
      </c>
      <c r="C542" s="29">
        <v>10</v>
      </c>
      <c r="D542" s="49" t="s">
        <v>247</v>
      </c>
      <c r="E542" s="27" t="s">
        <v>250</v>
      </c>
      <c r="F542" s="29" t="s">
        <v>252</v>
      </c>
      <c r="G542" s="29" t="s">
        <v>374</v>
      </c>
      <c r="H542" s="37">
        <f>J542*2/(1+1/(K542/J542))</f>
        <v>126020.86689303152</v>
      </c>
      <c r="I542" s="37"/>
      <c r="J542" s="21">
        <f t="array" ref="J542">IFERROR(INDEX($H$16:$H$657,MATCH(1,(C542=$C$16:$C$657)*(D542=$D$16:$D$657)*(E542=$E$16:$E$657)*(""=$G$16:$G$657),0)),"에러")</f>
        <v>126020.86689303152</v>
      </c>
      <c r="K542" s="21">
        <f t="array" ref="K542">IFERROR(INDEX($H$16:$H$657,MATCH(1,(C542=$C$16:$C$657)*(D542=$D$16:$D$657)*(E542=$E$16:$E$657)*("생명50%이하"=$G$16:$G$657),0)),"에러")</f>
        <v>126020.86689303152</v>
      </c>
      <c r="L542" s="21"/>
      <c r="M542" s="21"/>
      <c r="N542" s="21"/>
      <c r="O542" s="21"/>
      <c r="P542" s="21"/>
      <c r="Q542" s="20"/>
      <c r="R542" s="19"/>
      <c r="S542" s="21"/>
      <c r="T542" s="21"/>
      <c r="U542" s="21"/>
      <c r="V542" s="21"/>
      <c r="W542" s="21"/>
      <c r="X542" s="21"/>
      <c r="Y542" s="21"/>
      <c r="Z542" s="20"/>
      <c r="AA542" s="21"/>
      <c r="AB542" s="21"/>
      <c r="AC542" s="21"/>
      <c r="AD542" s="21"/>
      <c r="AE542" s="21"/>
      <c r="AF542" s="21"/>
      <c r="AG542" s="21"/>
      <c r="AH542" s="21"/>
      <c r="AI542" s="20"/>
      <c r="AJ542" s="21"/>
      <c r="AK542" s="21"/>
      <c r="AL542" s="21"/>
      <c r="AM542" s="21"/>
      <c r="AN542" s="21"/>
      <c r="AO542" s="21"/>
      <c r="AP542" s="21"/>
      <c r="AQ542" s="22"/>
    </row>
    <row r="543" spans="2:43" ht="13.5" customHeight="1" x14ac:dyDescent="0.55000000000000004">
      <c r="B543" s="66">
        <v>528</v>
      </c>
      <c r="C543" s="29">
        <v>10</v>
      </c>
      <c r="D543" s="49" t="s">
        <v>247</v>
      </c>
      <c r="E543" s="27" t="s">
        <v>251</v>
      </c>
      <c r="F543" s="29" t="s">
        <v>252</v>
      </c>
      <c r="G543" s="29" t="s">
        <v>374</v>
      </c>
      <c r="H543" s="37">
        <f>J543*2/(1+1/(K543/J543))</f>
        <v>138622.95358233468</v>
      </c>
      <c r="I543" s="37"/>
      <c r="J543" s="21">
        <f t="array" ref="J543">IFERROR(INDEX($H$16:$H$657,MATCH(1,(C543=$C$16:$C$657)*(D543=$D$16:$D$657)*(E543=$E$16:$E$657)*(""=$G$16:$G$657),0)),"에러")</f>
        <v>138622.95358233468</v>
      </c>
      <c r="K543" s="21">
        <f t="array" ref="K543">IFERROR(INDEX($H$16:$H$657,MATCH(1,(C543=$C$16:$C$657)*(D543=$D$16:$D$657)*(E543=$E$16:$E$657)*("생명50%이하"=$G$16:$G$657),0)),"에러")</f>
        <v>138622.95358233468</v>
      </c>
      <c r="L543" s="21"/>
      <c r="M543" s="21"/>
      <c r="N543" s="21"/>
      <c r="O543" s="21"/>
      <c r="P543" s="21"/>
      <c r="Q543" s="20"/>
      <c r="R543" s="19"/>
      <c r="S543" s="21"/>
      <c r="T543" s="21"/>
      <c r="U543" s="21"/>
      <c r="V543" s="21"/>
      <c r="W543" s="21"/>
      <c r="X543" s="21"/>
      <c r="Y543" s="21"/>
      <c r="Z543" s="20"/>
      <c r="AA543" s="21"/>
      <c r="AB543" s="21"/>
      <c r="AC543" s="21"/>
      <c r="AD543" s="21"/>
      <c r="AE543" s="21"/>
      <c r="AF543" s="21"/>
      <c r="AG543" s="21"/>
      <c r="AH543" s="21"/>
      <c r="AI543" s="20"/>
      <c r="AJ543" s="21"/>
      <c r="AK543" s="21"/>
      <c r="AL543" s="21"/>
      <c r="AM543" s="21"/>
      <c r="AN543" s="21"/>
      <c r="AO543" s="21"/>
      <c r="AP543" s="21"/>
      <c r="AQ543" s="22"/>
    </row>
    <row r="544" spans="2:43" ht="13.5" customHeight="1" x14ac:dyDescent="0.55000000000000004">
      <c r="B544" s="66">
        <v>529</v>
      </c>
      <c r="C544" s="29">
        <v>1</v>
      </c>
      <c r="D544" s="49" t="s">
        <v>423</v>
      </c>
      <c r="E544" s="27" t="s">
        <v>424</v>
      </c>
      <c r="G544" s="29"/>
      <c r="H544" s="37">
        <f>I544/AJ544</f>
        <v>72713.814330008012</v>
      </c>
      <c r="I544" s="37">
        <f>SUM(J544:Q544)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1724150.9999564267</v>
      </c>
      <c r="J544" s="21">
        <f>S544*(1+IF($AK544+IF(입력란!$C$26=1,10,0)&gt;100,100,$AK544+IF(입력란!$C$26=1,10,0))/100*(($AL544+IF(MID(E544,5,1)="1",75,0)+IF(입력란!$C$30=1,17,IF(입력란!$C$30=2,20,IF(입력란!$C$30=3,22,0))))/100-1))</f>
        <v>1220983.6413543138</v>
      </c>
      <c r="K544" s="21">
        <f>T544*(1+IF($AK544+IF(입력란!$C$26=1,10,0)&gt;100,100,$AK544+IF(입력란!$C$26=1,10,0))/100*(($AL544+IF(입력란!$C$30=1,17,IF(입력란!$C$30=2,20,IF(입력란!$C$30=3,22,0))))/100-1))</f>
        <v>0</v>
      </c>
      <c r="L544" s="21"/>
      <c r="M544" s="21"/>
      <c r="N544" s="21"/>
      <c r="O544" s="21"/>
      <c r="P544" s="21"/>
      <c r="Q544" s="20">
        <f>Z544*(1+IF($AK544+IF(입력란!$C$26=1,10,0)&gt;100,100,$AK544+IF(입력란!$C$26=1,10,0))/100*(($AL544+IF(입력란!$C$30=1,17,IF(입력란!$C$30=2,20,IF(입력란!$C$30=3,22,0))))/100-1))</f>
        <v>0</v>
      </c>
      <c r="R544" s="19">
        <f>SUM(S544:Z544)</f>
        <v>802319.60800107033</v>
      </c>
      <c r="S544" s="21">
        <f>AN544*IF(MID(E544,3,1)="1",트라이포드!$J$24,트라이포드!$I$24)*IF(MID(E544,3,1)="2",트라이포드!$L$24,트라이포드!$K$24)*IF(MID(E544,5,1)="1",트라이포드!$P$24,트라이포드!$O$24)*IF(MID(E544,5,1)="2",1+트라이포드!$R$24*3,트라이포드!$Q$24)*(1+입력란!$P$19/100)</f>
        <v>802319.60800107033</v>
      </c>
      <c r="T544" s="21">
        <f>AN544*IF(MID(E544,3,1)="3",트라이포드!$N$24,트라이포드!$M$24)*(1+입력란!$P$19/100)</f>
        <v>0</v>
      </c>
      <c r="U544" s="21"/>
      <c r="V544" s="21"/>
      <c r="W544" s="21"/>
      <c r="X544" s="21"/>
      <c r="Y544" s="21"/>
      <c r="Z544" s="20">
        <f>AN544*IF(MID(E544,1,1)="3",트라이포드!$H$24,트라이포드!$G$24)*(1+입력란!$P$19/100)</f>
        <v>0</v>
      </c>
      <c r="AA544" s="21">
        <f>SUM(AB544:AI544)</f>
        <v>1604639.2160021407</v>
      </c>
      <c r="AB544" s="21">
        <f>S544*2</f>
        <v>1604639.2160021407</v>
      </c>
      <c r="AC544" s="21">
        <f>T544*2</f>
        <v>0</v>
      </c>
      <c r="AD544" s="21"/>
      <c r="AE544" s="21"/>
      <c r="AF544" s="21"/>
      <c r="AG544" s="21"/>
      <c r="AH544" s="21"/>
      <c r="AI544" s="20">
        <f>Z544*2</f>
        <v>0</v>
      </c>
      <c r="AJ544" s="21">
        <f>(AQ544-IF(MID(E544,5,1)="2",2,0))*(1-입력란!$P$10/100)</f>
        <v>23.711464126079999</v>
      </c>
      <c r="AK54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4" s="21">
        <f>입력란!$P$24+IF(입력란!$C$18=1,10,IF(입력란!$C$18=2,25,IF(입력란!$C$18=3,50,0)))+IF(입력란!$C$23&lt;&gt;0,-12)</f>
        <v>200</v>
      </c>
      <c r="AM544" s="21">
        <f>SUM(AN544:AP544)</f>
        <v>589395.4471000639</v>
      </c>
      <c r="AN544" s="21">
        <f>(VLOOKUP(C544,$B$4:$AJ$7,29,FALSE)+VLOOKUP(C544,$B$8:$AJ$11,29,FALSE)*입력란!$P$4)*입력란!$P$25/100</f>
        <v>589395.4471000639</v>
      </c>
      <c r="AO544" s="21"/>
      <c r="AP544" s="21"/>
      <c r="AQ544" s="22">
        <v>24</v>
      </c>
    </row>
    <row r="545" spans="2:43" ht="13.5" customHeight="1" x14ac:dyDescent="0.55000000000000004">
      <c r="B545" s="66">
        <v>530</v>
      </c>
      <c r="C545" s="29">
        <v>4</v>
      </c>
      <c r="D545" s="49" t="s">
        <v>423</v>
      </c>
      <c r="E545" s="27" t="s">
        <v>424</v>
      </c>
      <c r="F545" s="29"/>
      <c r="G545" s="29"/>
      <c r="H545" s="37">
        <f>I545/AJ545</f>
        <v>72809.10544646444</v>
      </c>
      <c r="I545" s="37">
        <f>SUM(J545:Q545)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1726410.4918458173</v>
      </c>
      <c r="J545" s="21">
        <f>S545*(1+IF($AK545+IF(입력란!$C$26=1,10,0)&gt;100,100,$AK545+IF(입력란!$C$26=1,10,0))/100*(($AL545+IF(MID(E545,5,1)="1",75,0)+IF(입력란!$C$30=1,17,IF(입력란!$C$30=2,20,IF(입력란!$C$30=3,22,0))))/100-1))</f>
        <v>1222583.7347537831</v>
      </c>
      <c r="K545" s="21">
        <f>T545*(1+IF($AK545+IF(입력란!$C$26=1,10,0)&gt;100,100,$AK545+IF(입력란!$C$26=1,10,0))/100*(($AL545+IF(입력란!$C$30=1,17,IF(입력란!$C$30=2,20,IF(입력란!$C$30=3,22,0))))/100-1))</f>
        <v>0</v>
      </c>
      <c r="L545" s="21"/>
      <c r="M545" s="21"/>
      <c r="N545" s="21"/>
      <c r="O545" s="21"/>
      <c r="P545" s="21"/>
      <c r="Q545" s="20">
        <f>Z545*(1+IF($AK545+IF(입력란!$C$26=1,10,0)&gt;100,100,$AK545+IF(입력란!$C$26=1,10,0))/100*(($AL545+IF(입력란!$C$30=1,17,IF(입력란!$C$30=2,20,IF(입력란!$C$30=3,22,0))))/100-1))</f>
        <v>0</v>
      </c>
      <c r="R545" s="19">
        <f>SUM(S545:Z545)</f>
        <v>803371.04412645788</v>
      </c>
      <c r="S545" s="21">
        <f>AN545*IF(MID(E545,3,1)="1",트라이포드!$J$24,트라이포드!$I$24)*IF(MID(E545,3,1)="2",트라이포드!$L$24,트라이포드!$K$24)*IF(MID(E545,5,1)="1",트라이포드!$P$24,트라이포드!$O$24)*IF(MID(E545,5,1)="2",1+트라이포드!$R$24*3,트라이포드!$Q$24)*(1+입력란!$P$19/100)</f>
        <v>803371.04412645788</v>
      </c>
      <c r="T545" s="21">
        <f>AN545*IF(MID(E545,3,1)="3",트라이포드!$N$24,트라이포드!$M$24)*(1+입력란!$P$19/100)</f>
        <v>0</v>
      </c>
      <c r="U545" s="21"/>
      <c r="V545" s="21"/>
      <c r="W545" s="21"/>
      <c r="X545" s="21"/>
      <c r="Y545" s="21"/>
      <c r="Z545" s="20">
        <f>AN545*IF(MID(E545,1,1)="3",트라이포드!$H$24,트라이포드!$G$24)*(1+입력란!$P$19/100)</f>
        <v>0</v>
      </c>
      <c r="AA545" s="21">
        <f>SUM(AB545:AI545)</f>
        <v>1606742.0882529158</v>
      </c>
      <c r="AB545" s="21">
        <f>S545*2</f>
        <v>1606742.0882529158</v>
      </c>
      <c r="AC545" s="21">
        <f>T545*2</f>
        <v>0</v>
      </c>
      <c r="AD545" s="21"/>
      <c r="AE545" s="21"/>
      <c r="AF545" s="21"/>
      <c r="AG545" s="21"/>
      <c r="AH545" s="21"/>
      <c r="AI545" s="20">
        <f>Z545*2</f>
        <v>0</v>
      </c>
      <c r="AJ545" s="21">
        <f>(AQ545-IF(MID(E545,5,1)="2",2,0))*(1-입력란!$P$10/100)</f>
        <v>23.711464126079999</v>
      </c>
      <c r="AK54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5" s="21">
        <f>입력란!$P$24+IF(입력란!$C$18=1,10,IF(입력란!$C$18=2,25,IF(입력란!$C$18=3,50,0)))+IF(입력란!$C$23&lt;&gt;0,-12)</f>
        <v>200</v>
      </c>
      <c r="AM545" s="21">
        <f>SUM(AN545:AP545)</f>
        <v>590167.84710006381</v>
      </c>
      <c r="AN545" s="21">
        <f>(VLOOKUP(C545,$B$4:$AJ$7,29,FALSE)+VLOOKUP(C545,$B$8:$AJ$11,29,FALSE)*입력란!$P$4)*입력란!$P$25/100</f>
        <v>590167.84710006381</v>
      </c>
      <c r="AO545" s="21"/>
      <c r="AP545" s="21"/>
      <c r="AQ545" s="22">
        <v>24</v>
      </c>
    </row>
    <row r="546" spans="2:43" ht="13.5" customHeight="1" x14ac:dyDescent="0.55000000000000004">
      <c r="B546" s="66">
        <v>531</v>
      </c>
      <c r="C546" s="29">
        <v>4</v>
      </c>
      <c r="D546" s="49" t="s">
        <v>423</v>
      </c>
      <c r="E546" s="27" t="s">
        <v>430</v>
      </c>
      <c r="F546" s="29"/>
      <c r="G546" s="29"/>
      <c r="H546" s="37">
        <f>I546/AJ546</f>
        <v>73537.196500929072</v>
      </c>
      <c r="I546" s="37">
        <f>SUM(J546:Q546)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1743674.5967642753</v>
      </c>
      <c r="J546" s="21">
        <f>S546*(1+IF($AK546+IF(입력란!$C$26=1,10,0)&gt;100,100,$AK546+IF(입력란!$C$26=1,10,0))/100*(($AL546+IF(MID(E546,5,1)="1",75,0)+IF(입력란!$C$30=1,17,IF(입력란!$C$30=2,20,IF(입력란!$C$30=3,22,0))))/100-1))</f>
        <v>1222583.7347537831</v>
      </c>
      <c r="K546" s="21">
        <f>T546*(1+IF($AK546+IF(입력란!$C$26=1,10,0)&gt;100,100,$AK546+IF(입력란!$C$26=1,10,0))/100*(($AL546+IF(입력란!$C$30=1,17,IF(입력란!$C$30=2,20,IF(입력란!$C$30=3,22,0))))/100-1))</f>
        <v>0</v>
      </c>
      <c r="L546" s="21"/>
      <c r="M546" s="21"/>
      <c r="N546" s="21"/>
      <c r="O546" s="21"/>
      <c r="P546" s="21"/>
      <c r="Q546" s="20">
        <f>Z546*(1+IF($AK546+IF(입력란!$C$26=1,10,0)&gt;100,100,$AK546+IF(입력란!$C$26=1,10,0))/100*(($AL546+IF(입력란!$C$30=1,17,IF(입력란!$C$30=2,20,IF(입력란!$C$30=3,22,0))))/100-1))</f>
        <v>12225.837347537832</v>
      </c>
      <c r="R546" s="19">
        <f>SUM(S546:Z546)</f>
        <v>811404.75456772244</v>
      </c>
      <c r="S546" s="21">
        <f>AN546*IF(MID(E546,3,1)="1",트라이포드!$J$24,트라이포드!$I$24)*IF(MID(E546,3,1)="2",트라이포드!$L$24,트라이포드!$K$24)*IF(MID(E546,5,1)="1",트라이포드!$P$24,트라이포드!$O$24)*IF(MID(E546,5,1)="2",1+트라이포드!$R$24*3,트라이포드!$Q$24)*(1+입력란!$P$19/100)</f>
        <v>803371.04412645788</v>
      </c>
      <c r="T546" s="21">
        <f>AN546*IF(MID(E546,3,1)="3",트라이포드!$N$24,트라이포드!$M$24)*(1+입력란!$P$19/100)</f>
        <v>0</v>
      </c>
      <c r="U546" s="21"/>
      <c r="V546" s="21"/>
      <c r="W546" s="21"/>
      <c r="X546" s="21"/>
      <c r="Y546" s="21"/>
      <c r="Z546" s="20">
        <f>AN546*IF(MID(E546,1,1)="3",트라이포드!$H$24,트라이포드!$G$24)*(1+입력란!$P$19/100)</f>
        <v>8033.7104412645795</v>
      </c>
      <c r="AA546" s="21">
        <f>SUM(AB546:AI546)</f>
        <v>1622809.5091354449</v>
      </c>
      <c r="AB546" s="21">
        <f>S546*2</f>
        <v>1606742.0882529158</v>
      </c>
      <c r="AC546" s="21">
        <f>T546*2</f>
        <v>0</v>
      </c>
      <c r="AD546" s="21"/>
      <c r="AE546" s="21"/>
      <c r="AF546" s="21"/>
      <c r="AG546" s="21"/>
      <c r="AH546" s="21"/>
      <c r="AI546" s="20">
        <f>Z546*2</f>
        <v>16067.420882529159</v>
      </c>
      <c r="AJ546" s="21">
        <f>(AQ546-IF(MID(E546,5,1)="2",2,0))*(1-입력란!$P$10/100)</f>
        <v>23.711464126079999</v>
      </c>
      <c r="AK54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6" s="21">
        <f>입력란!$P$24+IF(입력란!$C$18=1,10,IF(입력란!$C$18=2,25,IF(입력란!$C$18=3,50,0)))+IF(입력란!$C$23&lt;&gt;0,-12)</f>
        <v>200</v>
      </c>
      <c r="AM546" s="21">
        <f>SUM(AN546:AP546)</f>
        <v>590167.84710006381</v>
      </c>
      <c r="AN546" s="21">
        <f>(VLOOKUP(C546,$B$4:$AJ$7,29,FALSE)+VLOOKUP(C546,$B$8:$AJ$11,29,FALSE)*입력란!$P$4)*입력란!$P$25/100</f>
        <v>590167.84710006381</v>
      </c>
      <c r="AO546" s="21"/>
      <c r="AP546" s="21"/>
      <c r="AQ546" s="22">
        <v>24</v>
      </c>
    </row>
    <row r="547" spans="2:43" ht="13.5" customHeight="1" x14ac:dyDescent="0.55000000000000004">
      <c r="B547" s="66">
        <v>532</v>
      </c>
      <c r="C547" s="29">
        <v>7</v>
      </c>
      <c r="D547" s="49" t="s">
        <v>423</v>
      </c>
      <c r="E547" s="27" t="s">
        <v>424</v>
      </c>
      <c r="F547" s="29"/>
      <c r="G547" s="29"/>
      <c r="H547" s="37">
        <f>I547/AJ547</f>
        <v>72853.469358268849</v>
      </c>
      <c r="I547" s="37">
        <f>SUM(J547:Q547)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1727462.4251490603</v>
      </c>
      <c r="J547" s="21">
        <f>S547*(1+IF($AK547+IF(입력란!$C$26=1,10,0)&gt;100,100,$AK547+IF(입력란!$C$26=1,10,0))/100*(($AL547+IF(MID(E547,5,1)="1",75,0)+IF(입력란!$C$30=1,17,IF(입력란!$C$30=2,20,IF(입력란!$C$30=3,22,0))))/100-1))</f>
        <v>1223328.6772530701</v>
      </c>
      <c r="K547" s="21">
        <f>T547*(1+IF($AK547+IF(입력란!$C$26=1,10,0)&gt;100,100,$AK547+IF(입력란!$C$26=1,10,0))/100*(($AL547+IF(입력란!$C$30=1,17,IF(입력란!$C$30=2,20,IF(입력란!$C$30=3,22,0))))/100-1))</f>
        <v>0</v>
      </c>
      <c r="L547" s="21"/>
      <c r="M547" s="21"/>
      <c r="N547" s="21"/>
      <c r="O547" s="21"/>
      <c r="P547" s="21"/>
      <c r="Q547" s="20">
        <f>Z547*(1+IF($AK547+IF(입력란!$C$26=1,10,0)&gt;100,100,$AK547+IF(입력란!$C$26=1,10,0))/100*(($AL547+IF(입력란!$C$30=1,17,IF(입력란!$C$30=2,20,IF(입력란!$C$30=3,22,0))))/100-1))</f>
        <v>0</v>
      </c>
      <c r="R547" s="19">
        <f>SUM(S547:Z547)</f>
        <v>803860.552710986</v>
      </c>
      <c r="S547" s="21">
        <f>AN547*IF(MID(E547,3,1)="1",트라이포드!$J$24,트라이포드!$I$24)*IF(MID(E547,3,1)="2",트라이포드!$L$24,트라이포드!$K$24)*IF(MID(E547,5,1)="1",트라이포드!$P$24,트라이포드!$O$24)*IF(MID(E547,5,1)="2",1+트라이포드!$R$24*3,트라이포드!$Q$24)*(1+입력란!$P$19/100)</f>
        <v>803860.552710986</v>
      </c>
      <c r="T547" s="21">
        <f>AN547*IF(MID(E547,3,1)="3",트라이포드!$N$24,트라이포드!$M$24)*(1+입력란!$P$19/100)</f>
        <v>0</v>
      </c>
      <c r="U547" s="21"/>
      <c r="V547" s="21"/>
      <c r="W547" s="21"/>
      <c r="X547" s="21"/>
      <c r="Y547" s="21"/>
      <c r="Z547" s="20">
        <f>AN547*IF(MID(E547,1,1)="3",트라이포드!$H$24,트라이포드!$G$24)*(1+입력란!$P$19/100)</f>
        <v>0</v>
      </c>
      <c r="AA547" s="21">
        <f>SUM(AB547:AI547)</f>
        <v>1607721.105421972</v>
      </c>
      <c r="AB547" s="21">
        <f>S547*2</f>
        <v>1607721.105421972</v>
      </c>
      <c r="AC547" s="21">
        <f>T547*2</f>
        <v>0</v>
      </c>
      <c r="AD547" s="21"/>
      <c r="AE547" s="21"/>
      <c r="AF547" s="21"/>
      <c r="AG547" s="21"/>
      <c r="AH547" s="21"/>
      <c r="AI547" s="20">
        <f>Z547*2</f>
        <v>0</v>
      </c>
      <c r="AJ547" s="21">
        <f>(AQ547-IF(MID(E547,5,1)="2",2,0))*(1-입력란!$P$10/100)</f>
        <v>23.711464126079999</v>
      </c>
      <c r="AK54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7" s="21">
        <f>입력란!$P$24+IF(입력란!$C$18=1,10,IF(입력란!$C$18=2,25,IF(입력란!$C$18=3,50,0)))+IF(입력란!$C$23&lt;&gt;0,-12)</f>
        <v>200</v>
      </c>
      <c r="AM547" s="21">
        <f>SUM(AN547:AP547)</f>
        <v>590527.4471000639</v>
      </c>
      <c r="AN547" s="21">
        <f>(VLOOKUP(C547,$B$4:$AJ$7,29,FALSE)+VLOOKUP(C547,$B$8:$AJ$11,29,FALSE)*입력란!$P$4)*입력란!$P$25/100</f>
        <v>590527.4471000639</v>
      </c>
      <c r="AO547" s="21"/>
      <c r="AP547" s="21"/>
      <c r="AQ547" s="22">
        <v>24</v>
      </c>
    </row>
    <row r="548" spans="2:43" ht="13.5" customHeight="1" x14ac:dyDescent="0.55000000000000004">
      <c r="B548" s="66">
        <v>533</v>
      </c>
      <c r="C548" s="29">
        <v>7</v>
      </c>
      <c r="D548" s="49" t="s">
        <v>423</v>
      </c>
      <c r="E548" s="27" t="s">
        <v>431</v>
      </c>
      <c r="F548" s="29"/>
      <c r="G548" s="29"/>
      <c r="H548" s="37">
        <f>I548/AJ548</f>
        <v>101994.85710157639</v>
      </c>
      <c r="I548" s="37">
        <f>SUM(J548:Q548)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2418447.3952086843</v>
      </c>
      <c r="J548" s="21">
        <f>S548*(1+IF($AK548+IF(입력란!$C$26=1,10,0)&gt;100,100,$AK548+IF(입력란!$C$26=1,10,0))/100*(($AL548+IF(MID(E548,5,1)="1",75,0)+IF(입력란!$C$30=1,17,IF(입력란!$C$30=2,20,IF(입력란!$C$30=3,22,0))))/100-1))</f>
        <v>1712660.1481542978</v>
      </c>
      <c r="K548" s="21">
        <f>T548*(1+IF($AK548+IF(입력란!$C$26=1,10,0)&gt;100,100,$AK548+IF(입력란!$C$26=1,10,0))/100*(($AL548+IF(입력란!$C$30=1,17,IF(입력란!$C$30=2,20,IF(입력란!$C$30=3,22,0))))/100-1))</f>
        <v>0</v>
      </c>
      <c r="L548" s="21"/>
      <c r="M548" s="21"/>
      <c r="N548" s="21"/>
      <c r="O548" s="21"/>
      <c r="P548" s="21"/>
      <c r="Q548" s="20">
        <f>Z548*(1+IF($AK548+IF(입력란!$C$26=1,10,0)&gt;100,100,$AK548+IF(입력란!$C$26=1,10,0))/100*(($AL548+IF(입력란!$C$30=1,17,IF(입력란!$C$30=2,20,IF(입력란!$C$30=3,22,0))))/100-1))</f>
        <v>0</v>
      </c>
      <c r="R548" s="19">
        <f>SUM(S548:Z548)</f>
        <v>1125404.7737953803</v>
      </c>
      <c r="S548" s="21">
        <f>AN548*IF(MID(E548,3,1)="1",트라이포드!$J$24,트라이포드!$I$24)*IF(MID(E548,3,1)="2",트라이포드!$L$24,트라이포드!$K$24)*IF(MID(E548,5,1)="1",트라이포드!$P$24,트라이포드!$O$24)*IF(MID(E548,5,1)="2",1+트라이포드!$R$24*3,트라이포드!$Q$24)*(1+입력란!$P$19/100)</f>
        <v>1125404.7737953803</v>
      </c>
      <c r="T548" s="21">
        <f>AN548*IF(MID(E548,3,1)="3",트라이포드!$N$24,트라이포드!$M$24)*(1+입력란!$P$19/100)</f>
        <v>0</v>
      </c>
      <c r="U548" s="21"/>
      <c r="V548" s="21"/>
      <c r="W548" s="21"/>
      <c r="X548" s="21"/>
      <c r="Y548" s="21"/>
      <c r="Z548" s="20">
        <f>AN548*IF(MID(E548,1,1)="3",트라이포드!$H$24,트라이포드!$G$24)*(1+입력란!$P$19/100)</f>
        <v>0</v>
      </c>
      <c r="AA548" s="21">
        <f>SUM(AB548:AI548)</f>
        <v>2250809.5475907605</v>
      </c>
      <c r="AB548" s="21">
        <f>S548*2</f>
        <v>2250809.5475907605</v>
      </c>
      <c r="AC548" s="21">
        <f>T548*2</f>
        <v>0</v>
      </c>
      <c r="AD548" s="21"/>
      <c r="AE548" s="21"/>
      <c r="AF548" s="21"/>
      <c r="AG548" s="21"/>
      <c r="AH548" s="21"/>
      <c r="AI548" s="20">
        <f>Z548*2</f>
        <v>0</v>
      </c>
      <c r="AJ548" s="21">
        <f>(AQ548-IF(MID(E548,5,1)="2",2,0))*(1-입력란!$P$10/100)</f>
        <v>23.711464126079999</v>
      </c>
      <c r="AK54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8" s="21">
        <f>입력란!$P$24+IF(입력란!$C$18=1,10,IF(입력란!$C$18=2,25,IF(입력란!$C$18=3,50,0)))+IF(입력란!$C$23&lt;&gt;0,-12)</f>
        <v>200</v>
      </c>
      <c r="AM548" s="21">
        <f>SUM(AN548:AP548)</f>
        <v>590527.4471000639</v>
      </c>
      <c r="AN548" s="21">
        <f>(VLOOKUP(C548,$B$4:$AJ$7,29,FALSE)+VLOOKUP(C548,$B$8:$AJ$11,29,FALSE)*입력란!$P$4)*입력란!$P$25/100</f>
        <v>590527.4471000639</v>
      </c>
      <c r="AO548" s="21"/>
      <c r="AP548" s="21"/>
      <c r="AQ548" s="22">
        <v>24</v>
      </c>
    </row>
    <row r="549" spans="2:43" ht="13.5" customHeight="1" x14ac:dyDescent="0.55000000000000004">
      <c r="B549" s="66">
        <v>534</v>
      </c>
      <c r="C549" s="29">
        <v>7</v>
      </c>
      <c r="D549" s="49" t="s">
        <v>423</v>
      </c>
      <c r="E549" s="27" t="s">
        <v>432</v>
      </c>
      <c r="F549" s="29"/>
      <c r="G549" s="29"/>
      <c r="H549" s="37">
        <f>I549/AJ549</f>
        <v>101994.85710157639</v>
      </c>
      <c r="I549" s="37">
        <f>SUM(J549:Q549)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2418447.3952086843</v>
      </c>
      <c r="J549" s="21">
        <f>S549*(1+IF($AK549+IF(입력란!$C$26=1,10,0)&gt;100,100,$AK549+IF(입력란!$C$26=1,10,0))/100*(($AL549+IF(MID(E549,5,1)="1",75,0)+IF(입력란!$C$30=1,17,IF(입력란!$C$30=2,20,IF(입력란!$C$30=3,22,0))))/100-1))</f>
        <v>1712660.1481542978</v>
      </c>
      <c r="K549" s="21">
        <f>T549*(1+IF($AK549+IF(입력란!$C$26=1,10,0)&gt;100,100,$AK549+IF(입력란!$C$26=1,10,0))/100*(($AL549+IF(입력란!$C$30=1,17,IF(입력란!$C$30=2,20,IF(입력란!$C$30=3,22,0))))/100-1))</f>
        <v>0</v>
      </c>
      <c r="L549" s="21"/>
      <c r="M549" s="21"/>
      <c r="N549" s="21"/>
      <c r="O549" s="21"/>
      <c r="P549" s="21"/>
      <c r="Q549" s="20">
        <f>Z549*(1+IF($AK549+IF(입력란!$C$26=1,10,0)&gt;100,100,$AK549+IF(입력란!$C$26=1,10,0))/100*(($AL549+IF(입력란!$C$30=1,17,IF(입력란!$C$30=2,20,IF(입력란!$C$30=3,22,0))))/100-1))</f>
        <v>0</v>
      </c>
      <c r="R549" s="19">
        <f>SUM(S549:Z549)</f>
        <v>1125404.7737953803</v>
      </c>
      <c r="S549" s="21">
        <f>AN549*IF(MID(E549,3,1)="1",트라이포드!$J$24,트라이포드!$I$24)*IF(MID(E549,3,1)="2",트라이포드!$L$24,트라이포드!$K$24)*IF(MID(E549,5,1)="1",트라이포드!$P$24,트라이포드!$O$24)*IF(MID(E549,5,1)="2",1+트라이포드!$R$24*3,트라이포드!$Q$24)*(1+입력란!$P$19/100)</f>
        <v>1125404.7737953803</v>
      </c>
      <c r="T549" s="21">
        <f>AN549*IF(MID(E549,3,1)="3",트라이포드!$N$24,트라이포드!$M$24)*(1+입력란!$P$19/100)</f>
        <v>0</v>
      </c>
      <c r="U549" s="21"/>
      <c r="V549" s="21"/>
      <c r="W549" s="21"/>
      <c r="X549" s="21"/>
      <c r="Y549" s="21"/>
      <c r="Z549" s="20">
        <f>AN549*IF(MID(E549,1,1)="3",트라이포드!$H$24,트라이포드!$G$24)*(1+입력란!$P$19/100)</f>
        <v>0</v>
      </c>
      <c r="AA549" s="21">
        <f>SUM(AB549:AI549)</f>
        <v>2250809.5475907605</v>
      </c>
      <c r="AB549" s="21">
        <f>S549*2</f>
        <v>2250809.5475907605</v>
      </c>
      <c r="AC549" s="21">
        <f>T549*2</f>
        <v>0</v>
      </c>
      <c r="AD549" s="21"/>
      <c r="AE549" s="21"/>
      <c r="AF549" s="21"/>
      <c r="AG549" s="21"/>
      <c r="AH549" s="21"/>
      <c r="AI549" s="20">
        <f>Z549*2</f>
        <v>0</v>
      </c>
      <c r="AJ549" s="21">
        <f>(AQ549-IF(MID(E549,5,1)="2",2,0))*(1-입력란!$P$10/100)</f>
        <v>23.711464126079999</v>
      </c>
      <c r="AK54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49" s="21">
        <f>입력란!$P$24+IF(입력란!$C$18=1,10,IF(입력란!$C$18=2,25,IF(입력란!$C$18=3,50,0)))+IF(입력란!$C$23&lt;&gt;0,-12)</f>
        <v>200</v>
      </c>
      <c r="AM549" s="21">
        <f>SUM(AN549:AP549)</f>
        <v>590527.4471000639</v>
      </c>
      <c r="AN549" s="21">
        <f>(VLOOKUP(C549,$B$4:$AJ$7,29,FALSE)+VLOOKUP(C549,$B$8:$AJ$11,29,FALSE)*입력란!$P$4)*입력란!$P$25/100</f>
        <v>590527.4471000639</v>
      </c>
      <c r="AO549" s="21"/>
      <c r="AP549" s="21"/>
      <c r="AQ549" s="22">
        <v>24</v>
      </c>
    </row>
    <row r="550" spans="2:43" ht="13.5" customHeight="1" x14ac:dyDescent="0.55000000000000004">
      <c r="B550" s="66">
        <v>535</v>
      </c>
      <c r="C550" s="29">
        <v>7</v>
      </c>
      <c r="D550" s="49" t="s">
        <v>423</v>
      </c>
      <c r="E550" s="27" t="s">
        <v>433</v>
      </c>
      <c r="F550" s="29"/>
      <c r="G550" s="29"/>
      <c r="H550" s="37">
        <f>I550/AJ550</f>
        <v>94709.510165749525</v>
      </c>
      <c r="I550" s="37">
        <f>SUM(J550:Q550)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2245701.1526937787</v>
      </c>
      <c r="J550" s="21">
        <f>S550*(1+IF($AK550+IF(입력란!$C$26=1,10,0)&gt;100,100,$AK550+IF(입력란!$C$26=1,10,0))/100*(($AL550+IF(MID(E550,5,1)="1",75,0)+IF(입력란!$C$30=1,17,IF(입력란!$C$30=2,20,IF(입력란!$C$30=3,22,0))))/100-1))</f>
        <v>1223328.6772530701</v>
      </c>
      <c r="K550" s="21">
        <f>T550*(1+IF($AK550+IF(입력란!$C$26=1,10,0)&gt;100,100,$AK550+IF(입력란!$C$26=1,10,0))/100*(($AL550+IF(입력란!$C$30=1,17,IF(입력란!$C$30=2,20,IF(입력란!$C$30=3,22,0))))/100-1))</f>
        <v>366998.60317592107</v>
      </c>
      <c r="L550" s="21"/>
      <c r="M550" s="21"/>
      <c r="N550" s="21"/>
      <c r="O550" s="21"/>
      <c r="P550" s="21"/>
      <c r="Q550" s="20">
        <f>Z550*(1+IF($AK550+IF(입력란!$C$26=1,10,0)&gt;100,100,$AK550+IF(입력란!$C$26=1,10,0))/100*(($AL550+IF(입력란!$C$30=1,17,IF(입력란!$C$30=2,20,IF(입력란!$C$30=3,22,0))))/100-1))</f>
        <v>0</v>
      </c>
      <c r="R550" s="19">
        <f>SUM(S550:Z550)</f>
        <v>1045018.7185242819</v>
      </c>
      <c r="S550" s="21">
        <f>AN550*IF(MID(E550,3,1)="1",트라이포드!$J$24,트라이포드!$I$24)*IF(MID(E550,3,1)="2",트라이포드!$L$24,트라이포드!$K$24)*IF(MID(E550,5,1)="1",트라이포드!$P$24,트라이포드!$O$24)*IF(MID(E550,5,1)="2",1+트라이포드!$R$24*3,트라이포드!$Q$24)*(1+입력란!$P$19/100)</f>
        <v>803860.552710986</v>
      </c>
      <c r="T550" s="21">
        <f>AN550*IF(MID(E550,3,1)="3",트라이포드!$N$24,트라이포드!$M$24)*(1+입력란!$P$19/100)</f>
        <v>241158.16581329581</v>
      </c>
      <c r="U550" s="21"/>
      <c r="V550" s="21"/>
      <c r="W550" s="21"/>
      <c r="X550" s="21"/>
      <c r="Y550" s="21"/>
      <c r="Z550" s="20">
        <f>AN550*IF(MID(E550,1,1)="3",트라이포드!$H$24,트라이포드!$G$24)*(1+입력란!$P$19/100)</f>
        <v>0</v>
      </c>
      <c r="AA550" s="21">
        <f>SUM(AB550:AI550)</f>
        <v>2090037.4370485637</v>
      </c>
      <c r="AB550" s="21">
        <f>S550*2</f>
        <v>1607721.105421972</v>
      </c>
      <c r="AC550" s="21">
        <f>T550*2</f>
        <v>482316.33162659162</v>
      </c>
      <c r="AD550" s="21"/>
      <c r="AE550" s="21"/>
      <c r="AF550" s="21"/>
      <c r="AG550" s="21"/>
      <c r="AH550" s="21"/>
      <c r="AI550" s="20">
        <f>Z550*2</f>
        <v>0</v>
      </c>
      <c r="AJ550" s="21">
        <f>(AQ550-IF(MID(E550,5,1)="2",2,0))*(1-입력란!$P$10/100)</f>
        <v>23.711464126079999</v>
      </c>
      <c r="AK55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0" s="21">
        <f>입력란!$P$24+IF(입력란!$C$18=1,10,IF(입력란!$C$18=2,25,IF(입력란!$C$18=3,50,0)))+IF(입력란!$C$23&lt;&gt;0,-12)</f>
        <v>200</v>
      </c>
      <c r="AM550" s="21">
        <f>SUM(AN550:AP550)</f>
        <v>590527.4471000639</v>
      </c>
      <c r="AN550" s="21">
        <f>(VLOOKUP(C550,$B$4:$AJ$7,29,FALSE)+VLOOKUP(C550,$B$8:$AJ$11,29,FALSE)*입력란!$P$4)*입력란!$P$25/100</f>
        <v>590527.4471000639</v>
      </c>
      <c r="AO550" s="21"/>
      <c r="AP550" s="21"/>
      <c r="AQ550" s="22">
        <v>24</v>
      </c>
    </row>
    <row r="551" spans="2:43" ht="13.5" customHeight="1" x14ac:dyDescent="0.55000000000000004">
      <c r="B551" s="66">
        <v>536</v>
      </c>
      <c r="C551" s="29">
        <v>7</v>
      </c>
      <c r="D551" s="49" t="s">
        <v>423</v>
      </c>
      <c r="E551" s="27" t="s">
        <v>430</v>
      </c>
      <c r="F551" s="29"/>
      <c r="G551" s="29"/>
      <c r="H551" s="37">
        <f>I551/AJ551</f>
        <v>73582.004051851545</v>
      </c>
      <c r="I551" s="37">
        <f>SUM(J551:Q551)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1744737.049400551</v>
      </c>
      <c r="J551" s="21">
        <f>S551*(1+IF($AK551+IF(입력란!$C$26=1,10,0)&gt;100,100,$AK551+IF(입력란!$C$26=1,10,0))/100*(($AL551+IF(MID(E551,5,1)="1",75,0)+IF(입력란!$C$30=1,17,IF(입력란!$C$30=2,20,IF(입력란!$C$30=3,22,0))))/100-1))</f>
        <v>1223328.6772530701</v>
      </c>
      <c r="K551" s="21">
        <f>T551*(1+IF($AK551+IF(입력란!$C$26=1,10,0)&gt;100,100,$AK551+IF(입력란!$C$26=1,10,0))/100*(($AL551+IF(입력란!$C$30=1,17,IF(입력란!$C$30=2,20,IF(입력란!$C$30=3,22,0))))/100-1))</f>
        <v>0</v>
      </c>
      <c r="L551" s="21"/>
      <c r="M551" s="21"/>
      <c r="N551" s="21"/>
      <c r="O551" s="21"/>
      <c r="P551" s="21"/>
      <c r="Q551" s="20">
        <f>Z551*(1+IF($AK551+IF(입력란!$C$26=1,10,0)&gt;100,100,$AK551+IF(입력란!$C$26=1,10,0))/100*(($AL551+IF(입력란!$C$30=1,17,IF(입력란!$C$30=2,20,IF(입력란!$C$30=3,22,0))))/100-1))</f>
        <v>12233.286772530702</v>
      </c>
      <c r="R551" s="19">
        <f>SUM(S551:Z551)</f>
        <v>811899.15823809581</v>
      </c>
      <c r="S551" s="21">
        <f>AN551*IF(MID(E551,3,1)="1",트라이포드!$J$24,트라이포드!$I$24)*IF(MID(E551,3,1)="2",트라이포드!$L$24,트라이포드!$K$24)*IF(MID(E551,5,1)="1",트라이포드!$P$24,트라이포드!$O$24)*IF(MID(E551,5,1)="2",1+트라이포드!$R$24*3,트라이포드!$Q$24)*(1+입력란!$P$19/100)</f>
        <v>803860.552710986</v>
      </c>
      <c r="T551" s="21">
        <f>AN551*IF(MID(E551,3,1)="3",트라이포드!$N$24,트라이포드!$M$24)*(1+입력란!$P$19/100)</f>
        <v>0</v>
      </c>
      <c r="U551" s="21"/>
      <c r="V551" s="21"/>
      <c r="W551" s="21"/>
      <c r="X551" s="21"/>
      <c r="Y551" s="21"/>
      <c r="Z551" s="20">
        <f>AN551*IF(MID(E551,1,1)="3",트라이포드!$H$24,트라이포드!$G$24)*(1+입력란!$P$19/100)</f>
        <v>8038.6055271098603</v>
      </c>
      <c r="AA551" s="21">
        <f>SUM(AB551:AI551)</f>
        <v>1623798.3164761916</v>
      </c>
      <c r="AB551" s="21">
        <f>S551*2</f>
        <v>1607721.105421972</v>
      </c>
      <c r="AC551" s="21">
        <f>T551*2</f>
        <v>0</v>
      </c>
      <c r="AD551" s="21"/>
      <c r="AE551" s="21"/>
      <c r="AF551" s="21"/>
      <c r="AG551" s="21"/>
      <c r="AH551" s="21"/>
      <c r="AI551" s="20">
        <f>Z551*2</f>
        <v>16077.211054219721</v>
      </c>
      <c r="AJ551" s="21">
        <f>(AQ551-IF(MID(E551,5,1)="2",2,0))*(1-입력란!$P$10/100)</f>
        <v>23.711464126079999</v>
      </c>
      <c r="AK55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1" s="21">
        <f>입력란!$P$24+IF(입력란!$C$18=1,10,IF(입력란!$C$18=2,25,IF(입력란!$C$18=3,50,0)))+IF(입력란!$C$23&lt;&gt;0,-12)</f>
        <v>200</v>
      </c>
      <c r="AM551" s="21">
        <f>SUM(AN551:AP551)</f>
        <v>590527.4471000639</v>
      </c>
      <c r="AN551" s="21">
        <f>(VLOOKUP(C551,$B$4:$AJ$7,29,FALSE)+VLOOKUP(C551,$B$8:$AJ$11,29,FALSE)*입력란!$P$4)*입력란!$P$25/100</f>
        <v>590527.4471000639</v>
      </c>
      <c r="AO551" s="21"/>
      <c r="AP551" s="21"/>
      <c r="AQ551" s="22">
        <v>24</v>
      </c>
    </row>
    <row r="552" spans="2:43" ht="13.5" customHeight="1" x14ac:dyDescent="0.55000000000000004">
      <c r="B552" s="66">
        <v>537</v>
      </c>
      <c r="C552" s="29">
        <v>7</v>
      </c>
      <c r="D552" s="49" t="s">
        <v>423</v>
      </c>
      <c r="E552" s="27" t="s">
        <v>434</v>
      </c>
      <c r="F552" s="29"/>
      <c r="G552" s="29"/>
      <c r="H552" s="37">
        <f>I552/AJ552</f>
        <v>102723.39179515907</v>
      </c>
      <c r="I552" s="37">
        <f>SUM(J552:Q552)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2435722.0194601747</v>
      </c>
      <c r="J552" s="21">
        <f>S552*(1+IF($AK552+IF(입력란!$C$26=1,10,0)&gt;100,100,$AK552+IF(입력란!$C$26=1,10,0))/100*(($AL552+IF(MID(E552,5,1)="1",75,0)+IF(입력란!$C$30=1,17,IF(입력란!$C$30=2,20,IF(입력란!$C$30=3,22,0))))/100-1))</f>
        <v>1712660.1481542978</v>
      </c>
      <c r="K552" s="21">
        <f>T552*(1+IF($AK552+IF(입력란!$C$26=1,10,0)&gt;100,100,$AK552+IF(입력란!$C$26=1,10,0))/100*(($AL552+IF(입력란!$C$30=1,17,IF(입력란!$C$30=2,20,IF(입력란!$C$30=3,22,0))))/100-1))</f>
        <v>0</v>
      </c>
      <c r="L552" s="21"/>
      <c r="M552" s="21"/>
      <c r="N552" s="21"/>
      <c r="O552" s="21"/>
      <c r="P552" s="21"/>
      <c r="Q552" s="20">
        <f>Z552*(1+IF($AK552+IF(입력란!$C$26=1,10,0)&gt;100,100,$AK552+IF(입력란!$C$26=1,10,0))/100*(($AL552+IF(입력란!$C$30=1,17,IF(입력란!$C$30=2,20,IF(입력란!$C$30=3,22,0))))/100-1))</f>
        <v>12233.286772530702</v>
      </c>
      <c r="R552" s="19">
        <f>SUM(S552:Z552)</f>
        <v>1133443.3793224902</v>
      </c>
      <c r="S552" s="21">
        <f>AN552*IF(MID(E552,3,1)="1",트라이포드!$J$24,트라이포드!$I$24)*IF(MID(E552,3,1)="2",트라이포드!$L$24,트라이포드!$K$24)*IF(MID(E552,5,1)="1",트라이포드!$P$24,트라이포드!$O$24)*IF(MID(E552,5,1)="2",1+트라이포드!$R$24*3,트라이포드!$Q$24)*(1+입력란!$P$19/100)</f>
        <v>1125404.7737953803</v>
      </c>
      <c r="T552" s="21">
        <f>AN552*IF(MID(E552,3,1)="3",트라이포드!$N$24,트라이포드!$M$24)*(1+입력란!$P$19/100)</f>
        <v>0</v>
      </c>
      <c r="U552" s="21"/>
      <c r="V552" s="21"/>
      <c r="W552" s="21"/>
      <c r="X552" s="21"/>
      <c r="Y552" s="21"/>
      <c r="Z552" s="20">
        <f>AN552*IF(MID(E552,1,1)="3",트라이포드!$H$24,트라이포드!$G$24)*(1+입력란!$P$19/100)</f>
        <v>8038.6055271098603</v>
      </c>
      <c r="AA552" s="21">
        <f>SUM(AB552:AI552)</f>
        <v>2266886.7586449804</v>
      </c>
      <c r="AB552" s="21">
        <f>S552*2</f>
        <v>2250809.5475907605</v>
      </c>
      <c r="AC552" s="21">
        <f>T552*2</f>
        <v>0</v>
      </c>
      <c r="AD552" s="21"/>
      <c r="AE552" s="21"/>
      <c r="AF552" s="21"/>
      <c r="AG552" s="21"/>
      <c r="AH552" s="21"/>
      <c r="AI552" s="20">
        <f>Z552*2</f>
        <v>16077.211054219721</v>
      </c>
      <c r="AJ552" s="21">
        <f>(AQ552-IF(MID(E552,5,1)="2",2,0))*(1-입력란!$P$10/100)</f>
        <v>23.711464126079999</v>
      </c>
      <c r="AK55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2" s="21">
        <f>입력란!$P$24+IF(입력란!$C$18=1,10,IF(입력란!$C$18=2,25,IF(입력란!$C$18=3,50,0)))+IF(입력란!$C$23&lt;&gt;0,-12)</f>
        <v>200</v>
      </c>
      <c r="AM552" s="21">
        <f>SUM(AN552:AP552)</f>
        <v>590527.4471000639</v>
      </c>
      <c r="AN552" s="21">
        <f>(VLOOKUP(C552,$B$4:$AJ$7,29,FALSE)+VLOOKUP(C552,$B$8:$AJ$11,29,FALSE)*입력란!$P$4)*입력란!$P$25/100</f>
        <v>590527.4471000639</v>
      </c>
      <c r="AO552" s="21"/>
      <c r="AP552" s="21"/>
      <c r="AQ552" s="22">
        <v>24</v>
      </c>
    </row>
    <row r="553" spans="2:43" ht="13.5" customHeight="1" x14ac:dyDescent="0.55000000000000004">
      <c r="B553" s="66">
        <v>538</v>
      </c>
      <c r="C553" s="29">
        <v>7</v>
      </c>
      <c r="D553" s="49" t="s">
        <v>423</v>
      </c>
      <c r="E553" s="27" t="s">
        <v>435</v>
      </c>
      <c r="F553" s="29"/>
      <c r="G553" s="29"/>
      <c r="H553" s="37">
        <f>I553/AJ553</f>
        <v>102723.39179515907</v>
      </c>
      <c r="I553" s="37">
        <f>SUM(J553:Q553)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2435722.0194601747</v>
      </c>
      <c r="J553" s="21">
        <f>S553*(1+IF($AK553+IF(입력란!$C$26=1,10,0)&gt;100,100,$AK553+IF(입력란!$C$26=1,10,0))/100*(($AL553+IF(MID(E553,5,1)="1",75,0)+IF(입력란!$C$30=1,17,IF(입력란!$C$30=2,20,IF(입력란!$C$30=3,22,0))))/100-1))</f>
        <v>1712660.1481542978</v>
      </c>
      <c r="K553" s="21">
        <f>T553*(1+IF($AK553+IF(입력란!$C$26=1,10,0)&gt;100,100,$AK553+IF(입력란!$C$26=1,10,0))/100*(($AL553+IF(입력란!$C$30=1,17,IF(입력란!$C$30=2,20,IF(입력란!$C$30=3,22,0))))/100-1))</f>
        <v>0</v>
      </c>
      <c r="L553" s="21"/>
      <c r="M553" s="21"/>
      <c r="N553" s="21"/>
      <c r="O553" s="21"/>
      <c r="P553" s="21"/>
      <c r="Q553" s="20">
        <f>Z553*(1+IF($AK553+IF(입력란!$C$26=1,10,0)&gt;100,100,$AK553+IF(입력란!$C$26=1,10,0))/100*(($AL553+IF(입력란!$C$30=1,17,IF(입력란!$C$30=2,20,IF(입력란!$C$30=3,22,0))))/100-1))</f>
        <v>12233.286772530702</v>
      </c>
      <c r="R553" s="19">
        <f>SUM(S553:Z553)</f>
        <v>1133443.3793224902</v>
      </c>
      <c r="S553" s="21">
        <f>AN553*IF(MID(E553,3,1)="1",트라이포드!$J$24,트라이포드!$I$24)*IF(MID(E553,3,1)="2",트라이포드!$L$24,트라이포드!$K$24)*IF(MID(E553,5,1)="1",트라이포드!$P$24,트라이포드!$O$24)*IF(MID(E553,5,1)="2",1+트라이포드!$R$24*3,트라이포드!$Q$24)*(1+입력란!$P$19/100)</f>
        <v>1125404.7737953803</v>
      </c>
      <c r="T553" s="21">
        <f>AN553*IF(MID(E553,3,1)="3",트라이포드!$N$24,트라이포드!$M$24)*(1+입력란!$P$19/100)</f>
        <v>0</v>
      </c>
      <c r="U553" s="21"/>
      <c r="V553" s="21"/>
      <c r="W553" s="21"/>
      <c r="X553" s="21"/>
      <c r="Y553" s="21"/>
      <c r="Z553" s="20">
        <f>AN553*IF(MID(E553,1,1)="3",트라이포드!$H$24,트라이포드!$G$24)*(1+입력란!$P$19/100)</f>
        <v>8038.6055271098603</v>
      </c>
      <c r="AA553" s="21">
        <f>SUM(AB553:AI553)</f>
        <v>2266886.7586449804</v>
      </c>
      <c r="AB553" s="21">
        <f>S553*2</f>
        <v>2250809.5475907605</v>
      </c>
      <c r="AC553" s="21">
        <f>T553*2</f>
        <v>0</v>
      </c>
      <c r="AD553" s="21"/>
      <c r="AE553" s="21"/>
      <c r="AF553" s="21"/>
      <c r="AG553" s="21"/>
      <c r="AH553" s="21"/>
      <c r="AI553" s="20">
        <f>Z553*2</f>
        <v>16077.211054219721</v>
      </c>
      <c r="AJ553" s="21">
        <f>(AQ553-IF(MID(E553,5,1)="2",2,0))*(1-입력란!$P$10/100)</f>
        <v>23.711464126079999</v>
      </c>
      <c r="AK55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3" s="21">
        <f>입력란!$P$24+IF(입력란!$C$18=1,10,IF(입력란!$C$18=2,25,IF(입력란!$C$18=3,50,0)))+IF(입력란!$C$23&lt;&gt;0,-12)</f>
        <v>200</v>
      </c>
      <c r="AM553" s="21">
        <f>SUM(AN553:AP553)</f>
        <v>590527.4471000639</v>
      </c>
      <c r="AN553" s="21">
        <f>(VLOOKUP(C553,$B$4:$AJ$7,29,FALSE)+VLOOKUP(C553,$B$8:$AJ$11,29,FALSE)*입력란!$P$4)*입력란!$P$25/100</f>
        <v>590527.4471000639</v>
      </c>
      <c r="AO553" s="21"/>
      <c r="AP553" s="21"/>
      <c r="AQ553" s="22">
        <v>24</v>
      </c>
    </row>
    <row r="554" spans="2:43" ht="13.5" customHeight="1" x14ac:dyDescent="0.55000000000000004">
      <c r="B554" s="66">
        <v>539</v>
      </c>
      <c r="C554" s="29">
        <v>7</v>
      </c>
      <c r="D554" s="49" t="s">
        <v>423</v>
      </c>
      <c r="E554" s="27" t="s">
        <v>436</v>
      </c>
      <c r="F554" s="29"/>
      <c r="G554" s="29"/>
      <c r="H554" s="37">
        <f>I554/AJ554</f>
        <v>95438.044859332207</v>
      </c>
      <c r="I554" s="37">
        <f>SUM(J554:Q554)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2262975.7769452692</v>
      </c>
      <c r="J554" s="21">
        <f>S554*(1+IF($AK554+IF(입력란!$C$26=1,10,0)&gt;100,100,$AK554+IF(입력란!$C$26=1,10,0))/100*(($AL554+IF(MID(E554,5,1)="1",75,0)+IF(입력란!$C$30=1,17,IF(입력란!$C$30=2,20,IF(입력란!$C$30=3,22,0))))/100-1))</f>
        <v>1223328.6772530701</v>
      </c>
      <c r="K554" s="21">
        <f>T554*(1+IF($AK554+IF(입력란!$C$26=1,10,0)&gt;100,100,$AK554+IF(입력란!$C$26=1,10,0))/100*(($AL554+IF(입력란!$C$30=1,17,IF(입력란!$C$30=2,20,IF(입력란!$C$30=3,22,0))))/100-1))</f>
        <v>366998.60317592107</v>
      </c>
      <c r="L554" s="21"/>
      <c r="M554" s="21"/>
      <c r="N554" s="21"/>
      <c r="O554" s="21"/>
      <c r="P554" s="21"/>
      <c r="Q554" s="20">
        <f>Z554*(1+IF($AK554+IF(입력란!$C$26=1,10,0)&gt;100,100,$AK554+IF(입력란!$C$26=1,10,0))/100*(($AL554+IF(입력란!$C$30=1,17,IF(입력란!$C$30=2,20,IF(입력란!$C$30=3,22,0))))/100-1))</f>
        <v>12233.286772530702</v>
      </c>
      <c r="R554" s="19">
        <f>SUM(S554:Z554)</f>
        <v>1053057.3240513918</v>
      </c>
      <c r="S554" s="21">
        <f>AN554*IF(MID(E554,3,1)="1",트라이포드!$J$24,트라이포드!$I$24)*IF(MID(E554,3,1)="2",트라이포드!$L$24,트라이포드!$K$24)*IF(MID(E554,5,1)="1",트라이포드!$P$24,트라이포드!$O$24)*IF(MID(E554,5,1)="2",1+트라이포드!$R$24*3,트라이포드!$Q$24)*(1+입력란!$P$19/100)</f>
        <v>803860.552710986</v>
      </c>
      <c r="T554" s="21">
        <f>AN554*IF(MID(E554,3,1)="3",트라이포드!$N$24,트라이포드!$M$24)*(1+입력란!$P$19/100)</f>
        <v>241158.16581329581</v>
      </c>
      <c r="U554" s="21"/>
      <c r="V554" s="21"/>
      <c r="W554" s="21"/>
      <c r="X554" s="21"/>
      <c r="Y554" s="21"/>
      <c r="Z554" s="20">
        <f>AN554*IF(MID(E554,1,1)="3",트라이포드!$H$24,트라이포드!$G$24)*(1+입력란!$P$19/100)</f>
        <v>8038.6055271098603</v>
      </c>
      <c r="AA554" s="21">
        <f>SUM(AB554:AI554)</f>
        <v>2106114.6481027836</v>
      </c>
      <c r="AB554" s="21">
        <f>S554*2</f>
        <v>1607721.105421972</v>
      </c>
      <c r="AC554" s="21">
        <f>T554*2</f>
        <v>482316.33162659162</v>
      </c>
      <c r="AD554" s="21"/>
      <c r="AE554" s="21"/>
      <c r="AF554" s="21"/>
      <c r="AG554" s="21"/>
      <c r="AH554" s="21"/>
      <c r="AI554" s="20">
        <f>Z554*2</f>
        <v>16077.211054219721</v>
      </c>
      <c r="AJ554" s="21">
        <f>(AQ554-IF(MID(E554,5,1)="2",2,0))*(1-입력란!$P$10/100)</f>
        <v>23.711464126079999</v>
      </c>
      <c r="AK55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4" s="21">
        <f>입력란!$P$24+IF(입력란!$C$18=1,10,IF(입력란!$C$18=2,25,IF(입력란!$C$18=3,50,0)))+IF(입력란!$C$23&lt;&gt;0,-12)</f>
        <v>200</v>
      </c>
      <c r="AM554" s="21">
        <f>SUM(AN554:AP554)</f>
        <v>590527.4471000639</v>
      </c>
      <c r="AN554" s="21">
        <f>(VLOOKUP(C554,$B$4:$AJ$7,29,FALSE)+VLOOKUP(C554,$B$8:$AJ$11,29,FALSE)*입력란!$P$4)*입력란!$P$25/100</f>
        <v>590527.4471000639</v>
      </c>
      <c r="AO554" s="21"/>
      <c r="AP554" s="21"/>
      <c r="AQ554" s="22">
        <v>24</v>
      </c>
    </row>
    <row r="555" spans="2:43" ht="13.5" customHeight="1" x14ac:dyDescent="0.55000000000000004">
      <c r="B555" s="66">
        <v>540</v>
      </c>
      <c r="C555" s="29">
        <v>10</v>
      </c>
      <c r="D555" s="49" t="s">
        <v>423</v>
      </c>
      <c r="E555" s="27" t="s">
        <v>424</v>
      </c>
      <c r="F555" s="29"/>
      <c r="G555" s="29"/>
      <c r="H555" s="37">
        <f>I555/AJ555</f>
        <v>72881.79514845321</v>
      </c>
      <c r="I555" s="37">
        <f>SUM(J555:Q555)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1728134.0711068597</v>
      </c>
      <c r="J555" s="21">
        <f>S555*(1+IF($AK555+IF(입력란!$C$26=1,10,0)&gt;100,100,$AK555+IF(입력란!$C$26=1,10,0))/100*(($AL555+IF(MID(E555,5,1)="1",75,0)+IF(입력란!$C$30=1,17,IF(입력란!$C$30=2,20,IF(입력란!$C$30=3,22,0))))/100-1))</f>
        <v>1223804.3135095669</v>
      </c>
      <c r="K555" s="21">
        <f>T555*(1+IF($AK555+IF(입력란!$C$26=1,10,0)&gt;100,100,$AK555+IF(입력란!$C$26=1,10,0))/100*(($AL555+IF(입력란!$C$30=1,17,IF(입력란!$C$30=2,20,IF(입력란!$C$30=3,22,0))))/100-1))</f>
        <v>0</v>
      </c>
      <c r="L555" s="21"/>
      <c r="M555" s="21"/>
      <c r="N555" s="21"/>
      <c r="O555" s="21"/>
      <c r="P555" s="21"/>
      <c r="Q555" s="20">
        <f>Z555*(1+IF($AK555+IF(입력란!$C$26=1,10,0)&gt;100,100,$AK555+IF(입력란!$C$26=1,10,0))/100*(($AL555+IF(입력란!$C$30=1,17,IF(입력란!$C$30=2,20,IF(입력란!$C$30=3,22,0))))/100-1))</f>
        <v>0</v>
      </c>
      <c r="R555" s="19">
        <f>SUM(S555:Z555)</f>
        <v>804173.09768041759</v>
      </c>
      <c r="S555" s="21">
        <f>AN555*IF(MID(E555,3,1)="1",트라이포드!$J$24,트라이포드!$I$24)*IF(MID(E555,3,1)="2",트라이포드!$L$24,트라이포드!$K$24)*IF(MID(E555,5,1)="1",트라이포드!$P$24,트라이포드!$O$24)*IF(MID(E555,5,1)="2",1+트라이포드!$R$24*3,트라이포드!$Q$24)*(1+입력란!$P$19/100)</f>
        <v>804173.09768041759</v>
      </c>
      <c r="T555" s="21">
        <f>AN555*IF(MID(E555,3,1)="3",트라이포드!$N$24,트라이포드!$M$24)*(1+입력란!$P$19/100)</f>
        <v>0</v>
      </c>
      <c r="U555" s="21"/>
      <c r="V555" s="21"/>
      <c r="W555" s="21"/>
      <c r="X555" s="21"/>
      <c r="Y555" s="21"/>
      <c r="Z555" s="20">
        <f>AN555*IF(MID(E555,1,1)="3",트라이포드!$H$24,트라이포드!$G$24)*(1+입력란!$P$19/100)</f>
        <v>0</v>
      </c>
      <c r="AA555" s="21">
        <f>SUM(AB555:AI555)</f>
        <v>1608346.1953608352</v>
      </c>
      <c r="AB555" s="21">
        <f>S555*2</f>
        <v>1608346.1953608352</v>
      </c>
      <c r="AC555" s="21">
        <f>T555*2</f>
        <v>0</v>
      </c>
      <c r="AD555" s="21"/>
      <c r="AE555" s="21"/>
      <c r="AF555" s="21"/>
      <c r="AG555" s="21"/>
      <c r="AH555" s="21"/>
      <c r="AI555" s="20">
        <f>Z555*2</f>
        <v>0</v>
      </c>
      <c r="AJ555" s="21">
        <f>(AQ555-IF(MID(E555,5,1)="2",2,0))*(1-입력란!$P$10/100)</f>
        <v>23.711464126079999</v>
      </c>
      <c r="AK55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5" s="21">
        <f>입력란!$P$24+IF(입력란!$C$18=1,10,IF(입력란!$C$18=2,25,IF(입력란!$C$18=3,50,0)))+IF(입력란!$C$23&lt;&gt;0,-12)</f>
        <v>200</v>
      </c>
      <c r="AM555" s="21">
        <f>SUM(AN555:AP555)</f>
        <v>590757.04710006388</v>
      </c>
      <c r="AN555" s="21">
        <f>(VLOOKUP(C555,$B$4:$AJ$7,29,FALSE)+VLOOKUP(C555,$B$8:$AJ$11,29,FALSE)*입력란!$P$4)*입력란!$P$25/100</f>
        <v>590757.04710006388</v>
      </c>
      <c r="AO555" s="21"/>
      <c r="AP555" s="21"/>
      <c r="AQ555" s="22">
        <v>24</v>
      </c>
    </row>
    <row r="556" spans="2:43" ht="13.5" customHeight="1" x14ac:dyDescent="0.55000000000000004">
      <c r="B556" s="66">
        <v>541</v>
      </c>
      <c r="C556" s="29">
        <v>10</v>
      </c>
      <c r="D556" s="49" t="s">
        <v>423</v>
      </c>
      <c r="E556" s="27" t="s">
        <v>437</v>
      </c>
      <c r="F556" s="29" t="s">
        <v>453</v>
      </c>
      <c r="G556" s="29"/>
      <c r="H556" s="37">
        <f>I556/AJ556</f>
        <v>151180.70029785918</v>
      </c>
      <c r="I556" s="37">
        <f>SUM(J556:Q556)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3584715.7516683401</v>
      </c>
      <c r="J556" s="21">
        <f>S556*(1+IF($AK556+IF(입력란!$C$26=1,10,0)&gt;100,100,$AK556+IF(입력란!$C$26=1,10,0))/100*(($AL556+IF(MID(E556,5,1)="1",75,0)+IF(입력란!$C$30=1,17,IF(입력란!$C$30=2,20,IF(입력란!$C$30=3,22,0))))/100-1))</f>
        <v>2538570.7468793569</v>
      </c>
      <c r="K556" s="21">
        <f>T556*(1+IF($AK556+IF(입력란!$C$26=1,10,0)&gt;100,100,$AK556+IF(입력란!$C$26=1,10,0))/100*(($AL556+IF(입력란!$C$30=1,17,IF(입력란!$C$30=2,20,IF(입력란!$C$30=3,22,0))))/100-1))</f>
        <v>0</v>
      </c>
      <c r="L556" s="21"/>
      <c r="M556" s="21"/>
      <c r="N556" s="21"/>
      <c r="O556" s="21"/>
      <c r="P556" s="21"/>
      <c r="Q556" s="20">
        <f>Z556*(1+IF($AK556+IF(입력란!$C$26=1,10,0)&gt;100,100,$AK556+IF(입력란!$C$26=1,10,0))/100*(($AL556+IF(입력란!$C$30=1,17,IF(입력란!$C$30=2,20,IF(입력란!$C$30=3,22,0))))/100-1))</f>
        <v>0</v>
      </c>
      <c r="R556" s="19">
        <f>SUM(S556:Z556)</f>
        <v>1326885.6111726889</v>
      </c>
      <c r="S556" s="21">
        <f>AN556*IF(MID(E556,3,1)="1",트라이포드!$J$24,트라이포드!$I$24)*IF(MID(E556,3,1)="2",트라이포드!$L$24,트라이포드!$K$24)*IF(MID(E556,5,1)="1",트라이포드!$P$24,트라이포드!$O$24)*IF(MID(E556,5,1)="2",1+트라이포드!$R$24*3,트라이포드!$Q$24)*(1+입력란!$P$19/100)</f>
        <v>1326885.6111726889</v>
      </c>
      <c r="T556" s="21">
        <f>AN556*IF(MID(E556,3,1)="3",트라이포드!$N$24,트라이포드!$M$24)*(1+입력란!$P$19/100)</f>
        <v>0</v>
      </c>
      <c r="U556" s="21"/>
      <c r="V556" s="21"/>
      <c r="W556" s="21"/>
      <c r="X556" s="21"/>
      <c r="Y556" s="21"/>
      <c r="Z556" s="20">
        <f>AN556*IF(MID(E556,1,1)="3",트라이포드!$H$24,트라이포드!$G$24)*(1+입력란!$P$19/100)</f>
        <v>0</v>
      </c>
      <c r="AA556" s="21">
        <f>SUM(AB556:AI556)</f>
        <v>2653771.2223453778</v>
      </c>
      <c r="AB556" s="21">
        <f>S556*2</f>
        <v>2653771.2223453778</v>
      </c>
      <c r="AC556" s="21">
        <f>T556*2</f>
        <v>0</v>
      </c>
      <c r="AD556" s="21"/>
      <c r="AE556" s="21"/>
      <c r="AF556" s="21"/>
      <c r="AG556" s="21"/>
      <c r="AH556" s="21"/>
      <c r="AI556" s="20">
        <f>Z556*2</f>
        <v>0</v>
      </c>
      <c r="AJ556" s="21">
        <f>(AQ556-IF(MID(E556,5,1)="2",2,0))*(1-입력란!$P$10/100)</f>
        <v>23.711464126079999</v>
      </c>
      <c r="AK5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6" s="21">
        <f>입력란!$P$24+IF(입력란!$C$18=1,10,IF(입력란!$C$18=2,25,IF(입력란!$C$18=3,50,0)))+IF(입력란!$C$23&lt;&gt;0,-12)</f>
        <v>200</v>
      </c>
      <c r="AM556" s="21">
        <f>SUM(AN556:AP556)</f>
        <v>590757.04710006388</v>
      </c>
      <c r="AN556" s="21">
        <f>(VLOOKUP(C556,$B$4:$AJ$7,29,FALSE)+VLOOKUP(C556,$B$8:$AJ$11,29,FALSE)*입력란!$P$4)*입력란!$P$25/100</f>
        <v>590757.04710006388</v>
      </c>
      <c r="AO556" s="21"/>
      <c r="AP556" s="21"/>
      <c r="AQ556" s="22">
        <v>24</v>
      </c>
    </row>
    <row r="557" spans="2:43" ht="13.5" customHeight="1" x14ac:dyDescent="0.55000000000000004">
      <c r="B557" s="66">
        <v>542</v>
      </c>
      <c r="C557" s="29">
        <v>10</v>
      </c>
      <c r="D557" s="49" t="s">
        <v>423</v>
      </c>
      <c r="E557" s="27" t="s">
        <v>438</v>
      </c>
      <c r="F557" s="29" t="s">
        <v>462</v>
      </c>
      <c r="G557" s="29"/>
      <c r="H557" s="37">
        <f>I557/AJ557</f>
        <v>151064.08448952116</v>
      </c>
      <c r="I557" s="37">
        <f>SUM(J557:Q557)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3283454.7351030326</v>
      </c>
      <c r="J557" s="21">
        <f>S557*(1+IF($AK557+IF(입력란!$C$26=1,10,0)&gt;100,100,$AK557+IF(입력란!$C$26=1,10,0))/100*(($AL557+IF(MID(E557,5,1)="1",75,0)+IF(입력란!$C$30=1,17,IF(입력란!$C$30=2,20,IF(입력란!$C$30=3,22,0))))/100-1))</f>
        <v>2325228.1956681767</v>
      </c>
      <c r="K557" s="21">
        <f>T557*(1+IF($AK557+IF(입력란!$C$26=1,10,0)&gt;100,100,$AK557+IF(입력란!$C$26=1,10,0))/100*(($AL557+IF(입력란!$C$30=1,17,IF(입력란!$C$30=2,20,IF(입력란!$C$30=3,22,0))))/100-1))</f>
        <v>0</v>
      </c>
      <c r="L557" s="21"/>
      <c r="M557" s="21"/>
      <c r="N557" s="21"/>
      <c r="O557" s="21"/>
      <c r="P557" s="21"/>
      <c r="Q557" s="20">
        <f>Z557*(1+IF($AK557+IF(입력란!$C$26=1,10,0)&gt;100,100,$AK557+IF(입력란!$C$26=1,10,0))/100*(($AL557+IF(입력란!$C$30=1,17,IF(입력란!$C$30=2,20,IF(입력란!$C$30=3,22,0))))/100-1))</f>
        <v>0</v>
      </c>
      <c r="R557" s="19">
        <f>SUM(S557:Z557)</f>
        <v>1527928.8855927933</v>
      </c>
      <c r="S557" s="21">
        <f>AN557*IF(MID(E557,3,1)="1",트라이포드!$J$24,트라이포드!$I$24)*IF(MID(E557,3,1)="2",트라이포드!$L$24,트라이포드!$K$24)*IF(MID(E557,5,1)="1",트라이포드!$P$24,트라이포드!$O$24)*IF(MID(E557,5,1)="2",1+트라이포드!$R$24*3,트라이포드!$Q$24)*(1+입력란!$P$19/100)</f>
        <v>1527928.8855927933</v>
      </c>
      <c r="T557" s="21">
        <f>AN557*IF(MID(E557,3,1)="3",트라이포드!$N$24,트라이포드!$M$24)*(1+입력란!$P$19/100)</f>
        <v>0</v>
      </c>
      <c r="U557" s="21"/>
      <c r="V557" s="21"/>
      <c r="W557" s="21"/>
      <c r="X557" s="21"/>
      <c r="Y557" s="21"/>
      <c r="Z557" s="20">
        <f>AN557*IF(MID(E557,1,1)="3",트라이포드!$H$24,트라이포드!$G$24)*(1+입력란!$P$19/100)</f>
        <v>0</v>
      </c>
      <c r="AA557" s="21">
        <f>SUM(AB557:AI557)</f>
        <v>3055857.7711855867</v>
      </c>
      <c r="AB557" s="21">
        <f>S557*2</f>
        <v>3055857.7711855867</v>
      </c>
      <c r="AC557" s="21">
        <f>T557*2</f>
        <v>0</v>
      </c>
      <c r="AD557" s="21"/>
      <c r="AE557" s="21"/>
      <c r="AF557" s="21"/>
      <c r="AG557" s="21"/>
      <c r="AH557" s="21"/>
      <c r="AI557" s="20">
        <f>Z557*2</f>
        <v>0</v>
      </c>
      <c r="AJ557" s="21">
        <f>(AQ557-IF(MID(E557,5,1)="2",2,0))*(1-입력란!$P$10/100)</f>
        <v>21.73550878224</v>
      </c>
      <c r="AK55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7" s="21">
        <f>입력란!$P$24+IF(입력란!$C$18=1,10,IF(입력란!$C$18=2,25,IF(입력란!$C$18=3,50,0)))+IF(입력란!$C$23&lt;&gt;0,-12)</f>
        <v>200</v>
      </c>
      <c r="AM557" s="21">
        <f>SUM(AN557:AP557)</f>
        <v>590757.04710006388</v>
      </c>
      <c r="AN557" s="21">
        <f>(VLOOKUP(C557,$B$4:$AJ$7,29,FALSE)+VLOOKUP(C557,$B$8:$AJ$11,29,FALSE)*입력란!$P$4)*입력란!$P$25/100</f>
        <v>590757.04710006388</v>
      </c>
      <c r="AO557" s="21"/>
      <c r="AP557" s="21"/>
      <c r="AQ557" s="22">
        <v>24</v>
      </c>
    </row>
    <row r="558" spans="2:43" ht="13.5" customHeight="1" x14ac:dyDescent="0.55000000000000004">
      <c r="B558" s="66">
        <v>543</v>
      </c>
      <c r="C558" s="29">
        <v>10</v>
      </c>
      <c r="D558" s="49" t="s">
        <v>423</v>
      </c>
      <c r="E558" s="27" t="s">
        <v>439</v>
      </c>
      <c r="F558" s="29" t="s">
        <v>453</v>
      </c>
      <c r="G558" s="29"/>
      <c r="H558" s="37">
        <f>I558/AJ558</f>
        <v>211652.98041700289</v>
      </c>
      <c r="I558" s="37">
        <f>SUM(J558:Q558)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5018602.0523356767</v>
      </c>
      <c r="J558" s="21">
        <f>S558*(1+IF($AK558+IF(입력란!$C$26=1,10,0)&gt;100,100,$AK558+IF(입력란!$C$26=1,10,0))/100*(($AL558+IF(MID(E558,5,1)="1",75,0)+IF(입력란!$C$30=1,17,IF(입력란!$C$30=2,20,IF(입력란!$C$30=3,22,0))))/100-1))</f>
        <v>3553999.0456311</v>
      </c>
      <c r="K558" s="21">
        <f>T558*(1+IF($AK558+IF(입력란!$C$26=1,10,0)&gt;100,100,$AK558+IF(입력란!$C$26=1,10,0))/100*(($AL558+IF(입력란!$C$30=1,17,IF(입력란!$C$30=2,20,IF(입력란!$C$30=3,22,0))))/100-1))</f>
        <v>0</v>
      </c>
      <c r="L558" s="21"/>
      <c r="M558" s="21"/>
      <c r="N558" s="21"/>
      <c r="O558" s="21"/>
      <c r="P558" s="21"/>
      <c r="Q558" s="20">
        <f>Z558*(1+IF($AK558+IF(입력란!$C$26=1,10,0)&gt;100,100,$AK558+IF(입력란!$C$26=1,10,0))/100*(($AL558+IF(입력란!$C$30=1,17,IF(입력란!$C$30=2,20,IF(입력란!$C$30=3,22,0))))/100-1))</f>
        <v>0</v>
      </c>
      <c r="R558" s="19">
        <f>SUM(S558:Z558)</f>
        <v>1857639.8556417646</v>
      </c>
      <c r="S558" s="21">
        <f>AN558*IF(MID(E558,3,1)="1",트라이포드!$J$24,트라이포드!$I$24)*IF(MID(E558,3,1)="2",트라이포드!$L$24,트라이포드!$K$24)*IF(MID(E558,5,1)="1",트라이포드!$P$24,트라이포드!$O$24)*IF(MID(E558,5,1)="2",1+트라이포드!$R$24*3,트라이포드!$Q$24)*(1+입력란!$P$19/100)</f>
        <v>1857639.8556417646</v>
      </c>
      <c r="T558" s="21">
        <f>AN558*IF(MID(E558,3,1)="3",트라이포드!$N$24,트라이포드!$M$24)*(1+입력란!$P$19/100)</f>
        <v>0</v>
      </c>
      <c r="U558" s="21"/>
      <c r="V558" s="21"/>
      <c r="W558" s="21"/>
      <c r="X558" s="21"/>
      <c r="Y558" s="21"/>
      <c r="Z558" s="20">
        <f>AN558*IF(MID(E558,1,1)="3",트라이포드!$H$24,트라이포드!$G$24)*(1+입력란!$P$19/100)</f>
        <v>0</v>
      </c>
      <c r="AA558" s="21">
        <f>SUM(AB558:AI558)</f>
        <v>3715279.7112835292</v>
      </c>
      <c r="AB558" s="21">
        <f>S558*2</f>
        <v>3715279.7112835292</v>
      </c>
      <c r="AC558" s="21">
        <f>T558*2</f>
        <v>0</v>
      </c>
      <c r="AD558" s="21"/>
      <c r="AE558" s="21"/>
      <c r="AF558" s="21"/>
      <c r="AG558" s="21"/>
      <c r="AH558" s="21"/>
      <c r="AI558" s="20">
        <f>Z558*2</f>
        <v>0</v>
      </c>
      <c r="AJ558" s="21">
        <f>(AQ558-IF(MID(E558,5,1)="2",2,0))*(1-입력란!$P$10/100)</f>
        <v>23.711464126079999</v>
      </c>
      <c r="AK55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8" s="21">
        <f>입력란!$P$24+IF(입력란!$C$18=1,10,IF(입력란!$C$18=2,25,IF(입력란!$C$18=3,50,0)))+IF(입력란!$C$23&lt;&gt;0,-12)</f>
        <v>200</v>
      </c>
      <c r="AM558" s="21">
        <f>SUM(AN558:AP558)</f>
        <v>590757.04710006388</v>
      </c>
      <c r="AN558" s="21">
        <f>(VLOOKUP(C558,$B$4:$AJ$7,29,FALSE)+VLOOKUP(C558,$B$8:$AJ$11,29,FALSE)*입력란!$P$4)*입력란!$P$25/100</f>
        <v>590757.04710006388</v>
      </c>
      <c r="AO558" s="21"/>
      <c r="AP558" s="21"/>
      <c r="AQ558" s="22">
        <v>24</v>
      </c>
    </row>
    <row r="559" spans="2:43" ht="13.5" customHeight="1" x14ac:dyDescent="0.55000000000000004">
      <c r="B559" s="66">
        <v>544</v>
      </c>
      <c r="C559" s="29">
        <v>10</v>
      </c>
      <c r="D559" s="49" t="s">
        <v>423</v>
      </c>
      <c r="E559" s="27" t="s">
        <v>440</v>
      </c>
      <c r="F559" s="29" t="s">
        <v>462</v>
      </c>
      <c r="G559" s="29"/>
      <c r="H559" s="37">
        <f>I559/AJ559</f>
        <v>211489.71828532964</v>
      </c>
      <c r="I559" s="37">
        <f>SUM(J559:Q559)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4596836.6291442458</v>
      </c>
      <c r="J559" s="21">
        <f>S559*(1+IF($AK559+IF(입력란!$C$26=1,10,0)&gt;100,100,$AK559+IF(입력란!$C$26=1,10,0))/100*(($AL559+IF(MID(E559,5,1)="1",75,0)+IF(입력란!$C$30=1,17,IF(입력란!$C$30=2,20,IF(입력란!$C$30=3,22,0))))/100-1))</f>
        <v>3255319.4739354476</v>
      </c>
      <c r="K559" s="21">
        <f>T559*(1+IF($AK559+IF(입력란!$C$26=1,10,0)&gt;100,100,$AK559+IF(입력란!$C$26=1,10,0))/100*(($AL559+IF(입력란!$C$30=1,17,IF(입력란!$C$30=2,20,IF(입력란!$C$30=3,22,0))))/100-1))</f>
        <v>0</v>
      </c>
      <c r="L559" s="21"/>
      <c r="M559" s="21"/>
      <c r="N559" s="21"/>
      <c r="O559" s="21"/>
      <c r="P559" s="21"/>
      <c r="Q559" s="20">
        <f>Z559*(1+IF($AK559+IF(입력란!$C$26=1,10,0)&gt;100,100,$AK559+IF(입력란!$C$26=1,10,0))/100*(($AL559+IF(입력란!$C$30=1,17,IF(입력란!$C$30=2,20,IF(입력란!$C$30=3,22,0))))/100-1))</f>
        <v>0</v>
      </c>
      <c r="R559" s="19">
        <f>SUM(S559:Z559)</f>
        <v>2139100.4398299106</v>
      </c>
      <c r="S559" s="21">
        <f>AN559*IF(MID(E559,3,1)="1",트라이포드!$J$24,트라이포드!$I$24)*IF(MID(E559,3,1)="2",트라이포드!$L$24,트라이포드!$K$24)*IF(MID(E559,5,1)="1",트라이포드!$P$24,트라이포드!$O$24)*IF(MID(E559,5,1)="2",1+트라이포드!$R$24*3,트라이포드!$Q$24)*(1+입력란!$P$19/100)</f>
        <v>2139100.4398299106</v>
      </c>
      <c r="T559" s="21">
        <f>AN559*IF(MID(E559,3,1)="3",트라이포드!$N$24,트라이포드!$M$24)*(1+입력란!$P$19/100)</f>
        <v>0</v>
      </c>
      <c r="U559" s="21"/>
      <c r="V559" s="21"/>
      <c r="W559" s="21"/>
      <c r="X559" s="21"/>
      <c r="Y559" s="21"/>
      <c r="Z559" s="20">
        <f>AN559*IF(MID(E559,1,1)="3",트라이포드!$H$24,트라이포드!$G$24)*(1+입력란!$P$19/100)</f>
        <v>0</v>
      </c>
      <c r="AA559" s="21">
        <f>SUM(AB559:AI559)</f>
        <v>4278200.8796598213</v>
      </c>
      <c r="AB559" s="21">
        <f>S559*2</f>
        <v>4278200.8796598213</v>
      </c>
      <c r="AC559" s="21">
        <f>T559*2</f>
        <v>0</v>
      </c>
      <c r="AD559" s="21"/>
      <c r="AE559" s="21"/>
      <c r="AF559" s="21"/>
      <c r="AG559" s="21"/>
      <c r="AH559" s="21"/>
      <c r="AI559" s="20">
        <f>Z559*2</f>
        <v>0</v>
      </c>
      <c r="AJ559" s="21">
        <f>(AQ559-IF(MID(E559,5,1)="2",2,0))*(1-입력란!$P$10/100)</f>
        <v>21.73550878224</v>
      </c>
      <c r="AK55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59" s="21">
        <f>입력란!$P$24+IF(입력란!$C$18=1,10,IF(입력란!$C$18=2,25,IF(입력란!$C$18=3,50,0)))+IF(입력란!$C$23&lt;&gt;0,-12)</f>
        <v>200</v>
      </c>
      <c r="AM559" s="21">
        <f>SUM(AN559:AP559)</f>
        <v>590757.04710006388</v>
      </c>
      <c r="AN559" s="21">
        <f>(VLOOKUP(C559,$B$4:$AJ$7,29,FALSE)+VLOOKUP(C559,$B$8:$AJ$11,29,FALSE)*입력란!$P$4)*입력란!$P$25/100</f>
        <v>590757.04710006388</v>
      </c>
      <c r="AO559" s="21"/>
      <c r="AP559" s="21"/>
      <c r="AQ559" s="22">
        <v>24</v>
      </c>
    </row>
    <row r="560" spans="2:43" ht="13.5" customHeight="1" x14ac:dyDescent="0.55000000000000004">
      <c r="B560" s="66">
        <v>545</v>
      </c>
      <c r="C560" s="29">
        <v>10</v>
      </c>
      <c r="D560" s="49" t="s">
        <v>423</v>
      </c>
      <c r="E560" s="27" t="s">
        <v>441</v>
      </c>
      <c r="F560" s="29" t="s">
        <v>453</v>
      </c>
      <c r="G560" s="29"/>
      <c r="H560" s="37">
        <f>I560/AJ560</f>
        <v>211652.98041700289</v>
      </c>
      <c r="I560" s="37">
        <f>SUM(J560:Q560)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5018602.0523356767</v>
      </c>
      <c r="J560" s="21">
        <f>S560*(1+IF($AK560+IF(입력란!$C$26=1,10,0)&gt;100,100,$AK560+IF(입력란!$C$26=1,10,0))/100*(($AL560+IF(MID(E560,5,1)="1",75,0)+IF(입력란!$C$30=1,17,IF(입력란!$C$30=2,20,IF(입력란!$C$30=3,22,0))))/100-1))</f>
        <v>3553999.0456311</v>
      </c>
      <c r="K560" s="21">
        <f>T560*(1+IF($AK560+IF(입력란!$C$26=1,10,0)&gt;100,100,$AK560+IF(입력란!$C$26=1,10,0))/100*(($AL560+IF(입력란!$C$30=1,17,IF(입력란!$C$30=2,20,IF(입력란!$C$30=3,22,0))))/100-1))</f>
        <v>0</v>
      </c>
      <c r="L560" s="21"/>
      <c r="M560" s="21"/>
      <c r="N560" s="21"/>
      <c r="O560" s="21"/>
      <c r="P560" s="21"/>
      <c r="Q560" s="20">
        <f>Z560*(1+IF($AK560+IF(입력란!$C$26=1,10,0)&gt;100,100,$AK560+IF(입력란!$C$26=1,10,0))/100*(($AL560+IF(입력란!$C$30=1,17,IF(입력란!$C$30=2,20,IF(입력란!$C$30=3,22,0))))/100-1))</f>
        <v>0</v>
      </c>
      <c r="R560" s="19">
        <f>SUM(S560:Z560)</f>
        <v>1857639.8556417646</v>
      </c>
      <c r="S560" s="21">
        <f>AN560*IF(MID(E560,3,1)="1",트라이포드!$J$24,트라이포드!$I$24)*IF(MID(E560,3,1)="2",트라이포드!$L$24,트라이포드!$K$24)*IF(MID(E560,5,1)="1",트라이포드!$P$24,트라이포드!$O$24)*IF(MID(E560,5,1)="2",1+트라이포드!$R$24*3,트라이포드!$Q$24)*(1+입력란!$P$19/100)</f>
        <v>1857639.8556417646</v>
      </c>
      <c r="T560" s="21">
        <f>AN560*IF(MID(E560,3,1)="3",트라이포드!$N$24,트라이포드!$M$24)*(1+입력란!$P$19/100)</f>
        <v>0</v>
      </c>
      <c r="U560" s="21"/>
      <c r="V560" s="21"/>
      <c r="W560" s="21"/>
      <c r="X560" s="21"/>
      <c r="Y560" s="21"/>
      <c r="Z560" s="20">
        <f>AN560*IF(MID(E560,1,1)="3",트라이포드!$H$24,트라이포드!$G$24)*(1+입력란!$P$19/100)</f>
        <v>0</v>
      </c>
      <c r="AA560" s="21">
        <f>SUM(AB560:AI560)</f>
        <v>3715279.7112835292</v>
      </c>
      <c r="AB560" s="21">
        <f>S560*2</f>
        <v>3715279.7112835292</v>
      </c>
      <c r="AC560" s="21">
        <f>T560*2</f>
        <v>0</v>
      </c>
      <c r="AD560" s="21"/>
      <c r="AE560" s="21"/>
      <c r="AF560" s="21"/>
      <c r="AG560" s="21"/>
      <c r="AH560" s="21"/>
      <c r="AI560" s="20">
        <f>Z560*2</f>
        <v>0</v>
      </c>
      <c r="AJ560" s="21">
        <f>(AQ560-IF(MID(E560,5,1)="2",2,0))*(1-입력란!$P$10/100)</f>
        <v>23.711464126079999</v>
      </c>
      <c r="AK56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0" s="21">
        <f>입력란!$P$24+IF(입력란!$C$18=1,10,IF(입력란!$C$18=2,25,IF(입력란!$C$18=3,50,0)))+IF(입력란!$C$23&lt;&gt;0,-12)</f>
        <v>200</v>
      </c>
      <c r="AM560" s="21">
        <f>SUM(AN560:AP560)</f>
        <v>590757.04710006388</v>
      </c>
      <c r="AN560" s="21">
        <f>(VLOOKUP(C560,$B$4:$AJ$7,29,FALSE)+VLOOKUP(C560,$B$8:$AJ$11,29,FALSE)*입력란!$P$4)*입력란!$P$25/100</f>
        <v>590757.04710006388</v>
      </c>
      <c r="AO560" s="21"/>
      <c r="AP560" s="21"/>
      <c r="AQ560" s="22">
        <v>24</v>
      </c>
    </row>
    <row r="561" spans="2:43" ht="13.5" customHeight="1" x14ac:dyDescent="0.55000000000000004">
      <c r="B561" s="66">
        <v>546</v>
      </c>
      <c r="C561" s="29">
        <v>10</v>
      </c>
      <c r="D561" s="49" t="s">
        <v>423</v>
      </c>
      <c r="E561" s="27" t="s">
        <v>442</v>
      </c>
      <c r="F561" s="29" t="s">
        <v>462</v>
      </c>
      <c r="G561" s="29"/>
      <c r="H561" s="37">
        <f>I561/AJ561</f>
        <v>211489.71828532964</v>
      </c>
      <c r="I561" s="37">
        <f>SUM(J561:Q561)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4596836.6291442458</v>
      </c>
      <c r="J561" s="21">
        <f>S561*(1+IF($AK561+IF(입력란!$C$26=1,10,0)&gt;100,100,$AK561+IF(입력란!$C$26=1,10,0))/100*(($AL561+IF(MID(E561,5,1)="1",75,0)+IF(입력란!$C$30=1,17,IF(입력란!$C$30=2,20,IF(입력란!$C$30=3,22,0))))/100-1))</f>
        <v>3255319.4739354476</v>
      </c>
      <c r="K561" s="21">
        <f>T561*(1+IF($AK561+IF(입력란!$C$26=1,10,0)&gt;100,100,$AK561+IF(입력란!$C$26=1,10,0))/100*(($AL561+IF(입력란!$C$30=1,17,IF(입력란!$C$30=2,20,IF(입력란!$C$30=3,22,0))))/100-1))</f>
        <v>0</v>
      </c>
      <c r="L561" s="21"/>
      <c r="M561" s="21"/>
      <c r="N561" s="21"/>
      <c r="O561" s="21"/>
      <c r="P561" s="21"/>
      <c r="Q561" s="20">
        <f>Z561*(1+IF($AK561+IF(입력란!$C$26=1,10,0)&gt;100,100,$AK561+IF(입력란!$C$26=1,10,0))/100*(($AL561+IF(입력란!$C$30=1,17,IF(입력란!$C$30=2,20,IF(입력란!$C$30=3,22,0))))/100-1))</f>
        <v>0</v>
      </c>
      <c r="R561" s="19">
        <f>SUM(S561:Z561)</f>
        <v>2139100.4398299106</v>
      </c>
      <c r="S561" s="21">
        <f>AN561*IF(MID(E561,3,1)="1",트라이포드!$J$24,트라이포드!$I$24)*IF(MID(E561,3,1)="2",트라이포드!$L$24,트라이포드!$K$24)*IF(MID(E561,5,1)="1",트라이포드!$P$24,트라이포드!$O$24)*IF(MID(E561,5,1)="2",1+트라이포드!$R$24*3,트라이포드!$Q$24)*(1+입력란!$P$19/100)</f>
        <v>2139100.4398299106</v>
      </c>
      <c r="T561" s="21">
        <f>AN561*IF(MID(E561,3,1)="3",트라이포드!$N$24,트라이포드!$M$24)*(1+입력란!$P$19/100)</f>
        <v>0</v>
      </c>
      <c r="U561" s="21"/>
      <c r="V561" s="21"/>
      <c r="W561" s="21"/>
      <c r="X561" s="21"/>
      <c r="Y561" s="21"/>
      <c r="Z561" s="20">
        <f>AN561*IF(MID(E561,1,1)="3",트라이포드!$H$24,트라이포드!$G$24)*(1+입력란!$P$19/100)</f>
        <v>0</v>
      </c>
      <c r="AA561" s="21">
        <f>SUM(AB561:AI561)</f>
        <v>4278200.8796598213</v>
      </c>
      <c r="AB561" s="21">
        <f>S561*2</f>
        <v>4278200.8796598213</v>
      </c>
      <c r="AC561" s="21">
        <f>T561*2</f>
        <v>0</v>
      </c>
      <c r="AD561" s="21"/>
      <c r="AE561" s="21"/>
      <c r="AF561" s="21"/>
      <c r="AG561" s="21"/>
      <c r="AH561" s="21"/>
      <c r="AI561" s="20">
        <f>Z561*2</f>
        <v>0</v>
      </c>
      <c r="AJ561" s="21">
        <f>(AQ561-IF(MID(E561,5,1)="2",2,0))*(1-입력란!$P$10/100)</f>
        <v>21.73550878224</v>
      </c>
      <c r="AK56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1" s="21">
        <f>입력란!$P$24+IF(입력란!$C$18=1,10,IF(입력란!$C$18=2,25,IF(입력란!$C$18=3,50,0)))+IF(입력란!$C$23&lt;&gt;0,-12)</f>
        <v>200</v>
      </c>
      <c r="AM561" s="21">
        <f>SUM(AN561:AP561)</f>
        <v>590757.04710006388</v>
      </c>
      <c r="AN561" s="21">
        <f>(VLOOKUP(C561,$B$4:$AJ$7,29,FALSE)+VLOOKUP(C561,$B$8:$AJ$11,29,FALSE)*입력란!$P$4)*입력란!$P$25/100</f>
        <v>590757.04710006388</v>
      </c>
      <c r="AO561" s="21"/>
      <c r="AP561" s="21"/>
      <c r="AQ561" s="22">
        <v>24</v>
      </c>
    </row>
    <row r="562" spans="2:43" ht="13.5" customHeight="1" x14ac:dyDescent="0.55000000000000004">
      <c r="B562" s="66">
        <v>547</v>
      </c>
      <c r="C562" s="29">
        <v>10</v>
      </c>
      <c r="D562" s="49" t="s">
        <v>423</v>
      </c>
      <c r="E562" s="27" t="s">
        <v>443</v>
      </c>
      <c r="F562" s="29" t="s">
        <v>453</v>
      </c>
      <c r="G562" s="29"/>
      <c r="H562" s="37">
        <f>I562/AJ562</f>
        <v>173045.23884239516</v>
      </c>
      <c r="I562" s="37">
        <f>SUM(J562:Q562)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4103155.9730003979</v>
      </c>
      <c r="J562" s="21">
        <f>S562*(1+IF($AK562+IF(입력란!$C$26=1,10,0)&gt;100,100,$AK562+IF(입력란!$C$26=1,10,0))/100*(($AL562+IF(MID(E562,5,1)="1",75,0)+IF(입력란!$C$30=1,17,IF(입력란!$C$30=2,20,IF(입력란!$C$30=3,22,0))))/100-1))</f>
        <v>2538570.7468793569</v>
      </c>
      <c r="K562" s="21">
        <f>T562*(1+IF($AK562+IF(입력란!$C$26=1,10,0)&gt;100,100,$AK562+IF(입력란!$C$26=1,10,0))/100*(($AL562+IF(입력란!$C$30=1,17,IF(입력란!$C$30=2,20,IF(입력란!$C$30=3,22,0))))/100-1))</f>
        <v>367141.29405287007</v>
      </c>
      <c r="L562" s="21"/>
      <c r="M562" s="21"/>
      <c r="N562" s="21"/>
      <c r="O562" s="21"/>
      <c r="P562" s="21"/>
      <c r="Q562" s="20">
        <f>Z562*(1+IF($AK562+IF(입력란!$C$26=1,10,0)&gt;100,100,$AK562+IF(입력란!$C$26=1,10,0))/100*(($AL562+IF(입력란!$C$30=1,17,IF(입력란!$C$30=2,20,IF(입력란!$C$30=3,22,0))))/100-1))</f>
        <v>0</v>
      </c>
      <c r="R562" s="19">
        <f>SUM(S562:Z562)</f>
        <v>1568137.5404768141</v>
      </c>
      <c r="S562" s="21">
        <f>AN562*IF(MID(E562,3,1)="1",트라이포드!$J$24,트라이포드!$I$24)*IF(MID(E562,3,1)="2",트라이포드!$L$24,트라이포드!$K$24)*IF(MID(E562,5,1)="1",트라이포드!$P$24,트라이포드!$O$24)*IF(MID(E562,5,1)="2",1+트라이포드!$R$24*3,트라이포드!$Q$24)*(1+입력란!$P$19/100)</f>
        <v>1326885.6111726889</v>
      </c>
      <c r="T562" s="21">
        <f>AN562*IF(MID(E562,3,1)="3",트라이포드!$N$24,트라이포드!$M$24)*(1+입력란!$P$19/100)</f>
        <v>241251.92930412528</v>
      </c>
      <c r="U562" s="21"/>
      <c r="V562" s="21"/>
      <c r="W562" s="21"/>
      <c r="X562" s="21"/>
      <c r="Y562" s="21"/>
      <c r="Z562" s="20">
        <f>AN562*IF(MID(E562,1,1)="3",트라이포드!$H$24,트라이포드!$G$24)*(1+입력란!$P$19/100)</f>
        <v>0</v>
      </c>
      <c r="AA562" s="21">
        <f>SUM(AB562:AI562)</f>
        <v>3136275.0809536283</v>
      </c>
      <c r="AB562" s="21">
        <f>S562*2</f>
        <v>2653771.2223453778</v>
      </c>
      <c r="AC562" s="21">
        <f>T562*2</f>
        <v>482503.85860825056</v>
      </c>
      <c r="AD562" s="21"/>
      <c r="AE562" s="21"/>
      <c r="AF562" s="21"/>
      <c r="AG562" s="21"/>
      <c r="AH562" s="21"/>
      <c r="AI562" s="20">
        <f>Z562*2</f>
        <v>0</v>
      </c>
      <c r="AJ562" s="21">
        <f>(AQ562-IF(MID(E562,5,1)="2",2,0))*(1-입력란!$P$10/100)</f>
        <v>23.711464126079999</v>
      </c>
      <c r="AK56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2" s="21">
        <f>입력란!$P$24+IF(입력란!$C$18=1,10,IF(입력란!$C$18=2,25,IF(입력란!$C$18=3,50,0)))+IF(입력란!$C$23&lt;&gt;0,-12)</f>
        <v>200</v>
      </c>
      <c r="AM562" s="21">
        <f>SUM(AN562:AP562)</f>
        <v>590757.04710006388</v>
      </c>
      <c r="AN562" s="21">
        <f>(VLOOKUP(C562,$B$4:$AJ$7,29,FALSE)+VLOOKUP(C562,$B$8:$AJ$11,29,FALSE)*입력란!$P$4)*입력란!$P$25/100</f>
        <v>590757.04710006388</v>
      </c>
      <c r="AO562" s="21"/>
      <c r="AP562" s="21"/>
      <c r="AQ562" s="22">
        <v>24</v>
      </c>
    </row>
    <row r="563" spans="2:43" ht="13.5" customHeight="1" x14ac:dyDescent="0.55000000000000004">
      <c r="B563" s="66">
        <v>548</v>
      </c>
      <c r="C563" s="29">
        <v>10</v>
      </c>
      <c r="D563" s="49" t="s">
        <v>423</v>
      </c>
      <c r="E563" s="27" t="s">
        <v>444</v>
      </c>
      <c r="F563" s="29" t="s">
        <v>462</v>
      </c>
      <c r="G563" s="29"/>
      <c r="H563" s="37">
        <f>I563/AJ563</f>
        <v>174916.30835628766</v>
      </c>
      <c r="I563" s="37">
        <f>SUM(J563:Q563)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3801894.9564350904</v>
      </c>
      <c r="J563" s="21">
        <f>S563*(1+IF($AK563+IF(입력란!$C$26=1,10,0)&gt;100,100,$AK563+IF(입력란!$C$26=1,10,0))/100*(($AL563+IF(MID(E563,5,1)="1",75,0)+IF(입력란!$C$30=1,17,IF(입력란!$C$30=2,20,IF(입력란!$C$30=3,22,0))))/100-1))</f>
        <v>2325228.1956681767</v>
      </c>
      <c r="K563" s="21">
        <f>T563*(1+IF($AK563+IF(입력란!$C$26=1,10,0)&gt;100,100,$AK563+IF(입력란!$C$26=1,10,0))/100*(($AL563+IF(입력란!$C$30=1,17,IF(입력란!$C$30=2,20,IF(입력란!$C$30=3,22,0))))/100-1))</f>
        <v>367141.29405287007</v>
      </c>
      <c r="L563" s="21"/>
      <c r="M563" s="21"/>
      <c r="N563" s="21"/>
      <c r="O563" s="21"/>
      <c r="P563" s="21"/>
      <c r="Q563" s="20">
        <f>Z563*(1+IF($AK563+IF(입력란!$C$26=1,10,0)&gt;100,100,$AK563+IF(입력란!$C$26=1,10,0))/100*(($AL563+IF(입력란!$C$30=1,17,IF(입력란!$C$30=2,20,IF(입력란!$C$30=3,22,0))))/100-1))</f>
        <v>0</v>
      </c>
      <c r="R563" s="19">
        <f>SUM(S563:Z563)</f>
        <v>1769180.8148969186</v>
      </c>
      <c r="S563" s="21">
        <f>AN563*IF(MID(E563,3,1)="1",트라이포드!$J$24,트라이포드!$I$24)*IF(MID(E563,3,1)="2",트라이포드!$L$24,트라이포드!$K$24)*IF(MID(E563,5,1)="1",트라이포드!$P$24,트라이포드!$O$24)*IF(MID(E563,5,1)="2",1+트라이포드!$R$24*3,트라이포드!$Q$24)*(1+입력란!$P$19/100)</f>
        <v>1527928.8855927933</v>
      </c>
      <c r="T563" s="21">
        <f>AN563*IF(MID(E563,3,1)="3",트라이포드!$N$24,트라이포드!$M$24)*(1+입력란!$P$19/100)</f>
        <v>241251.92930412528</v>
      </c>
      <c r="U563" s="21"/>
      <c r="V563" s="21"/>
      <c r="W563" s="21"/>
      <c r="X563" s="21"/>
      <c r="Y563" s="21"/>
      <c r="Z563" s="20">
        <f>AN563*IF(MID(E563,1,1)="3",트라이포드!$H$24,트라이포드!$G$24)*(1+입력란!$P$19/100)</f>
        <v>0</v>
      </c>
      <c r="AA563" s="21">
        <f>SUM(AB563:AI563)</f>
        <v>3538361.6297938372</v>
      </c>
      <c r="AB563" s="21">
        <f>S563*2</f>
        <v>3055857.7711855867</v>
      </c>
      <c r="AC563" s="21">
        <f>T563*2</f>
        <v>482503.85860825056</v>
      </c>
      <c r="AD563" s="21"/>
      <c r="AE563" s="21"/>
      <c r="AF563" s="21"/>
      <c r="AG563" s="21"/>
      <c r="AH563" s="21"/>
      <c r="AI563" s="20">
        <f>Z563*2</f>
        <v>0</v>
      </c>
      <c r="AJ563" s="21">
        <f>(AQ563-IF(MID(E563,5,1)="2",2,0))*(1-입력란!$P$10/100)</f>
        <v>21.73550878224</v>
      </c>
      <c r="AK56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3" s="21">
        <f>입력란!$P$24+IF(입력란!$C$18=1,10,IF(입력란!$C$18=2,25,IF(입력란!$C$18=3,50,0)))+IF(입력란!$C$23&lt;&gt;0,-12)</f>
        <v>200</v>
      </c>
      <c r="AM563" s="21">
        <f>SUM(AN563:AP563)</f>
        <v>590757.04710006388</v>
      </c>
      <c r="AN563" s="21">
        <f>(VLOOKUP(C563,$B$4:$AJ$7,29,FALSE)+VLOOKUP(C563,$B$8:$AJ$11,29,FALSE)*입력란!$P$4)*입력란!$P$25/100</f>
        <v>590757.04710006388</v>
      </c>
      <c r="AO563" s="21"/>
      <c r="AP563" s="21"/>
      <c r="AQ563" s="22">
        <v>24</v>
      </c>
    </row>
    <row r="564" spans="2:43" ht="13.5" customHeight="1" x14ac:dyDescent="0.55000000000000004">
      <c r="B564" s="66">
        <v>549</v>
      </c>
      <c r="C564" s="29">
        <v>10</v>
      </c>
      <c r="D564" s="49" t="s">
        <v>423</v>
      </c>
      <c r="E564" s="27" t="s">
        <v>445</v>
      </c>
      <c r="F564" s="29" t="s">
        <v>453</v>
      </c>
      <c r="G564" s="29"/>
      <c r="H564" s="37">
        <f>I564/AJ564</f>
        <v>151909.51824934373</v>
      </c>
      <c r="I564" s="37">
        <f>SUM(J564:Q564)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3601997.0923794089</v>
      </c>
      <c r="J564" s="21">
        <f>S564*(1+IF($AK564+IF(입력란!$C$26=1,10,0)&gt;100,100,$AK564+IF(입력란!$C$26=1,10,0))/100*(($AL564+IF(MID(E564,5,1)="1",75,0)+IF(입력란!$C$30=1,17,IF(입력란!$C$30=2,20,IF(입력란!$C$30=3,22,0))))/100-1))</f>
        <v>2538570.7468793569</v>
      </c>
      <c r="K564" s="21">
        <f>T564*(1+IF($AK564+IF(입력란!$C$26=1,10,0)&gt;100,100,$AK564+IF(입력란!$C$26=1,10,0))/100*(($AL564+IF(입력란!$C$30=1,17,IF(입력란!$C$30=2,20,IF(입력란!$C$30=3,22,0))))/100-1))</f>
        <v>0</v>
      </c>
      <c r="L564" s="21"/>
      <c r="M564" s="21"/>
      <c r="N564" s="21"/>
      <c r="O564" s="21"/>
      <c r="P564" s="21"/>
      <c r="Q564" s="20">
        <f>Z564*(1+IF($AK564+IF(입력란!$C$26=1,10,0)&gt;100,100,$AK564+IF(입력란!$C$26=1,10,0))/100*(($AL564+IF(입력란!$C$30=1,17,IF(입력란!$C$30=2,20,IF(입력란!$C$30=3,22,0))))/100-1))</f>
        <v>12238.043135095668</v>
      </c>
      <c r="R564" s="19">
        <f>SUM(S564:Z564)</f>
        <v>1334927.3421494931</v>
      </c>
      <c r="S564" s="21">
        <f>AN564*IF(MID(E564,3,1)="1",트라이포드!$J$24,트라이포드!$I$24)*IF(MID(E564,3,1)="2",트라이포드!$L$24,트라이포드!$K$24)*IF(MID(E564,5,1)="1",트라이포드!$P$24,트라이포드!$O$24)*IF(MID(E564,5,1)="2",1+트라이포드!$R$24*3,트라이포드!$Q$24)*(1+입력란!$P$19/100)</f>
        <v>1326885.6111726889</v>
      </c>
      <c r="T564" s="21">
        <f>AN564*IF(MID(E564,3,1)="3",트라이포드!$N$24,트라이포드!$M$24)*(1+입력란!$P$19/100)</f>
        <v>0</v>
      </c>
      <c r="U564" s="21"/>
      <c r="V564" s="21"/>
      <c r="W564" s="21"/>
      <c r="X564" s="21"/>
      <c r="Y564" s="21"/>
      <c r="Z564" s="20">
        <f>AN564*IF(MID(E564,1,1)="3",트라이포드!$H$24,트라이포드!$G$24)*(1+입력란!$P$19/100)</f>
        <v>8041.730976804176</v>
      </c>
      <c r="AA564" s="21">
        <f>SUM(AB564:AI564)</f>
        <v>2669854.6842989861</v>
      </c>
      <c r="AB564" s="21">
        <f>S564*2</f>
        <v>2653771.2223453778</v>
      </c>
      <c r="AC564" s="21">
        <f>T564*2</f>
        <v>0</v>
      </c>
      <c r="AD564" s="21"/>
      <c r="AE564" s="21"/>
      <c r="AF564" s="21"/>
      <c r="AG564" s="21"/>
      <c r="AH564" s="21"/>
      <c r="AI564" s="20">
        <f>Z564*2</f>
        <v>16083.461953608352</v>
      </c>
      <c r="AJ564" s="21">
        <f>(AQ564-IF(MID(E564,5,1)="2",2,0))*(1-입력란!$P$10/100)</f>
        <v>23.711464126079999</v>
      </c>
      <c r="AK56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4" s="21">
        <f>입력란!$P$24+IF(입력란!$C$18=1,10,IF(입력란!$C$18=2,25,IF(입력란!$C$18=3,50,0)))+IF(입력란!$C$23&lt;&gt;0,-12)</f>
        <v>200</v>
      </c>
      <c r="AM564" s="21">
        <f>SUM(AN564:AP564)</f>
        <v>590757.04710006388</v>
      </c>
      <c r="AN564" s="21">
        <f>(VLOOKUP(C564,$B$4:$AJ$7,29,FALSE)+VLOOKUP(C564,$B$8:$AJ$11,29,FALSE)*입력란!$P$4)*입력란!$P$25/100</f>
        <v>590757.04710006388</v>
      </c>
      <c r="AO564" s="21"/>
      <c r="AP564" s="21"/>
      <c r="AQ564" s="22">
        <v>24</v>
      </c>
    </row>
    <row r="565" spans="2:43" ht="13.5" customHeight="1" x14ac:dyDescent="0.55000000000000004">
      <c r="B565" s="66">
        <v>550</v>
      </c>
      <c r="C565" s="29">
        <v>10</v>
      </c>
      <c r="D565" s="49" t="s">
        <v>423</v>
      </c>
      <c r="E565" s="27" t="s">
        <v>446</v>
      </c>
      <c r="F565" s="29" t="s">
        <v>462</v>
      </c>
      <c r="G565" s="29"/>
      <c r="H565" s="37">
        <f>I565/AJ565</f>
        <v>151859.15861841338</v>
      </c>
      <c r="I565" s="37">
        <f>SUM(J565:Q565)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3300736.0758141014</v>
      </c>
      <c r="J565" s="21">
        <f>S565*(1+IF($AK565+IF(입력란!$C$26=1,10,0)&gt;100,100,$AK565+IF(입력란!$C$26=1,10,0))/100*(($AL565+IF(MID(E565,5,1)="1",75,0)+IF(입력란!$C$30=1,17,IF(입력란!$C$30=2,20,IF(입력란!$C$30=3,22,0))))/100-1))</f>
        <v>2325228.1956681767</v>
      </c>
      <c r="K565" s="21">
        <f>T565*(1+IF($AK565+IF(입력란!$C$26=1,10,0)&gt;100,100,$AK565+IF(입력란!$C$26=1,10,0))/100*(($AL565+IF(입력란!$C$30=1,17,IF(입력란!$C$30=2,20,IF(입력란!$C$30=3,22,0))))/100-1))</f>
        <v>0</v>
      </c>
      <c r="L565" s="21"/>
      <c r="M565" s="21"/>
      <c r="N565" s="21"/>
      <c r="O565" s="21"/>
      <c r="P565" s="21"/>
      <c r="Q565" s="20">
        <f>Z565*(1+IF($AK565+IF(입력란!$C$26=1,10,0)&gt;100,100,$AK565+IF(입력란!$C$26=1,10,0))/100*(($AL565+IF(입력란!$C$30=1,17,IF(입력란!$C$30=2,20,IF(입력란!$C$30=3,22,0))))/100-1))</f>
        <v>12238.043135095668</v>
      </c>
      <c r="R565" s="19">
        <f>SUM(S565:Z565)</f>
        <v>1535970.6165695975</v>
      </c>
      <c r="S565" s="21">
        <f>AN565*IF(MID(E565,3,1)="1",트라이포드!$J$24,트라이포드!$I$24)*IF(MID(E565,3,1)="2",트라이포드!$L$24,트라이포드!$K$24)*IF(MID(E565,5,1)="1",트라이포드!$P$24,트라이포드!$O$24)*IF(MID(E565,5,1)="2",1+트라이포드!$R$24*3,트라이포드!$Q$24)*(1+입력란!$P$19/100)</f>
        <v>1527928.8855927933</v>
      </c>
      <c r="T565" s="21">
        <f>AN565*IF(MID(E565,3,1)="3",트라이포드!$N$24,트라이포드!$M$24)*(1+입력란!$P$19/100)</f>
        <v>0</v>
      </c>
      <c r="U565" s="21"/>
      <c r="V565" s="21"/>
      <c r="W565" s="21"/>
      <c r="X565" s="21"/>
      <c r="Y565" s="21"/>
      <c r="Z565" s="20">
        <f>AN565*IF(MID(E565,1,1)="3",트라이포드!$H$24,트라이포드!$G$24)*(1+입력란!$P$19/100)</f>
        <v>8041.730976804176</v>
      </c>
      <c r="AA565" s="21">
        <f>SUM(AB565:AI565)</f>
        <v>3071941.233139195</v>
      </c>
      <c r="AB565" s="21">
        <f>S565*2</f>
        <v>3055857.7711855867</v>
      </c>
      <c r="AC565" s="21">
        <f>T565*2</f>
        <v>0</v>
      </c>
      <c r="AD565" s="21"/>
      <c r="AE565" s="21"/>
      <c r="AF565" s="21"/>
      <c r="AG565" s="21"/>
      <c r="AH565" s="21"/>
      <c r="AI565" s="20">
        <f>Z565*2</f>
        <v>16083.461953608352</v>
      </c>
      <c r="AJ565" s="21">
        <f>(AQ565-IF(MID(E565,5,1)="2",2,0))*(1-입력란!$P$10/100)</f>
        <v>21.73550878224</v>
      </c>
      <c r="AK56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5" s="21">
        <f>입력란!$P$24+IF(입력란!$C$18=1,10,IF(입력란!$C$18=2,25,IF(입력란!$C$18=3,50,0)))+IF(입력란!$C$23&lt;&gt;0,-12)</f>
        <v>200</v>
      </c>
      <c r="AM565" s="21">
        <f>SUM(AN565:AP565)</f>
        <v>590757.04710006388</v>
      </c>
      <c r="AN565" s="21">
        <f>(VLOOKUP(C565,$B$4:$AJ$7,29,FALSE)+VLOOKUP(C565,$B$8:$AJ$11,29,FALSE)*입력란!$P$4)*입력란!$P$25/100</f>
        <v>590757.04710006388</v>
      </c>
      <c r="AO565" s="21"/>
      <c r="AP565" s="21"/>
      <c r="AQ565" s="22">
        <v>24</v>
      </c>
    </row>
    <row r="566" spans="2:43" ht="13.5" customHeight="1" x14ac:dyDescent="0.55000000000000004">
      <c r="B566" s="66">
        <v>551</v>
      </c>
      <c r="C566" s="29">
        <v>10</v>
      </c>
      <c r="D566" s="49" t="s">
        <v>423</v>
      </c>
      <c r="E566" s="27" t="s">
        <v>447</v>
      </c>
      <c r="F566" s="29" t="s">
        <v>453</v>
      </c>
      <c r="G566" s="29"/>
      <c r="H566" s="37">
        <f>I566/AJ566</f>
        <v>212381.79836848745</v>
      </c>
      <c r="I566" s="37">
        <f>SUM(J566:Q566)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5035883.393046746</v>
      </c>
      <c r="J566" s="21">
        <f>S566*(1+IF($AK566+IF(입력란!$C$26=1,10,0)&gt;100,100,$AK566+IF(입력란!$C$26=1,10,0))/100*(($AL566+IF(MID(E566,5,1)="1",75,0)+IF(입력란!$C$30=1,17,IF(입력란!$C$30=2,20,IF(입력란!$C$30=3,22,0))))/100-1))</f>
        <v>3553999.0456311</v>
      </c>
      <c r="K566" s="21">
        <f>T566*(1+IF($AK566+IF(입력란!$C$26=1,10,0)&gt;100,100,$AK566+IF(입력란!$C$26=1,10,0))/100*(($AL566+IF(입력란!$C$30=1,17,IF(입력란!$C$30=2,20,IF(입력란!$C$30=3,22,0))))/100-1))</f>
        <v>0</v>
      </c>
      <c r="L566" s="21"/>
      <c r="M566" s="21"/>
      <c r="N566" s="21"/>
      <c r="O566" s="21"/>
      <c r="P566" s="21"/>
      <c r="Q566" s="20">
        <f>Z566*(1+IF($AK566+IF(입력란!$C$26=1,10,0)&gt;100,100,$AK566+IF(입력란!$C$26=1,10,0))/100*(($AL566+IF(입력란!$C$30=1,17,IF(입력란!$C$30=2,20,IF(입력란!$C$30=3,22,0))))/100-1))</f>
        <v>12238.043135095668</v>
      </c>
      <c r="R566" s="19">
        <f>SUM(S566:Z566)</f>
        <v>1865681.5866185687</v>
      </c>
      <c r="S566" s="21">
        <f>AN566*IF(MID(E566,3,1)="1",트라이포드!$J$24,트라이포드!$I$24)*IF(MID(E566,3,1)="2",트라이포드!$L$24,트라이포드!$K$24)*IF(MID(E566,5,1)="1",트라이포드!$P$24,트라이포드!$O$24)*IF(MID(E566,5,1)="2",1+트라이포드!$R$24*3,트라이포드!$Q$24)*(1+입력란!$P$19/100)</f>
        <v>1857639.8556417646</v>
      </c>
      <c r="T566" s="21">
        <f>AN566*IF(MID(E566,3,1)="3",트라이포드!$N$24,트라이포드!$M$24)*(1+입력란!$P$19/100)</f>
        <v>0</v>
      </c>
      <c r="U566" s="21"/>
      <c r="V566" s="21"/>
      <c r="W566" s="21"/>
      <c r="X566" s="21"/>
      <c r="Y566" s="21"/>
      <c r="Z566" s="20">
        <f>AN566*IF(MID(E566,1,1)="3",트라이포드!$H$24,트라이포드!$G$24)*(1+입력란!$P$19/100)</f>
        <v>8041.730976804176</v>
      </c>
      <c r="AA566" s="21">
        <f>SUM(AB566:AI566)</f>
        <v>3731363.1732371375</v>
      </c>
      <c r="AB566" s="21">
        <f>S566*2</f>
        <v>3715279.7112835292</v>
      </c>
      <c r="AC566" s="21">
        <f>T566*2</f>
        <v>0</v>
      </c>
      <c r="AD566" s="21"/>
      <c r="AE566" s="21"/>
      <c r="AF566" s="21"/>
      <c r="AG566" s="21"/>
      <c r="AH566" s="21"/>
      <c r="AI566" s="20">
        <f>Z566*2</f>
        <v>16083.461953608352</v>
      </c>
      <c r="AJ566" s="21">
        <f>(AQ566-IF(MID(E566,5,1)="2",2,0))*(1-입력란!$P$10/100)</f>
        <v>23.711464126079999</v>
      </c>
      <c r="AK56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6" s="21">
        <f>입력란!$P$24+IF(입력란!$C$18=1,10,IF(입력란!$C$18=2,25,IF(입력란!$C$18=3,50,0)))+IF(입력란!$C$23&lt;&gt;0,-12)</f>
        <v>200</v>
      </c>
      <c r="AM566" s="21">
        <f>SUM(AN566:AP566)</f>
        <v>590757.04710006388</v>
      </c>
      <c r="AN566" s="21">
        <f>(VLOOKUP(C566,$B$4:$AJ$7,29,FALSE)+VLOOKUP(C566,$B$8:$AJ$11,29,FALSE)*입력란!$P$4)*입력란!$P$25/100</f>
        <v>590757.04710006388</v>
      </c>
      <c r="AO566" s="21"/>
      <c r="AP566" s="21"/>
      <c r="AQ566" s="22">
        <v>24</v>
      </c>
    </row>
    <row r="567" spans="2:43" ht="13.5" customHeight="1" x14ac:dyDescent="0.55000000000000004">
      <c r="B567" s="66">
        <v>552</v>
      </c>
      <c r="C567" s="29">
        <v>10</v>
      </c>
      <c r="D567" s="49" t="s">
        <v>423</v>
      </c>
      <c r="E567" s="27" t="s">
        <v>448</v>
      </c>
      <c r="F567" s="29" t="s">
        <v>462</v>
      </c>
      <c r="G567" s="29"/>
      <c r="H567" s="37">
        <f>I567/AJ567</f>
        <v>212284.79241422188</v>
      </c>
      <c r="I567" s="37">
        <f>SUM(J567:Q567)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4614117.9698553151</v>
      </c>
      <c r="J567" s="21">
        <f>S567*(1+IF($AK567+IF(입력란!$C$26=1,10,0)&gt;100,100,$AK567+IF(입력란!$C$26=1,10,0))/100*(($AL567+IF(MID(E567,5,1)="1",75,0)+IF(입력란!$C$30=1,17,IF(입력란!$C$30=2,20,IF(입력란!$C$30=3,22,0))))/100-1))</f>
        <v>3255319.4739354476</v>
      </c>
      <c r="K567" s="21">
        <f>T567*(1+IF($AK567+IF(입력란!$C$26=1,10,0)&gt;100,100,$AK567+IF(입력란!$C$26=1,10,0))/100*(($AL567+IF(입력란!$C$30=1,17,IF(입력란!$C$30=2,20,IF(입력란!$C$30=3,22,0))))/100-1))</f>
        <v>0</v>
      </c>
      <c r="L567" s="21"/>
      <c r="M567" s="21"/>
      <c r="N567" s="21"/>
      <c r="O567" s="21"/>
      <c r="P567" s="21"/>
      <c r="Q567" s="20">
        <f>Z567*(1+IF($AK567+IF(입력란!$C$26=1,10,0)&gt;100,100,$AK567+IF(입력란!$C$26=1,10,0))/100*(($AL567+IF(입력란!$C$30=1,17,IF(입력란!$C$30=2,20,IF(입력란!$C$30=3,22,0))))/100-1))</f>
        <v>12238.043135095668</v>
      </c>
      <c r="R567" s="19">
        <f>SUM(S567:Z567)</f>
        <v>2147142.1708067148</v>
      </c>
      <c r="S567" s="21">
        <f>AN567*IF(MID(E567,3,1)="1",트라이포드!$J$24,트라이포드!$I$24)*IF(MID(E567,3,1)="2",트라이포드!$L$24,트라이포드!$K$24)*IF(MID(E567,5,1)="1",트라이포드!$P$24,트라이포드!$O$24)*IF(MID(E567,5,1)="2",1+트라이포드!$R$24*3,트라이포드!$Q$24)*(1+입력란!$P$19/100)</f>
        <v>2139100.4398299106</v>
      </c>
      <c r="T567" s="21">
        <f>AN567*IF(MID(E567,3,1)="3",트라이포드!$N$24,트라이포드!$M$24)*(1+입력란!$P$19/100)</f>
        <v>0</v>
      </c>
      <c r="U567" s="21"/>
      <c r="V567" s="21"/>
      <c r="W567" s="21"/>
      <c r="X567" s="21"/>
      <c r="Y567" s="21"/>
      <c r="Z567" s="20">
        <f>AN567*IF(MID(E567,1,1)="3",트라이포드!$H$24,트라이포드!$G$24)*(1+입력란!$P$19/100)</f>
        <v>8041.730976804176</v>
      </c>
      <c r="AA567" s="21">
        <f>SUM(AB567:AI567)</f>
        <v>4294284.3416134296</v>
      </c>
      <c r="AB567" s="21">
        <f>S567*2</f>
        <v>4278200.8796598213</v>
      </c>
      <c r="AC567" s="21">
        <f>T567*2</f>
        <v>0</v>
      </c>
      <c r="AD567" s="21"/>
      <c r="AE567" s="21"/>
      <c r="AF567" s="21"/>
      <c r="AG567" s="21"/>
      <c r="AH567" s="21"/>
      <c r="AI567" s="20">
        <f>Z567*2</f>
        <v>16083.461953608352</v>
      </c>
      <c r="AJ567" s="21">
        <f>(AQ567-IF(MID(E567,5,1)="2",2,0))*(1-입력란!$P$10/100)</f>
        <v>21.73550878224</v>
      </c>
      <c r="AK56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7" s="21">
        <f>입력란!$P$24+IF(입력란!$C$18=1,10,IF(입력란!$C$18=2,25,IF(입력란!$C$18=3,50,0)))+IF(입력란!$C$23&lt;&gt;0,-12)</f>
        <v>200</v>
      </c>
      <c r="AM567" s="21">
        <f>SUM(AN567:AP567)</f>
        <v>590757.04710006388</v>
      </c>
      <c r="AN567" s="21">
        <f>(VLOOKUP(C567,$B$4:$AJ$7,29,FALSE)+VLOOKUP(C567,$B$8:$AJ$11,29,FALSE)*입력란!$P$4)*입력란!$P$25/100</f>
        <v>590757.04710006388</v>
      </c>
      <c r="AO567" s="21"/>
      <c r="AP567" s="21"/>
      <c r="AQ567" s="22">
        <v>24</v>
      </c>
    </row>
    <row r="568" spans="2:43" ht="13.5" customHeight="1" x14ac:dyDescent="0.55000000000000004">
      <c r="B568" s="66">
        <v>553</v>
      </c>
      <c r="C568" s="29">
        <v>10</v>
      </c>
      <c r="D568" s="49" t="s">
        <v>423</v>
      </c>
      <c r="E568" s="27" t="s">
        <v>449</v>
      </c>
      <c r="F568" s="29" t="s">
        <v>453</v>
      </c>
      <c r="G568" s="29"/>
      <c r="H568" s="37">
        <f>I568/AJ568</f>
        <v>212381.79836848745</v>
      </c>
      <c r="I568" s="37">
        <f>SUM(J568:Q568)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5035883.393046746</v>
      </c>
      <c r="J568" s="21">
        <f>S568*(1+IF($AK568+IF(입력란!$C$26=1,10,0)&gt;100,100,$AK568+IF(입력란!$C$26=1,10,0))/100*(($AL568+IF(MID(E568,5,1)="1",75,0)+IF(입력란!$C$30=1,17,IF(입력란!$C$30=2,20,IF(입력란!$C$30=3,22,0))))/100-1))</f>
        <v>3553999.0456311</v>
      </c>
      <c r="K568" s="21">
        <f>T568*(1+IF($AK568+IF(입력란!$C$26=1,10,0)&gt;100,100,$AK568+IF(입력란!$C$26=1,10,0))/100*(($AL568+IF(입력란!$C$30=1,17,IF(입력란!$C$30=2,20,IF(입력란!$C$30=3,22,0))))/100-1))</f>
        <v>0</v>
      </c>
      <c r="L568" s="21"/>
      <c r="M568" s="21"/>
      <c r="N568" s="21"/>
      <c r="O568" s="21"/>
      <c r="P568" s="21"/>
      <c r="Q568" s="20">
        <f>Z568*(1+IF($AK568+IF(입력란!$C$26=1,10,0)&gt;100,100,$AK568+IF(입력란!$C$26=1,10,0))/100*(($AL568+IF(입력란!$C$30=1,17,IF(입력란!$C$30=2,20,IF(입력란!$C$30=3,22,0))))/100-1))</f>
        <v>12238.043135095668</v>
      </c>
      <c r="R568" s="19">
        <f>SUM(S568:Z568)</f>
        <v>1865681.5866185687</v>
      </c>
      <c r="S568" s="21">
        <f>AN568*IF(MID(E568,3,1)="1",트라이포드!$J$24,트라이포드!$I$24)*IF(MID(E568,3,1)="2",트라이포드!$L$24,트라이포드!$K$24)*IF(MID(E568,5,1)="1",트라이포드!$P$24,트라이포드!$O$24)*IF(MID(E568,5,1)="2",1+트라이포드!$R$24*3,트라이포드!$Q$24)*(1+입력란!$P$19/100)</f>
        <v>1857639.8556417646</v>
      </c>
      <c r="T568" s="21">
        <f>AN568*IF(MID(E568,3,1)="3",트라이포드!$N$24,트라이포드!$M$24)*(1+입력란!$P$19/100)</f>
        <v>0</v>
      </c>
      <c r="U568" s="21"/>
      <c r="V568" s="21"/>
      <c r="W568" s="21"/>
      <c r="X568" s="21"/>
      <c r="Y568" s="21"/>
      <c r="Z568" s="20">
        <f>AN568*IF(MID(E568,1,1)="3",트라이포드!$H$24,트라이포드!$G$24)*(1+입력란!$P$19/100)</f>
        <v>8041.730976804176</v>
      </c>
      <c r="AA568" s="21">
        <f>SUM(AB568:AI568)</f>
        <v>3731363.1732371375</v>
      </c>
      <c r="AB568" s="21">
        <f>S568*2</f>
        <v>3715279.7112835292</v>
      </c>
      <c r="AC568" s="21">
        <f>T568*2</f>
        <v>0</v>
      </c>
      <c r="AD568" s="21"/>
      <c r="AE568" s="21"/>
      <c r="AF568" s="21"/>
      <c r="AG568" s="21"/>
      <c r="AH568" s="21"/>
      <c r="AI568" s="20">
        <f>Z568*2</f>
        <v>16083.461953608352</v>
      </c>
      <c r="AJ568" s="21">
        <f>(AQ568-IF(MID(E568,5,1)="2",2,0))*(1-입력란!$P$10/100)</f>
        <v>23.711464126079999</v>
      </c>
      <c r="AK56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8" s="21">
        <f>입력란!$P$24+IF(입력란!$C$18=1,10,IF(입력란!$C$18=2,25,IF(입력란!$C$18=3,50,0)))+IF(입력란!$C$23&lt;&gt;0,-12)</f>
        <v>200</v>
      </c>
      <c r="AM568" s="21">
        <f>SUM(AN568:AP568)</f>
        <v>590757.04710006388</v>
      </c>
      <c r="AN568" s="21">
        <f>(VLOOKUP(C568,$B$4:$AJ$7,29,FALSE)+VLOOKUP(C568,$B$8:$AJ$11,29,FALSE)*입력란!$P$4)*입력란!$P$25/100</f>
        <v>590757.04710006388</v>
      </c>
      <c r="AO568" s="21"/>
      <c r="AP568" s="21"/>
      <c r="AQ568" s="22">
        <v>24</v>
      </c>
    </row>
    <row r="569" spans="2:43" ht="13.5" customHeight="1" x14ac:dyDescent="0.55000000000000004">
      <c r="B569" s="66">
        <v>554</v>
      </c>
      <c r="C569" s="29">
        <v>10</v>
      </c>
      <c r="D569" s="49" t="s">
        <v>423</v>
      </c>
      <c r="E569" s="27" t="s">
        <v>450</v>
      </c>
      <c r="F569" s="29" t="s">
        <v>462</v>
      </c>
      <c r="G569" s="29"/>
      <c r="H569" s="37">
        <f>I569/AJ569</f>
        <v>212284.79241422188</v>
      </c>
      <c r="I569" s="37">
        <f>SUM(J569:Q569)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4614117.9698553151</v>
      </c>
      <c r="J569" s="21">
        <f>S569*(1+IF($AK569+IF(입력란!$C$26=1,10,0)&gt;100,100,$AK569+IF(입력란!$C$26=1,10,0))/100*(($AL569+IF(MID(E569,5,1)="1",75,0)+IF(입력란!$C$30=1,17,IF(입력란!$C$30=2,20,IF(입력란!$C$30=3,22,0))))/100-1))</f>
        <v>3255319.4739354476</v>
      </c>
      <c r="K569" s="21">
        <f>T569*(1+IF($AK569+IF(입력란!$C$26=1,10,0)&gt;100,100,$AK569+IF(입력란!$C$26=1,10,0))/100*(($AL569+IF(입력란!$C$30=1,17,IF(입력란!$C$30=2,20,IF(입력란!$C$30=3,22,0))))/100-1))</f>
        <v>0</v>
      </c>
      <c r="L569" s="21"/>
      <c r="M569" s="21"/>
      <c r="N569" s="21"/>
      <c r="O569" s="21"/>
      <c r="P569" s="21"/>
      <c r="Q569" s="20">
        <f>Z569*(1+IF($AK569+IF(입력란!$C$26=1,10,0)&gt;100,100,$AK569+IF(입력란!$C$26=1,10,0))/100*(($AL569+IF(입력란!$C$30=1,17,IF(입력란!$C$30=2,20,IF(입력란!$C$30=3,22,0))))/100-1))</f>
        <v>12238.043135095668</v>
      </c>
      <c r="R569" s="19">
        <f>SUM(S569:Z569)</f>
        <v>2147142.1708067148</v>
      </c>
      <c r="S569" s="21">
        <f>AN569*IF(MID(E569,3,1)="1",트라이포드!$J$24,트라이포드!$I$24)*IF(MID(E569,3,1)="2",트라이포드!$L$24,트라이포드!$K$24)*IF(MID(E569,5,1)="1",트라이포드!$P$24,트라이포드!$O$24)*IF(MID(E569,5,1)="2",1+트라이포드!$R$24*3,트라이포드!$Q$24)*(1+입력란!$P$19/100)</f>
        <v>2139100.4398299106</v>
      </c>
      <c r="T569" s="21">
        <f>AN569*IF(MID(E569,3,1)="3",트라이포드!$N$24,트라이포드!$M$24)*(1+입력란!$P$19/100)</f>
        <v>0</v>
      </c>
      <c r="U569" s="21"/>
      <c r="V569" s="21"/>
      <c r="W569" s="21"/>
      <c r="X569" s="21"/>
      <c r="Y569" s="21"/>
      <c r="Z569" s="20">
        <f>AN569*IF(MID(E569,1,1)="3",트라이포드!$H$24,트라이포드!$G$24)*(1+입력란!$P$19/100)</f>
        <v>8041.730976804176</v>
      </c>
      <c r="AA569" s="21">
        <f>SUM(AB569:AI569)</f>
        <v>4294284.3416134296</v>
      </c>
      <c r="AB569" s="21">
        <f>S569*2</f>
        <v>4278200.8796598213</v>
      </c>
      <c r="AC569" s="21">
        <f>T569*2</f>
        <v>0</v>
      </c>
      <c r="AD569" s="21"/>
      <c r="AE569" s="21"/>
      <c r="AF569" s="21"/>
      <c r="AG569" s="21"/>
      <c r="AH569" s="21"/>
      <c r="AI569" s="20">
        <f>Z569*2</f>
        <v>16083.461953608352</v>
      </c>
      <c r="AJ569" s="21">
        <f>(AQ569-IF(MID(E569,5,1)="2",2,0))*(1-입력란!$P$10/100)</f>
        <v>21.73550878224</v>
      </c>
      <c r="AK56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69" s="21">
        <f>입력란!$P$24+IF(입력란!$C$18=1,10,IF(입력란!$C$18=2,25,IF(입력란!$C$18=3,50,0)))+IF(입력란!$C$23&lt;&gt;0,-12)</f>
        <v>200</v>
      </c>
      <c r="AM569" s="21">
        <f>SUM(AN569:AP569)</f>
        <v>590757.04710006388</v>
      </c>
      <c r="AN569" s="21">
        <f>(VLOOKUP(C569,$B$4:$AJ$7,29,FALSE)+VLOOKUP(C569,$B$8:$AJ$11,29,FALSE)*입력란!$P$4)*입력란!$P$25/100</f>
        <v>590757.04710006388</v>
      </c>
      <c r="AO569" s="21"/>
      <c r="AP569" s="21"/>
      <c r="AQ569" s="22">
        <v>24</v>
      </c>
    </row>
    <row r="570" spans="2:43" ht="13.5" customHeight="1" x14ac:dyDescent="0.55000000000000004">
      <c r="B570" s="66">
        <v>555</v>
      </c>
      <c r="C570" s="29">
        <v>10</v>
      </c>
      <c r="D570" s="49" t="s">
        <v>423</v>
      </c>
      <c r="E570" s="27" t="s">
        <v>451</v>
      </c>
      <c r="F570" s="29" t="s">
        <v>453</v>
      </c>
      <c r="G570" s="29"/>
      <c r="H570" s="37">
        <f>I570/AJ570</f>
        <v>173774.05679387969</v>
      </c>
      <c r="I570" s="37">
        <f>SUM(J570:Q570)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4120437.3137114667</v>
      </c>
      <c r="J570" s="21">
        <f>S570*(1+IF($AK570+IF(입력란!$C$26=1,10,0)&gt;100,100,$AK570+IF(입력란!$C$26=1,10,0))/100*(($AL570+IF(MID(E570,5,1)="1",75,0)+IF(입력란!$C$30=1,17,IF(입력란!$C$30=2,20,IF(입력란!$C$30=3,22,0))))/100-1))</f>
        <v>2538570.7468793569</v>
      </c>
      <c r="K570" s="21">
        <f>T570*(1+IF($AK570+IF(입력란!$C$26=1,10,0)&gt;100,100,$AK570+IF(입력란!$C$26=1,10,0))/100*(($AL570+IF(입력란!$C$30=1,17,IF(입력란!$C$30=2,20,IF(입력란!$C$30=3,22,0))))/100-1))</f>
        <v>367141.29405287007</v>
      </c>
      <c r="L570" s="21"/>
      <c r="M570" s="21"/>
      <c r="N570" s="21"/>
      <c r="O570" s="21"/>
      <c r="P570" s="21"/>
      <c r="Q570" s="20">
        <f>Z570*(1+IF($AK570+IF(입력란!$C$26=1,10,0)&gt;100,100,$AK570+IF(입력란!$C$26=1,10,0))/100*(($AL570+IF(입력란!$C$30=1,17,IF(입력란!$C$30=2,20,IF(입력란!$C$30=3,22,0))))/100-1))</f>
        <v>12238.043135095668</v>
      </c>
      <c r="R570" s="19">
        <f>SUM(S570:Z570)</f>
        <v>1576179.2714536183</v>
      </c>
      <c r="S570" s="21">
        <f>AN570*IF(MID(E570,3,1)="1",트라이포드!$J$24,트라이포드!$I$24)*IF(MID(E570,3,1)="2",트라이포드!$L$24,트라이포드!$K$24)*IF(MID(E570,5,1)="1",트라이포드!$P$24,트라이포드!$O$24)*IF(MID(E570,5,1)="2",1+트라이포드!$R$24*3,트라이포드!$Q$24)*(1+입력란!$P$19/100)</f>
        <v>1326885.6111726889</v>
      </c>
      <c r="T570" s="21">
        <f>AN570*IF(MID(E570,3,1)="3",트라이포드!$N$24,트라이포드!$M$24)*(1+입력란!$P$19/100)</f>
        <v>241251.92930412528</v>
      </c>
      <c r="U570" s="21"/>
      <c r="V570" s="21"/>
      <c r="W570" s="21"/>
      <c r="X570" s="21"/>
      <c r="Y570" s="21"/>
      <c r="Z570" s="20">
        <f>AN570*IF(MID(E570,1,1)="3",트라이포드!$H$24,트라이포드!$G$24)*(1+입력란!$P$19/100)</f>
        <v>8041.730976804176</v>
      </c>
      <c r="AA570" s="21">
        <f>SUM(AB570:AI570)</f>
        <v>3152358.5429072366</v>
      </c>
      <c r="AB570" s="21">
        <f>S570*2</f>
        <v>2653771.2223453778</v>
      </c>
      <c r="AC570" s="21">
        <f>T570*2</f>
        <v>482503.85860825056</v>
      </c>
      <c r="AD570" s="21"/>
      <c r="AE570" s="21"/>
      <c r="AF570" s="21"/>
      <c r="AG570" s="21"/>
      <c r="AH570" s="21"/>
      <c r="AI570" s="20">
        <f>Z570*2</f>
        <v>16083.461953608352</v>
      </c>
      <c r="AJ570" s="21">
        <f>(AQ570-IF(MID(E570,5,1)="2",2,0))*(1-입력란!$P$10/100)</f>
        <v>23.711464126079999</v>
      </c>
      <c r="AK57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0" s="21">
        <f>입력란!$P$24+IF(입력란!$C$18=1,10,IF(입력란!$C$18=2,25,IF(입력란!$C$18=3,50,0)))+IF(입력란!$C$23&lt;&gt;0,-12)</f>
        <v>200</v>
      </c>
      <c r="AM570" s="21">
        <f>SUM(AN570:AP570)</f>
        <v>590757.04710006388</v>
      </c>
      <c r="AN570" s="21">
        <f>(VLOOKUP(C570,$B$4:$AJ$7,29,FALSE)+VLOOKUP(C570,$B$8:$AJ$11,29,FALSE)*입력란!$P$4)*입력란!$P$25/100</f>
        <v>590757.04710006388</v>
      </c>
      <c r="AO570" s="21"/>
      <c r="AP570" s="21"/>
      <c r="AQ570" s="22">
        <v>24</v>
      </c>
    </row>
    <row r="571" spans="2:43" ht="13.5" customHeight="1" x14ac:dyDescent="0.55000000000000004">
      <c r="B571" s="66">
        <v>556</v>
      </c>
      <c r="C571" s="29">
        <v>10</v>
      </c>
      <c r="D571" s="49" t="s">
        <v>423</v>
      </c>
      <c r="E571" s="27" t="s">
        <v>452</v>
      </c>
      <c r="F571" s="29" t="s">
        <v>462</v>
      </c>
      <c r="G571" s="29"/>
      <c r="H571" s="37">
        <f>I571/AJ571</f>
        <v>175711.3824851799</v>
      </c>
      <c r="I571" s="37">
        <f>SUM(J571:Q571)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3819176.2971461592</v>
      </c>
      <c r="J571" s="21">
        <f>S571*(1+IF($AK571+IF(입력란!$C$26=1,10,0)&gt;100,100,$AK571+IF(입력란!$C$26=1,10,0))/100*(($AL571+IF(MID(E571,5,1)="1",75,0)+IF(입력란!$C$30=1,17,IF(입력란!$C$30=2,20,IF(입력란!$C$30=3,22,0))))/100-1))</f>
        <v>2325228.1956681767</v>
      </c>
      <c r="K571" s="21">
        <f>T571*(1+IF($AK571+IF(입력란!$C$26=1,10,0)&gt;100,100,$AK571+IF(입력란!$C$26=1,10,0))/100*(($AL571+IF(입력란!$C$30=1,17,IF(입력란!$C$30=2,20,IF(입력란!$C$30=3,22,0))))/100-1))</f>
        <v>367141.29405287007</v>
      </c>
      <c r="L571" s="21"/>
      <c r="M571" s="21"/>
      <c r="N571" s="21"/>
      <c r="O571" s="21"/>
      <c r="P571" s="21"/>
      <c r="Q571" s="20">
        <f>Z571*(1+IF($AK571+IF(입력란!$C$26=1,10,0)&gt;100,100,$AK571+IF(입력란!$C$26=1,10,0))/100*(($AL571+IF(입력란!$C$30=1,17,IF(입력란!$C$30=2,20,IF(입력란!$C$30=3,22,0))))/100-1))</f>
        <v>12238.043135095668</v>
      </c>
      <c r="R571" s="19">
        <f>SUM(S571:Z571)</f>
        <v>1777222.5458737228</v>
      </c>
      <c r="S571" s="21">
        <f>AN571*IF(MID(E571,3,1)="1",트라이포드!$J$24,트라이포드!$I$24)*IF(MID(E571,3,1)="2",트라이포드!$L$24,트라이포드!$K$24)*IF(MID(E571,5,1)="1",트라이포드!$P$24,트라이포드!$O$24)*IF(MID(E571,5,1)="2",1+트라이포드!$R$24*3,트라이포드!$Q$24)*(1+입력란!$P$19/100)</f>
        <v>1527928.8855927933</v>
      </c>
      <c r="T571" s="21">
        <f>AN571*IF(MID(E571,3,1)="3",트라이포드!$N$24,트라이포드!$M$24)*(1+입력란!$P$19/100)</f>
        <v>241251.92930412528</v>
      </c>
      <c r="U571" s="21"/>
      <c r="V571" s="21"/>
      <c r="W571" s="21"/>
      <c r="X571" s="21"/>
      <c r="Y571" s="21"/>
      <c r="Z571" s="20">
        <f>AN571*IF(MID(E571,1,1)="3",트라이포드!$H$24,트라이포드!$G$24)*(1+입력란!$P$19/100)</f>
        <v>8041.730976804176</v>
      </c>
      <c r="AA571" s="21">
        <f>SUM(AB571:AI571)</f>
        <v>3554445.0917474455</v>
      </c>
      <c r="AB571" s="21">
        <f>S571*2</f>
        <v>3055857.7711855867</v>
      </c>
      <c r="AC571" s="21">
        <f>T571*2</f>
        <v>482503.85860825056</v>
      </c>
      <c r="AD571" s="21"/>
      <c r="AE571" s="21"/>
      <c r="AF571" s="21"/>
      <c r="AG571" s="21"/>
      <c r="AH571" s="21"/>
      <c r="AI571" s="20">
        <f>Z571*2</f>
        <v>16083.461953608352</v>
      </c>
      <c r="AJ571" s="21">
        <f>(AQ571-IF(MID(E571,5,1)="2",2,0))*(1-입력란!$P$10/100)</f>
        <v>21.73550878224</v>
      </c>
      <c r="AK57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1" s="21">
        <f>입력란!$P$24+IF(입력란!$C$18=1,10,IF(입력란!$C$18=2,25,IF(입력란!$C$18=3,50,0)))+IF(입력란!$C$23&lt;&gt;0,-12)</f>
        <v>200</v>
      </c>
      <c r="AM571" s="21">
        <f>SUM(AN571:AP571)</f>
        <v>590757.04710006388</v>
      </c>
      <c r="AN571" s="21">
        <f>(VLOOKUP(C571,$B$4:$AJ$7,29,FALSE)+VLOOKUP(C571,$B$8:$AJ$11,29,FALSE)*입력란!$P$4)*입력란!$P$25/100</f>
        <v>590757.04710006388</v>
      </c>
      <c r="AO571" s="21"/>
      <c r="AP571" s="21"/>
      <c r="AQ571" s="22">
        <v>24</v>
      </c>
    </row>
    <row r="572" spans="2:43" ht="13.5" customHeight="1" x14ac:dyDescent="0.55000000000000004">
      <c r="B572" s="66">
        <v>557</v>
      </c>
      <c r="C572" s="29">
        <v>1</v>
      </c>
      <c r="D572" s="49" t="s">
        <v>253</v>
      </c>
      <c r="E572" s="27" t="s">
        <v>232</v>
      </c>
      <c r="F572" s="29"/>
      <c r="G572" s="29"/>
      <c r="H572" s="37">
        <f>I572/AJ572</f>
        <v>82515.860270162855</v>
      </c>
      <c r="I572" s="37">
        <f>SUM(J572:Q572)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2934857.7909428943</v>
      </c>
      <c r="J572" s="21">
        <f>S572*(1+IF($AK572+IF(입력란!$C$26=1,10,0)&gt;100,100,$AK572+IF(입력란!$C$26=1,10,0))/100*(($AL572+IF(입력란!$C$30=1,17,IF(입력란!$C$30=2,20,IF(입력란!$C$30=3,22,0)))+IF(G572="생명50%이하",50,0))/100-1))</f>
        <v>443387.10839107586</v>
      </c>
      <c r="K572" s="21">
        <f>T572*(1+IF($AK572+IF(입력란!$C$26=1,10,0)&gt;100,100,$AK572+IF(입력란!$C$26=1,10,0))/100*(($AL572+IF(입력란!$C$30=1,17,IF(입력란!$C$30=2,20,IF(입력란!$C$30=3,22,0)))+IF(G572="생명50%이하",50,0))/100-1))</f>
        <v>443387.10839107586</v>
      </c>
      <c r="L572" s="21">
        <f>U572*(1+IF($AK572+IF(입력란!$C$26=1,10,0)&gt;100,100,$AK572+IF(입력란!$C$26=1,10,0))/100*(($AL572+IF(입력란!$C$30=1,17,IF(입력란!$C$30=2,20,IF(입력란!$C$30=3,22,0)))+IF(G572="생명50%이하",50,0))/100-1))</f>
        <v>443387.10839107586</v>
      </c>
      <c r="M572" s="21">
        <f>V572*(1+IF($AK572+IF(입력란!$C$26=1,10,0)&gt;100,100,$AK572+IF(입력란!$C$26=1,10,0))/100*(($AL572+IF(입력란!$C$30=1,17,IF(입력란!$C$30=2,20,IF(입력란!$C$30=3,22,0)))+IF(G572="생명50%이하",50,0))/100-1))</f>
        <v>748202.66529691929</v>
      </c>
      <c r="N572" s="21"/>
      <c r="O572" s="21"/>
      <c r="P572" s="21"/>
      <c r="Q572" s="20"/>
      <c r="R572" s="19">
        <f>SUM(S572:Z572)</f>
        <v>1365712.1403100418</v>
      </c>
      <c r="S572" s="21">
        <f>AN572*IF(MID(E572,3,1)="1",1/(0.25/트라이포드!$J$25+0.25/(트라이포드!$J$25*1.1)+0.25/(트라이포드!$J$25*1.2)+0.25/(트라이포드!$J$25*1.3)),트라이포드!$I$25)*IF(MID(E572,3,1)="3",트라이포드!$N$25,트라이포드!$M$25)*IF(MID(E572,5,1)="1",트라이포드!$P$25,트라이포드!$O$25)*IF(MID(E572,5,1)="2",트라이포드!$R$25,트라이포드!$Q$25)*(1+입력란!$P$19/100)</f>
        <v>291353.75687955297</v>
      </c>
      <c r="T572" s="21">
        <f>AN572*IF(MID(E572,3,1)="1",1/(0.25/트라이포드!$J$25+0.25/(트라이포드!$J$25*1.1)+0.25/(트라이포드!$J$25*1.2)+0.25/(트라이포드!$J$25*1.3)),트라이포드!$I$25)*IF(MID(E572,3,1)="3",트라이포드!$N$25,트라이포드!$M$25)*IF(MID(E572,5,1)="1",트라이포드!$P$25,트라이포드!$O$25)*IF(MID(E572,5,1)="2",트라이포드!$R$25,트라이포드!$Q$25)*(1+입력란!$P$19/100)</f>
        <v>291353.75687955297</v>
      </c>
      <c r="U572" s="21">
        <f>AN572*IF(MID(E572,3,1)="1",1/(0.25/트라이포드!$J$25+0.25/(트라이포드!$J$25*1.1)+0.25/(트라이포드!$J$25*1.2)+0.25/(트라이포드!$J$25*1.3)),트라이포드!$I$25)*IF(MID(E572,3,1)="3",트라이포드!$N$25,트라이포드!$M$25)*IF(MID(E572,5,1)="1",트라이포드!$P$25,트라이포드!$O$25)*IF(MID(E572,5,1)="2",트라이포드!$R$25,트라이포드!$Q$25)*(1+입력란!$P$19/100)</f>
        <v>291353.75687955297</v>
      </c>
      <c r="V572" s="21">
        <f>AO572*IF(MID(E572,3,1)="1",1/(0.25/트라이포드!$J$25+0.25/(트라이포드!$J$25*1.1)+0.25/(트라이포드!$J$25*1.2)+0.25/(트라이포드!$J$25*1.3)),트라이포드!$I$25)*IF(MID(E572,3,1)="3",트라이포드!$N$25,트라이포드!$M$25)*IF(MID(E572,5,1)="1",트라이포드!$P$25,트라이포드!$O$25)*IF(MID(E572,5,1)="1",0,1)*IF(MID(E572,5,1)="2",트라이포드!$R$25,트라이포드!$Q$25)*(1+입력란!$P$19/100)</f>
        <v>491650.86967138288</v>
      </c>
      <c r="W572" s="21"/>
      <c r="X572" s="21"/>
      <c r="Y572" s="21"/>
      <c r="Z572" s="20"/>
      <c r="AA572" s="21">
        <f>SUM(AB572:AI572)</f>
        <v>2731424.2806200837</v>
      </c>
      <c r="AB572" s="21">
        <f>S572*2</f>
        <v>582707.51375910593</v>
      </c>
      <c r="AC572" s="21">
        <f>T572*2</f>
        <v>582707.51375910593</v>
      </c>
      <c r="AD572" s="21">
        <f>U572*2</f>
        <v>582707.51375910593</v>
      </c>
      <c r="AE572" s="21">
        <f>V572*2</f>
        <v>983301.73934276577</v>
      </c>
      <c r="AF572" s="21">
        <f>W572*2</f>
        <v>0</v>
      </c>
      <c r="AG572" s="21">
        <f>X572*2</f>
        <v>0</v>
      </c>
      <c r="AH572" s="21"/>
      <c r="AI572" s="20"/>
      <c r="AJ572" s="21">
        <f>AQ572*(1-입력란!$P$10/100)</f>
        <v>35.567196189119997</v>
      </c>
      <c r="AK57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2" s="21">
        <f>입력란!$P$24+IF(입력란!$C$18=1,10,IF(입력란!$C$18=2,25,IF(입력란!$C$18=3,50,0)))+IF(입력란!$C$23&lt;&gt;0,-12)</f>
        <v>200</v>
      </c>
      <c r="AM572" s="21">
        <f>SUM(AN572:AP572)</f>
        <v>575206.38576589758</v>
      </c>
      <c r="AN572" s="21">
        <f>(VLOOKUP(C572,$B$4:$AJ$7,30,FALSE)+VLOOKUP(C572,$B$8:$AJ$11,30,FALSE)*입력란!$P$4)*입력란!$P$25/100</f>
        <v>214032.63249186144</v>
      </c>
      <c r="AO572" s="21">
        <f>(VLOOKUP(C572,$B$4:$AJ$7,31,FALSE)+VLOOKUP(C572,$B$8:$AJ$11,31,FALSE)*입력란!$P$4)*입력란!$P$25/100</f>
        <v>361173.75327403611</v>
      </c>
      <c r="AP572" s="21"/>
      <c r="AQ572" s="22">
        <v>36</v>
      </c>
    </row>
    <row r="573" spans="2:43" ht="13.5" customHeight="1" x14ac:dyDescent="0.55000000000000004">
      <c r="B573" s="66">
        <v>558</v>
      </c>
      <c r="C573" s="29">
        <v>4</v>
      </c>
      <c r="D573" s="49" t="s">
        <v>253</v>
      </c>
      <c r="E573" s="27" t="s">
        <v>232</v>
      </c>
      <c r="F573" s="29"/>
      <c r="G573" s="29"/>
      <c r="H573" s="37">
        <f>I573/AJ573</f>
        <v>82623.014831213499</v>
      </c>
      <c r="I573" s="37">
        <f>SUM(J573:Q573)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2938668.9782383419</v>
      </c>
      <c r="J573" s="21">
        <f>S573*(1+IF($AK573+IF(입력란!$C$26=1,10,0)&gt;100,100,$AK573+IF(입력란!$C$26=1,10,0))/100*(($AL573+IF(입력란!$C$30=1,17,IF(입력란!$C$30=2,20,IF(입력란!$C$30=3,22,0)))+IF(G573="생명50%이하",50,0))/100-1))</f>
        <v>443959.44772686739</v>
      </c>
      <c r="K573" s="21">
        <f>T573*(1+IF($AK573+IF(입력란!$C$26=1,10,0)&gt;100,100,$AK573+IF(입력란!$C$26=1,10,0))/100*(($AL573+IF(입력란!$C$30=1,17,IF(입력란!$C$30=2,20,IF(입력란!$C$30=3,22,0)))+IF(G573="생명50%이하",50,0))/100-1))</f>
        <v>443959.44772686739</v>
      </c>
      <c r="L573" s="21">
        <f>U573*(1+IF($AK573+IF(입력란!$C$26=1,10,0)&gt;100,100,$AK573+IF(입력란!$C$26=1,10,0))/100*(($AL573+IF(입력란!$C$30=1,17,IF(입력란!$C$30=2,20,IF(입력란!$C$30=3,22,0)))+IF(G573="생명50%이하",50,0))/100-1))</f>
        <v>443959.44772686739</v>
      </c>
      <c r="M573" s="21">
        <f>V573*(1+IF($AK573+IF(입력란!$C$26=1,10,0)&gt;100,100,$AK573+IF(입력란!$C$26=1,10,0))/100*(($AL573+IF(입력란!$C$30=1,17,IF(입력란!$C$30=2,20,IF(입력란!$C$30=3,22,0)))+IF(G573="생명50%이하",50,0))/100-1))</f>
        <v>749184.5972898613</v>
      </c>
      <c r="N573" s="21"/>
      <c r="O573" s="21"/>
      <c r="P573" s="21"/>
      <c r="Q573" s="20"/>
      <c r="R573" s="19">
        <f>SUM(S573:Z573)</f>
        <v>1367485.6452391222</v>
      </c>
      <c r="S573" s="21">
        <f>AN573*IF(MID(E573,3,1)="1",1/(0.25/트라이포드!$J$25+0.25/(트라이포드!$J$25*1.1)+0.25/(트라이포드!$J$25*1.2)+0.25/(트라이포드!$J$25*1.3)),트라이포드!$I$25)*IF(MID(E573,3,1)="3",트라이포드!$N$25,트라이포드!$M$25)*IF(MID(E573,5,1)="1",트라이포드!$P$25,트라이포드!$O$25)*IF(MID(E573,5,1)="2",트라이포드!$R$25,트라이포드!$Q$25)*(1+입력란!$P$19/100)</f>
        <v>291729.84633397555</v>
      </c>
      <c r="T573" s="21">
        <f>AN573*IF(MID(E573,3,1)="1",1/(0.25/트라이포드!$J$25+0.25/(트라이포드!$J$25*1.1)+0.25/(트라이포드!$J$25*1.2)+0.25/(트라이포드!$J$25*1.3)),트라이포드!$I$25)*IF(MID(E573,3,1)="3",트라이포드!$N$25,트라이포드!$M$25)*IF(MID(E573,5,1)="1",트라이포드!$P$25,트라이포드!$O$25)*IF(MID(E573,5,1)="2",트라이포드!$R$25,트라이포드!$Q$25)*(1+입력란!$P$19/100)</f>
        <v>291729.84633397555</v>
      </c>
      <c r="U573" s="21">
        <f>AN573*IF(MID(E573,3,1)="1",1/(0.25/트라이포드!$J$25+0.25/(트라이포드!$J$25*1.1)+0.25/(트라이포드!$J$25*1.2)+0.25/(트라이포드!$J$25*1.3)),트라이포드!$I$25)*IF(MID(E573,3,1)="3",트라이포드!$N$25,트라이포드!$M$25)*IF(MID(E573,5,1)="1",트라이포드!$P$25,트라이포드!$O$25)*IF(MID(E573,5,1)="2",트라이포드!$R$25,트라이포드!$Q$25)*(1+입력란!$P$19/100)</f>
        <v>291729.84633397555</v>
      </c>
      <c r="V573" s="21">
        <f>AO573*IF(MID(E573,3,1)="1",1/(0.25/트라이포드!$J$25+0.25/(트라이포드!$J$25*1.1)+0.25/(트라이포드!$J$25*1.2)+0.25/(트라이포드!$J$25*1.3)),트라이포드!$I$25)*IF(MID(E573,3,1)="3",트라이포드!$N$25,트라이포드!$M$25)*IF(MID(E573,5,1)="1",트라이포드!$P$25,트라이포드!$O$25)*IF(MID(E573,5,1)="1",0,1)*IF(MID(E573,5,1)="2",트라이포드!$R$25,트라이포드!$Q$25)*(1+입력란!$P$19/100)</f>
        <v>492296.10623719561</v>
      </c>
      <c r="W573" s="21"/>
      <c r="X573" s="21"/>
      <c r="Y573" s="21"/>
      <c r="Z573" s="20"/>
      <c r="AA573" s="21">
        <f>SUM(AB573:AI573)</f>
        <v>2734971.2904782444</v>
      </c>
      <c r="AB573" s="21">
        <f>S573*2</f>
        <v>583459.69266795111</v>
      </c>
      <c r="AC573" s="21">
        <f>T573*2</f>
        <v>583459.69266795111</v>
      </c>
      <c r="AD573" s="21">
        <f>U573*2</f>
        <v>583459.69266795111</v>
      </c>
      <c r="AE573" s="21">
        <f>V573*2</f>
        <v>984592.21247439121</v>
      </c>
      <c r="AF573" s="21">
        <f>W573*2</f>
        <v>0</v>
      </c>
      <c r="AG573" s="21">
        <f>X573*2</f>
        <v>0</v>
      </c>
      <c r="AH573" s="21"/>
      <c r="AI573" s="20"/>
      <c r="AJ573" s="21">
        <f>AQ573*(1-입력란!$P$10/100)</f>
        <v>35.567196189119997</v>
      </c>
      <c r="AK57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3" s="21">
        <f>입력란!$P$24+IF(입력란!$C$18=1,10,IF(입력란!$C$18=2,25,IF(입력란!$C$18=3,50,0)))+IF(입력란!$C$23&lt;&gt;0,-12)</f>
        <v>200</v>
      </c>
      <c r="AM573" s="21">
        <f>SUM(AN573:AP573)</f>
        <v>575956.66645245743</v>
      </c>
      <c r="AN573" s="21">
        <f>(VLOOKUP(C573,$B$4:$AJ$7,30,FALSE)+VLOOKUP(C573,$B$8:$AJ$11,30,FALSE)*입력란!$P$4)*입력란!$P$25/100</f>
        <v>214308.91317842138</v>
      </c>
      <c r="AO573" s="21">
        <f>(VLOOKUP(C573,$B$4:$AJ$7,31,FALSE)+VLOOKUP(C573,$B$8:$AJ$11,31,FALSE)*입력란!$P$4)*입력란!$P$25/100</f>
        <v>361647.75327403611</v>
      </c>
      <c r="AP573" s="21"/>
      <c r="AQ573" s="22">
        <v>36</v>
      </c>
    </row>
    <row r="574" spans="2:43" ht="13.5" customHeight="1" x14ac:dyDescent="0.55000000000000004">
      <c r="B574" s="66">
        <v>559</v>
      </c>
      <c r="C574" s="29">
        <v>7</v>
      </c>
      <c r="D574" s="49" t="s">
        <v>253</v>
      </c>
      <c r="E574" s="27" t="s">
        <v>76</v>
      </c>
      <c r="F574" s="29"/>
      <c r="G574" s="29"/>
      <c r="H574" s="37">
        <f>I574/AJ574</f>
        <v>82674.53075339066</v>
      </c>
      <c r="I574" s="37">
        <f>SUM(J574:Q574)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2940501.2551492802</v>
      </c>
      <c r="J574" s="21">
        <f>S574*(1+IF($AK574+IF(입력란!$C$26=1,10,0)&gt;100,100,$AK574+IF(입력란!$C$26=1,10,0))/100*(($AL574+IF(입력란!$C$30=1,17,IF(입력란!$C$30=2,20,IF(입력란!$C$30=3,22,0)))+IF(G574="생명50%이하",50,0))/100-1))</f>
        <v>444239.77338747866</v>
      </c>
      <c r="K574" s="21">
        <f>T574*(1+IF($AK574+IF(입력란!$C$26=1,10,0)&gt;100,100,$AK574+IF(입력란!$C$26=1,10,0))/100*(($AL574+IF(입력란!$C$30=1,17,IF(입력란!$C$30=2,20,IF(입력란!$C$30=3,22,0)))+IF(G574="생명50%이하",50,0))/100-1))</f>
        <v>444239.77338747866</v>
      </c>
      <c r="L574" s="21">
        <f>U574*(1+IF($AK574+IF(입력란!$C$26=1,10,0)&gt;100,100,$AK574+IF(입력란!$C$26=1,10,0))/100*(($AL574+IF(입력란!$C$30=1,17,IF(입력란!$C$30=2,20,IF(입력란!$C$30=3,22,0)))+IF(G574="생명50%이하",50,0))/100-1))</f>
        <v>444239.77338747866</v>
      </c>
      <c r="M574" s="21">
        <f>V574*(1+IF($AK574+IF(입력란!$C$26=1,10,0)&gt;100,100,$AK574+IF(입력란!$C$26=1,10,0))/100*(($AL574+IF(입력란!$C$30=1,17,IF(입력란!$C$30=2,20,IF(입력란!$C$30=3,22,0)))+IF(G574="생명50%이하",50,0))/100-1))</f>
        <v>749641.17495071457</v>
      </c>
      <c r="N574" s="21"/>
      <c r="O574" s="21"/>
      <c r="P574" s="21"/>
      <c r="Q574" s="20"/>
      <c r="R574" s="19">
        <f>SUM(S574:Z574)</f>
        <v>1368338.280358071</v>
      </c>
      <c r="S574" s="21">
        <f>AN574*IF(MID(E574,3,1)="1",1/(0.25/트라이포드!$J$25+0.25/(트라이포드!$J$25*1.1)+0.25/(트라이포드!$J$25*1.2)+0.25/(트라이포드!$J$25*1.3)),트라이포드!$I$25)*IF(MID(E574,3,1)="3",트라이포드!$N$25,트라이포드!$M$25)*IF(MID(E574,5,1)="1",트라이포드!$P$25,트라이포드!$O$25)*IF(MID(E574,5,1)="2",트라이포드!$R$25,트라이포드!$Q$25)*(1+입력란!$P$19/100)</f>
        <v>291914.05091011943</v>
      </c>
      <c r="T574" s="21">
        <f>AN574*IF(MID(E574,3,1)="1",1/(0.25/트라이포드!$J$25+0.25/(트라이포드!$J$25*1.1)+0.25/(트라이포드!$J$25*1.2)+0.25/(트라이포드!$J$25*1.3)),트라이포드!$I$25)*IF(MID(E574,3,1)="3",트라이포드!$N$25,트라이포드!$M$25)*IF(MID(E574,5,1)="1",트라이포드!$P$25,트라이포드!$O$25)*IF(MID(E574,5,1)="2",트라이포드!$R$25,트라이포드!$Q$25)*(1+입력란!$P$19/100)</f>
        <v>291914.05091011943</v>
      </c>
      <c r="U574" s="21">
        <f>AN574*IF(MID(E574,3,1)="1",1/(0.25/트라이포드!$J$25+0.25/(트라이포드!$J$25*1.1)+0.25/(트라이포드!$J$25*1.2)+0.25/(트라이포드!$J$25*1.3)),트라이포드!$I$25)*IF(MID(E574,3,1)="3",트라이포드!$N$25,트라이포드!$M$25)*IF(MID(E574,5,1)="1",트라이포드!$P$25,트라이포드!$O$25)*IF(MID(E574,5,1)="2",트라이포드!$R$25,트라이포드!$Q$25)*(1+입력란!$P$19/100)</f>
        <v>291914.05091011943</v>
      </c>
      <c r="V574" s="21">
        <f>AO574*IF(MID(E574,3,1)="1",1/(0.25/트라이포드!$J$25+0.25/(트라이포드!$J$25*1.1)+0.25/(트라이포드!$J$25*1.2)+0.25/(트라이포드!$J$25*1.3)),트라이포드!$I$25)*IF(MID(E574,3,1)="3",트라이포드!$N$25,트라이포드!$M$25)*IF(MID(E574,5,1)="1",트라이포드!$P$25,트라이포드!$O$25)*IF(MID(E574,5,1)="1",0,1)*IF(MID(E574,5,1)="2",트라이포드!$R$25,트라이포드!$Q$25)*(1+입력란!$P$19/100)</f>
        <v>492596.12762771279</v>
      </c>
      <c r="W574" s="21"/>
      <c r="X574" s="21"/>
      <c r="Y574" s="21"/>
      <c r="Z574" s="20"/>
      <c r="AA574" s="21">
        <f>SUM(AB574:AI574)</f>
        <v>2736676.5607161419</v>
      </c>
      <c r="AB574" s="21">
        <f>S574*2</f>
        <v>583828.10182023887</v>
      </c>
      <c r="AC574" s="21">
        <f>T574*2</f>
        <v>583828.10182023887</v>
      </c>
      <c r="AD574" s="21">
        <f>U574*2</f>
        <v>583828.10182023887</v>
      </c>
      <c r="AE574" s="21">
        <f>V574*2</f>
        <v>985192.25525542558</v>
      </c>
      <c r="AF574" s="21">
        <f>W574*2</f>
        <v>0</v>
      </c>
      <c r="AG574" s="21">
        <f>X574*2</f>
        <v>0</v>
      </c>
      <c r="AH574" s="21"/>
      <c r="AI574" s="20"/>
      <c r="AJ574" s="21">
        <f>AQ574*(1-입력란!$P$10/100)</f>
        <v>35.567196189119997</v>
      </c>
      <c r="AK57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4" s="21">
        <f>입력란!$P$24+IF(입력란!$C$18=1,10,IF(입력란!$C$18=2,25,IF(입력란!$C$18=3,50,0)))+IF(입력란!$C$23&lt;&gt;0,-12)</f>
        <v>200</v>
      </c>
      <c r="AM574" s="21">
        <f>SUM(AN574:AP574)</f>
        <v>576312.38576589758</v>
      </c>
      <c r="AN574" s="21">
        <f>(VLOOKUP(C574,$B$4:$AJ$7,30,FALSE)+VLOOKUP(C574,$B$8:$AJ$11,30,FALSE)*입력란!$P$4)*입력란!$P$25/100</f>
        <v>214444.23249186145</v>
      </c>
      <c r="AO574" s="21">
        <f>(VLOOKUP(C574,$B$4:$AJ$7,31,FALSE)+VLOOKUP(C574,$B$8:$AJ$11,31,FALSE)*입력란!$P$4)*입력란!$P$25/100</f>
        <v>361868.15327403613</v>
      </c>
      <c r="AP574" s="21"/>
      <c r="AQ574" s="22">
        <v>36</v>
      </c>
    </row>
    <row r="575" spans="2:43" ht="13.5" customHeight="1" x14ac:dyDescent="0.55000000000000004">
      <c r="B575" s="66">
        <v>560</v>
      </c>
      <c r="C575" s="29">
        <v>7</v>
      </c>
      <c r="D575" s="49" t="s">
        <v>253</v>
      </c>
      <c r="E575" s="27" t="s">
        <v>96</v>
      </c>
      <c r="F575" s="29"/>
      <c r="G575" s="29"/>
      <c r="H575" s="37">
        <f>I575/AJ575</f>
        <v>117714.48288484765</v>
      </c>
      <c r="I575" s="37">
        <f>SUM(J575:Q575)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4186774.1070661843</v>
      </c>
      <c r="J575" s="21">
        <f>S575*(1+IF($AK575+IF(입력란!$C$26=1,10,0)&gt;100,100,$AK575+IF(입력란!$C$26=1,10,0))/100*(($AL575+IF(입력란!$C$30=1,17,IF(입력란!$C$30=2,20,IF(입력란!$C$30=3,22,0)))+IF(G575="생명50%이하",50,0))/100-1))</f>
        <v>632521.94750490657</v>
      </c>
      <c r="K575" s="21">
        <f>T575*(1+IF($AK575+IF(입력란!$C$26=1,10,0)&gt;100,100,$AK575+IF(입력란!$C$26=1,10,0))/100*(($AL575+IF(입력란!$C$30=1,17,IF(입력란!$C$30=2,20,IF(입력란!$C$30=3,22,0)))+IF(G575="생명50%이하",50,0))/100-1))</f>
        <v>632521.94750490657</v>
      </c>
      <c r="L575" s="21">
        <f>U575*(1+IF($AK575+IF(입력란!$C$26=1,10,0)&gt;100,100,$AK575+IF(입력란!$C$26=1,10,0))/100*(($AL575+IF(입력란!$C$30=1,17,IF(입력란!$C$30=2,20,IF(입력란!$C$30=3,22,0)))+IF(G575="생명50%이하",50,0))/100-1))</f>
        <v>632521.94750490657</v>
      </c>
      <c r="M575" s="21">
        <f>V575*(1+IF($AK575+IF(입력란!$C$26=1,10,0)&gt;100,100,$AK575+IF(입력란!$C$26=1,10,0))/100*(($AL575+IF(입력란!$C$30=1,17,IF(입력란!$C$30=2,20,IF(입력란!$C$30=3,22,0)))+IF(G575="생명50%이하",50,0))/100-1))</f>
        <v>1067361.6463785484</v>
      </c>
      <c r="N575" s="21"/>
      <c r="O575" s="21"/>
      <c r="P575" s="21"/>
      <c r="Q575" s="20"/>
      <c r="R575" s="19">
        <f>SUM(S575:Z575)</f>
        <v>1948281.1890926403</v>
      </c>
      <c r="S575" s="21">
        <f>AN575*IF(MID(E575,3,1)="1",1/(0.25/트라이포드!$J$25+0.25/(트라이포드!$J$25*1.1)+0.25/(트라이포드!$J$25*1.2)+0.25/(트라이포드!$J$25*1.3)),트라이포드!$I$25)*IF(MID(E575,3,1)="3",트라이포드!$N$25,트라이포드!$M$25)*IF(MID(E575,5,1)="1",트라이포드!$P$25,트라이포드!$O$25)*IF(MID(E575,5,1)="2",트라이포드!$R$25,트라이포드!$Q$25)*(1+입력란!$P$19/100)</f>
        <v>415636.00345317373</v>
      </c>
      <c r="T575" s="21">
        <f>AN575*IF(MID(E575,3,1)="1",1/(0.25/트라이포드!$J$25+0.25/(트라이포드!$J$25*1.1)+0.25/(트라이포드!$J$25*1.2)+0.25/(트라이포드!$J$25*1.3)),트라이포드!$I$25)*IF(MID(E575,3,1)="3",트라이포드!$N$25,트라이포드!$M$25)*IF(MID(E575,5,1)="1",트라이포드!$P$25,트라이포드!$O$25)*IF(MID(E575,5,1)="2",트라이포드!$R$25,트라이포드!$Q$25)*(1+입력란!$P$19/100)</f>
        <v>415636.00345317373</v>
      </c>
      <c r="U575" s="21">
        <f>AN575*IF(MID(E575,3,1)="1",1/(0.25/트라이포드!$J$25+0.25/(트라이포드!$J$25*1.1)+0.25/(트라이포드!$J$25*1.2)+0.25/(트라이포드!$J$25*1.3)),트라이포드!$I$25)*IF(MID(E575,3,1)="3",트라이포드!$N$25,트라이포드!$M$25)*IF(MID(E575,5,1)="1",트라이포드!$P$25,트라이포드!$O$25)*IF(MID(E575,5,1)="2",트라이포드!$R$25,트라이포드!$Q$25)*(1+입력란!$P$19/100)</f>
        <v>415636.00345317373</v>
      </c>
      <c r="V575" s="21">
        <f>AO575*IF(MID(E575,3,1)="1",1/(0.25/트라이포드!$J$25+0.25/(트라이포드!$J$25*1.1)+0.25/(트라이포드!$J$25*1.2)+0.25/(트라이포드!$J$25*1.3)),트라이포드!$I$25)*IF(MID(E575,3,1)="3",트라이포드!$N$25,트라이포드!$M$25)*IF(MID(E575,5,1)="1",트라이포드!$P$25,트라이포드!$O$25)*IF(MID(E575,5,1)="1",0,1)*IF(MID(E575,5,1)="2",트라이포드!$R$25,트라이포드!$Q$25)*(1+입력란!$P$19/100)</f>
        <v>701373.17873311916</v>
      </c>
      <c r="W575" s="21"/>
      <c r="X575" s="21"/>
      <c r="Y575" s="21"/>
      <c r="Z575" s="20"/>
      <c r="AA575" s="21">
        <f>SUM(AB575:AI575)</f>
        <v>3896562.3781852806</v>
      </c>
      <c r="AB575" s="21">
        <f>S575*2</f>
        <v>831272.00690634747</v>
      </c>
      <c r="AC575" s="21">
        <f>T575*2</f>
        <v>831272.00690634747</v>
      </c>
      <c r="AD575" s="21">
        <f>U575*2</f>
        <v>831272.00690634747</v>
      </c>
      <c r="AE575" s="21">
        <f>V575*2</f>
        <v>1402746.3574662383</v>
      </c>
      <c r="AF575" s="21">
        <f>W575*2</f>
        <v>0</v>
      </c>
      <c r="AG575" s="21">
        <f>X575*2</f>
        <v>0</v>
      </c>
      <c r="AH575" s="21"/>
      <c r="AI575" s="20"/>
      <c r="AJ575" s="21">
        <f>AQ575*(1-입력란!$P$10/100)</f>
        <v>35.567196189119997</v>
      </c>
      <c r="AK57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5" s="21">
        <f>입력란!$P$24+IF(입력란!$C$18=1,10,IF(입력란!$C$18=2,25,IF(입력란!$C$18=3,50,0)))+IF(입력란!$C$23&lt;&gt;0,-12)</f>
        <v>200</v>
      </c>
      <c r="AM575" s="21">
        <f>SUM(AN575:AP575)</f>
        <v>576312.38576589758</v>
      </c>
      <c r="AN575" s="21">
        <f>(VLOOKUP(C575,$B$4:$AJ$7,30,FALSE)+VLOOKUP(C575,$B$8:$AJ$11,30,FALSE)*입력란!$P$4)*입력란!$P$25/100</f>
        <v>214444.23249186145</v>
      </c>
      <c r="AO575" s="21">
        <f>(VLOOKUP(C575,$B$4:$AJ$7,31,FALSE)+VLOOKUP(C575,$B$8:$AJ$11,31,FALSE)*입력란!$P$4)*입력란!$P$25/100</f>
        <v>361868.15327403613</v>
      </c>
      <c r="AP575" s="21"/>
      <c r="AQ575" s="22">
        <v>36</v>
      </c>
    </row>
    <row r="576" spans="2:43" ht="13.5" customHeight="1" x14ac:dyDescent="0.55000000000000004">
      <c r="B576" s="66">
        <v>561</v>
      </c>
      <c r="C576" s="29">
        <v>7</v>
      </c>
      <c r="D576" s="49" t="s">
        <v>253</v>
      </c>
      <c r="E576" s="27" t="s">
        <v>79</v>
      </c>
      <c r="F576" s="29"/>
      <c r="G576" s="29"/>
      <c r="H576" s="37">
        <f>I576/AJ576</f>
        <v>115744.3430547469</v>
      </c>
      <c r="I576" s="37">
        <f>SUM(J576:Q576)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4116701.7572089918</v>
      </c>
      <c r="J576" s="21">
        <f>S576*(1+IF($AK576+IF(입력란!$C$26=1,10,0)&gt;100,100,$AK576+IF(입력란!$C$26=1,10,0))/100*(($AL576+IF(입력란!$C$30=1,17,IF(입력란!$C$30=2,20,IF(입력란!$C$30=3,22,0)))+IF(G576="생명50%이하",50,0))/100-1))</f>
        <v>621935.68274247018</v>
      </c>
      <c r="K576" s="21">
        <f>T576*(1+IF($AK576+IF(입력란!$C$26=1,10,0)&gt;100,100,$AK576+IF(입력란!$C$26=1,10,0))/100*(($AL576+IF(입력란!$C$30=1,17,IF(입력란!$C$30=2,20,IF(입력란!$C$30=3,22,0)))+IF(G576="생명50%이하",50,0))/100-1))</f>
        <v>621935.68274247018</v>
      </c>
      <c r="L576" s="21">
        <f>U576*(1+IF($AK576+IF(입력란!$C$26=1,10,0)&gt;100,100,$AK576+IF(입력란!$C$26=1,10,0))/100*(($AL576+IF(입력란!$C$30=1,17,IF(입력란!$C$30=2,20,IF(입력란!$C$30=3,22,0)))+IF(G576="생명50%이하",50,0))/100-1))</f>
        <v>621935.68274247018</v>
      </c>
      <c r="M576" s="21">
        <f>V576*(1+IF($AK576+IF(입력란!$C$26=1,10,0)&gt;100,100,$AK576+IF(입력란!$C$26=1,10,0))/100*(($AL576+IF(입력란!$C$30=1,17,IF(입력란!$C$30=2,20,IF(입력란!$C$30=3,22,0)))+IF(G576="생명50%이하",50,0))/100-1))</f>
        <v>1049497.6449310002</v>
      </c>
      <c r="N576" s="21"/>
      <c r="O576" s="21"/>
      <c r="P576" s="21"/>
      <c r="Q576" s="20"/>
      <c r="R576" s="19">
        <f>SUM(S576:Z576)</f>
        <v>1915673.5925012995</v>
      </c>
      <c r="S576" s="21">
        <f>AN576*IF(MID(E576,3,1)="1",1/(0.25/트라이포드!$J$25+0.25/(트라이포드!$J$25*1.1)+0.25/(트라이포드!$J$25*1.2)+0.25/(트라이포드!$J$25*1.3)),트라이포드!$I$25)*IF(MID(E576,3,1)="3",트라이포드!$N$25,트라이포드!$M$25)*IF(MID(E576,5,1)="1",트라이포드!$P$25,트라이포드!$O$25)*IF(MID(E576,5,1)="2",트라이포드!$R$25,트라이포드!$Q$25)*(1+입력란!$P$19/100)</f>
        <v>408679.67127416719</v>
      </c>
      <c r="T576" s="21">
        <f>AN576*IF(MID(E576,3,1)="1",1/(0.25/트라이포드!$J$25+0.25/(트라이포드!$J$25*1.1)+0.25/(트라이포드!$J$25*1.2)+0.25/(트라이포드!$J$25*1.3)),트라이포드!$I$25)*IF(MID(E576,3,1)="3",트라이포드!$N$25,트라이포드!$M$25)*IF(MID(E576,5,1)="1",트라이포드!$P$25,트라이포드!$O$25)*IF(MID(E576,5,1)="2",트라이포드!$R$25,트라이포드!$Q$25)*(1+입력란!$P$19/100)</f>
        <v>408679.67127416719</v>
      </c>
      <c r="U576" s="21">
        <f>AN576*IF(MID(E576,3,1)="1",1/(0.25/트라이포드!$J$25+0.25/(트라이포드!$J$25*1.1)+0.25/(트라이포드!$J$25*1.2)+0.25/(트라이포드!$J$25*1.3)),트라이포드!$I$25)*IF(MID(E576,3,1)="3",트라이포드!$N$25,트라이포드!$M$25)*IF(MID(E576,5,1)="1",트라이포드!$P$25,트라이포드!$O$25)*IF(MID(E576,5,1)="2",트라이포드!$R$25,트라이포드!$Q$25)*(1+입력란!$P$19/100)</f>
        <v>408679.67127416719</v>
      </c>
      <c r="V576" s="21">
        <f>AO576*IF(MID(E576,3,1)="1",1/(0.25/트라이포드!$J$25+0.25/(트라이포드!$J$25*1.1)+0.25/(트라이포드!$J$25*1.2)+0.25/(트라이포드!$J$25*1.3)),트라이포드!$I$25)*IF(MID(E576,3,1)="3",트라이포드!$N$25,트라이포드!$M$25)*IF(MID(E576,5,1)="1",트라이포드!$P$25,트라이포드!$O$25)*IF(MID(E576,5,1)="1",0,1)*IF(MID(E576,5,1)="2",트라이포드!$R$25,트라이포드!$Q$25)*(1+입력란!$P$19/100)</f>
        <v>689634.57867879781</v>
      </c>
      <c r="W576" s="21"/>
      <c r="X576" s="21"/>
      <c r="Y576" s="21"/>
      <c r="Z576" s="20"/>
      <c r="AA576" s="21">
        <f>SUM(AB576:AI576)</f>
        <v>3831347.1850025989</v>
      </c>
      <c r="AB576" s="21">
        <f>S576*2</f>
        <v>817359.34254833439</v>
      </c>
      <c r="AC576" s="21">
        <f>T576*2</f>
        <v>817359.34254833439</v>
      </c>
      <c r="AD576" s="21">
        <f>U576*2</f>
        <v>817359.34254833439</v>
      </c>
      <c r="AE576" s="21">
        <f>V576*2</f>
        <v>1379269.1573575956</v>
      </c>
      <c r="AF576" s="21">
        <f>W576*2</f>
        <v>0</v>
      </c>
      <c r="AG576" s="21">
        <f>X576*2</f>
        <v>0</v>
      </c>
      <c r="AH576" s="21"/>
      <c r="AI576" s="20"/>
      <c r="AJ576" s="21">
        <f>AQ576*(1-입력란!$P$10/100)</f>
        <v>35.567196189119997</v>
      </c>
      <c r="AK57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6" s="21">
        <f>입력란!$P$24+IF(입력란!$C$18=1,10,IF(입력란!$C$18=2,25,IF(입력란!$C$18=3,50,0)))+IF(입력란!$C$23&lt;&gt;0,-12)</f>
        <v>200</v>
      </c>
      <c r="AM576" s="21">
        <f>SUM(AN576:AP576)</f>
        <v>576312.38576589758</v>
      </c>
      <c r="AN576" s="21">
        <f>(VLOOKUP(C576,$B$4:$AJ$7,30,FALSE)+VLOOKUP(C576,$B$8:$AJ$11,30,FALSE)*입력란!$P$4)*입력란!$P$25/100</f>
        <v>214444.23249186145</v>
      </c>
      <c r="AO576" s="21">
        <f>(VLOOKUP(C576,$B$4:$AJ$7,31,FALSE)+VLOOKUP(C576,$B$8:$AJ$11,31,FALSE)*입력란!$P$4)*입력란!$P$25/100</f>
        <v>361868.15327403613</v>
      </c>
      <c r="AP576" s="21"/>
      <c r="AQ576" s="22">
        <v>36</v>
      </c>
    </row>
    <row r="577" spans="2:43" ht="13.5" customHeight="1" x14ac:dyDescent="0.55000000000000004">
      <c r="B577" s="66">
        <v>562</v>
      </c>
      <c r="C577" s="29">
        <v>10</v>
      </c>
      <c r="D577" s="49" t="s">
        <v>253</v>
      </c>
      <c r="E577" s="27" t="s">
        <v>76</v>
      </c>
      <c r="F577" s="29"/>
      <c r="G577" s="29"/>
      <c r="H577" s="37">
        <f>I577/AJ577</f>
        <v>82706.639895341796</v>
      </c>
      <c r="I577" s="37">
        <f>SUM(J577:Q577)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2941643.2873005206</v>
      </c>
      <c r="J577" s="21">
        <f>S577*(1+IF($AK577+IF(입력란!$C$26=1,10,0)&gt;100,100,$AK577+IF(입력란!$C$26=1,10,0))/100*(($AL577+IF(입력란!$C$30=1,17,IF(입력란!$C$30=2,20,IF(입력란!$C$30=3,22,0)))+IF(G577="생명50%이하",50,0))/100-1))</f>
        <v>444412.12938286428</v>
      </c>
      <c r="K577" s="21">
        <f>T577*(1+IF($AK577+IF(입력란!$C$26=1,10,0)&gt;100,100,$AK577+IF(입력란!$C$26=1,10,0))/100*(($AL577+IF(입력란!$C$30=1,17,IF(입력란!$C$30=2,20,IF(입력란!$C$30=3,22,0)))+IF(G577="생명50%이하",50,0))/100-1))</f>
        <v>444412.12938286428</v>
      </c>
      <c r="L577" s="21">
        <f>U577*(1+IF($AK577+IF(입력란!$C$26=1,10,0)&gt;100,100,$AK577+IF(입력란!$C$26=1,10,0))/100*(($AL577+IF(입력란!$C$30=1,17,IF(입력란!$C$30=2,20,IF(입력란!$C$30=3,22,0)))+IF(G577="생명50%이하",50,0))/100-1))</f>
        <v>444412.12938286428</v>
      </c>
      <c r="M577" s="21">
        <f>V577*(1+IF($AK577+IF(입력란!$C$26=1,10,0)&gt;100,100,$AK577+IF(입력란!$C$26=1,10,0))/100*(($AL577+IF(입력란!$C$30=1,17,IF(입력란!$C$30=2,20,IF(입력란!$C$30=3,22,0)))+IF(G577="생명50%이하",50,0))/100-1))</f>
        <v>749932.85432752105</v>
      </c>
      <c r="N577" s="21"/>
      <c r="O577" s="21"/>
      <c r="P577" s="21"/>
      <c r="Q577" s="20"/>
      <c r="R577" s="19">
        <f>SUM(S577:Z577)</f>
        <v>1368869.7157067913</v>
      </c>
      <c r="S577" s="21">
        <f>AN577*IF(MID(E577,3,1)="1",1/(0.25/트라이포드!$J$25+0.25/(트라이포드!$J$25*1.1)+0.25/(트라이포드!$J$25*1.2)+0.25/(트라이포드!$J$25*1.3)),트라이포드!$I$25)*IF(MID(E577,3,1)="3",트라이포드!$N$25,트라이포드!$M$25)*IF(MID(E577,5,1)="1",트라이포드!$P$25,트라이포드!$O$25)*IF(MID(E577,5,1)="2",트라이포드!$R$25,트라이포드!$Q$25)*(1+입력란!$P$19/100)</f>
        <v>292027.30762378109</v>
      </c>
      <c r="T577" s="21">
        <f>AN577*IF(MID(E577,3,1)="1",1/(0.25/트라이포드!$J$25+0.25/(트라이포드!$J$25*1.1)+0.25/(트라이포드!$J$25*1.2)+0.25/(트라이포드!$J$25*1.3)),트라이포드!$I$25)*IF(MID(E577,3,1)="3",트라이포드!$N$25,트라이포드!$M$25)*IF(MID(E577,5,1)="1",트라이포드!$P$25,트라이포드!$O$25)*IF(MID(E577,5,1)="2",트라이포드!$R$25,트라이포드!$Q$25)*(1+입력란!$P$19/100)</f>
        <v>292027.30762378109</v>
      </c>
      <c r="U577" s="21">
        <f>AN577*IF(MID(E577,3,1)="1",1/(0.25/트라이포드!$J$25+0.25/(트라이포드!$J$25*1.1)+0.25/(트라이포드!$J$25*1.2)+0.25/(트라이포드!$J$25*1.3)),트라이포드!$I$25)*IF(MID(E577,3,1)="3",트라이포드!$N$25,트라이포드!$M$25)*IF(MID(E577,5,1)="1",트라이포드!$P$25,트라이포드!$O$25)*IF(MID(E577,5,1)="2",트라이포드!$R$25,트라이포드!$Q$25)*(1+입력란!$P$19/100)</f>
        <v>292027.30762378109</v>
      </c>
      <c r="V577" s="21">
        <f>AO577*IF(MID(E577,3,1)="1",1/(0.25/트라이포드!$J$25+0.25/(트라이포드!$J$25*1.1)+0.25/(트라이포드!$J$25*1.2)+0.25/(트라이포드!$J$25*1.3)),트라이포드!$I$25)*IF(MID(E577,3,1)="3",트라이포드!$N$25,트라이포드!$M$25)*IF(MID(E577,5,1)="1",트라이포드!$P$25,트라이포드!$O$25)*IF(MID(E577,5,1)="1",0,1)*IF(MID(E577,5,1)="2",트라이포드!$R$25,트라이포드!$Q$25)*(1+입력란!$P$19/100)</f>
        <v>492787.79283544788</v>
      </c>
      <c r="W577" s="21"/>
      <c r="X577" s="21"/>
      <c r="Y577" s="21"/>
      <c r="Z577" s="20"/>
      <c r="AA577" s="21">
        <f>SUM(AB577:AI577)</f>
        <v>2737739.4314135825</v>
      </c>
      <c r="AB577" s="21">
        <f>S577*2</f>
        <v>584054.61524756218</v>
      </c>
      <c r="AC577" s="21">
        <f>T577*2</f>
        <v>584054.61524756218</v>
      </c>
      <c r="AD577" s="21">
        <f>U577*2</f>
        <v>584054.61524756218</v>
      </c>
      <c r="AE577" s="21">
        <f>V577*2</f>
        <v>985575.58567089576</v>
      </c>
      <c r="AF577" s="21">
        <f>W577*2</f>
        <v>0</v>
      </c>
      <c r="AG577" s="21">
        <f>X577*2</f>
        <v>0</v>
      </c>
      <c r="AH577" s="21"/>
      <c r="AI577" s="20"/>
      <c r="AJ577" s="21">
        <f>AQ577*(1-입력란!$P$10/100)</f>
        <v>35.567196189119997</v>
      </c>
      <c r="AK57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7" s="21">
        <f>입력란!$P$24+IF(입력란!$C$18=1,10,IF(입력란!$C$18=2,25,IF(입력란!$C$18=3,50,0)))+IF(입력란!$C$23&lt;&gt;0,-12)</f>
        <v>200</v>
      </c>
      <c r="AM577" s="21">
        <f>SUM(AN577:AP577)</f>
        <v>576536.38576589758</v>
      </c>
      <c r="AN577" s="21">
        <f>(VLOOKUP(C577,$B$4:$AJ$7,30,FALSE)+VLOOKUP(C577,$B$8:$AJ$11,30,FALSE)*입력란!$P$4)*입력란!$P$25/100</f>
        <v>214527.43249186143</v>
      </c>
      <c r="AO577" s="21">
        <f>(VLOOKUP(C577,$B$4:$AJ$7,31,FALSE)+VLOOKUP(C577,$B$8:$AJ$11,31,FALSE)*입력란!$P$4)*입력란!$P$25/100</f>
        <v>362008.95327403612</v>
      </c>
      <c r="AP577" s="21"/>
      <c r="AQ577" s="22">
        <v>36</v>
      </c>
    </row>
    <row r="578" spans="2:43" ht="13.5" customHeight="1" x14ac:dyDescent="0.55000000000000004">
      <c r="B578" s="66">
        <v>563</v>
      </c>
      <c r="C578" s="29">
        <v>10</v>
      </c>
      <c r="D578" s="49" t="s">
        <v>253</v>
      </c>
      <c r="E578" s="27" t="s">
        <v>121</v>
      </c>
      <c r="F578" s="29"/>
      <c r="G578" s="29"/>
      <c r="H578" s="37">
        <f>I578/AJ578</f>
        <v>95278.626087061712</v>
      </c>
      <c r="I578" s="37">
        <f>SUM(J578:Q578)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3388793.5866683302</v>
      </c>
      <c r="J578" s="21">
        <f>S578*(1+IF($AK578+IF(입력란!$C$26=1,10,0)&gt;100,100,$AK578+IF(입력란!$C$26=1,10,0))/100*(($AL578+IF(입력란!$C$30=1,17,IF(입력란!$C$30=2,20,IF(입력란!$C$30=3,22,0)))+IF(G578="생명50%이하",50,0))/100-1))</f>
        <v>799941.8328891556</v>
      </c>
      <c r="K578" s="21">
        <f>T578*(1+IF($AK578+IF(입력란!$C$26=1,10,0)&gt;100,100,$AK578+IF(입력란!$C$26=1,10,0))/100*(($AL578+IF(입력란!$C$30=1,17,IF(입력란!$C$30=2,20,IF(입력란!$C$30=3,22,0)))+IF(G578="생명50%이하",50,0))/100-1))</f>
        <v>799941.8328891556</v>
      </c>
      <c r="L578" s="21">
        <f>U578*(1+IF($AK578+IF(입력란!$C$26=1,10,0)&gt;100,100,$AK578+IF(입력란!$C$26=1,10,0))/100*(($AL578+IF(입력란!$C$30=1,17,IF(입력란!$C$30=2,20,IF(입력란!$C$30=3,22,0)))+IF(G578="생명50%이하",50,0))/100-1))</f>
        <v>799941.8328891556</v>
      </c>
      <c r="M578" s="21">
        <f>V578*(1+IF($AK578+IF(입력란!$C$26=1,10,0)&gt;100,100,$AK578+IF(입력란!$C$26=1,10,0))/100*(($AL578+IF(입력란!$C$30=1,17,IF(입력란!$C$30=2,20,IF(입력란!$C$30=3,22,0)))+IF(G578="생명50%이하",50,0))/100-1))</f>
        <v>0</v>
      </c>
      <c r="N578" s="21"/>
      <c r="O578" s="21"/>
      <c r="P578" s="21"/>
      <c r="Q578" s="20"/>
      <c r="R578" s="19">
        <f>SUM(S578:Z578)</f>
        <v>1576947.4611684177</v>
      </c>
      <c r="S578" s="21">
        <f>AN578*IF(MID(E578,3,1)="1",1/(0.25/트라이포드!$J$25+0.25/(트라이포드!$J$25*1.1)+0.25/(트라이포드!$J$25*1.2)+0.25/(트라이포드!$J$25*1.3)),트라이포드!$I$25)*IF(MID(E578,3,1)="3",트라이포드!$N$25,트라이포드!$M$25)*IF(MID(E578,5,1)="1",트라이포드!$P$25,트라이포드!$O$25)*IF(MID(E578,5,1)="2",트라이포드!$R$25,트라이포드!$Q$25)*(1+입력란!$P$19/100)</f>
        <v>525649.1537228059</v>
      </c>
      <c r="T578" s="21">
        <f>AN578*IF(MID(E578,3,1)="1",1/(0.25/트라이포드!$J$25+0.25/(트라이포드!$J$25*1.1)+0.25/(트라이포드!$J$25*1.2)+0.25/(트라이포드!$J$25*1.3)),트라이포드!$I$25)*IF(MID(E578,3,1)="3",트라이포드!$N$25,트라이포드!$M$25)*IF(MID(E578,5,1)="1",트라이포드!$P$25,트라이포드!$O$25)*IF(MID(E578,5,1)="2",트라이포드!$R$25,트라이포드!$Q$25)*(1+입력란!$P$19/100)</f>
        <v>525649.1537228059</v>
      </c>
      <c r="U578" s="21">
        <f>AN578*IF(MID(E578,3,1)="1",1/(0.25/트라이포드!$J$25+0.25/(트라이포드!$J$25*1.1)+0.25/(트라이포드!$J$25*1.2)+0.25/(트라이포드!$J$25*1.3)),트라이포드!$I$25)*IF(MID(E578,3,1)="3",트라이포드!$N$25,트라이포드!$M$25)*IF(MID(E578,5,1)="1",트라이포드!$P$25,트라이포드!$O$25)*IF(MID(E578,5,1)="2",트라이포드!$R$25,트라이포드!$Q$25)*(1+입력란!$P$19/100)</f>
        <v>525649.1537228059</v>
      </c>
      <c r="V578" s="21">
        <f>AO578*IF(MID(E578,3,1)="1",1/(0.25/트라이포드!$J$25+0.25/(트라이포드!$J$25*1.1)+0.25/(트라이포드!$J$25*1.2)+0.25/(트라이포드!$J$25*1.3)),트라이포드!$I$25)*IF(MID(E578,3,1)="3",트라이포드!$N$25,트라이포드!$M$25)*IF(MID(E578,5,1)="1",트라이포드!$P$25,트라이포드!$O$25)*IF(MID(E578,5,1)="1",0,1)*IF(MID(E578,5,1)="2",트라이포드!$R$25,트라이포드!$Q$25)*(1+입력란!$P$19/100)</f>
        <v>0</v>
      </c>
      <c r="W578" s="21"/>
      <c r="X578" s="21"/>
      <c r="Y578" s="21"/>
      <c r="Z578" s="20"/>
      <c r="AA578" s="21">
        <f>SUM(AB578:AI578)</f>
        <v>3153894.9223368354</v>
      </c>
      <c r="AB578" s="21">
        <f>S578*2</f>
        <v>1051298.3074456118</v>
      </c>
      <c r="AC578" s="21">
        <f>T578*2</f>
        <v>1051298.3074456118</v>
      </c>
      <c r="AD578" s="21">
        <f>U578*2</f>
        <v>1051298.3074456118</v>
      </c>
      <c r="AE578" s="21">
        <f>V578*2</f>
        <v>0</v>
      </c>
      <c r="AF578" s="21">
        <f>W578*2</f>
        <v>0</v>
      </c>
      <c r="AG578" s="21">
        <f>X578*2</f>
        <v>0</v>
      </c>
      <c r="AH578" s="21"/>
      <c r="AI578" s="20"/>
      <c r="AJ578" s="21">
        <f>AQ578*(1-입력란!$P$10/100)</f>
        <v>35.567196189119997</v>
      </c>
      <c r="AK57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8" s="21">
        <f>입력란!$P$24+IF(입력란!$C$18=1,10,IF(입력란!$C$18=2,25,IF(입력란!$C$18=3,50,0)))+IF(입력란!$C$23&lt;&gt;0,-12)</f>
        <v>200</v>
      </c>
      <c r="AM578" s="21">
        <f>SUM(AN578:AP578)</f>
        <v>576536.38576589758</v>
      </c>
      <c r="AN578" s="21">
        <f>(VLOOKUP(C578,$B$4:$AJ$7,30,FALSE)+VLOOKUP(C578,$B$8:$AJ$11,30,FALSE)*입력란!$P$4)*입력란!$P$25/100</f>
        <v>214527.43249186143</v>
      </c>
      <c r="AO578" s="21">
        <f>(VLOOKUP(C578,$B$4:$AJ$7,31,FALSE)+VLOOKUP(C578,$B$8:$AJ$11,31,FALSE)*입력란!$P$4)*입력란!$P$25/100</f>
        <v>362008.95327403612</v>
      </c>
      <c r="AP578" s="21"/>
      <c r="AQ578" s="22">
        <v>36</v>
      </c>
    </row>
    <row r="579" spans="2:43" ht="13.5" customHeight="1" x14ac:dyDescent="0.55000000000000004">
      <c r="B579" s="66">
        <v>564</v>
      </c>
      <c r="C579" s="29">
        <v>10</v>
      </c>
      <c r="D579" s="49" t="s">
        <v>253</v>
      </c>
      <c r="E579" s="27" t="s">
        <v>122</v>
      </c>
      <c r="F579" s="29"/>
      <c r="G579" s="29"/>
      <c r="H579" s="37">
        <f>I579/AJ579</f>
        <v>144736.61981684811</v>
      </c>
      <c r="I579" s="37">
        <f>SUM(J579:Q579)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5147875.7527759103</v>
      </c>
      <c r="J579" s="21">
        <f>S579*(1+IF($AK579+IF(입력란!$C$26=1,10,0)&gt;100,100,$AK579+IF(입력란!$C$26=1,10,0))/100*(($AL579+IF(입력란!$C$30=1,17,IF(입력란!$C$30=2,20,IF(입력란!$C$30=3,22,0)))+IF(G579="생명50%이하",50,0))/100-1))</f>
        <v>777721.22642001242</v>
      </c>
      <c r="K579" s="21">
        <f>T579*(1+IF($AK579+IF(입력란!$C$26=1,10,0)&gt;100,100,$AK579+IF(입력란!$C$26=1,10,0))/100*(($AL579+IF(입력란!$C$30=1,17,IF(입력란!$C$30=2,20,IF(입력란!$C$30=3,22,0)))+IF(G579="생명50%이하",50,0))/100-1))</f>
        <v>777721.22642001242</v>
      </c>
      <c r="L579" s="21">
        <f>U579*(1+IF($AK579+IF(입력란!$C$26=1,10,0)&gt;100,100,$AK579+IF(입력란!$C$26=1,10,0))/100*(($AL579+IF(입력란!$C$30=1,17,IF(입력란!$C$30=2,20,IF(입력란!$C$30=3,22,0)))+IF(G579="생명50%이하",50,0))/100-1))</f>
        <v>777721.22642001242</v>
      </c>
      <c r="M579" s="21">
        <f>V579*(1+IF($AK579+IF(입력란!$C$26=1,10,0)&gt;100,100,$AK579+IF(입력란!$C$26=1,10,0))/100*(($AL579+IF(입력란!$C$30=1,17,IF(입력란!$C$30=2,20,IF(입력란!$C$30=3,22,0)))+IF(G579="생명50%이하",50,0))/100-1))</f>
        <v>1312382.4950731616</v>
      </c>
      <c r="N579" s="21"/>
      <c r="O579" s="21"/>
      <c r="P579" s="21"/>
      <c r="Q579" s="20"/>
      <c r="R579" s="19">
        <f>SUM(S579:Z579)</f>
        <v>2395522.0024868846</v>
      </c>
      <c r="S579" s="21">
        <f>AN579*IF(MID(E579,3,1)="1",1/(0.25/트라이포드!$J$25+0.25/(트라이포드!$J$25*1.1)+0.25/(트라이포드!$J$25*1.2)+0.25/(트라이포드!$J$25*1.3)),트라이포드!$I$25)*IF(MID(E579,3,1)="3",트라이포드!$N$25,트라이포드!$M$25)*IF(MID(E579,5,1)="1",트라이포드!$P$25,트라이포드!$O$25)*IF(MID(E579,5,1)="2",트라이포드!$R$25,트라이포드!$Q$25)*(1+입력란!$P$19/100)</f>
        <v>511047.78834161686</v>
      </c>
      <c r="T579" s="21">
        <f>AN579*IF(MID(E579,3,1)="1",1/(0.25/트라이포드!$J$25+0.25/(트라이포드!$J$25*1.1)+0.25/(트라이포드!$J$25*1.2)+0.25/(트라이포드!$J$25*1.3)),트라이포드!$I$25)*IF(MID(E579,3,1)="3",트라이포드!$N$25,트라이포드!$M$25)*IF(MID(E579,5,1)="1",트라이포드!$P$25,트라이포드!$O$25)*IF(MID(E579,5,1)="2",트라이포드!$R$25,트라이포드!$Q$25)*(1+입력란!$P$19/100)</f>
        <v>511047.78834161686</v>
      </c>
      <c r="U579" s="21">
        <f>AN579*IF(MID(E579,3,1)="1",1/(0.25/트라이포드!$J$25+0.25/(트라이포드!$J$25*1.1)+0.25/(트라이포드!$J$25*1.2)+0.25/(트라이포드!$J$25*1.3)),트라이포드!$I$25)*IF(MID(E579,3,1)="3",트라이포드!$N$25,트라이포드!$M$25)*IF(MID(E579,5,1)="1",트라이포드!$P$25,트라이포드!$O$25)*IF(MID(E579,5,1)="2",트라이포드!$R$25,트라이포드!$Q$25)*(1+입력란!$P$19/100)</f>
        <v>511047.78834161686</v>
      </c>
      <c r="V579" s="21">
        <f>AO579*IF(MID(E579,3,1)="1",1/(0.25/트라이포드!$J$25+0.25/(트라이포드!$J$25*1.1)+0.25/(트라이포드!$J$25*1.2)+0.25/(트라이포드!$J$25*1.3)),트라이포드!$I$25)*IF(MID(E579,3,1)="3",트라이포드!$N$25,트라이포드!$M$25)*IF(MID(E579,5,1)="1",트라이포드!$P$25,트라이포드!$O$25)*IF(MID(E579,5,1)="1",0,1)*IF(MID(E579,5,1)="2",트라이포드!$R$25,트라이포드!$Q$25)*(1+입력란!$P$19/100)</f>
        <v>862378.63746203366</v>
      </c>
      <c r="W579" s="21"/>
      <c r="X579" s="21"/>
      <c r="Y579" s="21"/>
      <c r="Z579" s="20"/>
      <c r="AA579" s="21">
        <f>SUM(AB579:AI579)</f>
        <v>4791044.0049737692</v>
      </c>
      <c r="AB579" s="21">
        <f>S579*2</f>
        <v>1022095.5766832337</v>
      </c>
      <c r="AC579" s="21">
        <f>T579*2</f>
        <v>1022095.5766832337</v>
      </c>
      <c r="AD579" s="21">
        <f>U579*2</f>
        <v>1022095.5766832337</v>
      </c>
      <c r="AE579" s="21">
        <f>V579*2</f>
        <v>1724757.2749240673</v>
      </c>
      <c r="AF579" s="21">
        <f>W579*2</f>
        <v>0</v>
      </c>
      <c r="AG579" s="21">
        <f>X579*2</f>
        <v>0</v>
      </c>
      <c r="AH579" s="21"/>
      <c r="AI579" s="20"/>
      <c r="AJ579" s="21">
        <f>AQ579*(1-입력란!$P$10/100)</f>
        <v>35.567196189119997</v>
      </c>
      <c r="AK57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79" s="21">
        <f>입력란!$P$24+IF(입력란!$C$18=1,10,IF(입력란!$C$18=2,25,IF(입력란!$C$18=3,50,0)))+IF(입력란!$C$23&lt;&gt;0,-12)</f>
        <v>200</v>
      </c>
      <c r="AM579" s="21">
        <f>SUM(AN579:AP579)</f>
        <v>576536.38576589758</v>
      </c>
      <c r="AN579" s="21">
        <f>(VLOOKUP(C579,$B$4:$AJ$7,30,FALSE)+VLOOKUP(C579,$B$8:$AJ$11,30,FALSE)*입력란!$P$4)*입력란!$P$25/100</f>
        <v>214527.43249186143</v>
      </c>
      <c r="AO579" s="21">
        <f>(VLOOKUP(C579,$B$4:$AJ$7,31,FALSE)+VLOOKUP(C579,$B$8:$AJ$11,31,FALSE)*입력란!$P$4)*입력란!$P$25/100</f>
        <v>362008.95327403612</v>
      </c>
      <c r="AP579" s="21"/>
      <c r="AQ579" s="22">
        <v>36</v>
      </c>
    </row>
    <row r="580" spans="2:43" ht="13.5" customHeight="1" x14ac:dyDescent="0.55000000000000004">
      <c r="B580" s="66">
        <v>565</v>
      </c>
      <c r="C580" s="29">
        <v>10</v>
      </c>
      <c r="D580" s="49" t="s">
        <v>253</v>
      </c>
      <c r="E580" s="27" t="s">
        <v>145</v>
      </c>
      <c r="F580" s="29"/>
      <c r="G580" s="29"/>
      <c r="H580" s="37">
        <f>I580/AJ580</f>
        <v>135660.57282226841</v>
      </c>
      <c r="I580" s="37">
        <f>SUM(J580:Q580)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4825066.2086980212</v>
      </c>
      <c r="J580" s="21">
        <f>S580*(1+IF($AK580+IF(입력란!$C$26=1,10,0)&gt;100,100,$AK580+IF(입력란!$C$26=1,10,0))/100*(($AL580+IF(입력란!$C$30=1,17,IF(입력란!$C$30=2,20,IF(입력란!$C$30=3,22,0)))+IF(G580="생명50%이하",50,0))/100-1))</f>
        <v>1138981.2356768928</v>
      </c>
      <c r="K580" s="21">
        <f>T580*(1+IF($AK580+IF(입력란!$C$26=1,10,0)&gt;100,100,$AK580+IF(입력란!$C$26=1,10,0))/100*(($AL580+IF(입력란!$C$30=1,17,IF(입력란!$C$30=2,20,IF(입력란!$C$30=3,22,0)))+IF(G580="생명50%이하",50,0))/100-1))</f>
        <v>1138981.2356768928</v>
      </c>
      <c r="L580" s="21">
        <f>U580*(1+IF($AK580+IF(입력란!$C$26=1,10,0)&gt;100,100,$AK580+IF(입력란!$C$26=1,10,0))/100*(($AL580+IF(입력란!$C$30=1,17,IF(입력란!$C$30=2,20,IF(입력란!$C$30=3,22,0)))+IF(G580="생명50%이하",50,0))/100-1))</f>
        <v>1138981.2356768928</v>
      </c>
      <c r="M580" s="21">
        <f>V580*(1+IF($AK580+IF(입력란!$C$26=1,10,0)&gt;100,100,$AK580+IF(입력란!$C$26=1,10,0))/100*(($AL580+IF(입력란!$C$30=1,17,IF(입력란!$C$30=2,20,IF(입력란!$C$30=3,22,0)))+IF(G580="생명50%이하",50,0))/100-1))</f>
        <v>0</v>
      </c>
      <c r="N580" s="21"/>
      <c r="O580" s="21"/>
      <c r="P580" s="21"/>
      <c r="Q580" s="20"/>
      <c r="R580" s="19">
        <f>SUM(S580:Z580)</f>
        <v>2245305.2135454742</v>
      </c>
      <c r="S580" s="21">
        <f>AN580*IF(MID(E580,3,1)="1",1/(0.25/트라이포드!$J$25+0.25/(트라이포드!$J$25*1.1)+0.25/(트라이포드!$J$25*1.2)+0.25/(트라이포드!$J$25*1.3)),트라이포드!$I$25)*IF(MID(E580,3,1)="3",트라이포드!$N$25,트라이포드!$M$25)*IF(MID(E580,5,1)="1",트라이포드!$P$25,트라이포드!$O$25)*IF(MID(E580,5,1)="2",트라이포드!$R$25,트라이포드!$Q$25)*(1+입력란!$P$19/100)</f>
        <v>748435.07118182466</v>
      </c>
      <c r="T580" s="21">
        <f>AN580*IF(MID(E580,3,1)="1",1/(0.25/트라이포드!$J$25+0.25/(트라이포드!$J$25*1.1)+0.25/(트라이포드!$J$25*1.2)+0.25/(트라이포드!$J$25*1.3)),트라이포드!$I$25)*IF(MID(E580,3,1)="3",트라이포드!$N$25,트라이포드!$M$25)*IF(MID(E580,5,1)="1",트라이포드!$P$25,트라이포드!$O$25)*IF(MID(E580,5,1)="2",트라이포드!$R$25,트라이포드!$Q$25)*(1+입력란!$P$19/100)</f>
        <v>748435.07118182466</v>
      </c>
      <c r="U580" s="21">
        <f>AN580*IF(MID(E580,3,1)="1",1/(0.25/트라이포드!$J$25+0.25/(트라이포드!$J$25*1.1)+0.25/(트라이포드!$J$25*1.2)+0.25/(트라이포드!$J$25*1.3)),트라이포드!$I$25)*IF(MID(E580,3,1)="3",트라이포드!$N$25,트라이포드!$M$25)*IF(MID(E580,5,1)="1",트라이포드!$P$25,트라이포드!$O$25)*IF(MID(E580,5,1)="2",트라이포드!$R$25,트라이포드!$Q$25)*(1+입력란!$P$19/100)</f>
        <v>748435.07118182466</v>
      </c>
      <c r="V580" s="21">
        <f>AO580*IF(MID(E580,3,1)="1",1/(0.25/트라이포드!$J$25+0.25/(트라이포드!$J$25*1.1)+0.25/(트라이포드!$J$25*1.2)+0.25/(트라이포드!$J$25*1.3)),트라이포드!$I$25)*IF(MID(E580,3,1)="3",트라이포드!$N$25,트라이포드!$M$25)*IF(MID(E580,5,1)="1",트라이포드!$P$25,트라이포드!$O$25)*IF(MID(E580,5,1)="1",0,1)*IF(MID(E580,5,1)="2",트라이포드!$R$25,트라이포드!$Q$25)*(1+입력란!$P$19/100)</f>
        <v>0</v>
      </c>
      <c r="W580" s="21"/>
      <c r="X580" s="21"/>
      <c r="Y580" s="21"/>
      <c r="Z580" s="20"/>
      <c r="AA580" s="21">
        <f>SUM(AB580:AI580)</f>
        <v>4490610.4270909484</v>
      </c>
      <c r="AB580" s="21">
        <f>S580*2</f>
        <v>1496870.1423636493</v>
      </c>
      <c r="AC580" s="21">
        <f>T580*2</f>
        <v>1496870.1423636493</v>
      </c>
      <c r="AD580" s="21">
        <f>U580*2</f>
        <v>1496870.1423636493</v>
      </c>
      <c r="AE580" s="21">
        <f>V580*2</f>
        <v>0</v>
      </c>
      <c r="AF580" s="21">
        <f>W580*2</f>
        <v>0</v>
      </c>
      <c r="AG580" s="21">
        <f>X580*2</f>
        <v>0</v>
      </c>
      <c r="AH580" s="21"/>
      <c r="AI580" s="20"/>
      <c r="AJ580" s="21">
        <f>AQ580*(1-입력란!$P$10/100)</f>
        <v>35.567196189119997</v>
      </c>
      <c r="AK58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0" s="21">
        <f>입력란!$P$24+IF(입력란!$C$18=1,10,IF(입력란!$C$18=2,25,IF(입력란!$C$18=3,50,0)))+IF(입력란!$C$23&lt;&gt;0,-12)</f>
        <v>200</v>
      </c>
      <c r="AM580" s="21">
        <f>SUM(AN580:AP580)</f>
        <v>576536.38576589758</v>
      </c>
      <c r="AN580" s="21">
        <f>(VLOOKUP(C580,$B$4:$AJ$7,30,FALSE)+VLOOKUP(C580,$B$8:$AJ$11,30,FALSE)*입력란!$P$4)*입력란!$P$25/100</f>
        <v>214527.43249186143</v>
      </c>
      <c r="AO580" s="21">
        <f>(VLOOKUP(C580,$B$4:$AJ$7,31,FALSE)+VLOOKUP(C580,$B$8:$AJ$11,31,FALSE)*입력란!$P$4)*입력란!$P$25/100</f>
        <v>362008.95327403612</v>
      </c>
      <c r="AP580" s="21"/>
      <c r="AQ580" s="22">
        <v>36</v>
      </c>
    </row>
    <row r="581" spans="2:43" ht="13.5" customHeight="1" x14ac:dyDescent="0.55000000000000004">
      <c r="B581" s="66">
        <v>566</v>
      </c>
      <c r="C581" s="29">
        <v>10</v>
      </c>
      <c r="D581" s="49" t="s">
        <v>53</v>
      </c>
      <c r="E581" s="27" t="s">
        <v>146</v>
      </c>
      <c r="F581" s="29"/>
      <c r="G581" s="29"/>
      <c r="H581" s="37">
        <f>I581/AJ581</f>
        <v>206080.35148167229</v>
      </c>
      <c r="I581" s="37">
        <f>SUM(J581:Q581)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7329700.2918714443</v>
      </c>
      <c r="J581" s="21">
        <f>S581*(1+IF($AK581+IF(입력란!$C$26=1,10,0)&gt;100,100,$AK581+IF(입력란!$C$26=1,10,0))/100*(($AL581+IF(입력란!$C$30=1,17,IF(입력란!$C$30=2,20,IF(입력란!$C$30=3,22,0)))+IF(G581="생명50%이하",50,0))/100-1))</f>
        <v>1107342.8680192016</v>
      </c>
      <c r="K581" s="21">
        <f>T581*(1+IF($AK581+IF(입력란!$C$26=1,10,0)&gt;100,100,$AK581+IF(입력란!$C$26=1,10,0))/100*(($AL581+IF(입력란!$C$30=1,17,IF(입력란!$C$30=2,20,IF(입력란!$C$30=3,22,0)))+IF(G581="생명50%이하",50,0))/100-1))</f>
        <v>1107342.8680192016</v>
      </c>
      <c r="L581" s="21">
        <f>U581*(1+IF($AK581+IF(입력란!$C$26=1,10,0)&gt;100,100,$AK581+IF(입력란!$C$26=1,10,0))/100*(($AL581+IF(입력란!$C$30=1,17,IF(입력란!$C$30=2,20,IF(입력란!$C$30=3,22,0)))+IF(G581="생명50%이하",50,0))/100-1))</f>
        <v>1107342.8680192016</v>
      </c>
      <c r="M581" s="21">
        <f>V581*(1+IF($AK581+IF(입력란!$C$26=1,10,0)&gt;100,100,$AK581+IF(입력란!$C$26=1,10,0))/100*(($AL581+IF(입력란!$C$30=1,17,IF(입력란!$C$30=2,20,IF(입력란!$C$30=3,22,0)))+IF(G581="생명50%이하",50,0))/100-1))</f>
        <v>1868609.6594304231</v>
      </c>
      <c r="N581" s="21"/>
      <c r="O581" s="21"/>
      <c r="P581" s="21"/>
      <c r="Q581" s="20"/>
      <c r="R581" s="19">
        <f>SUM(S581:Z581)</f>
        <v>3410816.2597639351</v>
      </c>
      <c r="S581" s="21">
        <f>AN581*IF(MID(E581,3,1)="1",1/(0.25/트라이포드!$J$25+0.25/(트라이포드!$J$25*1.1)+0.25/(트라이포드!$J$25*1.2)+0.25/(트라이포드!$J$25*1.3)),트라이포드!$I$25)*IF(MID(E581,3,1)="3",트라이포드!$N$25,트라이포드!$M$25)*IF(MID(E581,5,1)="1",트라이포드!$P$25,트라이포드!$O$25)*IF(MID(E581,5,1)="2",트라이포드!$R$25,트라이포드!$Q$25)*(1+입력란!$P$19/100)</f>
        <v>727645.20809344074</v>
      </c>
      <c r="T581" s="21">
        <f>AN581*IF(MID(E581,3,1)="1",1/(0.25/트라이포드!$J$25+0.25/(트라이포드!$J$25*1.1)+0.25/(트라이포드!$J$25*1.2)+0.25/(트라이포드!$J$25*1.3)),트라이포드!$I$25)*IF(MID(E581,3,1)="3",트라이포드!$N$25,트라이포드!$M$25)*IF(MID(E581,5,1)="1",트라이포드!$P$25,트라이포드!$O$25)*IF(MID(E581,5,1)="2",트라이포드!$R$25,트라이포드!$Q$25)*(1+입력란!$P$19/100)</f>
        <v>727645.20809344074</v>
      </c>
      <c r="U581" s="21">
        <f>AN581*IF(MID(E581,3,1)="1",1/(0.25/트라이포드!$J$25+0.25/(트라이포드!$J$25*1.1)+0.25/(트라이포드!$J$25*1.2)+0.25/(트라이포드!$J$25*1.3)),트라이포드!$I$25)*IF(MID(E581,3,1)="3",트라이포드!$N$25,트라이포드!$M$25)*IF(MID(E581,5,1)="1",트라이포드!$P$25,트라이포드!$O$25)*IF(MID(E581,5,1)="2",트라이포드!$R$25,트라이포드!$Q$25)*(1+입력란!$P$19/100)</f>
        <v>727645.20809344074</v>
      </c>
      <c r="V581" s="21">
        <f>AO581*IF(MID(E581,3,1)="1",1/(0.25/트라이포드!$J$25+0.25/(트라이포드!$J$25*1.1)+0.25/(트라이포드!$J$25*1.2)+0.25/(트라이포드!$J$25*1.3)),트라이포드!$I$25)*IF(MID(E581,3,1)="3",트라이포드!$N$25,트라이포드!$M$25)*IF(MID(E581,5,1)="1",트라이포드!$P$25,트라이포드!$O$25)*IF(MID(E581,5,1)="1",0,1)*IF(MID(E581,5,1)="2",트라이포드!$R$25,트라이포드!$Q$25)*(1+입력란!$P$19/100)</f>
        <v>1227880.6354836128</v>
      </c>
      <c r="W581" s="21"/>
      <c r="X581" s="21"/>
      <c r="Y581" s="21"/>
      <c r="Z581" s="20"/>
      <c r="AA581" s="21">
        <f>SUM(AB581:AI581)</f>
        <v>6821632.5195278702</v>
      </c>
      <c r="AB581" s="21">
        <f>S581*2</f>
        <v>1455290.4161868815</v>
      </c>
      <c r="AC581" s="21">
        <f>T581*2</f>
        <v>1455290.4161868815</v>
      </c>
      <c r="AD581" s="21">
        <f>U581*2</f>
        <v>1455290.4161868815</v>
      </c>
      <c r="AE581" s="21">
        <f>V581*2</f>
        <v>2455761.2709672255</v>
      </c>
      <c r="AF581" s="21">
        <f>W581*2</f>
        <v>0</v>
      </c>
      <c r="AG581" s="21">
        <f>X581*2</f>
        <v>0</v>
      </c>
      <c r="AH581" s="21"/>
      <c r="AI581" s="20"/>
      <c r="AJ581" s="21">
        <f>AQ581*(1-입력란!$P$10/100)</f>
        <v>35.567196189119997</v>
      </c>
      <c r="AK58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1" s="21">
        <f>입력란!$P$24+IF(입력란!$C$18=1,10,IF(입력란!$C$18=2,25,IF(입력란!$C$18=3,50,0)))+IF(입력란!$C$23&lt;&gt;0,-12)</f>
        <v>200</v>
      </c>
      <c r="AM581" s="21">
        <f>SUM(AN581:AP581)</f>
        <v>576536.38576589758</v>
      </c>
      <c r="AN581" s="21">
        <f>(VLOOKUP(C581,$B$4:$AJ$7,30,FALSE)+VLOOKUP(C581,$B$8:$AJ$11,30,FALSE)*입력란!$P$4)*입력란!$P$25/100</f>
        <v>214527.43249186143</v>
      </c>
      <c r="AO581" s="21">
        <f>(VLOOKUP(C581,$B$4:$AJ$7,31,FALSE)+VLOOKUP(C581,$B$8:$AJ$11,31,FALSE)*입력란!$P$4)*입력란!$P$25/100</f>
        <v>362008.95327403612</v>
      </c>
      <c r="AP581" s="21"/>
      <c r="AQ581" s="22">
        <v>36</v>
      </c>
    </row>
    <row r="582" spans="2:43" ht="13.5" customHeight="1" x14ac:dyDescent="0.55000000000000004">
      <c r="B582" s="66">
        <v>567</v>
      </c>
      <c r="C582" s="29">
        <v>10</v>
      </c>
      <c r="D582" s="49" t="s">
        <v>53</v>
      </c>
      <c r="E582" s="27" t="s">
        <v>126</v>
      </c>
      <c r="F582" s="29"/>
      <c r="G582" s="29"/>
      <c r="H582" s="37">
        <f>I582/AJ582</f>
        <v>133390.07652188643</v>
      </c>
      <c r="I582" s="37">
        <f>SUM(J582:Q582)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4744311.0213356633</v>
      </c>
      <c r="J582" s="21">
        <f>S582*(1+IF($AK582+IF(입력란!$C$26=1,10,0)&gt;100,100,$AK582+IF(입력란!$C$26=1,10,0))/100*(($AL582+IF(입력란!$C$30=1,17,IF(입력란!$C$30=2,20,IF(입력란!$C$30=3,22,0)))+IF(G582="생명50%이하",50,0))/100-1))</f>
        <v>1119918.5660448179</v>
      </c>
      <c r="K582" s="21">
        <f>T582*(1+IF($AK582+IF(입력란!$C$26=1,10,0)&gt;100,100,$AK582+IF(입력란!$C$26=1,10,0))/100*(($AL582+IF(입력란!$C$30=1,17,IF(입력란!$C$30=2,20,IF(입력란!$C$30=3,22,0)))+IF(G582="생명50%이하",50,0))/100-1))</f>
        <v>1119918.5660448179</v>
      </c>
      <c r="L582" s="21">
        <f>U582*(1+IF($AK582+IF(입력란!$C$26=1,10,0)&gt;100,100,$AK582+IF(입력란!$C$26=1,10,0))/100*(($AL582+IF(입력란!$C$30=1,17,IF(입력란!$C$30=2,20,IF(입력란!$C$30=3,22,0)))+IF(G582="생명50%이하",50,0))/100-1))</f>
        <v>1119918.5660448179</v>
      </c>
      <c r="M582" s="21">
        <f>V582*(1+IF($AK582+IF(입력란!$C$26=1,10,0)&gt;100,100,$AK582+IF(입력란!$C$26=1,10,0))/100*(($AL582+IF(입력란!$C$30=1,17,IF(입력란!$C$30=2,20,IF(입력란!$C$30=3,22,0)))+IF(G582="생명50%이하",50,0))/100-1))</f>
        <v>0</v>
      </c>
      <c r="N582" s="21"/>
      <c r="O582" s="21"/>
      <c r="P582" s="21"/>
      <c r="Q582" s="20"/>
      <c r="R582" s="19">
        <f>SUM(S582:Z582)</f>
        <v>2207726.4456357844</v>
      </c>
      <c r="S582" s="21">
        <f>AN582*IF(MID(E582,3,1)="1",1/(0.25/트라이포드!$J$25+0.25/(트라이포드!$J$25*1.1)+0.25/(트라이포드!$J$25*1.2)+0.25/(트라이포드!$J$25*1.3)),트라이포드!$I$25)*IF(MID(E582,3,1)="3",트라이포드!$N$25,트라이포드!$M$25)*IF(MID(E582,5,1)="1",트라이포드!$P$25,트라이포드!$O$25)*IF(MID(E582,5,1)="2",트라이포드!$R$25,트라이포드!$Q$25)*(1+입력란!$P$19/100)</f>
        <v>735908.81521192822</v>
      </c>
      <c r="T582" s="21">
        <f>AN582*IF(MID(E582,3,1)="1",1/(0.25/트라이포드!$J$25+0.25/(트라이포드!$J$25*1.1)+0.25/(트라이포드!$J$25*1.2)+0.25/(트라이포드!$J$25*1.3)),트라이포드!$I$25)*IF(MID(E582,3,1)="3",트라이포드!$N$25,트라이포드!$M$25)*IF(MID(E582,5,1)="1",트라이포드!$P$25,트라이포드!$O$25)*IF(MID(E582,5,1)="2",트라이포드!$R$25,트라이포드!$Q$25)*(1+입력란!$P$19/100)</f>
        <v>735908.81521192822</v>
      </c>
      <c r="U582" s="21">
        <f>AN582*IF(MID(E582,3,1)="1",1/(0.25/트라이포드!$J$25+0.25/(트라이포드!$J$25*1.1)+0.25/(트라이포드!$J$25*1.2)+0.25/(트라이포드!$J$25*1.3)),트라이포드!$I$25)*IF(MID(E582,3,1)="3",트라이포드!$N$25,트라이포드!$M$25)*IF(MID(E582,5,1)="1",트라이포드!$P$25,트라이포드!$O$25)*IF(MID(E582,5,1)="2",트라이포드!$R$25,트라이포드!$Q$25)*(1+입력란!$P$19/100)</f>
        <v>735908.81521192822</v>
      </c>
      <c r="V582" s="21">
        <f>AO582*IF(MID(E582,3,1)="1",1/(0.25/트라이포드!$J$25+0.25/(트라이포드!$J$25*1.1)+0.25/(트라이포드!$J$25*1.2)+0.25/(트라이포드!$J$25*1.3)),트라이포드!$I$25)*IF(MID(E582,3,1)="3",트라이포드!$N$25,트라이포드!$M$25)*IF(MID(E582,5,1)="1",트라이포드!$P$25,트라이포드!$O$25)*IF(MID(E582,5,1)="1",0,1)*IF(MID(E582,5,1)="2",트라이포드!$R$25,트라이포드!$Q$25)*(1+입력란!$P$19/100)</f>
        <v>0</v>
      </c>
      <c r="W582" s="21"/>
      <c r="X582" s="21"/>
      <c r="Y582" s="21"/>
      <c r="Z582" s="20"/>
      <c r="AA582" s="21">
        <f>SUM(AB582:AI582)</f>
        <v>4415452.8912715688</v>
      </c>
      <c r="AB582" s="21">
        <f>S582*2</f>
        <v>1471817.6304238564</v>
      </c>
      <c r="AC582" s="21">
        <f>T582*2</f>
        <v>1471817.6304238564</v>
      </c>
      <c r="AD582" s="21">
        <f>U582*2</f>
        <v>1471817.6304238564</v>
      </c>
      <c r="AE582" s="21">
        <f>V582*2</f>
        <v>0</v>
      </c>
      <c r="AF582" s="21">
        <f>W582*2</f>
        <v>0</v>
      </c>
      <c r="AG582" s="21">
        <f>X582*2</f>
        <v>0</v>
      </c>
      <c r="AH582" s="21"/>
      <c r="AI582" s="20"/>
      <c r="AJ582" s="21">
        <f>AQ582*(1-입력란!$P$10/100)</f>
        <v>35.567196189119997</v>
      </c>
      <c r="AK58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2" s="21">
        <f>입력란!$P$24+IF(입력란!$C$18=1,10,IF(입력란!$C$18=2,25,IF(입력란!$C$18=3,50,0)))+IF(입력란!$C$23&lt;&gt;0,-12)</f>
        <v>200</v>
      </c>
      <c r="AM582" s="21">
        <f>SUM(AN582:AP582)</f>
        <v>576536.38576589758</v>
      </c>
      <c r="AN582" s="21">
        <f>(VLOOKUP(C582,$B$4:$AJ$7,30,FALSE)+VLOOKUP(C582,$B$8:$AJ$11,30,FALSE)*입력란!$P$4)*입력란!$P$25/100</f>
        <v>214527.43249186143</v>
      </c>
      <c r="AO582" s="21">
        <f>(VLOOKUP(C582,$B$4:$AJ$7,31,FALSE)+VLOOKUP(C582,$B$8:$AJ$11,31,FALSE)*입력란!$P$4)*입력란!$P$25/100</f>
        <v>362008.95327403612</v>
      </c>
      <c r="AP582" s="21"/>
      <c r="AQ582" s="22">
        <v>36</v>
      </c>
    </row>
    <row r="583" spans="2:43" ht="13.5" customHeight="1" x14ac:dyDescent="0.55000000000000004">
      <c r="B583" s="66">
        <v>568</v>
      </c>
      <c r="C583" s="29">
        <v>10</v>
      </c>
      <c r="D583" s="49" t="s">
        <v>53</v>
      </c>
      <c r="E583" s="27" t="s">
        <v>127</v>
      </c>
      <c r="F583" s="29"/>
      <c r="G583" s="29"/>
      <c r="H583" s="37">
        <f>I583/AJ583</f>
        <v>202631.26774358738</v>
      </c>
      <c r="I583" s="37">
        <f>SUM(J583:Q583)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7207026.0538862748</v>
      </c>
      <c r="J583" s="21">
        <f>S583*(1+IF($AK583+IF(입력란!$C$26=1,10,0)&gt;100,100,$AK583+IF(입력란!$C$26=1,10,0))/100*(($AL583+IF(입력란!$C$30=1,17,IF(입력란!$C$30=2,20,IF(입력란!$C$30=3,22,0)))+IF(G583="생명50%이하",50,0))/100-1))</f>
        <v>1088809.7169880173</v>
      </c>
      <c r="K583" s="21">
        <f>T583*(1+IF($AK583+IF(입력란!$C$26=1,10,0)&gt;100,100,$AK583+IF(입력란!$C$26=1,10,0))/100*(($AL583+IF(입력란!$C$30=1,17,IF(입력란!$C$30=2,20,IF(입력란!$C$30=3,22,0)))+IF(G583="생명50%이하",50,0))/100-1))</f>
        <v>1088809.7169880173</v>
      </c>
      <c r="L583" s="21">
        <f>U583*(1+IF($AK583+IF(입력란!$C$26=1,10,0)&gt;100,100,$AK583+IF(입력란!$C$26=1,10,0))/100*(($AL583+IF(입력란!$C$30=1,17,IF(입력란!$C$30=2,20,IF(입력란!$C$30=3,22,0)))+IF(G583="생명50%이하",50,0))/100-1))</f>
        <v>1088809.7169880173</v>
      </c>
      <c r="M583" s="21">
        <f>V583*(1+IF($AK583+IF(입력란!$C$26=1,10,0)&gt;100,100,$AK583+IF(입력란!$C$26=1,10,0))/100*(($AL583+IF(입력란!$C$30=1,17,IF(입력란!$C$30=2,20,IF(입력란!$C$30=3,22,0)))+IF(G583="생명50%이하",50,0))/100-1))</f>
        <v>1837335.4931024262</v>
      </c>
      <c r="N583" s="21"/>
      <c r="O583" s="21"/>
      <c r="P583" s="21"/>
      <c r="Q583" s="20"/>
      <c r="R583" s="19">
        <f>SUM(S583:Z583)</f>
        <v>3353730.8034816375</v>
      </c>
      <c r="S583" s="21">
        <f>AN583*IF(MID(E583,3,1)="1",1/(0.25/트라이포드!$J$25+0.25/(트라이포드!$J$25*1.1)+0.25/(트라이포드!$J$25*1.2)+0.25/(트라이포드!$J$25*1.3)),트라이포드!$I$25)*IF(MID(E583,3,1)="3",트라이포드!$N$25,트라이포드!$M$25)*IF(MID(E583,5,1)="1",트라이포드!$P$25,트라이포드!$O$25)*IF(MID(E583,5,1)="2",트라이포드!$R$25,트라이포드!$Q$25)*(1+입력란!$P$19/100)</f>
        <v>715466.90367826354</v>
      </c>
      <c r="T583" s="21">
        <f>AN583*IF(MID(E583,3,1)="1",1/(0.25/트라이포드!$J$25+0.25/(트라이포드!$J$25*1.1)+0.25/(트라이포드!$J$25*1.2)+0.25/(트라이포드!$J$25*1.3)),트라이포드!$I$25)*IF(MID(E583,3,1)="3",트라이포드!$N$25,트라이포드!$M$25)*IF(MID(E583,5,1)="1",트라이포드!$P$25,트라이포드!$O$25)*IF(MID(E583,5,1)="2",트라이포드!$R$25,트라이포드!$Q$25)*(1+입력란!$P$19/100)</f>
        <v>715466.90367826354</v>
      </c>
      <c r="U583" s="21">
        <f>AN583*IF(MID(E583,3,1)="1",1/(0.25/트라이포드!$J$25+0.25/(트라이포드!$J$25*1.1)+0.25/(트라이포드!$J$25*1.2)+0.25/(트라이포드!$J$25*1.3)),트라이포드!$I$25)*IF(MID(E583,3,1)="3",트라이포드!$N$25,트라이포드!$M$25)*IF(MID(E583,5,1)="1",트라이포드!$P$25,트라이포드!$O$25)*IF(MID(E583,5,1)="2",트라이포드!$R$25,트라이포드!$Q$25)*(1+입력란!$P$19/100)</f>
        <v>715466.90367826354</v>
      </c>
      <c r="V583" s="21">
        <f>AO583*IF(MID(E583,3,1)="1",1/(0.25/트라이포드!$J$25+0.25/(트라이포드!$J$25*1.1)+0.25/(트라이포드!$J$25*1.2)+0.25/(트라이포드!$J$25*1.3)),트라이포드!$I$25)*IF(MID(E583,3,1)="3",트라이포드!$N$25,트라이포드!$M$25)*IF(MID(E583,5,1)="1",트라이포드!$P$25,트라이포드!$O$25)*IF(MID(E583,5,1)="1",0,1)*IF(MID(E583,5,1)="2",트라이포드!$R$25,트라이포드!$Q$25)*(1+입력란!$P$19/100)</f>
        <v>1207330.0924468471</v>
      </c>
      <c r="W583" s="21"/>
      <c r="X583" s="21"/>
      <c r="Y583" s="21"/>
      <c r="Z583" s="20"/>
      <c r="AA583" s="21">
        <f>SUM(AB583:AI583)</f>
        <v>6707461.606963275</v>
      </c>
      <c r="AB583" s="21">
        <f>S583*2</f>
        <v>1430933.8073565271</v>
      </c>
      <c r="AC583" s="21">
        <f>T583*2</f>
        <v>1430933.8073565271</v>
      </c>
      <c r="AD583" s="21">
        <f>U583*2</f>
        <v>1430933.8073565271</v>
      </c>
      <c r="AE583" s="21">
        <f>V583*2</f>
        <v>2414660.1848936942</v>
      </c>
      <c r="AF583" s="21">
        <f>W583*2</f>
        <v>0</v>
      </c>
      <c r="AG583" s="21">
        <f>X583*2</f>
        <v>0</v>
      </c>
      <c r="AH583" s="21"/>
      <c r="AI583" s="20"/>
      <c r="AJ583" s="21">
        <f>AQ583*(1-입력란!$P$10/100)</f>
        <v>35.567196189119997</v>
      </c>
      <c r="AK58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3" s="21">
        <f>입력란!$P$24+IF(입력란!$C$18=1,10,IF(입력란!$C$18=2,25,IF(입력란!$C$18=3,50,0)))+IF(입력란!$C$23&lt;&gt;0,-12)</f>
        <v>200</v>
      </c>
      <c r="AM583" s="21">
        <f>SUM(AN583:AP583)</f>
        <v>576536.38576589758</v>
      </c>
      <c r="AN583" s="21">
        <f>(VLOOKUP(C583,$B$4:$AJ$7,30,FALSE)+VLOOKUP(C583,$B$8:$AJ$11,30,FALSE)*입력란!$P$4)*입력란!$P$25/100</f>
        <v>214527.43249186143</v>
      </c>
      <c r="AO583" s="21">
        <f>(VLOOKUP(C583,$B$4:$AJ$7,31,FALSE)+VLOOKUP(C583,$B$8:$AJ$11,31,FALSE)*입력란!$P$4)*입력란!$P$25/100</f>
        <v>362008.95327403612</v>
      </c>
      <c r="AP583" s="21"/>
      <c r="AQ583" s="22">
        <v>36</v>
      </c>
    </row>
    <row r="584" spans="2:43" ht="13.5" customHeight="1" x14ac:dyDescent="0.55000000000000004">
      <c r="B584" s="66">
        <v>569</v>
      </c>
      <c r="C584" s="29">
        <v>1</v>
      </c>
      <c r="D584" s="49" t="s">
        <v>53</v>
      </c>
      <c r="E584" s="27" t="s">
        <v>76</v>
      </c>
      <c r="F584" s="29"/>
      <c r="G584" s="29" t="s">
        <v>376</v>
      </c>
      <c r="H584" s="37">
        <f>I584/AJ584</f>
        <v>96662.82412219292</v>
      </c>
      <c r="I584" s="37">
        <f>SUM(J584:Q584)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3438025.6297484366</v>
      </c>
      <c r="J584" s="21">
        <f>S584*(1+IF($AK584+IF(입력란!$C$26=1,10,0)&gt;100,100,$AK584+IF(입력란!$C$26=1,10,0))/100*(($AL584+IF(입력란!$C$30=1,17,IF(입력란!$C$30=2,20,IF(입력란!$C$30=3,22,0)))+IF(G584="생명50%이하",50,0))/100-1))</f>
        <v>519403.78414683725</v>
      </c>
      <c r="K584" s="21">
        <f>T584*(1+IF($AK584+IF(입력란!$C$26=1,10,0)&gt;100,100,$AK584+IF(입력란!$C$26=1,10,0))/100*(($AL584+IF(입력란!$C$30=1,17,IF(입력란!$C$30=2,20,IF(입력란!$C$30=3,22,0)))+IF(G584="생명50%이하",50,0))/100-1))</f>
        <v>519403.78414683725</v>
      </c>
      <c r="L584" s="21">
        <f>U584*(1+IF($AK584+IF(입력란!$C$26=1,10,0)&gt;100,100,$AK584+IF(입력란!$C$26=1,10,0))/100*(($AL584+IF(입력란!$C$30=1,17,IF(입력란!$C$30=2,20,IF(입력란!$C$30=3,22,0)))+IF(G584="생명50%이하",50,0))/100-1))</f>
        <v>519403.78414683725</v>
      </c>
      <c r="M584" s="21">
        <f>V584*(1+IF($AK584+IF(입력란!$C$26=1,10,0)&gt;100,100,$AK584+IF(입력란!$C$26=1,10,0))/100*(($AL584+IF(입력란!$C$30=1,17,IF(입력란!$C$30=2,20,IF(입력란!$C$30=3,22,0)))+IF(G584="생명50%이하",50,0))/100-1))</f>
        <v>876478.56310968741</v>
      </c>
      <c r="N584" s="21"/>
      <c r="O584" s="21"/>
      <c r="P584" s="21"/>
      <c r="Q584" s="20"/>
      <c r="R584" s="19">
        <f>SUM(S584:Z584)</f>
        <v>1365712.1403100418</v>
      </c>
      <c r="S584" s="21">
        <f>AN584*IF(MID(E584,3,1)="1",1/(0.25/트라이포드!$J$25+0.25/(트라이포드!$J$25*1.1)+0.25/(트라이포드!$J$25*1.2)+0.25/(트라이포드!$J$25*1.3)),트라이포드!$I$25)*IF(MID(E584,3,1)="3",트라이포드!$N$25,트라이포드!$M$25)*IF(MID(E584,5,1)="1",트라이포드!$P$25,트라이포드!$O$25)*IF(MID(E584,5,1)="2",트라이포드!$R$25,트라이포드!$Q$25)*(1+입력란!$P$19/100)</f>
        <v>291353.75687955297</v>
      </c>
      <c r="T584" s="21">
        <f>AN584*IF(MID(E584,3,1)="1",1/(0.25/트라이포드!$J$25+0.25/(트라이포드!$J$25*1.1)+0.25/(트라이포드!$J$25*1.2)+0.25/(트라이포드!$J$25*1.3)),트라이포드!$I$25)*IF(MID(E584,3,1)="3",트라이포드!$N$25,트라이포드!$M$25)*IF(MID(E584,5,1)="1",트라이포드!$P$25,트라이포드!$O$25)*IF(MID(E584,5,1)="2",트라이포드!$R$25,트라이포드!$Q$25)*(1+입력란!$P$19/100)</f>
        <v>291353.75687955297</v>
      </c>
      <c r="U584" s="21">
        <f>AN584*IF(MID(E584,3,1)="1",1/(0.25/트라이포드!$J$25+0.25/(트라이포드!$J$25*1.1)+0.25/(트라이포드!$J$25*1.2)+0.25/(트라이포드!$J$25*1.3)),트라이포드!$I$25)*IF(MID(E584,3,1)="3",트라이포드!$N$25,트라이포드!$M$25)*IF(MID(E584,5,1)="1",트라이포드!$P$25,트라이포드!$O$25)*IF(MID(E584,5,1)="2",트라이포드!$R$25,트라이포드!$Q$25)*(1+입력란!$P$19/100)</f>
        <v>291353.75687955297</v>
      </c>
      <c r="V584" s="21">
        <f>AO584*IF(MID(E584,3,1)="1",1/(0.25/트라이포드!$J$25+0.25/(트라이포드!$J$25*1.1)+0.25/(트라이포드!$J$25*1.2)+0.25/(트라이포드!$J$25*1.3)),트라이포드!$I$25)*IF(MID(E584,3,1)="3",트라이포드!$N$25,트라이포드!$M$25)*IF(MID(E584,5,1)="1",트라이포드!$P$25,트라이포드!$O$25)*IF(MID(E584,5,1)="1",0,1)*IF(MID(E584,5,1)="2",트라이포드!$R$25,트라이포드!$Q$25)*(1+입력란!$P$19/100)</f>
        <v>491650.86967138288</v>
      </c>
      <c r="W584" s="21"/>
      <c r="X584" s="21"/>
      <c r="Y584" s="21"/>
      <c r="Z584" s="20"/>
      <c r="AA584" s="21">
        <f>SUM(AB584:AI584)</f>
        <v>2731424.2806200837</v>
      </c>
      <c r="AB584" s="21">
        <f>S584*2</f>
        <v>582707.51375910593</v>
      </c>
      <c r="AC584" s="21">
        <f>T584*2</f>
        <v>582707.51375910593</v>
      </c>
      <c r="AD584" s="21">
        <f>U584*2</f>
        <v>582707.51375910593</v>
      </c>
      <c r="AE584" s="21">
        <f>V584*2</f>
        <v>983301.73934276577</v>
      </c>
      <c r="AF584" s="21">
        <f>W584*2</f>
        <v>0</v>
      </c>
      <c r="AG584" s="21">
        <f>X584*2</f>
        <v>0</v>
      </c>
      <c r="AH584" s="21"/>
      <c r="AI584" s="20"/>
      <c r="AJ584" s="21">
        <f>AQ584*(1-입력란!$P$10/100)</f>
        <v>35.567196189119997</v>
      </c>
      <c r="AK58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4" s="21">
        <f>입력란!$P$24+IF(입력란!$C$18=1,10,IF(입력란!$C$18=2,25,IF(입력란!$C$18=3,50,0)))+IF(입력란!$C$23&lt;&gt;0,-12)</f>
        <v>200</v>
      </c>
      <c r="AM584" s="21">
        <f>SUM(AN584:AP584)</f>
        <v>575206.38576589758</v>
      </c>
      <c r="AN584" s="21">
        <f>(VLOOKUP(C584,$B$4:$AJ$7,30,FALSE)+VLOOKUP(C584,$B$8:$AJ$11,30,FALSE)*입력란!$P$4)*입력란!$P$25/100</f>
        <v>214032.63249186144</v>
      </c>
      <c r="AO584" s="21">
        <f>(VLOOKUP(C584,$B$4:$AJ$7,31,FALSE)+VLOOKUP(C584,$B$8:$AJ$11,31,FALSE)*입력란!$P$4)*입력란!$P$25/100</f>
        <v>361173.75327403611</v>
      </c>
      <c r="AP584" s="21"/>
      <c r="AQ584" s="22">
        <v>36</v>
      </c>
    </row>
    <row r="585" spans="2:43" ht="13.5" customHeight="1" x14ac:dyDescent="0.55000000000000004">
      <c r="B585" s="66">
        <v>570</v>
      </c>
      <c r="C585" s="29">
        <v>4</v>
      </c>
      <c r="D585" s="49" t="s">
        <v>53</v>
      </c>
      <c r="E585" s="27" t="s">
        <v>76</v>
      </c>
      <c r="F585" s="29"/>
      <c r="G585" s="29" t="s">
        <v>376</v>
      </c>
      <c r="H585" s="37">
        <f>I585/AJ585</f>
        <v>96788.349838762035</v>
      </c>
      <c r="I585" s="37">
        <f>SUM(J585:Q585)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3442490.2275364301</v>
      </c>
      <c r="J585" s="21">
        <f>S585*(1+IF($AK585+IF(입력란!$C$26=1,10,0)&gt;100,100,$AK585+IF(입력란!$C$26=1,10,0))/100*(($AL585+IF(입력란!$C$30=1,17,IF(입력란!$C$30=2,20,IF(입력란!$C$30=3,22,0)))+IF(G585="생명50%이하",50,0))/100-1))</f>
        <v>520074.24842331326</v>
      </c>
      <c r="K585" s="21">
        <f>T585*(1+IF($AK585+IF(입력란!$C$26=1,10,0)&gt;100,100,$AK585+IF(입력란!$C$26=1,10,0))/100*(($AL585+IF(입력란!$C$30=1,17,IF(입력란!$C$30=2,20,IF(입력란!$C$30=3,22,0)))+IF(G585="생명50%이하",50,0))/100-1))</f>
        <v>520074.24842331326</v>
      </c>
      <c r="L585" s="21">
        <f>U585*(1+IF($AK585+IF(입력란!$C$26=1,10,0)&gt;100,100,$AK585+IF(입력란!$C$26=1,10,0))/100*(($AL585+IF(입력란!$C$30=1,17,IF(입력란!$C$30=2,20,IF(입력란!$C$30=3,22,0)))+IF(G585="생명50%이하",50,0))/100-1))</f>
        <v>520074.24842331326</v>
      </c>
      <c r="M585" s="21">
        <f>V585*(1+IF($AK585+IF(입력란!$C$26=1,10,0)&gt;100,100,$AK585+IF(입력란!$C$26=1,10,0))/100*(($AL585+IF(입력란!$C$30=1,17,IF(입력란!$C$30=2,20,IF(입력란!$C$30=3,22,0)))+IF(G585="생명50%이하",50,0))/100-1))</f>
        <v>877628.84281619405</v>
      </c>
      <c r="N585" s="21"/>
      <c r="O585" s="21"/>
      <c r="P585" s="21"/>
      <c r="Q585" s="20"/>
      <c r="R585" s="19">
        <f>SUM(S585:Z585)</f>
        <v>1367485.6452391222</v>
      </c>
      <c r="S585" s="21">
        <f>AN585*IF(MID(E585,3,1)="1",1/(0.25/트라이포드!$J$25+0.25/(트라이포드!$J$25*1.1)+0.25/(트라이포드!$J$25*1.2)+0.25/(트라이포드!$J$25*1.3)),트라이포드!$I$25)*IF(MID(E585,3,1)="3",트라이포드!$N$25,트라이포드!$M$25)*IF(MID(E585,5,1)="1",트라이포드!$P$25,트라이포드!$O$25)*IF(MID(E585,5,1)="2",트라이포드!$R$25,트라이포드!$Q$25)*(1+입력란!$P$19/100)</f>
        <v>291729.84633397555</v>
      </c>
      <c r="T585" s="21">
        <f>AN585*IF(MID(E585,3,1)="1",1/(0.25/트라이포드!$J$25+0.25/(트라이포드!$J$25*1.1)+0.25/(트라이포드!$J$25*1.2)+0.25/(트라이포드!$J$25*1.3)),트라이포드!$I$25)*IF(MID(E585,3,1)="3",트라이포드!$N$25,트라이포드!$M$25)*IF(MID(E585,5,1)="1",트라이포드!$P$25,트라이포드!$O$25)*IF(MID(E585,5,1)="2",트라이포드!$R$25,트라이포드!$Q$25)*(1+입력란!$P$19/100)</f>
        <v>291729.84633397555</v>
      </c>
      <c r="U585" s="21">
        <f>AN585*IF(MID(E585,3,1)="1",1/(0.25/트라이포드!$J$25+0.25/(트라이포드!$J$25*1.1)+0.25/(트라이포드!$J$25*1.2)+0.25/(트라이포드!$J$25*1.3)),트라이포드!$I$25)*IF(MID(E585,3,1)="3",트라이포드!$N$25,트라이포드!$M$25)*IF(MID(E585,5,1)="1",트라이포드!$P$25,트라이포드!$O$25)*IF(MID(E585,5,1)="2",트라이포드!$R$25,트라이포드!$Q$25)*(1+입력란!$P$19/100)</f>
        <v>291729.84633397555</v>
      </c>
      <c r="V585" s="21">
        <f>AO585*IF(MID(E585,3,1)="1",1/(0.25/트라이포드!$J$25+0.25/(트라이포드!$J$25*1.1)+0.25/(트라이포드!$J$25*1.2)+0.25/(트라이포드!$J$25*1.3)),트라이포드!$I$25)*IF(MID(E585,3,1)="3",트라이포드!$N$25,트라이포드!$M$25)*IF(MID(E585,5,1)="1",트라이포드!$P$25,트라이포드!$O$25)*IF(MID(E585,5,1)="1",0,1)*IF(MID(E585,5,1)="2",트라이포드!$R$25,트라이포드!$Q$25)*(1+입력란!$P$19/100)</f>
        <v>492296.10623719561</v>
      </c>
      <c r="W585" s="21"/>
      <c r="X585" s="21"/>
      <c r="Y585" s="21"/>
      <c r="Z585" s="20"/>
      <c r="AA585" s="21">
        <f>SUM(AB585:AI585)</f>
        <v>2734971.2904782444</v>
      </c>
      <c r="AB585" s="21">
        <f>S585*2</f>
        <v>583459.69266795111</v>
      </c>
      <c r="AC585" s="21">
        <f>T585*2</f>
        <v>583459.69266795111</v>
      </c>
      <c r="AD585" s="21">
        <f>U585*2</f>
        <v>583459.69266795111</v>
      </c>
      <c r="AE585" s="21">
        <f>V585*2</f>
        <v>984592.21247439121</v>
      </c>
      <c r="AF585" s="21">
        <f>W585*2</f>
        <v>0</v>
      </c>
      <c r="AG585" s="21">
        <f>X585*2</f>
        <v>0</v>
      </c>
      <c r="AH585" s="21"/>
      <c r="AI585" s="20"/>
      <c r="AJ585" s="21">
        <f>AQ585*(1-입력란!$P$10/100)</f>
        <v>35.567196189119997</v>
      </c>
      <c r="AK58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5" s="21">
        <f>입력란!$P$24+IF(입력란!$C$18=1,10,IF(입력란!$C$18=2,25,IF(입력란!$C$18=3,50,0)))+IF(입력란!$C$23&lt;&gt;0,-12)</f>
        <v>200</v>
      </c>
      <c r="AM585" s="21">
        <f>SUM(AN585:AP585)</f>
        <v>575956.66645245743</v>
      </c>
      <c r="AN585" s="21">
        <f>(VLOOKUP(C585,$B$4:$AJ$7,30,FALSE)+VLOOKUP(C585,$B$8:$AJ$11,30,FALSE)*입력란!$P$4)*입력란!$P$25/100</f>
        <v>214308.91317842138</v>
      </c>
      <c r="AO585" s="21">
        <f>(VLOOKUP(C585,$B$4:$AJ$7,31,FALSE)+VLOOKUP(C585,$B$8:$AJ$11,31,FALSE)*입력란!$P$4)*입력란!$P$25/100</f>
        <v>361647.75327403611</v>
      </c>
      <c r="AP585" s="21"/>
      <c r="AQ585" s="22">
        <v>36</v>
      </c>
    </row>
    <row r="586" spans="2:43" ht="13.5" customHeight="1" x14ac:dyDescent="0.55000000000000004">
      <c r="B586" s="66">
        <v>571</v>
      </c>
      <c r="C586" s="29">
        <v>7</v>
      </c>
      <c r="D586" s="49" t="s">
        <v>53</v>
      </c>
      <c r="E586" s="27" t="s">
        <v>76</v>
      </c>
      <c r="F586" s="29"/>
      <c r="G586" s="29" t="s">
        <v>376</v>
      </c>
      <c r="H586" s="37">
        <f>I586/AJ586</f>
        <v>96848.697928312322</v>
      </c>
      <c r="I586" s="37">
        <f>SUM(J586:Q586)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3444636.6398771037</v>
      </c>
      <c r="J586" s="21">
        <f>S586*(1+IF($AK586+IF(입력란!$C$26=1,10,0)&gt;100,100,$AK586+IF(입력란!$C$26=1,10,0))/100*(($AL586+IF(입력란!$C$30=1,17,IF(입력란!$C$30=2,20,IF(입력란!$C$30=3,22,0)))+IF(G586="생명50%이하",50,0))/100-1))</f>
        <v>520402.63462615822</v>
      </c>
      <c r="K586" s="21">
        <f>T586*(1+IF($AK586+IF(입력란!$C$26=1,10,0)&gt;100,100,$AK586+IF(입력란!$C$26=1,10,0))/100*(($AL586+IF(입력란!$C$30=1,17,IF(입력란!$C$30=2,20,IF(입력란!$C$30=3,22,0)))+IF(G586="생명50%이하",50,0))/100-1))</f>
        <v>520402.63462615822</v>
      </c>
      <c r="L586" s="21">
        <f>U586*(1+IF($AK586+IF(입력란!$C$26=1,10,0)&gt;100,100,$AK586+IF(입력란!$C$26=1,10,0))/100*(($AL586+IF(입력란!$C$30=1,17,IF(입력란!$C$30=2,20,IF(입력란!$C$30=3,22,0)))+IF(G586="생명50%이하",50,0))/100-1))</f>
        <v>520402.63462615822</v>
      </c>
      <c r="M586" s="21">
        <f>V586*(1+IF($AK586+IF(입력란!$C$26=1,10,0)&gt;100,100,$AK586+IF(입력란!$C$26=1,10,0))/100*(($AL586+IF(입력란!$C$30=1,17,IF(입력란!$C$30=2,20,IF(입력란!$C$30=3,22,0)))+IF(G586="생명50%이하",50,0))/100-1))</f>
        <v>878163.69861221535</v>
      </c>
      <c r="N586" s="21"/>
      <c r="O586" s="21"/>
      <c r="P586" s="21"/>
      <c r="Q586" s="20"/>
      <c r="R586" s="19">
        <f>SUM(S586:Z586)</f>
        <v>1368338.280358071</v>
      </c>
      <c r="S586" s="21">
        <f>AN586*IF(MID(E586,3,1)="1",1/(0.25/트라이포드!$J$25+0.25/(트라이포드!$J$25*1.1)+0.25/(트라이포드!$J$25*1.2)+0.25/(트라이포드!$J$25*1.3)),트라이포드!$I$25)*IF(MID(E586,3,1)="3",트라이포드!$N$25,트라이포드!$M$25)*IF(MID(E586,5,1)="1",트라이포드!$P$25,트라이포드!$O$25)*IF(MID(E586,5,1)="2",트라이포드!$R$25,트라이포드!$Q$25)*(1+입력란!$P$19/100)</f>
        <v>291914.05091011943</v>
      </c>
      <c r="T586" s="21">
        <f>AN586*IF(MID(E586,3,1)="1",1/(0.25/트라이포드!$J$25+0.25/(트라이포드!$J$25*1.1)+0.25/(트라이포드!$J$25*1.2)+0.25/(트라이포드!$J$25*1.3)),트라이포드!$I$25)*IF(MID(E586,3,1)="3",트라이포드!$N$25,트라이포드!$M$25)*IF(MID(E586,5,1)="1",트라이포드!$P$25,트라이포드!$O$25)*IF(MID(E586,5,1)="2",트라이포드!$R$25,트라이포드!$Q$25)*(1+입력란!$P$19/100)</f>
        <v>291914.05091011943</v>
      </c>
      <c r="U586" s="21">
        <f>AN586*IF(MID(E586,3,1)="1",1/(0.25/트라이포드!$J$25+0.25/(트라이포드!$J$25*1.1)+0.25/(트라이포드!$J$25*1.2)+0.25/(트라이포드!$J$25*1.3)),트라이포드!$I$25)*IF(MID(E586,3,1)="3",트라이포드!$N$25,트라이포드!$M$25)*IF(MID(E586,5,1)="1",트라이포드!$P$25,트라이포드!$O$25)*IF(MID(E586,5,1)="2",트라이포드!$R$25,트라이포드!$Q$25)*(1+입력란!$P$19/100)</f>
        <v>291914.05091011943</v>
      </c>
      <c r="V586" s="21">
        <f>AO586*IF(MID(E586,3,1)="1",1/(0.25/트라이포드!$J$25+0.25/(트라이포드!$J$25*1.1)+0.25/(트라이포드!$J$25*1.2)+0.25/(트라이포드!$J$25*1.3)),트라이포드!$I$25)*IF(MID(E586,3,1)="3",트라이포드!$N$25,트라이포드!$M$25)*IF(MID(E586,5,1)="1",트라이포드!$P$25,트라이포드!$O$25)*IF(MID(E586,5,1)="1",0,1)*IF(MID(E586,5,1)="2",트라이포드!$R$25,트라이포드!$Q$25)*(1+입력란!$P$19/100)</f>
        <v>492596.12762771279</v>
      </c>
      <c r="W586" s="21"/>
      <c r="X586" s="21"/>
      <c r="Y586" s="21"/>
      <c r="Z586" s="20"/>
      <c r="AA586" s="21">
        <f>SUM(AB586:AI586)</f>
        <v>2736676.5607161419</v>
      </c>
      <c r="AB586" s="21">
        <f>S586*2</f>
        <v>583828.10182023887</v>
      </c>
      <c r="AC586" s="21">
        <f>T586*2</f>
        <v>583828.10182023887</v>
      </c>
      <c r="AD586" s="21">
        <f>U586*2</f>
        <v>583828.10182023887</v>
      </c>
      <c r="AE586" s="21">
        <f>V586*2</f>
        <v>985192.25525542558</v>
      </c>
      <c r="AF586" s="21">
        <f>W586*2</f>
        <v>0</v>
      </c>
      <c r="AG586" s="21">
        <f>X586*2</f>
        <v>0</v>
      </c>
      <c r="AH586" s="21"/>
      <c r="AI586" s="20"/>
      <c r="AJ586" s="21">
        <f>AQ586*(1-입력란!$P$10/100)</f>
        <v>35.567196189119997</v>
      </c>
      <c r="AK58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6" s="21">
        <f>입력란!$P$24+IF(입력란!$C$18=1,10,IF(입력란!$C$18=2,25,IF(입력란!$C$18=3,50,0)))+IF(입력란!$C$23&lt;&gt;0,-12)</f>
        <v>200</v>
      </c>
      <c r="AM586" s="21">
        <f>SUM(AN586:AP586)</f>
        <v>576312.38576589758</v>
      </c>
      <c r="AN586" s="21">
        <f>(VLOOKUP(C586,$B$4:$AJ$7,30,FALSE)+VLOOKUP(C586,$B$8:$AJ$11,30,FALSE)*입력란!$P$4)*입력란!$P$25/100</f>
        <v>214444.23249186145</v>
      </c>
      <c r="AO586" s="21">
        <f>(VLOOKUP(C586,$B$4:$AJ$7,31,FALSE)+VLOOKUP(C586,$B$8:$AJ$11,31,FALSE)*입력란!$P$4)*입력란!$P$25/100</f>
        <v>361868.15327403613</v>
      </c>
      <c r="AP586" s="21"/>
      <c r="AQ586" s="22">
        <v>36</v>
      </c>
    </row>
    <row r="587" spans="2:43" ht="13.5" customHeight="1" x14ac:dyDescent="0.55000000000000004">
      <c r="B587" s="66">
        <v>572</v>
      </c>
      <c r="C587" s="29">
        <v>7</v>
      </c>
      <c r="D587" s="49" t="s">
        <v>53</v>
      </c>
      <c r="E587" s="27" t="s">
        <v>96</v>
      </c>
      <c r="F587" s="29"/>
      <c r="G587" s="29" t="s">
        <v>376</v>
      </c>
      <c r="H587" s="37">
        <f>I587/AJ587</f>
        <v>137896.08832142712</v>
      </c>
      <c r="I587" s="37">
        <f>SUM(J587:Q587)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4904577.2270404166</v>
      </c>
      <c r="J587" s="21">
        <f>S587*(1+IF($AK587+IF(입력란!$C$26=1,10,0)&gt;100,100,$AK587+IF(입력란!$C$26=1,10,0))/100*(($AL587+IF(입력란!$C$30=1,17,IF(입력란!$C$30=2,20,IF(입력란!$C$30=3,22,0)))+IF(G587="생명50%이하",50,0))/100-1))</f>
        <v>740964.91953077295</v>
      </c>
      <c r="K587" s="21">
        <f>T587*(1+IF($AK587+IF(입력란!$C$26=1,10,0)&gt;100,100,$AK587+IF(입력란!$C$26=1,10,0))/100*(($AL587+IF(입력란!$C$30=1,17,IF(입력란!$C$30=2,20,IF(입력란!$C$30=3,22,0)))+IF(G587="생명50%이하",50,0))/100-1))</f>
        <v>740964.91953077295</v>
      </c>
      <c r="L587" s="21">
        <f>U587*(1+IF($AK587+IF(입력란!$C$26=1,10,0)&gt;100,100,$AK587+IF(입력란!$C$26=1,10,0))/100*(($AL587+IF(입력란!$C$30=1,17,IF(입력란!$C$30=2,20,IF(입력란!$C$30=3,22,0)))+IF(G587="생명50%이하",50,0))/100-1))</f>
        <v>740964.91953077295</v>
      </c>
      <c r="M587" s="21">
        <f>V587*(1+IF($AK587+IF(입력란!$C$26=1,10,0)&gt;100,100,$AK587+IF(입력란!$C$26=1,10,0))/100*(($AL587+IF(입력란!$C$30=1,17,IF(입력란!$C$30=2,20,IF(입력란!$C$30=3,22,0)))+IF(G587="생명50%이하",50,0))/100-1))</f>
        <v>1250355.8802012627</v>
      </c>
      <c r="N587" s="21"/>
      <c r="O587" s="21"/>
      <c r="P587" s="21"/>
      <c r="Q587" s="20"/>
      <c r="R587" s="19">
        <f>SUM(S587:Z587)</f>
        <v>1948281.1890926403</v>
      </c>
      <c r="S587" s="21">
        <f>AN587*IF(MID(E587,3,1)="1",1/(0.25/트라이포드!$J$25+0.25/(트라이포드!$J$25*1.1)+0.25/(트라이포드!$J$25*1.2)+0.25/(트라이포드!$J$25*1.3)),트라이포드!$I$25)*IF(MID(E587,3,1)="3",트라이포드!$N$25,트라이포드!$M$25)*IF(MID(E587,5,1)="1",트라이포드!$P$25,트라이포드!$O$25)*IF(MID(E587,5,1)="2",트라이포드!$R$25,트라이포드!$Q$25)*(1+입력란!$P$19/100)</f>
        <v>415636.00345317373</v>
      </c>
      <c r="T587" s="21">
        <f>AN587*IF(MID(E587,3,1)="1",1/(0.25/트라이포드!$J$25+0.25/(트라이포드!$J$25*1.1)+0.25/(트라이포드!$J$25*1.2)+0.25/(트라이포드!$J$25*1.3)),트라이포드!$I$25)*IF(MID(E587,3,1)="3",트라이포드!$N$25,트라이포드!$M$25)*IF(MID(E587,5,1)="1",트라이포드!$P$25,트라이포드!$O$25)*IF(MID(E587,5,1)="2",트라이포드!$R$25,트라이포드!$Q$25)*(1+입력란!$P$19/100)</f>
        <v>415636.00345317373</v>
      </c>
      <c r="U587" s="21">
        <f>AN587*IF(MID(E587,3,1)="1",1/(0.25/트라이포드!$J$25+0.25/(트라이포드!$J$25*1.1)+0.25/(트라이포드!$J$25*1.2)+0.25/(트라이포드!$J$25*1.3)),트라이포드!$I$25)*IF(MID(E587,3,1)="3",트라이포드!$N$25,트라이포드!$M$25)*IF(MID(E587,5,1)="1",트라이포드!$P$25,트라이포드!$O$25)*IF(MID(E587,5,1)="2",트라이포드!$R$25,트라이포드!$Q$25)*(1+입력란!$P$19/100)</f>
        <v>415636.00345317373</v>
      </c>
      <c r="V587" s="21">
        <f>AO587*IF(MID(E587,3,1)="1",1/(0.25/트라이포드!$J$25+0.25/(트라이포드!$J$25*1.1)+0.25/(트라이포드!$J$25*1.2)+0.25/(트라이포드!$J$25*1.3)),트라이포드!$I$25)*IF(MID(E587,3,1)="3",트라이포드!$N$25,트라이포드!$M$25)*IF(MID(E587,5,1)="1",트라이포드!$P$25,트라이포드!$O$25)*IF(MID(E587,5,1)="1",0,1)*IF(MID(E587,5,1)="2",트라이포드!$R$25,트라이포드!$Q$25)*(1+입력란!$P$19/100)</f>
        <v>701373.17873311916</v>
      </c>
      <c r="W587" s="21"/>
      <c r="X587" s="21"/>
      <c r="Y587" s="21"/>
      <c r="Z587" s="20"/>
      <c r="AA587" s="21">
        <f>SUM(AB587:AI587)</f>
        <v>3896562.3781852806</v>
      </c>
      <c r="AB587" s="21">
        <f>S587*2</f>
        <v>831272.00690634747</v>
      </c>
      <c r="AC587" s="21">
        <f>T587*2</f>
        <v>831272.00690634747</v>
      </c>
      <c r="AD587" s="21">
        <f>U587*2</f>
        <v>831272.00690634747</v>
      </c>
      <c r="AE587" s="21">
        <f>V587*2</f>
        <v>1402746.3574662383</v>
      </c>
      <c r="AF587" s="21">
        <f>W587*2</f>
        <v>0</v>
      </c>
      <c r="AG587" s="21">
        <f>X587*2</f>
        <v>0</v>
      </c>
      <c r="AH587" s="21"/>
      <c r="AI587" s="20"/>
      <c r="AJ587" s="21">
        <f>AQ587*(1-입력란!$P$10/100)</f>
        <v>35.567196189119997</v>
      </c>
      <c r="AK58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7" s="21">
        <f>입력란!$P$24+IF(입력란!$C$18=1,10,IF(입력란!$C$18=2,25,IF(입력란!$C$18=3,50,0)))+IF(입력란!$C$23&lt;&gt;0,-12)</f>
        <v>200</v>
      </c>
      <c r="AM587" s="21">
        <f>SUM(AN587:AP587)</f>
        <v>576312.38576589758</v>
      </c>
      <c r="AN587" s="21">
        <f>(VLOOKUP(C587,$B$4:$AJ$7,30,FALSE)+VLOOKUP(C587,$B$8:$AJ$11,30,FALSE)*입력란!$P$4)*입력란!$P$25/100</f>
        <v>214444.23249186145</v>
      </c>
      <c r="AO587" s="21">
        <f>(VLOOKUP(C587,$B$4:$AJ$7,31,FALSE)+VLOOKUP(C587,$B$8:$AJ$11,31,FALSE)*입력란!$P$4)*입력란!$P$25/100</f>
        <v>361868.15327403613</v>
      </c>
      <c r="AP587" s="21"/>
      <c r="AQ587" s="22">
        <v>36</v>
      </c>
    </row>
    <row r="588" spans="2:43" ht="13.5" customHeight="1" x14ac:dyDescent="0.55000000000000004">
      <c r="B588" s="66">
        <v>573</v>
      </c>
      <c r="C588" s="29">
        <v>7</v>
      </c>
      <c r="D588" s="49" t="s">
        <v>53</v>
      </c>
      <c r="E588" s="27" t="s">
        <v>79</v>
      </c>
      <c r="F588" s="29"/>
      <c r="G588" s="29" t="s">
        <v>375</v>
      </c>
      <c r="H588" s="37">
        <f>I588/AJ588</f>
        <v>135588.17709963725</v>
      </c>
      <c r="I588" s="37">
        <f>SUM(J588:Q588)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4822491.2958279448</v>
      </c>
      <c r="J588" s="21">
        <f>S588*(1+IF($AK588+IF(입력란!$C$26=1,10,0)&gt;100,100,$AK588+IF(입력란!$C$26=1,10,0))/100*(($AL588+IF(입력란!$C$30=1,17,IF(입력란!$C$30=2,20,IF(입력란!$C$30=3,22,0)))+IF(G588="생명50%이하",50,0))/100-1))</f>
        <v>728563.68847662152</v>
      </c>
      <c r="K588" s="21">
        <f>T588*(1+IF($AK588+IF(입력란!$C$26=1,10,0)&gt;100,100,$AK588+IF(입력란!$C$26=1,10,0))/100*(($AL588+IF(입력란!$C$30=1,17,IF(입력란!$C$30=2,20,IF(입력란!$C$30=3,22,0)))+IF(G588="생명50%이하",50,0))/100-1))</f>
        <v>728563.68847662152</v>
      </c>
      <c r="L588" s="21">
        <f>U588*(1+IF($AK588+IF(입력란!$C$26=1,10,0)&gt;100,100,$AK588+IF(입력란!$C$26=1,10,0))/100*(($AL588+IF(입력란!$C$30=1,17,IF(입력란!$C$30=2,20,IF(입력란!$C$30=3,22,0)))+IF(G588="생명50%이하",50,0))/100-1))</f>
        <v>728563.68847662152</v>
      </c>
      <c r="M588" s="21">
        <f>V588*(1+IF($AK588+IF(입력란!$C$26=1,10,0)&gt;100,100,$AK588+IF(입력란!$C$26=1,10,0))/100*(($AL588+IF(입력란!$C$30=1,17,IF(입력란!$C$30=2,20,IF(입력란!$C$30=3,22,0)))+IF(G588="생명50%이하",50,0))/100-1))</f>
        <v>1229429.1780571013</v>
      </c>
      <c r="N588" s="21"/>
      <c r="O588" s="21"/>
      <c r="P588" s="21"/>
      <c r="Q588" s="20"/>
      <c r="R588" s="19">
        <f>SUM(S588:Z588)</f>
        <v>1915673.5925012995</v>
      </c>
      <c r="S588" s="21">
        <f>AN588*IF(MID(E588,3,1)="1",1/(0.25/트라이포드!$J$25+0.25/(트라이포드!$J$25*1.1)+0.25/(트라이포드!$J$25*1.2)+0.25/(트라이포드!$J$25*1.3)),트라이포드!$I$25)*IF(MID(E588,3,1)="3",트라이포드!$N$25,트라이포드!$M$25)*IF(MID(E588,5,1)="1",트라이포드!$P$25,트라이포드!$O$25)*IF(MID(E588,5,1)="2",트라이포드!$R$25,트라이포드!$Q$25)*(1+입력란!$P$19/100)</f>
        <v>408679.67127416719</v>
      </c>
      <c r="T588" s="21">
        <f>AN588*IF(MID(E588,3,1)="1",1/(0.25/트라이포드!$J$25+0.25/(트라이포드!$J$25*1.1)+0.25/(트라이포드!$J$25*1.2)+0.25/(트라이포드!$J$25*1.3)),트라이포드!$I$25)*IF(MID(E588,3,1)="3",트라이포드!$N$25,트라이포드!$M$25)*IF(MID(E588,5,1)="1",트라이포드!$P$25,트라이포드!$O$25)*IF(MID(E588,5,1)="2",트라이포드!$R$25,트라이포드!$Q$25)*(1+입력란!$P$19/100)</f>
        <v>408679.67127416719</v>
      </c>
      <c r="U588" s="21">
        <f>AN588*IF(MID(E588,3,1)="1",1/(0.25/트라이포드!$J$25+0.25/(트라이포드!$J$25*1.1)+0.25/(트라이포드!$J$25*1.2)+0.25/(트라이포드!$J$25*1.3)),트라이포드!$I$25)*IF(MID(E588,3,1)="3",트라이포드!$N$25,트라이포드!$M$25)*IF(MID(E588,5,1)="1",트라이포드!$P$25,트라이포드!$O$25)*IF(MID(E588,5,1)="2",트라이포드!$R$25,트라이포드!$Q$25)*(1+입력란!$P$19/100)</f>
        <v>408679.67127416719</v>
      </c>
      <c r="V588" s="21">
        <f>AO588*IF(MID(E588,3,1)="1",1/(0.25/트라이포드!$J$25+0.25/(트라이포드!$J$25*1.1)+0.25/(트라이포드!$J$25*1.2)+0.25/(트라이포드!$J$25*1.3)),트라이포드!$I$25)*IF(MID(E588,3,1)="3",트라이포드!$N$25,트라이포드!$M$25)*IF(MID(E588,5,1)="1",트라이포드!$P$25,트라이포드!$O$25)*IF(MID(E588,5,1)="1",0,1)*IF(MID(E588,5,1)="2",트라이포드!$R$25,트라이포드!$Q$25)*(1+입력란!$P$19/100)</f>
        <v>689634.57867879781</v>
      </c>
      <c r="W588" s="21"/>
      <c r="X588" s="21"/>
      <c r="Y588" s="21"/>
      <c r="Z588" s="20"/>
      <c r="AA588" s="21">
        <f>SUM(AB588:AI588)</f>
        <v>3831347.1850025989</v>
      </c>
      <c r="AB588" s="21">
        <f>S588*2</f>
        <v>817359.34254833439</v>
      </c>
      <c r="AC588" s="21">
        <f>T588*2</f>
        <v>817359.34254833439</v>
      </c>
      <c r="AD588" s="21">
        <f>U588*2</f>
        <v>817359.34254833439</v>
      </c>
      <c r="AE588" s="21">
        <f>V588*2</f>
        <v>1379269.1573575956</v>
      </c>
      <c r="AF588" s="21">
        <f>W588*2</f>
        <v>0</v>
      </c>
      <c r="AG588" s="21">
        <f>X588*2</f>
        <v>0</v>
      </c>
      <c r="AH588" s="21"/>
      <c r="AI588" s="20"/>
      <c r="AJ588" s="21">
        <f>AQ588*(1-입력란!$P$10/100)</f>
        <v>35.567196189119997</v>
      </c>
      <c r="AK58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8" s="21">
        <f>입력란!$P$24+IF(입력란!$C$18=1,10,IF(입력란!$C$18=2,25,IF(입력란!$C$18=3,50,0)))+IF(입력란!$C$23&lt;&gt;0,-12)</f>
        <v>200</v>
      </c>
      <c r="AM588" s="21">
        <f>SUM(AN588:AP588)</f>
        <v>576312.38576589758</v>
      </c>
      <c r="AN588" s="21">
        <f>(VLOOKUP(C588,$B$4:$AJ$7,30,FALSE)+VLOOKUP(C588,$B$8:$AJ$11,30,FALSE)*입력란!$P$4)*입력란!$P$25/100</f>
        <v>214444.23249186145</v>
      </c>
      <c r="AO588" s="21">
        <f>(VLOOKUP(C588,$B$4:$AJ$7,31,FALSE)+VLOOKUP(C588,$B$8:$AJ$11,31,FALSE)*입력란!$P$4)*입력란!$P$25/100</f>
        <v>361868.15327403613</v>
      </c>
      <c r="AP588" s="21"/>
      <c r="AQ588" s="22">
        <v>36</v>
      </c>
    </row>
    <row r="589" spans="2:43" ht="13.5" customHeight="1" x14ac:dyDescent="0.55000000000000004">
      <c r="B589" s="66">
        <v>574</v>
      </c>
      <c r="C589" s="29">
        <v>10</v>
      </c>
      <c r="D589" s="49" t="s">
        <v>53</v>
      </c>
      <c r="E589" s="27" t="s">
        <v>76</v>
      </c>
      <c r="F589" s="29"/>
      <c r="G589" s="29" t="s">
        <v>375</v>
      </c>
      <c r="H589" s="37">
        <f>I589/AJ589</f>
        <v>96886.312034630479</v>
      </c>
      <c r="I589" s="37">
        <f>SUM(J589:Q589)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3445974.4681760003</v>
      </c>
      <c r="J589" s="21">
        <f>S589*(1+IF($AK589+IF(입력란!$C$26=1,10,0)&gt;100,100,$AK589+IF(입력란!$C$26=1,10,0))/100*(($AL589+IF(입력란!$C$30=1,17,IF(입력란!$C$30=2,20,IF(입력란!$C$30=3,22,0)))+IF(G589="생명50%이하",50,0))/100-1))</f>
        <v>520604.54026240582</v>
      </c>
      <c r="K589" s="21">
        <f>T589*(1+IF($AK589+IF(입력란!$C$26=1,10,0)&gt;100,100,$AK589+IF(입력란!$C$26=1,10,0))/100*(($AL589+IF(입력란!$C$30=1,17,IF(입력란!$C$30=2,20,IF(입력란!$C$30=3,22,0)))+IF(G589="생명50%이하",50,0))/100-1))</f>
        <v>520604.54026240582</v>
      </c>
      <c r="L589" s="21">
        <f>U589*(1+IF($AK589+IF(입력란!$C$26=1,10,0)&gt;100,100,$AK589+IF(입력란!$C$26=1,10,0))/100*(($AL589+IF(입력란!$C$30=1,17,IF(입력란!$C$30=2,20,IF(입력란!$C$30=3,22,0)))+IF(G589="생명50%이하",50,0))/100-1))</f>
        <v>520604.54026240582</v>
      </c>
      <c r="M589" s="21">
        <f>V589*(1+IF($AK589+IF(입력란!$C$26=1,10,0)&gt;100,100,$AK589+IF(입력란!$C$26=1,10,0))/100*(($AL589+IF(입력란!$C$30=1,17,IF(입력란!$C$30=2,20,IF(입력란!$C$30=3,22,0)))+IF(G589="생명50%이하",50,0))/100-1))</f>
        <v>878505.3850735575</v>
      </c>
      <c r="N589" s="21"/>
      <c r="O589" s="21"/>
      <c r="P589" s="21"/>
      <c r="Q589" s="20"/>
      <c r="R589" s="19">
        <f>SUM(S589:Z589)</f>
        <v>1368869.7157067913</v>
      </c>
      <c r="S589" s="21">
        <f>AN589*IF(MID(E589,3,1)="1",1/(0.25/트라이포드!$J$25+0.25/(트라이포드!$J$25*1.1)+0.25/(트라이포드!$J$25*1.2)+0.25/(트라이포드!$J$25*1.3)),트라이포드!$I$25)*IF(MID(E589,3,1)="3",트라이포드!$N$25,트라이포드!$M$25)*IF(MID(E589,5,1)="1",트라이포드!$P$25,트라이포드!$O$25)*IF(MID(E589,5,1)="2",트라이포드!$R$25,트라이포드!$Q$25)*(1+입력란!$P$19/100)</f>
        <v>292027.30762378109</v>
      </c>
      <c r="T589" s="21">
        <f>AN589*IF(MID(E589,3,1)="1",1/(0.25/트라이포드!$J$25+0.25/(트라이포드!$J$25*1.1)+0.25/(트라이포드!$J$25*1.2)+0.25/(트라이포드!$J$25*1.3)),트라이포드!$I$25)*IF(MID(E589,3,1)="3",트라이포드!$N$25,트라이포드!$M$25)*IF(MID(E589,5,1)="1",트라이포드!$P$25,트라이포드!$O$25)*IF(MID(E589,5,1)="2",트라이포드!$R$25,트라이포드!$Q$25)*(1+입력란!$P$19/100)</f>
        <v>292027.30762378109</v>
      </c>
      <c r="U589" s="21">
        <f>AN589*IF(MID(E589,3,1)="1",1/(0.25/트라이포드!$J$25+0.25/(트라이포드!$J$25*1.1)+0.25/(트라이포드!$J$25*1.2)+0.25/(트라이포드!$J$25*1.3)),트라이포드!$I$25)*IF(MID(E589,3,1)="3",트라이포드!$N$25,트라이포드!$M$25)*IF(MID(E589,5,1)="1",트라이포드!$P$25,트라이포드!$O$25)*IF(MID(E589,5,1)="2",트라이포드!$R$25,트라이포드!$Q$25)*(1+입력란!$P$19/100)</f>
        <v>292027.30762378109</v>
      </c>
      <c r="V589" s="21">
        <f>AO589*IF(MID(E589,3,1)="1",1/(0.25/트라이포드!$J$25+0.25/(트라이포드!$J$25*1.1)+0.25/(트라이포드!$J$25*1.2)+0.25/(트라이포드!$J$25*1.3)),트라이포드!$I$25)*IF(MID(E589,3,1)="3",트라이포드!$N$25,트라이포드!$M$25)*IF(MID(E589,5,1)="1",트라이포드!$P$25,트라이포드!$O$25)*IF(MID(E589,5,1)="1",0,1)*IF(MID(E589,5,1)="2",트라이포드!$R$25,트라이포드!$Q$25)*(1+입력란!$P$19/100)</f>
        <v>492787.79283544788</v>
      </c>
      <c r="W589" s="21"/>
      <c r="X589" s="21"/>
      <c r="Y589" s="21"/>
      <c r="Z589" s="20"/>
      <c r="AA589" s="21">
        <f>SUM(AB589:AI589)</f>
        <v>2737739.4314135825</v>
      </c>
      <c r="AB589" s="21">
        <f>S589*2</f>
        <v>584054.61524756218</v>
      </c>
      <c r="AC589" s="21">
        <f>T589*2</f>
        <v>584054.61524756218</v>
      </c>
      <c r="AD589" s="21">
        <f>U589*2</f>
        <v>584054.61524756218</v>
      </c>
      <c r="AE589" s="21">
        <f>V589*2</f>
        <v>985575.58567089576</v>
      </c>
      <c r="AF589" s="21">
        <f>W589*2</f>
        <v>0</v>
      </c>
      <c r="AG589" s="21">
        <f>X589*2</f>
        <v>0</v>
      </c>
      <c r="AH589" s="21"/>
      <c r="AI589" s="20"/>
      <c r="AJ589" s="21">
        <f>AQ589*(1-입력란!$P$10/100)</f>
        <v>35.567196189119997</v>
      </c>
      <c r="AK58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89" s="21">
        <f>입력란!$P$24+IF(입력란!$C$18=1,10,IF(입력란!$C$18=2,25,IF(입력란!$C$18=3,50,0)))+IF(입력란!$C$23&lt;&gt;0,-12)</f>
        <v>200</v>
      </c>
      <c r="AM589" s="21">
        <f>SUM(AN589:AP589)</f>
        <v>576536.38576589758</v>
      </c>
      <c r="AN589" s="21">
        <f>(VLOOKUP(C589,$B$4:$AJ$7,30,FALSE)+VLOOKUP(C589,$B$8:$AJ$11,30,FALSE)*입력란!$P$4)*입력란!$P$25/100</f>
        <v>214527.43249186143</v>
      </c>
      <c r="AO589" s="21">
        <f>(VLOOKUP(C589,$B$4:$AJ$7,31,FALSE)+VLOOKUP(C589,$B$8:$AJ$11,31,FALSE)*입력란!$P$4)*입력란!$P$25/100</f>
        <v>362008.95327403612</v>
      </c>
      <c r="AP589" s="21"/>
      <c r="AQ589" s="22">
        <v>36</v>
      </c>
    </row>
    <row r="590" spans="2:43" ht="13.5" customHeight="1" x14ac:dyDescent="0.55000000000000004">
      <c r="B590" s="66">
        <v>575</v>
      </c>
      <c r="C590" s="29">
        <v>10</v>
      </c>
      <c r="D590" s="49" t="s">
        <v>53</v>
      </c>
      <c r="E590" s="27" t="s">
        <v>121</v>
      </c>
      <c r="F590" s="29"/>
      <c r="G590" s="29" t="s">
        <v>375</v>
      </c>
      <c r="H590" s="37">
        <f>I590/AJ590</f>
        <v>111613.70730310453</v>
      </c>
      <c r="I590" s="37">
        <f>SUM(J590:Q590)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3969786.625044534</v>
      </c>
      <c r="J590" s="21">
        <f>S590*(1+IF($AK590+IF(입력란!$C$26=1,10,0)&gt;100,100,$AK590+IF(입력란!$C$26=1,10,0))/100*(($AL590+IF(입력란!$C$30=1,17,IF(입력란!$C$30=2,20,IF(입력란!$C$30=3,22,0)))+IF(G590="생명50%이하",50,0))/100-1))</f>
        <v>937088.17247233039</v>
      </c>
      <c r="K590" s="21">
        <f>T590*(1+IF($AK590+IF(입력란!$C$26=1,10,0)&gt;100,100,$AK590+IF(입력란!$C$26=1,10,0))/100*(($AL590+IF(입력란!$C$30=1,17,IF(입력란!$C$30=2,20,IF(입력란!$C$30=3,22,0)))+IF(G590="생명50%이하",50,0))/100-1))</f>
        <v>937088.17247233039</v>
      </c>
      <c r="L590" s="21">
        <f>U590*(1+IF($AK590+IF(입력란!$C$26=1,10,0)&gt;100,100,$AK590+IF(입력란!$C$26=1,10,0))/100*(($AL590+IF(입력란!$C$30=1,17,IF(입력란!$C$30=2,20,IF(입력란!$C$30=3,22,0)))+IF(G590="생명50%이하",50,0))/100-1))</f>
        <v>937088.17247233039</v>
      </c>
      <c r="M590" s="21">
        <f>V590*(1+IF($AK590+IF(입력란!$C$26=1,10,0)&gt;100,100,$AK590+IF(입력란!$C$26=1,10,0))/100*(($AL590+IF(입력란!$C$30=1,17,IF(입력란!$C$30=2,20,IF(입력란!$C$30=3,22,0)))+IF(G590="생명50%이하",50,0))/100-1))</f>
        <v>0</v>
      </c>
      <c r="N590" s="21"/>
      <c r="O590" s="21"/>
      <c r="P590" s="21"/>
      <c r="Q590" s="20"/>
      <c r="R590" s="19">
        <f>SUM(S590:Z590)</f>
        <v>1576947.4611684177</v>
      </c>
      <c r="S590" s="21">
        <f>AN590*IF(MID(E590,3,1)="1",1/(0.25/트라이포드!$J$25+0.25/(트라이포드!$J$25*1.1)+0.25/(트라이포드!$J$25*1.2)+0.25/(트라이포드!$J$25*1.3)),트라이포드!$I$25)*IF(MID(E590,3,1)="3",트라이포드!$N$25,트라이포드!$M$25)*IF(MID(E590,5,1)="1",트라이포드!$P$25,트라이포드!$O$25)*IF(MID(E590,5,1)="2",트라이포드!$R$25,트라이포드!$Q$25)*(1+입력란!$P$19/100)</f>
        <v>525649.1537228059</v>
      </c>
      <c r="T590" s="21">
        <f>AN590*IF(MID(E590,3,1)="1",1/(0.25/트라이포드!$J$25+0.25/(트라이포드!$J$25*1.1)+0.25/(트라이포드!$J$25*1.2)+0.25/(트라이포드!$J$25*1.3)),트라이포드!$I$25)*IF(MID(E590,3,1)="3",트라이포드!$N$25,트라이포드!$M$25)*IF(MID(E590,5,1)="1",트라이포드!$P$25,트라이포드!$O$25)*IF(MID(E590,5,1)="2",트라이포드!$R$25,트라이포드!$Q$25)*(1+입력란!$P$19/100)</f>
        <v>525649.1537228059</v>
      </c>
      <c r="U590" s="21">
        <f>AN590*IF(MID(E590,3,1)="1",1/(0.25/트라이포드!$J$25+0.25/(트라이포드!$J$25*1.1)+0.25/(트라이포드!$J$25*1.2)+0.25/(트라이포드!$J$25*1.3)),트라이포드!$I$25)*IF(MID(E590,3,1)="3",트라이포드!$N$25,트라이포드!$M$25)*IF(MID(E590,5,1)="1",트라이포드!$P$25,트라이포드!$O$25)*IF(MID(E590,5,1)="2",트라이포드!$R$25,트라이포드!$Q$25)*(1+입력란!$P$19/100)</f>
        <v>525649.1537228059</v>
      </c>
      <c r="V590" s="21">
        <f>AO590*IF(MID(E590,3,1)="1",1/(0.25/트라이포드!$J$25+0.25/(트라이포드!$J$25*1.1)+0.25/(트라이포드!$J$25*1.2)+0.25/(트라이포드!$J$25*1.3)),트라이포드!$I$25)*IF(MID(E590,3,1)="3",트라이포드!$N$25,트라이포드!$M$25)*IF(MID(E590,5,1)="1",트라이포드!$P$25,트라이포드!$O$25)*IF(MID(E590,5,1)="1",0,1)*IF(MID(E590,5,1)="2",트라이포드!$R$25,트라이포드!$Q$25)*(1+입력란!$P$19/100)</f>
        <v>0</v>
      </c>
      <c r="W590" s="21"/>
      <c r="X590" s="21"/>
      <c r="Y590" s="21"/>
      <c r="Z590" s="20"/>
      <c r="AA590" s="21">
        <f>SUM(AB590:AI590)</f>
        <v>3153894.9223368354</v>
      </c>
      <c r="AB590" s="21">
        <f>S590*2</f>
        <v>1051298.3074456118</v>
      </c>
      <c r="AC590" s="21">
        <f>T590*2</f>
        <v>1051298.3074456118</v>
      </c>
      <c r="AD590" s="21">
        <f>U590*2</f>
        <v>1051298.3074456118</v>
      </c>
      <c r="AE590" s="21">
        <f>V590*2</f>
        <v>0</v>
      </c>
      <c r="AF590" s="21">
        <f>W590*2</f>
        <v>0</v>
      </c>
      <c r="AG590" s="21">
        <f>X590*2</f>
        <v>0</v>
      </c>
      <c r="AH590" s="21"/>
      <c r="AI590" s="20"/>
      <c r="AJ590" s="21">
        <f>AQ590*(1-입력란!$P$10/100)</f>
        <v>35.567196189119997</v>
      </c>
      <c r="AK59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0" s="21">
        <f>입력란!$P$24+IF(입력란!$C$18=1,10,IF(입력란!$C$18=2,25,IF(입력란!$C$18=3,50,0)))+IF(입력란!$C$23&lt;&gt;0,-12)</f>
        <v>200</v>
      </c>
      <c r="AM590" s="21">
        <f>SUM(AN590:AP590)</f>
        <v>576536.38576589758</v>
      </c>
      <c r="AN590" s="21">
        <f>(VLOOKUP(C590,$B$4:$AJ$7,30,FALSE)+VLOOKUP(C590,$B$8:$AJ$11,30,FALSE)*입력란!$P$4)*입력란!$P$25/100</f>
        <v>214527.43249186143</v>
      </c>
      <c r="AO590" s="21">
        <f>(VLOOKUP(C590,$B$4:$AJ$7,31,FALSE)+VLOOKUP(C590,$B$8:$AJ$11,31,FALSE)*입력란!$P$4)*입력란!$P$25/100</f>
        <v>362008.95327403612</v>
      </c>
      <c r="AP590" s="21"/>
      <c r="AQ590" s="22">
        <v>36</v>
      </c>
    </row>
    <row r="591" spans="2:43" ht="13.5" customHeight="1" x14ac:dyDescent="0.55000000000000004">
      <c r="B591" s="66">
        <v>576</v>
      </c>
      <c r="C591" s="29">
        <v>10</v>
      </c>
      <c r="D591" s="49" t="s">
        <v>53</v>
      </c>
      <c r="E591" s="27" t="s">
        <v>122</v>
      </c>
      <c r="F591" s="29"/>
      <c r="G591" s="29" t="s">
        <v>375</v>
      </c>
      <c r="H591" s="37">
        <f>I591/AJ591</f>
        <v>169551.04606060334</v>
      </c>
      <c r="I591" s="37">
        <f>SUM(J591:Q591)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6030455.3193080006</v>
      </c>
      <c r="J591" s="21">
        <f>S591*(1+IF($AK591+IF(입력란!$C$26=1,10,0)&gt;100,100,$AK591+IF(입력란!$C$26=1,10,0))/100*(($AL591+IF(입력란!$C$30=1,17,IF(입력란!$C$30=2,20,IF(입력란!$C$30=3,22,0)))+IF(G591="생명50%이하",50,0))/100-1))</f>
        <v>911057.9454592102</v>
      </c>
      <c r="K591" s="21">
        <f>T591*(1+IF($AK591+IF(입력란!$C$26=1,10,0)&gt;100,100,$AK591+IF(입력란!$C$26=1,10,0))/100*(($AL591+IF(입력란!$C$30=1,17,IF(입력란!$C$30=2,20,IF(입력란!$C$30=3,22,0)))+IF(G591="생명50%이하",50,0))/100-1))</f>
        <v>911057.9454592102</v>
      </c>
      <c r="L591" s="21">
        <f>U591*(1+IF($AK591+IF(입력란!$C$26=1,10,0)&gt;100,100,$AK591+IF(입력란!$C$26=1,10,0))/100*(($AL591+IF(입력란!$C$30=1,17,IF(입력란!$C$30=2,20,IF(입력란!$C$30=3,22,0)))+IF(G591="생명50%이하",50,0))/100-1))</f>
        <v>911057.9454592102</v>
      </c>
      <c r="M591" s="21">
        <f>V591*(1+IF($AK591+IF(입력란!$C$26=1,10,0)&gt;100,100,$AK591+IF(입력란!$C$26=1,10,0))/100*(($AL591+IF(입력란!$C$30=1,17,IF(입력란!$C$30=2,20,IF(입력란!$C$30=3,22,0)))+IF(G591="생명50%이하",50,0))/100-1))</f>
        <v>1537384.4238787254</v>
      </c>
      <c r="N591" s="21"/>
      <c r="O591" s="21"/>
      <c r="P591" s="21"/>
      <c r="Q591" s="20"/>
      <c r="R591" s="19">
        <f>SUM(S591:Z591)</f>
        <v>2395522.0024868846</v>
      </c>
      <c r="S591" s="21">
        <f>AN591*IF(MID(E591,3,1)="1",1/(0.25/트라이포드!$J$25+0.25/(트라이포드!$J$25*1.1)+0.25/(트라이포드!$J$25*1.2)+0.25/(트라이포드!$J$25*1.3)),트라이포드!$I$25)*IF(MID(E591,3,1)="3",트라이포드!$N$25,트라이포드!$M$25)*IF(MID(E591,5,1)="1",트라이포드!$P$25,트라이포드!$O$25)*IF(MID(E591,5,1)="2",트라이포드!$R$25,트라이포드!$Q$25)*(1+입력란!$P$19/100)</f>
        <v>511047.78834161686</v>
      </c>
      <c r="T591" s="21">
        <f>AN591*IF(MID(E591,3,1)="1",1/(0.25/트라이포드!$J$25+0.25/(트라이포드!$J$25*1.1)+0.25/(트라이포드!$J$25*1.2)+0.25/(트라이포드!$J$25*1.3)),트라이포드!$I$25)*IF(MID(E591,3,1)="3",트라이포드!$N$25,트라이포드!$M$25)*IF(MID(E591,5,1)="1",트라이포드!$P$25,트라이포드!$O$25)*IF(MID(E591,5,1)="2",트라이포드!$R$25,트라이포드!$Q$25)*(1+입력란!$P$19/100)</f>
        <v>511047.78834161686</v>
      </c>
      <c r="U591" s="21">
        <f>AN591*IF(MID(E591,3,1)="1",1/(0.25/트라이포드!$J$25+0.25/(트라이포드!$J$25*1.1)+0.25/(트라이포드!$J$25*1.2)+0.25/(트라이포드!$J$25*1.3)),트라이포드!$I$25)*IF(MID(E591,3,1)="3",트라이포드!$N$25,트라이포드!$M$25)*IF(MID(E591,5,1)="1",트라이포드!$P$25,트라이포드!$O$25)*IF(MID(E591,5,1)="2",트라이포드!$R$25,트라이포드!$Q$25)*(1+입력란!$P$19/100)</f>
        <v>511047.78834161686</v>
      </c>
      <c r="V591" s="21">
        <f>AO591*IF(MID(E591,3,1)="1",1/(0.25/트라이포드!$J$25+0.25/(트라이포드!$J$25*1.1)+0.25/(트라이포드!$J$25*1.2)+0.25/(트라이포드!$J$25*1.3)),트라이포드!$I$25)*IF(MID(E591,3,1)="3",트라이포드!$N$25,트라이포드!$M$25)*IF(MID(E591,5,1)="1",트라이포드!$P$25,트라이포드!$O$25)*IF(MID(E591,5,1)="1",0,1)*IF(MID(E591,5,1)="2",트라이포드!$R$25,트라이포드!$Q$25)*(1+입력란!$P$19/100)</f>
        <v>862378.63746203366</v>
      </c>
      <c r="W591" s="21"/>
      <c r="X591" s="21"/>
      <c r="Y591" s="21"/>
      <c r="Z591" s="20"/>
      <c r="AA591" s="21">
        <f>SUM(AB591:AI591)</f>
        <v>4791044.0049737692</v>
      </c>
      <c r="AB591" s="21">
        <f>S591*2</f>
        <v>1022095.5766832337</v>
      </c>
      <c r="AC591" s="21">
        <f>T591*2</f>
        <v>1022095.5766832337</v>
      </c>
      <c r="AD591" s="21">
        <f>U591*2</f>
        <v>1022095.5766832337</v>
      </c>
      <c r="AE591" s="21">
        <f>V591*2</f>
        <v>1724757.2749240673</v>
      </c>
      <c r="AF591" s="21">
        <f>W591*2</f>
        <v>0</v>
      </c>
      <c r="AG591" s="21">
        <f>X591*2</f>
        <v>0</v>
      </c>
      <c r="AH591" s="21"/>
      <c r="AI591" s="20"/>
      <c r="AJ591" s="21">
        <f>AQ591*(1-입력란!$P$10/100)</f>
        <v>35.567196189119997</v>
      </c>
      <c r="AK59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1" s="21">
        <f>입력란!$P$24+IF(입력란!$C$18=1,10,IF(입력란!$C$18=2,25,IF(입력란!$C$18=3,50,0)))+IF(입력란!$C$23&lt;&gt;0,-12)</f>
        <v>200</v>
      </c>
      <c r="AM591" s="21">
        <f>SUM(AN591:AP591)</f>
        <v>576536.38576589758</v>
      </c>
      <c r="AN591" s="21">
        <f>(VLOOKUP(C591,$B$4:$AJ$7,30,FALSE)+VLOOKUP(C591,$B$8:$AJ$11,30,FALSE)*입력란!$P$4)*입력란!$P$25/100</f>
        <v>214527.43249186143</v>
      </c>
      <c r="AO591" s="21">
        <f>(VLOOKUP(C591,$B$4:$AJ$7,31,FALSE)+VLOOKUP(C591,$B$8:$AJ$11,31,FALSE)*입력란!$P$4)*입력란!$P$25/100</f>
        <v>362008.95327403612</v>
      </c>
      <c r="AP591" s="21"/>
      <c r="AQ591" s="22">
        <v>36</v>
      </c>
    </row>
    <row r="592" spans="2:43" ht="13.5" customHeight="1" x14ac:dyDescent="0.55000000000000004">
      <c r="B592" s="66">
        <v>577</v>
      </c>
      <c r="C592" s="29">
        <v>10</v>
      </c>
      <c r="D592" s="49" t="s">
        <v>53</v>
      </c>
      <c r="E592" s="27" t="s">
        <v>145</v>
      </c>
      <c r="F592" s="29"/>
      <c r="G592" s="29" t="s">
        <v>375</v>
      </c>
      <c r="H592" s="37">
        <f>I592/AJ592</f>
        <v>158918.95264862877</v>
      </c>
      <c r="I592" s="37">
        <f>SUM(J592:Q592)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5652301.5670232503</v>
      </c>
      <c r="J592" s="21">
        <f>S592*(1+IF($AK592+IF(입력란!$C$26=1,10,0)&gt;100,100,$AK592+IF(입력란!$C$26=1,10,0))/100*(($AL592+IF(입력란!$C$30=1,17,IF(입력란!$C$30=2,20,IF(입력란!$C$30=3,22,0)))+IF(G592="생명50%이하",50,0))/100-1))</f>
        <v>1334254.3179244269</v>
      </c>
      <c r="K592" s="21">
        <f>T592*(1+IF($AK592+IF(입력란!$C$26=1,10,0)&gt;100,100,$AK592+IF(입력란!$C$26=1,10,0))/100*(($AL592+IF(입력란!$C$30=1,17,IF(입력란!$C$30=2,20,IF(입력란!$C$30=3,22,0)))+IF(G592="생명50%이하",50,0))/100-1))</f>
        <v>1334254.3179244269</v>
      </c>
      <c r="L592" s="21">
        <f>U592*(1+IF($AK592+IF(입력란!$C$26=1,10,0)&gt;100,100,$AK592+IF(입력란!$C$26=1,10,0))/100*(($AL592+IF(입력란!$C$30=1,17,IF(입력란!$C$30=2,20,IF(입력란!$C$30=3,22,0)))+IF(G592="생명50%이하",50,0))/100-1))</f>
        <v>1334254.3179244269</v>
      </c>
      <c r="M592" s="21">
        <f>V592*(1+IF($AK592+IF(입력란!$C$26=1,10,0)&gt;100,100,$AK592+IF(입력란!$C$26=1,10,0))/100*(($AL592+IF(입력란!$C$30=1,17,IF(입력란!$C$30=2,20,IF(입력란!$C$30=3,22,0)))+IF(G592="생명50%이하",50,0))/100-1))</f>
        <v>0</v>
      </c>
      <c r="N592" s="21"/>
      <c r="O592" s="21"/>
      <c r="P592" s="21"/>
      <c r="Q592" s="20"/>
      <c r="R592" s="19">
        <f>SUM(S592:Z592)</f>
        <v>2245305.2135454742</v>
      </c>
      <c r="S592" s="21">
        <f>AN592*IF(MID(E592,3,1)="1",1/(0.25/트라이포드!$J$25+0.25/(트라이포드!$J$25*1.1)+0.25/(트라이포드!$J$25*1.2)+0.25/(트라이포드!$J$25*1.3)),트라이포드!$I$25)*IF(MID(E592,3,1)="3",트라이포드!$N$25,트라이포드!$M$25)*IF(MID(E592,5,1)="1",트라이포드!$P$25,트라이포드!$O$25)*IF(MID(E592,5,1)="2",트라이포드!$R$25,트라이포드!$Q$25)*(1+입력란!$P$19/100)</f>
        <v>748435.07118182466</v>
      </c>
      <c r="T592" s="21">
        <f>AN592*IF(MID(E592,3,1)="1",1/(0.25/트라이포드!$J$25+0.25/(트라이포드!$J$25*1.1)+0.25/(트라이포드!$J$25*1.2)+0.25/(트라이포드!$J$25*1.3)),트라이포드!$I$25)*IF(MID(E592,3,1)="3",트라이포드!$N$25,트라이포드!$M$25)*IF(MID(E592,5,1)="1",트라이포드!$P$25,트라이포드!$O$25)*IF(MID(E592,5,1)="2",트라이포드!$R$25,트라이포드!$Q$25)*(1+입력란!$P$19/100)</f>
        <v>748435.07118182466</v>
      </c>
      <c r="U592" s="21">
        <f>AN592*IF(MID(E592,3,1)="1",1/(0.25/트라이포드!$J$25+0.25/(트라이포드!$J$25*1.1)+0.25/(트라이포드!$J$25*1.2)+0.25/(트라이포드!$J$25*1.3)),트라이포드!$I$25)*IF(MID(E592,3,1)="3",트라이포드!$N$25,트라이포드!$M$25)*IF(MID(E592,5,1)="1",트라이포드!$P$25,트라이포드!$O$25)*IF(MID(E592,5,1)="2",트라이포드!$R$25,트라이포드!$Q$25)*(1+입력란!$P$19/100)</f>
        <v>748435.07118182466</v>
      </c>
      <c r="V592" s="21">
        <f>AO592*IF(MID(E592,3,1)="1",1/(0.25/트라이포드!$J$25+0.25/(트라이포드!$J$25*1.1)+0.25/(트라이포드!$J$25*1.2)+0.25/(트라이포드!$J$25*1.3)),트라이포드!$I$25)*IF(MID(E592,3,1)="3",트라이포드!$N$25,트라이포드!$M$25)*IF(MID(E592,5,1)="1",트라이포드!$P$25,트라이포드!$O$25)*IF(MID(E592,5,1)="1",0,1)*IF(MID(E592,5,1)="2",트라이포드!$R$25,트라이포드!$Q$25)*(1+입력란!$P$19/100)</f>
        <v>0</v>
      </c>
      <c r="W592" s="21"/>
      <c r="X592" s="21"/>
      <c r="Y592" s="21"/>
      <c r="Z592" s="20"/>
      <c r="AA592" s="21">
        <f>SUM(AB592:AI592)</f>
        <v>4490610.4270909484</v>
      </c>
      <c r="AB592" s="21">
        <f>S592*2</f>
        <v>1496870.1423636493</v>
      </c>
      <c r="AC592" s="21">
        <f>T592*2</f>
        <v>1496870.1423636493</v>
      </c>
      <c r="AD592" s="21">
        <f>U592*2</f>
        <v>1496870.1423636493</v>
      </c>
      <c r="AE592" s="21">
        <f>V592*2</f>
        <v>0</v>
      </c>
      <c r="AF592" s="21">
        <f>W592*2</f>
        <v>0</v>
      </c>
      <c r="AG592" s="21">
        <f>X592*2</f>
        <v>0</v>
      </c>
      <c r="AH592" s="21"/>
      <c r="AI592" s="20"/>
      <c r="AJ592" s="21">
        <f>AQ592*(1-입력란!$P$10/100)</f>
        <v>35.567196189119997</v>
      </c>
      <c r="AK59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2" s="21">
        <f>입력란!$P$24+IF(입력란!$C$18=1,10,IF(입력란!$C$18=2,25,IF(입력란!$C$18=3,50,0)))+IF(입력란!$C$23&lt;&gt;0,-12)</f>
        <v>200</v>
      </c>
      <c r="AM592" s="21">
        <f>SUM(AN592:AP592)</f>
        <v>576536.38576589758</v>
      </c>
      <c r="AN592" s="21">
        <f>(VLOOKUP(C592,$B$4:$AJ$7,30,FALSE)+VLOOKUP(C592,$B$8:$AJ$11,30,FALSE)*입력란!$P$4)*입력란!$P$25/100</f>
        <v>214527.43249186143</v>
      </c>
      <c r="AO592" s="21">
        <f>(VLOOKUP(C592,$B$4:$AJ$7,31,FALSE)+VLOOKUP(C592,$B$8:$AJ$11,31,FALSE)*입력란!$P$4)*입력란!$P$25/100</f>
        <v>362008.95327403612</v>
      </c>
      <c r="AP592" s="21"/>
      <c r="AQ592" s="22">
        <v>36</v>
      </c>
    </row>
    <row r="593" spans="2:43" ht="13.5" customHeight="1" x14ac:dyDescent="0.55000000000000004">
      <c r="B593" s="66">
        <v>578</v>
      </c>
      <c r="C593" s="29">
        <v>10</v>
      </c>
      <c r="D593" s="49" t="s">
        <v>53</v>
      </c>
      <c r="E593" s="27" t="s">
        <v>146</v>
      </c>
      <c r="F593" s="29"/>
      <c r="G593" s="29" t="s">
        <v>375</v>
      </c>
      <c r="H593" s="37">
        <f>I593/AJ593</f>
        <v>241411.87772983359</v>
      </c>
      <c r="I593" s="37">
        <f>SUM(J593:Q593)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8586343.6176008396</v>
      </c>
      <c r="J593" s="21">
        <f>S593*(1+IF($AK593+IF(입력란!$C$26=1,10,0)&gt;100,100,$AK593+IF(입력란!$C$26=1,10,0))/100*(($AL593+IF(입력란!$C$30=1,17,IF(입력란!$C$30=2,20,IF(입력란!$C$30=3,22,0)))+IF(G593="생명50%이하",50,0))/100-1))</f>
        <v>1297191.6979820819</v>
      </c>
      <c r="K593" s="21">
        <f>T593*(1+IF($AK593+IF(입력란!$C$26=1,10,0)&gt;100,100,$AK593+IF(입력란!$C$26=1,10,0))/100*(($AL593+IF(입력란!$C$30=1,17,IF(입력란!$C$30=2,20,IF(입력란!$C$30=3,22,0)))+IF(G593="생명50%이하",50,0))/100-1))</f>
        <v>1297191.6979820819</v>
      </c>
      <c r="L593" s="21">
        <f>U593*(1+IF($AK593+IF(입력란!$C$26=1,10,0)&gt;100,100,$AK593+IF(입력란!$C$26=1,10,0))/100*(($AL593+IF(입력란!$C$30=1,17,IF(입력란!$C$30=2,20,IF(입력란!$C$30=3,22,0)))+IF(G593="생명50%이하",50,0))/100-1))</f>
        <v>1297191.6979820819</v>
      </c>
      <c r="M593" s="21">
        <f>V593*(1+IF($AK593+IF(입력란!$C$26=1,10,0)&gt;100,100,$AK593+IF(입력란!$C$26=1,10,0))/100*(($AL593+IF(입력란!$C$30=1,17,IF(입력란!$C$30=2,20,IF(입력란!$C$30=3,22,0)))+IF(G593="생명50%이하",50,0))/100-1))</f>
        <v>2188974.1714038281</v>
      </c>
      <c r="N593" s="21"/>
      <c r="O593" s="21"/>
      <c r="P593" s="21"/>
      <c r="Q593" s="20"/>
      <c r="R593" s="19">
        <f>SUM(S593:Z593)</f>
        <v>3410816.2597639351</v>
      </c>
      <c r="S593" s="21">
        <f>AN593*IF(MID(E593,3,1)="1",1/(0.25/트라이포드!$J$25+0.25/(트라이포드!$J$25*1.1)+0.25/(트라이포드!$J$25*1.2)+0.25/(트라이포드!$J$25*1.3)),트라이포드!$I$25)*IF(MID(E593,3,1)="3",트라이포드!$N$25,트라이포드!$M$25)*IF(MID(E593,5,1)="1",트라이포드!$P$25,트라이포드!$O$25)*IF(MID(E593,5,1)="2",트라이포드!$R$25,트라이포드!$Q$25)*(1+입력란!$P$19/100)</f>
        <v>727645.20809344074</v>
      </c>
      <c r="T593" s="21">
        <f>AN593*IF(MID(E593,3,1)="1",1/(0.25/트라이포드!$J$25+0.25/(트라이포드!$J$25*1.1)+0.25/(트라이포드!$J$25*1.2)+0.25/(트라이포드!$J$25*1.3)),트라이포드!$I$25)*IF(MID(E593,3,1)="3",트라이포드!$N$25,트라이포드!$M$25)*IF(MID(E593,5,1)="1",트라이포드!$P$25,트라이포드!$O$25)*IF(MID(E593,5,1)="2",트라이포드!$R$25,트라이포드!$Q$25)*(1+입력란!$P$19/100)</f>
        <v>727645.20809344074</v>
      </c>
      <c r="U593" s="21">
        <f>AN593*IF(MID(E593,3,1)="1",1/(0.25/트라이포드!$J$25+0.25/(트라이포드!$J$25*1.1)+0.25/(트라이포드!$J$25*1.2)+0.25/(트라이포드!$J$25*1.3)),트라이포드!$I$25)*IF(MID(E593,3,1)="3",트라이포드!$N$25,트라이포드!$M$25)*IF(MID(E593,5,1)="1",트라이포드!$P$25,트라이포드!$O$25)*IF(MID(E593,5,1)="2",트라이포드!$R$25,트라이포드!$Q$25)*(1+입력란!$P$19/100)</f>
        <v>727645.20809344074</v>
      </c>
      <c r="V593" s="21">
        <f>AO593*IF(MID(E593,3,1)="1",1/(0.25/트라이포드!$J$25+0.25/(트라이포드!$J$25*1.1)+0.25/(트라이포드!$J$25*1.2)+0.25/(트라이포드!$J$25*1.3)),트라이포드!$I$25)*IF(MID(E593,3,1)="3",트라이포드!$N$25,트라이포드!$M$25)*IF(MID(E593,5,1)="1",트라이포드!$P$25,트라이포드!$O$25)*IF(MID(E593,5,1)="1",0,1)*IF(MID(E593,5,1)="2",트라이포드!$R$25,트라이포드!$Q$25)*(1+입력란!$P$19/100)</f>
        <v>1227880.6354836128</v>
      </c>
      <c r="W593" s="21"/>
      <c r="X593" s="21"/>
      <c r="Y593" s="21"/>
      <c r="Z593" s="20"/>
      <c r="AA593" s="21">
        <f>SUM(AB593:AI593)</f>
        <v>6821632.5195278702</v>
      </c>
      <c r="AB593" s="21">
        <f>S593*2</f>
        <v>1455290.4161868815</v>
      </c>
      <c r="AC593" s="21">
        <f>T593*2</f>
        <v>1455290.4161868815</v>
      </c>
      <c r="AD593" s="21">
        <f>U593*2</f>
        <v>1455290.4161868815</v>
      </c>
      <c r="AE593" s="21">
        <f>V593*2</f>
        <v>2455761.2709672255</v>
      </c>
      <c r="AF593" s="21">
        <f>W593*2</f>
        <v>0</v>
      </c>
      <c r="AG593" s="21">
        <f>X593*2</f>
        <v>0</v>
      </c>
      <c r="AH593" s="21"/>
      <c r="AI593" s="20"/>
      <c r="AJ593" s="21">
        <f>AQ593*(1-입력란!$P$10/100)</f>
        <v>35.567196189119997</v>
      </c>
      <c r="AK59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3" s="21">
        <f>입력란!$P$24+IF(입력란!$C$18=1,10,IF(입력란!$C$18=2,25,IF(입력란!$C$18=3,50,0)))+IF(입력란!$C$23&lt;&gt;0,-12)</f>
        <v>200</v>
      </c>
      <c r="AM593" s="21">
        <f>SUM(AN593:AP593)</f>
        <v>576536.38576589758</v>
      </c>
      <c r="AN593" s="21">
        <f>(VLOOKUP(C593,$B$4:$AJ$7,30,FALSE)+VLOOKUP(C593,$B$8:$AJ$11,30,FALSE)*입력란!$P$4)*입력란!$P$25/100</f>
        <v>214527.43249186143</v>
      </c>
      <c r="AO593" s="21">
        <f>(VLOOKUP(C593,$B$4:$AJ$7,31,FALSE)+VLOOKUP(C593,$B$8:$AJ$11,31,FALSE)*입력란!$P$4)*입력란!$P$25/100</f>
        <v>362008.95327403612</v>
      </c>
      <c r="AP593" s="21"/>
      <c r="AQ593" s="22">
        <v>36</v>
      </c>
    </row>
    <row r="594" spans="2:43" ht="13.5" customHeight="1" x14ac:dyDescent="0.55000000000000004">
      <c r="B594" s="66">
        <v>579</v>
      </c>
      <c r="C594" s="29">
        <v>10</v>
      </c>
      <c r="D594" s="49" t="s">
        <v>53</v>
      </c>
      <c r="E594" s="27" t="s">
        <v>126</v>
      </c>
      <c r="F594" s="29"/>
      <c r="G594" s="29" t="s">
        <v>375</v>
      </c>
      <c r="H594" s="37">
        <f>I594/AJ594</f>
        <v>156259.1902243463</v>
      </c>
      <c r="I594" s="37">
        <f>SUM(J594:Q594)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5557701.2750623468</v>
      </c>
      <c r="J594" s="21">
        <f>S594*(1+IF($AK594+IF(입력란!$C$26=1,10,0)&gt;100,100,$AK594+IF(입력란!$C$26=1,10,0))/100*(($AL594+IF(입력란!$C$30=1,17,IF(입력란!$C$30=2,20,IF(입력란!$C$30=3,22,0)))+IF(G594="생명50%이하",50,0))/100-1))</f>
        <v>1311923.4414612625</v>
      </c>
      <c r="K594" s="21">
        <f>T594*(1+IF($AK594+IF(입력란!$C$26=1,10,0)&gt;100,100,$AK594+IF(입력란!$C$26=1,10,0))/100*(($AL594+IF(입력란!$C$30=1,17,IF(입력란!$C$30=2,20,IF(입력란!$C$30=3,22,0)))+IF(G594="생명50%이하",50,0))/100-1))</f>
        <v>1311923.4414612625</v>
      </c>
      <c r="L594" s="21">
        <f>U594*(1+IF($AK594+IF(입력란!$C$26=1,10,0)&gt;100,100,$AK594+IF(입력란!$C$26=1,10,0))/100*(($AL594+IF(입력란!$C$30=1,17,IF(입력란!$C$30=2,20,IF(입력란!$C$30=3,22,0)))+IF(G594="생명50%이하",50,0))/100-1))</f>
        <v>1311923.4414612625</v>
      </c>
      <c r="M594" s="21">
        <f>V594*(1+IF($AK594+IF(입력란!$C$26=1,10,0)&gt;100,100,$AK594+IF(입력란!$C$26=1,10,0))/100*(($AL594+IF(입력란!$C$30=1,17,IF(입력란!$C$30=2,20,IF(입력란!$C$30=3,22,0)))+IF(G594="생명50%이하",50,0))/100-1))</f>
        <v>0</v>
      </c>
      <c r="N594" s="21"/>
      <c r="O594" s="21"/>
      <c r="P594" s="21"/>
      <c r="Q594" s="20"/>
      <c r="R594" s="19">
        <f>SUM(S594:Z594)</f>
        <v>2207726.4456357844</v>
      </c>
      <c r="S594" s="21">
        <f>AN594*IF(MID(E594,3,1)="1",1/(0.25/트라이포드!$J$25+0.25/(트라이포드!$J$25*1.1)+0.25/(트라이포드!$J$25*1.2)+0.25/(트라이포드!$J$25*1.3)),트라이포드!$I$25)*IF(MID(E594,3,1)="3",트라이포드!$N$25,트라이포드!$M$25)*IF(MID(E594,5,1)="1",트라이포드!$P$25,트라이포드!$O$25)*IF(MID(E594,5,1)="2",트라이포드!$R$25,트라이포드!$Q$25)*(1+입력란!$P$19/100)</f>
        <v>735908.81521192822</v>
      </c>
      <c r="T594" s="21">
        <f>AN594*IF(MID(E594,3,1)="1",1/(0.25/트라이포드!$J$25+0.25/(트라이포드!$J$25*1.1)+0.25/(트라이포드!$J$25*1.2)+0.25/(트라이포드!$J$25*1.3)),트라이포드!$I$25)*IF(MID(E594,3,1)="3",트라이포드!$N$25,트라이포드!$M$25)*IF(MID(E594,5,1)="1",트라이포드!$P$25,트라이포드!$O$25)*IF(MID(E594,5,1)="2",트라이포드!$R$25,트라이포드!$Q$25)*(1+입력란!$P$19/100)</f>
        <v>735908.81521192822</v>
      </c>
      <c r="U594" s="21">
        <f>AN594*IF(MID(E594,3,1)="1",1/(0.25/트라이포드!$J$25+0.25/(트라이포드!$J$25*1.1)+0.25/(트라이포드!$J$25*1.2)+0.25/(트라이포드!$J$25*1.3)),트라이포드!$I$25)*IF(MID(E594,3,1)="3",트라이포드!$N$25,트라이포드!$M$25)*IF(MID(E594,5,1)="1",트라이포드!$P$25,트라이포드!$O$25)*IF(MID(E594,5,1)="2",트라이포드!$R$25,트라이포드!$Q$25)*(1+입력란!$P$19/100)</f>
        <v>735908.81521192822</v>
      </c>
      <c r="V594" s="21">
        <f>AO594*IF(MID(E594,3,1)="1",1/(0.25/트라이포드!$J$25+0.25/(트라이포드!$J$25*1.1)+0.25/(트라이포드!$J$25*1.2)+0.25/(트라이포드!$J$25*1.3)),트라이포드!$I$25)*IF(MID(E594,3,1)="3",트라이포드!$N$25,트라이포드!$M$25)*IF(MID(E594,5,1)="1",트라이포드!$P$25,트라이포드!$O$25)*IF(MID(E594,5,1)="1",0,1)*IF(MID(E594,5,1)="2",트라이포드!$R$25,트라이포드!$Q$25)*(1+입력란!$P$19/100)</f>
        <v>0</v>
      </c>
      <c r="W594" s="21"/>
      <c r="X594" s="21"/>
      <c r="Y594" s="21"/>
      <c r="Z594" s="20"/>
      <c r="AA594" s="21">
        <f>SUM(AB594:AI594)</f>
        <v>4415452.8912715688</v>
      </c>
      <c r="AB594" s="21">
        <f>S594*2</f>
        <v>1471817.6304238564</v>
      </c>
      <c r="AC594" s="21">
        <f>T594*2</f>
        <v>1471817.6304238564</v>
      </c>
      <c r="AD594" s="21">
        <f>U594*2</f>
        <v>1471817.6304238564</v>
      </c>
      <c r="AE594" s="21">
        <f>V594*2</f>
        <v>0</v>
      </c>
      <c r="AF594" s="21">
        <f>W594*2</f>
        <v>0</v>
      </c>
      <c r="AG594" s="21">
        <f>X594*2</f>
        <v>0</v>
      </c>
      <c r="AH594" s="21"/>
      <c r="AI594" s="20"/>
      <c r="AJ594" s="21">
        <f>AQ594*(1-입력란!$P$10/100)</f>
        <v>35.567196189119997</v>
      </c>
      <c r="AK59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4" s="21">
        <f>입력란!$P$24+IF(입력란!$C$18=1,10,IF(입력란!$C$18=2,25,IF(입력란!$C$18=3,50,0)))+IF(입력란!$C$23&lt;&gt;0,-12)</f>
        <v>200</v>
      </c>
      <c r="AM594" s="21">
        <f>SUM(AN594:AP594)</f>
        <v>576536.38576589758</v>
      </c>
      <c r="AN594" s="21">
        <f>(VLOOKUP(C594,$B$4:$AJ$7,30,FALSE)+VLOOKUP(C594,$B$8:$AJ$11,30,FALSE)*입력란!$P$4)*입력란!$P$25/100</f>
        <v>214527.43249186143</v>
      </c>
      <c r="AO594" s="21">
        <f>(VLOOKUP(C594,$B$4:$AJ$7,31,FALSE)+VLOOKUP(C594,$B$8:$AJ$11,31,FALSE)*입력란!$P$4)*입력란!$P$25/100</f>
        <v>362008.95327403612</v>
      </c>
      <c r="AP594" s="21"/>
      <c r="AQ594" s="22">
        <v>36</v>
      </c>
    </row>
    <row r="595" spans="2:43" ht="13.5" customHeight="1" x14ac:dyDescent="0.55000000000000004">
      <c r="B595" s="66">
        <v>580</v>
      </c>
      <c r="C595" s="29">
        <v>10</v>
      </c>
      <c r="D595" s="49" t="s">
        <v>53</v>
      </c>
      <c r="E595" s="27" t="s">
        <v>127</v>
      </c>
      <c r="F595" s="29"/>
      <c r="G595" s="29" t="s">
        <v>375</v>
      </c>
      <c r="H595" s="37">
        <f>I595/AJ595</f>
        <v>237371.46448484468</v>
      </c>
      <c r="I595" s="37">
        <f>SUM(J595:Q595)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8442637.4470311999</v>
      </c>
      <c r="J595" s="21">
        <f>S595*(1+IF($AK595+IF(입력란!$C$26=1,10,0)&gt;100,100,$AK595+IF(입력란!$C$26=1,10,0))/100*(($AL595+IF(입력란!$C$30=1,17,IF(입력란!$C$30=2,20,IF(입력란!$C$30=3,22,0)))+IF(G595="생명50%이하",50,0))/100-1))</f>
        <v>1275481.123642894</v>
      </c>
      <c r="K595" s="21">
        <f>T595*(1+IF($AK595+IF(입력란!$C$26=1,10,0)&gt;100,100,$AK595+IF(입력란!$C$26=1,10,0))/100*(($AL595+IF(입력란!$C$30=1,17,IF(입력란!$C$30=2,20,IF(입력란!$C$30=3,22,0)))+IF(G595="생명50%이하",50,0))/100-1))</f>
        <v>1275481.123642894</v>
      </c>
      <c r="L595" s="21">
        <f>U595*(1+IF($AK595+IF(입력란!$C$26=1,10,0)&gt;100,100,$AK595+IF(입력란!$C$26=1,10,0))/100*(($AL595+IF(입력란!$C$30=1,17,IF(입력란!$C$30=2,20,IF(입력란!$C$30=3,22,0)))+IF(G595="생명50%이하",50,0))/100-1))</f>
        <v>1275481.123642894</v>
      </c>
      <c r="M595" s="21">
        <f>V595*(1+IF($AK595+IF(입력란!$C$26=1,10,0)&gt;100,100,$AK595+IF(입력란!$C$26=1,10,0))/100*(($AL595+IF(입력란!$C$30=1,17,IF(입력란!$C$30=2,20,IF(입력란!$C$30=3,22,0)))+IF(G595="생명50%이하",50,0))/100-1))</f>
        <v>2152338.1934302156</v>
      </c>
      <c r="N595" s="21"/>
      <c r="O595" s="21"/>
      <c r="P595" s="21"/>
      <c r="Q595" s="20"/>
      <c r="R595" s="19">
        <f>SUM(S595:Z595)</f>
        <v>3353730.8034816375</v>
      </c>
      <c r="S595" s="21">
        <f>AN595*IF(MID(E595,3,1)="1",1/(0.25/트라이포드!$J$25+0.25/(트라이포드!$J$25*1.1)+0.25/(트라이포드!$J$25*1.2)+0.25/(트라이포드!$J$25*1.3)),트라이포드!$I$25)*IF(MID(E595,3,1)="3",트라이포드!$N$25,트라이포드!$M$25)*IF(MID(E595,5,1)="1",트라이포드!$P$25,트라이포드!$O$25)*IF(MID(E595,5,1)="2",트라이포드!$R$25,트라이포드!$Q$25)*(1+입력란!$P$19/100)</f>
        <v>715466.90367826354</v>
      </c>
      <c r="T595" s="21">
        <f>AN595*IF(MID(E595,3,1)="1",1/(0.25/트라이포드!$J$25+0.25/(트라이포드!$J$25*1.1)+0.25/(트라이포드!$J$25*1.2)+0.25/(트라이포드!$J$25*1.3)),트라이포드!$I$25)*IF(MID(E595,3,1)="3",트라이포드!$N$25,트라이포드!$M$25)*IF(MID(E595,5,1)="1",트라이포드!$P$25,트라이포드!$O$25)*IF(MID(E595,5,1)="2",트라이포드!$R$25,트라이포드!$Q$25)*(1+입력란!$P$19/100)</f>
        <v>715466.90367826354</v>
      </c>
      <c r="U595" s="21">
        <f>AN595*IF(MID(E595,3,1)="1",1/(0.25/트라이포드!$J$25+0.25/(트라이포드!$J$25*1.1)+0.25/(트라이포드!$J$25*1.2)+0.25/(트라이포드!$J$25*1.3)),트라이포드!$I$25)*IF(MID(E595,3,1)="3",트라이포드!$N$25,트라이포드!$M$25)*IF(MID(E595,5,1)="1",트라이포드!$P$25,트라이포드!$O$25)*IF(MID(E595,5,1)="2",트라이포드!$R$25,트라이포드!$Q$25)*(1+입력란!$P$19/100)</f>
        <v>715466.90367826354</v>
      </c>
      <c r="V595" s="21">
        <f>AO595*IF(MID(E595,3,1)="1",1/(0.25/트라이포드!$J$25+0.25/(트라이포드!$J$25*1.1)+0.25/(트라이포드!$J$25*1.2)+0.25/(트라이포드!$J$25*1.3)),트라이포드!$I$25)*IF(MID(E595,3,1)="3",트라이포드!$N$25,트라이포드!$M$25)*IF(MID(E595,5,1)="1",트라이포드!$P$25,트라이포드!$O$25)*IF(MID(E595,5,1)="1",0,1)*IF(MID(E595,5,1)="2",트라이포드!$R$25,트라이포드!$Q$25)*(1+입력란!$P$19/100)</f>
        <v>1207330.0924468471</v>
      </c>
      <c r="W595" s="21"/>
      <c r="X595" s="21"/>
      <c r="Y595" s="21"/>
      <c r="Z595" s="20"/>
      <c r="AA595" s="21">
        <f>SUM(AB595:AI595)</f>
        <v>6707461.606963275</v>
      </c>
      <c r="AB595" s="21">
        <f>S595*2</f>
        <v>1430933.8073565271</v>
      </c>
      <c r="AC595" s="21">
        <f>T595*2</f>
        <v>1430933.8073565271</v>
      </c>
      <c r="AD595" s="21">
        <f>U595*2</f>
        <v>1430933.8073565271</v>
      </c>
      <c r="AE595" s="21">
        <f>V595*2</f>
        <v>2414660.1848936942</v>
      </c>
      <c r="AF595" s="21">
        <f>W595*2</f>
        <v>0</v>
      </c>
      <c r="AG595" s="21">
        <f>X595*2</f>
        <v>0</v>
      </c>
      <c r="AH595" s="21"/>
      <c r="AI595" s="20"/>
      <c r="AJ595" s="21">
        <f>AQ595*(1-입력란!$P$10/100)</f>
        <v>35.567196189119997</v>
      </c>
      <c r="AK59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595" s="21">
        <f>입력란!$P$24+IF(입력란!$C$18=1,10,IF(입력란!$C$18=2,25,IF(입력란!$C$18=3,50,0)))+IF(입력란!$C$23&lt;&gt;0,-12)</f>
        <v>200</v>
      </c>
      <c r="AM595" s="21">
        <f>SUM(AN595:AP595)</f>
        <v>576536.38576589758</v>
      </c>
      <c r="AN595" s="21">
        <f>(VLOOKUP(C595,$B$4:$AJ$7,30,FALSE)+VLOOKUP(C595,$B$8:$AJ$11,30,FALSE)*입력란!$P$4)*입력란!$P$25/100</f>
        <v>214527.43249186143</v>
      </c>
      <c r="AO595" s="21">
        <f>(VLOOKUP(C595,$B$4:$AJ$7,31,FALSE)+VLOOKUP(C595,$B$8:$AJ$11,31,FALSE)*입력란!$P$4)*입력란!$P$25/100</f>
        <v>362008.95327403612</v>
      </c>
      <c r="AP595" s="21"/>
      <c r="AQ595" s="22">
        <v>36</v>
      </c>
    </row>
    <row r="596" spans="2:43" ht="13.5" customHeight="1" x14ac:dyDescent="0.55000000000000004">
      <c r="B596" s="66">
        <v>581</v>
      </c>
      <c r="C596" s="29">
        <v>1</v>
      </c>
      <c r="D596" s="49" t="s">
        <v>53</v>
      </c>
      <c r="E596" s="27" t="s">
        <v>76</v>
      </c>
      <c r="F596" s="29"/>
      <c r="G596" s="29" t="s">
        <v>422</v>
      </c>
      <c r="H596" s="37">
        <f>J596*2/(1+1/(K596/J596))</f>
        <v>89030.858951060422</v>
      </c>
      <c r="I596" s="37"/>
      <c r="J596" s="21">
        <f t="array" ref="J596">IFERROR(INDEX($H$16:$H$657,MATCH(1,(C596=$C$16:$C$657)*(D596=$D$16:$D$657)*(E596=$E$16:$E$657)*(""=$G$16:$G$657),0)),"에러")</f>
        <v>82515.860270162855</v>
      </c>
      <c r="K596" s="21">
        <f t="array" ref="K596">IFERROR(INDEX($H$16:$H$657,MATCH(1,(C596=$C$16:$C$657)*(D596=$D$16:$D$657)*(E596=$E$16:$E$657)*("생명50%이하"=$G$16:$G$657),0)),"에러")</f>
        <v>96662.82412219292</v>
      </c>
      <c r="L596" s="21"/>
      <c r="M596" s="21"/>
      <c r="N596" s="21"/>
      <c r="O596" s="21"/>
      <c r="P596" s="21"/>
      <c r="Q596" s="20"/>
      <c r="R596" s="19"/>
      <c r="S596" s="21"/>
      <c r="T596" s="21"/>
      <c r="U596" s="21"/>
      <c r="V596" s="21"/>
      <c r="W596" s="21"/>
      <c r="X596" s="21"/>
      <c r="Y596" s="21"/>
      <c r="Z596" s="20"/>
      <c r="AA596" s="21"/>
      <c r="AB596" s="21"/>
      <c r="AC596" s="21"/>
      <c r="AD596" s="21"/>
      <c r="AE596" s="21"/>
      <c r="AF596" s="21"/>
      <c r="AG596" s="21"/>
      <c r="AH596" s="21"/>
      <c r="AI596" s="20"/>
      <c r="AJ596" s="21"/>
      <c r="AK596" s="21"/>
      <c r="AL596" s="21"/>
      <c r="AM596" s="21"/>
      <c r="AN596" s="21"/>
      <c r="AO596" s="21"/>
      <c r="AP596" s="21"/>
      <c r="AQ596" s="22"/>
    </row>
    <row r="597" spans="2:43" ht="13.5" customHeight="1" x14ac:dyDescent="0.55000000000000004">
      <c r="B597" s="66">
        <v>582</v>
      </c>
      <c r="C597" s="29">
        <v>4</v>
      </c>
      <c r="D597" s="49" t="s">
        <v>53</v>
      </c>
      <c r="E597" s="27" t="s">
        <v>76</v>
      </c>
      <c r="F597" s="29"/>
      <c r="G597" s="29" t="s">
        <v>422</v>
      </c>
      <c r="H597" s="37">
        <f>J597*2/(1+1/(K597/J597))</f>
        <v>89146.473847149813</v>
      </c>
      <c r="I597" s="37"/>
      <c r="J597" s="21">
        <f t="array" ref="J597">IFERROR(INDEX($H$16:$H$657,MATCH(1,(C597=$C$16:$C$657)*(D597=$D$16:$D$657)*(E597=$E$16:$E$657)*(""=$G$16:$G$657),0)),"에러")</f>
        <v>82623.014831213499</v>
      </c>
      <c r="K597" s="21">
        <f t="array" ref="K597">IFERROR(INDEX($H$16:$H$657,MATCH(1,(C597=$C$16:$C$657)*(D597=$D$16:$D$657)*(E597=$E$16:$E$657)*("생명50%이하"=$G$16:$G$657),0)),"에러")</f>
        <v>96788.349838762035</v>
      </c>
      <c r="L597" s="21"/>
      <c r="M597" s="21"/>
      <c r="N597" s="21"/>
      <c r="O597" s="21"/>
      <c r="P597" s="21"/>
      <c r="Q597" s="20"/>
      <c r="R597" s="19"/>
      <c r="S597" s="21"/>
      <c r="T597" s="21"/>
      <c r="U597" s="21"/>
      <c r="V597" s="21"/>
      <c r="W597" s="21"/>
      <c r="X597" s="21"/>
      <c r="Y597" s="21"/>
      <c r="Z597" s="20"/>
      <c r="AA597" s="21"/>
      <c r="AB597" s="21"/>
      <c r="AC597" s="21"/>
      <c r="AD597" s="21"/>
      <c r="AE597" s="21"/>
      <c r="AF597" s="21"/>
      <c r="AG597" s="21"/>
      <c r="AH597" s="21"/>
      <c r="AI597" s="20"/>
      <c r="AJ597" s="21"/>
      <c r="AK597" s="21"/>
      <c r="AL597" s="21"/>
      <c r="AM597" s="21"/>
      <c r="AN597" s="21"/>
      <c r="AO597" s="21"/>
      <c r="AP597" s="21"/>
      <c r="AQ597" s="22"/>
    </row>
    <row r="598" spans="2:43" ht="13.5" customHeight="1" x14ac:dyDescent="0.55000000000000004">
      <c r="B598" s="66">
        <v>583</v>
      </c>
      <c r="C598" s="29">
        <v>7</v>
      </c>
      <c r="D598" s="49" t="s">
        <v>53</v>
      </c>
      <c r="E598" s="27" t="s">
        <v>76</v>
      </c>
      <c r="F598" s="29"/>
      <c r="G598" s="29" t="s">
        <v>422</v>
      </c>
      <c r="H598" s="37">
        <f>J598*2/(1+1/(K598/J598))</f>
        <v>89202.057183323879</v>
      </c>
      <c r="I598" s="37"/>
      <c r="J598" s="21">
        <f t="array" ref="J598">IFERROR(INDEX($H$16:$H$657,MATCH(1,(C598=$C$16:$C$657)*(D598=$D$16:$D$657)*(E598=$E$16:$E$657)*(""=$G$16:$G$657),0)),"에러")</f>
        <v>82674.53075339066</v>
      </c>
      <c r="K598" s="21">
        <f t="array" ref="K598">IFERROR(INDEX($H$16:$H$657,MATCH(1,(C598=$C$16:$C$657)*(D598=$D$16:$D$657)*(E598=$E$16:$E$657)*("생명50%이하"=$G$16:$G$657),0)),"에러")</f>
        <v>96848.697928312322</v>
      </c>
      <c r="L598" s="21"/>
      <c r="M598" s="21"/>
      <c r="N598" s="21"/>
      <c r="O598" s="21"/>
      <c r="P598" s="21"/>
      <c r="Q598" s="20"/>
      <c r="R598" s="19"/>
      <c r="S598" s="21"/>
      <c r="T598" s="21"/>
      <c r="U598" s="21"/>
      <c r="V598" s="21"/>
      <c r="W598" s="21"/>
      <c r="X598" s="21"/>
      <c r="Y598" s="21"/>
      <c r="Z598" s="20"/>
      <c r="AA598" s="21"/>
      <c r="AB598" s="21"/>
      <c r="AC598" s="21"/>
      <c r="AD598" s="21"/>
      <c r="AE598" s="21"/>
      <c r="AF598" s="21"/>
      <c r="AG598" s="21"/>
      <c r="AH598" s="21"/>
      <c r="AI598" s="20"/>
      <c r="AJ598" s="21"/>
      <c r="AK598" s="21"/>
      <c r="AL598" s="21"/>
      <c r="AM598" s="21"/>
      <c r="AN598" s="21"/>
      <c r="AO598" s="21"/>
      <c r="AP598" s="21"/>
      <c r="AQ598" s="22"/>
    </row>
    <row r="599" spans="2:43" ht="13.5" customHeight="1" x14ac:dyDescent="0.55000000000000004">
      <c r="B599" s="66">
        <v>584</v>
      </c>
      <c r="C599" s="29">
        <v>7</v>
      </c>
      <c r="D599" s="49" t="s">
        <v>53</v>
      </c>
      <c r="E599" s="27" t="s">
        <v>96</v>
      </c>
      <c r="F599" s="29"/>
      <c r="G599" s="29" t="s">
        <v>422</v>
      </c>
      <c r="H599" s="37">
        <f>J599*2/(1+1/(K599/J599))</f>
        <v>127008.57129653484</v>
      </c>
      <c r="I599" s="37"/>
      <c r="J599" s="21">
        <f t="array" ref="J599">IFERROR(INDEX($H$16:$H$657,MATCH(1,(C599=$C$16:$C$657)*(D599=$D$16:$D$657)*(E599=$E$16:$E$657)*(""=$G$16:$G$657),0)),"에러")</f>
        <v>117714.48288484765</v>
      </c>
      <c r="K599" s="21">
        <f t="array" ref="K599">IFERROR(INDEX($H$16:$H$657,MATCH(1,(C599=$C$16:$C$657)*(D599=$D$16:$D$657)*(E599=$E$16:$E$657)*("생명50%이하"=$G$16:$G$657),0)),"에러")</f>
        <v>137896.08832142712</v>
      </c>
      <c r="L599" s="21"/>
      <c r="M599" s="21"/>
      <c r="N599" s="21"/>
      <c r="O599" s="21"/>
      <c r="P599" s="21"/>
      <c r="Q599" s="20"/>
      <c r="R599" s="19"/>
      <c r="S599" s="21"/>
      <c r="T599" s="21"/>
      <c r="U599" s="21"/>
      <c r="V599" s="21"/>
      <c r="W599" s="21"/>
      <c r="X599" s="21"/>
      <c r="Y599" s="21"/>
      <c r="Z599" s="20"/>
      <c r="AA599" s="21"/>
      <c r="AB599" s="21"/>
      <c r="AC599" s="21"/>
      <c r="AD599" s="21"/>
      <c r="AE599" s="21"/>
      <c r="AF599" s="21"/>
      <c r="AG599" s="21"/>
      <c r="AH599" s="21"/>
      <c r="AI599" s="20"/>
      <c r="AJ599" s="21"/>
      <c r="AK599" s="21"/>
      <c r="AL599" s="21"/>
      <c r="AM599" s="21"/>
      <c r="AN599" s="21"/>
      <c r="AO599" s="21"/>
      <c r="AP599" s="21"/>
      <c r="AQ599" s="22"/>
    </row>
    <row r="600" spans="2:43" ht="13.5" customHeight="1" x14ac:dyDescent="0.55000000000000004">
      <c r="B600" s="66">
        <v>585</v>
      </c>
      <c r="C600" s="29">
        <v>7</v>
      </c>
      <c r="D600" s="49" t="s">
        <v>53</v>
      </c>
      <c r="E600" s="27" t="s">
        <v>79</v>
      </c>
      <c r="F600" s="29"/>
      <c r="G600" s="29" t="s">
        <v>422</v>
      </c>
      <c r="H600" s="37">
        <f>J600*2/(1+1/(K600/J600))</f>
        <v>124882.88005665342</v>
      </c>
      <c r="I600" s="37"/>
      <c r="J600" s="21">
        <f t="array" ref="J600">IFERROR(INDEX($H$16:$H$657,MATCH(1,(C600=$C$16:$C$657)*(D600=$D$16:$D$657)*(E600=$E$16:$E$657)*(""=$G$16:$G$657),0)),"에러")</f>
        <v>115744.3430547469</v>
      </c>
      <c r="K600" s="21">
        <f t="array" ref="K600">IFERROR(INDEX($H$16:$H$657,MATCH(1,(C600=$C$16:$C$657)*(D600=$D$16:$D$657)*(E600=$E$16:$E$657)*("생명50%이하"=$G$16:$G$657),0)),"에러")</f>
        <v>135588.17709963725</v>
      </c>
      <c r="L600" s="21"/>
      <c r="M600" s="21"/>
      <c r="N600" s="21"/>
      <c r="O600" s="21"/>
      <c r="P600" s="21"/>
      <c r="Q600" s="20"/>
      <c r="R600" s="19"/>
      <c r="S600" s="21"/>
      <c r="T600" s="21"/>
      <c r="U600" s="21"/>
      <c r="V600" s="21"/>
      <c r="W600" s="21"/>
      <c r="X600" s="21"/>
      <c r="Y600" s="21"/>
      <c r="Z600" s="20"/>
      <c r="AA600" s="21"/>
      <c r="AB600" s="21"/>
      <c r="AC600" s="21"/>
      <c r="AD600" s="21"/>
      <c r="AE600" s="21"/>
      <c r="AF600" s="21"/>
      <c r="AG600" s="21"/>
      <c r="AH600" s="21"/>
      <c r="AI600" s="20"/>
      <c r="AJ600" s="21"/>
      <c r="AK600" s="21"/>
      <c r="AL600" s="21"/>
      <c r="AM600" s="21"/>
      <c r="AN600" s="21"/>
      <c r="AO600" s="21"/>
      <c r="AP600" s="21"/>
      <c r="AQ600" s="22"/>
    </row>
    <row r="601" spans="2:43" ht="13.5" customHeight="1" x14ac:dyDescent="0.55000000000000004">
      <c r="B601" s="66">
        <v>586</v>
      </c>
      <c r="C601" s="29">
        <v>10</v>
      </c>
      <c r="D601" s="49" t="s">
        <v>53</v>
      </c>
      <c r="E601" s="27" t="s">
        <v>76</v>
      </c>
      <c r="F601" s="29"/>
      <c r="G601" s="29" t="s">
        <v>422</v>
      </c>
      <c r="H601" s="37">
        <f>J601*2/(1+1/(K601/J601))</f>
        <v>89236.701486597594</v>
      </c>
      <c r="I601" s="37"/>
      <c r="J601" s="21">
        <f t="array" ref="J601">IFERROR(INDEX($H$16:$H$657,MATCH(1,(C601=$C$16:$C$657)*(D601=$D$16:$D$657)*(E601=$E$16:$E$657)*(""=$G$16:$G$657),0)),"에러")</f>
        <v>82706.639895341796</v>
      </c>
      <c r="K601" s="21">
        <f t="array" ref="K601">IFERROR(INDEX($H$16:$H$657,MATCH(1,(C601=$C$16:$C$657)*(D601=$D$16:$D$657)*(E601=$E$16:$E$657)*("생명50%이하"=$G$16:$G$657),0)),"에러")</f>
        <v>96886.312034630479</v>
      </c>
      <c r="L601" s="21"/>
      <c r="M601" s="21"/>
      <c r="N601" s="21"/>
      <c r="O601" s="21"/>
      <c r="P601" s="21"/>
      <c r="Q601" s="20"/>
      <c r="R601" s="19"/>
      <c r="S601" s="21"/>
      <c r="T601" s="21"/>
      <c r="U601" s="21"/>
      <c r="V601" s="21"/>
      <c r="W601" s="21"/>
      <c r="X601" s="21"/>
      <c r="Y601" s="21"/>
      <c r="Z601" s="20"/>
      <c r="AA601" s="21"/>
      <c r="AB601" s="21"/>
      <c r="AC601" s="21"/>
      <c r="AD601" s="21"/>
      <c r="AE601" s="21"/>
      <c r="AF601" s="21"/>
      <c r="AG601" s="21"/>
      <c r="AH601" s="21"/>
      <c r="AI601" s="20"/>
      <c r="AJ601" s="21"/>
      <c r="AK601" s="21"/>
      <c r="AL601" s="21"/>
      <c r="AM601" s="21"/>
      <c r="AN601" s="21"/>
      <c r="AO601" s="21"/>
      <c r="AP601" s="21"/>
      <c r="AQ601" s="22"/>
    </row>
    <row r="602" spans="2:43" ht="13.5" customHeight="1" x14ac:dyDescent="0.55000000000000004">
      <c r="B602" s="66">
        <v>587</v>
      </c>
      <c r="C602" s="29">
        <v>10</v>
      </c>
      <c r="D602" s="49" t="s">
        <v>53</v>
      </c>
      <c r="E602" s="27" t="s">
        <v>121</v>
      </c>
      <c r="F602" s="29"/>
      <c r="G602" s="29" t="s">
        <v>422</v>
      </c>
      <c r="H602" s="37">
        <f>J602*2/(1+1/(K602/J602))</f>
        <v>102801.30259122213</v>
      </c>
      <c r="I602" s="37"/>
      <c r="J602" s="21">
        <f t="array" ref="J602">IFERROR(INDEX($H$16:$H$657,MATCH(1,(C602=$C$16:$C$657)*(D602=$D$16:$D$657)*(E602=$E$16:$E$657)*(""=$G$16:$G$657),0)),"에러")</f>
        <v>95278.626087061712</v>
      </c>
      <c r="K602" s="21">
        <f t="array" ref="K602">IFERROR(INDEX($H$16:$H$657,MATCH(1,(C602=$C$16:$C$657)*(D602=$D$16:$D$657)*(E602=$E$16:$E$657)*("생명50%이하"=$G$16:$G$657),0)),"에러")</f>
        <v>111613.70730310453</v>
      </c>
      <c r="L602" s="21"/>
      <c r="M602" s="21"/>
      <c r="N602" s="21"/>
      <c r="O602" s="21"/>
      <c r="P602" s="21"/>
      <c r="Q602" s="20"/>
      <c r="R602" s="19"/>
      <c r="S602" s="21"/>
      <c r="T602" s="21"/>
      <c r="U602" s="21"/>
      <c r="V602" s="21"/>
      <c r="W602" s="21"/>
      <c r="X602" s="21"/>
      <c r="Y602" s="21"/>
      <c r="Z602" s="20"/>
      <c r="AA602" s="21"/>
      <c r="AB602" s="21"/>
      <c r="AC602" s="21"/>
      <c r="AD602" s="21"/>
      <c r="AE602" s="21"/>
      <c r="AF602" s="21"/>
      <c r="AG602" s="21"/>
      <c r="AH602" s="21"/>
      <c r="AI602" s="20"/>
      <c r="AJ602" s="21"/>
      <c r="AK602" s="21"/>
      <c r="AL602" s="21"/>
      <c r="AM602" s="21"/>
      <c r="AN602" s="21"/>
      <c r="AO602" s="21"/>
      <c r="AP602" s="21"/>
      <c r="AQ602" s="22"/>
    </row>
    <row r="603" spans="2:43" ht="13.5" customHeight="1" x14ac:dyDescent="0.55000000000000004">
      <c r="B603" s="66">
        <v>588</v>
      </c>
      <c r="C603" s="29">
        <v>10</v>
      </c>
      <c r="D603" s="49" t="s">
        <v>53</v>
      </c>
      <c r="E603" s="27" t="s">
        <v>122</v>
      </c>
      <c r="F603" s="29"/>
      <c r="G603" s="29" t="s">
        <v>422</v>
      </c>
      <c r="H603" s="37">
        <f>J603*2/(1+1/(K603/J603))</f>
        <v>156164.22760154578</v>
      </c>
      <c r="I603" s="37"/>
      <c r="J603" s="21">
        <f t="array" ref="J603">IFERROR(INDEX($H$16:$H$657,MATCH(1,(C603=$C$16:$C$657)*(D603=$D$16:$D$657)*(E603=$E$16:$E$657)*(""=$G$16:$G$657),0)),"에러")</f>
        <v>144736.61981684811</v>
      </c>
      <c r="K603" s="21">
        <f t="array" ref="K603">IFERROR(INDEX($H$16:$H$657,MATCH(1,(C603=$C$16:$C$657)*(D603=$D$16:$D$657)*(E603=$E$16:$E$657)*("생명50%이하"=$G$16:$G$657),0)),"에러")</f>
        <v>169551.04606060334</v>
      </c>
      <c r="L603" s="21"/>
      <c r="M603" s="21"/>
      <c r="N603" s="21"/>
      <c r="O603" s="21"/>
      <c r="P603" s="21"/>
      <c r="Q603" s="20"/>
      <c r="R603" s="19"/>
      <c r="S603" s="21"/>
      <c r="T603" s="21"/>
      <c r="U603" s="21"/>
      <c r="V603" s="21"/>
      <c r="W603" s="21"/>
      <c r="X603" s="21"/>
      <c r="Y603" s="21"/>
      <c r="Z603" s="20"/>
      <c r="AA603" s="21"/>
      <c r="AB603" s="21"/>
      <c r="AC603" s="21"/>
      <c r="AD603" s="21"/>
      <c r="AE603" s="21"/>
      <c r="AF603" s="21"/>
      <c r="AG603" s="21"/>
      <c r="AH603" s="21"/>
      <c r="AI603" s="20"/>
      <c r="AJ603" s="21"/>
      <c r="AK603" s="21"/>
      <c r="AL603" s="21"/>
      <c r="AM603" s="21"/>
      <c r="AN603" s="21"/>
      <c r="AO603" s="21"/>
      <c r="AP603" s="21"/>
      <c r="AQ603" s="22"/>
    </row>
    <row r="604" spans="2:43" ht="13.5" customHeight="1" x14ac:dyDescent="0.55000000000000004">
      <c r="B604" s="66">
        <v>589</v>
      </c>
      <c r="C604" s="29">
        <v>10</v>
      </c>
      <c r="D604" s="49" t="s">
        <v>53</v>
      </c>
      <c r="E604" s="27" t="s">
        <v>145</v>
      </c>
      <c r="F604" s="29"/>
      <c r="G604" s="29" t="s">
        <v>422</v>
      </c>
      <c r="H604" s="37">
        <f>J604*2/(1+1/(K604/J604))</f>
        <v>146371.58583350247</v>
      </c>
      <c r="I604" s="37"/>
      <c r="J604" s="21">
        <f t="array" ref="J604">IFERROR(INDEX($H$16:$H$657,MATCH(1,(C604=$C$16:$C$657)*(D604=$D$16:$D$657)*(E604=$E$16:$E$657)*(""=$G$16:$G$657),0)),"에러")</f>
        <v>135660.57282226841</v>
      </c>
      <c r="K604" s="21">
        <f t="array" ref="K604">IFERROR(INDEX($H$16:$H$657,MATCH(1,(C604=$C$16:$C$657)*(D604=$D$16:$D$657)*(E604=$E$16:$E$657)*("생명50%이하"=$G$16:$G$657),0)),"에러")</f>
        <v>158918.95264862877</v>
      </c>
      <c r="L604" s="21"/>
      <c r="M604" s="21"/>
      <c r="N604" s="21"/>
      <c r="O604" s="21"/>
      <c r="P604" s="21"/>
      <c r="Q604" s="20"/>
      <c r="R604" s="19"/>
      <c r="S604" s="21"/>
      <c r="T604" s="21"/>
      <c r="U604" s="21"/>
      <c r="V604" s="21"/>
      <c r="W604" s="21"/>
      <c r="X604" s="21"/>
      <c r="Y604" s="21"/>
      <c r="Z604" s="20"/>
      <c r="AA604" s="21"/>
      <c r="AB604" s="21"/>
      <c r="AC604" s="21"/>
      <c r="AD604" s="21"/>
      <c r="AE604" s="21"/>
      <c r="AF604" s="21"/>
      <c r="AG604" s="21"/>
      <c r="AH604" s="21"/>
      <c r="AI604" s="20"/>
      <c r="AJ604" s="21"/>
      <c r="AK604" s="21"/>
      <c r="AL604" s="21"/>
      <c r="AM604" s="21"/>
      <c r="AN604" s="21"/>
      <c r="AO604" s="21"/>
      <c r="AP604" s="21"/>
      <c r="AQ604" s="22"/>
    </row>
    <row r="605" spans="2:43" ht="13.5" customHeight="1" x14ac:dyDescent="0.55000000000000004">
      <c r="B605" s="66">
        <v>590</v>
      </c>
      <c r="C605" s="29">
        <v>10</v>
      </c>
      <c r="D605" s="49" t="s">
        <v>53</v>
      </c>
      <c r="E605" s="27" t="s">
        <v>146</v>
      </c>
      <c r="F605" s="29"/>
      <c r="G605" s="29" t="s">
        <v>422</v>
      </c>
      <c r="H605" s="37">
        <f>J605*2/(1+1/(K605/J605))</f>
        <v>222351.32307023948</v>
      </c>
      <c r="I605" s="37"/>
      <c r="J605" s="21">
        <f t="array" ref="J605">IFERROR(INDEX($H$16:$H$657,MATCH(1,(C605=$C$16:$C$657)*(D605=$D$16:$D$657)*(E605=$E$16:$E$657)*(""=$G$16:$G$657),0)),"에러")</f>
        <v>206080.35148167229</v>
      </c>
      <c r="K605" s="21">
        <f t="array" ref="K605">IFERROR(INDEX($H$16:$H$657,MATCH(1,(C605=$C$16:$C$657)*(D605=$D$16:$D$657)*(E605=$E$16:$E$657)*("생명50%이하"=$G$16:$G$657),0)),"에러")</f>
        <v>241411.87772983359</v>
      </c>
      <c r="L605" s="21"/>
      <c r="M605" s="21"/>
      <c r="N605" s="21"/>
      <c r="O605" s="21"/>
      <c r="P605" s="21"/>
      <c r="Q605" s="20"/>
      <c r="R605" s="19"/>
      <c r="S605" s="21"/>
      <c r="T605" s="21"/>
      <c r="U605" s="21"/>
      <c r="V605" s="21"/>
      <c r="W605" s="21"/>
      <c r="X605" s="21"/>
      <c r="Y605" s="21"/>
      <c r="Z605" s="20"/>
      <c r="AA605" s="21"/>
      <c r="AB605" s="21"/>
      <c r="AC605" s="21"/>
      <c r="AD605" s="21"/>
      <c r="AE605" s="21"/>
      <c r="AF605" s="21"/>
      <c r="AG605" s="21"/>
      <c r="AH605" s="21"/>
      <c r="AI605" s="20"/>
      <c r="AJ605" s="21"/>
      <c r="AK605" s="21"/>
      <c r="AL605" s="21"/>
      <c r="AM605" s="21"/>
      <c r="AN605" s="21"/>
      <c r="AO605" s="21"/>
      <c r="AP605" s="21"/>
      <c r="AQ605" s="22"/>
    </row>
    <row r="606" spans="2:43" ht="13.5" customHeight="1" x14ac:dyDescent="0.55000000000000004">
      <c r="B606" s="66">
        <v>591</v>
      </c>
      <c r="C606" s="29">
        <v>10</v>
      </c>
      <c r="D606" s="49" t="s">
        <v>53</v>
      </c>
      <c r="E606" s="27" t="s">
        <v>126</v>
      </c>
      <c r="F606" s="29"/>
      <c r="G606" s="29" t="s">
        <v>422</v>
      </c>
      <c r="H606" s="37">
        <f>J606*2/(1+1/(K606/J606))</f>
        <v>143921.82362771098</v>
      </c>
      <c r="I606" s="37"/>
      <c r="J606" s="21">
        <f t="array" ref="J606">IFERROR(INDEX($H$16:$H$657,MATCH(1,(C606=$C$16:$C$657)*(D606=$D$16:$D$657)*(E606=$E$16:$E$657)*(""=$G$16:$G$657),0)),"에러")</f>
        <v>133390.07652188643</v>
      </c>
      <c r="K606" s="21">
        <f t="array" ref="K606">IFERROR(INDEX($H$16:$H$657,MATCH(1,(C606=$C$16:$C$657)*(D606=$D$16:$D$657)*(E606=$E$16:$E$657)*("생명50%이하"=$G$16:$G$657),0)),"에러")</f>
        <v>156259.1902243463</v>
      </c>
      <c r="L606" s="21"/>
      <c r="M606" s="21"/>
      <c r="N606" s="21"/>
      <c r="O606" s="21"/>
      <c r="P606" s="21"/>
      <c r="Q606" s="20"/>
      <c r="R606" s="19"/>
      <c r="S606" s="21"/>
      <c r="T606" s="21"/>
      <c r="U606" s="21"/>
      <c r="V606" s="21"/>
      <c r="W606" s="21"/>
      <c r="X606" s="21"/>
      <c r="Y606" s="21"/>
      <c r="Z606" s="20"/>
      <c r="AA606" s="21"/>
      <c r="AB606" s="21"/>
      <c r="AC606" s="21"/>
      <c r="AD606" s="21"/>
      <c r="AE606" s="21"/>
      <c r="AF606" s="21"/>
      <c r="AG606" s="21"/>
      <c r="AH606" s="21"/>
      <c r="AI606" s="20"/>
      <c r="AJ606" s="21"/>
      <c r="AK606" s="21"/>
      <c r="AL606" s="21"/>
      <c r="AM606" s="21"/>
      <c r="AN606" s="21"/>
      <c r="AO606" s="21"/>
      <c r="AP606" s="21"/>
      <c r="AQ606" s="22"/>
    </row>
    <row r="607" spans="2:43" ht="13.5" customHeight="1" x14ac:dyDescent="0.55000000000000004">
      <c r="B607" s="66">
        <v>592</v>
      </c>
      <c r="C607" s="29">
        <v>10</v>
      </c>
      <c r="D607" s="49" t="s">
        <v>53</v>
      </c>
      <c r="E607" s="27" t="s">
        <v>127</v>
      </c>
      <c r="F607" s="29"/>
      <c r="G607" s="29" t="s">
        <v>422</v>
      </c>
      <c r="H607" s="37">
        <f>J607*2/(1+1/(K607/J607))</f>
        <v>218629.91864216406</v>
      </c>
      <c r="I607" s="37"/>
      <c r="J607" s="21">
        <f t="array" ref="J607">IFERROR(INDEX($H$16:$H$657,MATCH(1,(C607=$C$16:$C$657)*(D607=$D$16:$D$657)*(E607=$E$16:$E$657)*(""=$G$16:$G$657),0)),"에러")</f>
        <v>202631.26774358738</v>
      </c>
      <c r="K607" s="21">
        <f t="array" ref="K607">IFERROR(INDEX($H$16:$H$657,MATCH(1,(C607=$C$16:$C$657)*(D607=$D$16:$D$657)*(E607=$E$16:$E$657)*("생명50%이하"=$G$16:$G$657),0)),"에러")</f>
        <v>237371.46448484468</v>
      </c>
      <c r="L607" s="21"/>
      <c r="M607" s="21"/>
      <c r="N607" s="21"/>
      <c r="O607" s="21"/>
      <c r="P607" s="21"/>
      <c r="Q607" s="20"/>
      <c r="R607" s="19"/>
      <c r="S607" s="21"/>
      <c r="T607" s="21"/>
      <c r="U607" s="21"/>
      <c r="V607" s="21"/>
      <c r="W607" s="21"/>
      <c r="X607" s="21"/>
      <c r="Y607" s="21"/>
      <c r="Z607" s="20"/>
      <c r="AA607" s="21"/>
      <c r="AB607" s="21"/>
      <c r="AC607" s="21"/>
      <c r="AD607" s="21"/>
      <c r="AE607" s="21"/>
      <c r="AF607" s="21"/>
      <c r="AG607" s="21"/>
      <c r="AH607" s="21"/>
      <c r="AI607" s="20"/>
      <c r="AJ607" s="21"/>
      <c r="AK607" s="21"/>
      <c r="AL607" s="21"/>
      <c r="AM607" s="21"/>
      <c r="AN607" s="21"/>
      <c r="AO607" s="21"/>
      <c r="AP607" s="21"/>
      <c r="AQ607" s="22"/>
    </row>
    <row r="608" spans="2:43" ht="13.5" customHeight="1" x14ac:dyDescent="0.55000000000000004">
      <c r="B608" s="66">
        <v>593</v>
      </c>
      <c r="C608" s="29">
        <v>1</v>
      </c>
      <c r="D608" s="49" t="s">
        <v>254</v>
      </c>
      <c r="E608" s="27" t="s">
        <v>232</v>
      </c>
      <c r="F608" s="29"/>
      <c r="G608" s="29"/>
      <c r="H608" s="37">
        <f>I608/AJ608</f>
        <v>79050.425525619896</v>
      </c>
      <c r="I608" s="37">
        <f>SUM(J608:Q608)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2343001.6612526188</v>
      </c>
      <c r="J608" s="21">
        <f>S608*(1+IF($AK608+IF(입력란!$C$26=1,10,0)&gt;100,100,$AK608+IF(입력란!$C$26=1,10,0))/100*(($AL608+IF(입력란!$C$30=1,17,IF(입력란!$C$30=2,20,IF(입력란!$C$30=3,22,0))))/100-1))</f>
        <v>1659232.1090946947</v>
      </c>
      <c r="K608" s="21"/>
      <c r="L608" s="21"/>
      <c r="M608" s="21"/>
      <c r="N608" s="21"/>
      <c r="O608" s="21"/>
      <c r="P608" s="21"/>
      <c r="Q608" s="20">
        <f>Z608*(1+IF($AK608+IF(입력란!$C$26=1,10,0)&gt;100,100,$AK608+IF(입력란!$C$26=1,10,0))/100*(($AL608+IF(입력란!$C$30=1,17,IF(입력란!$C$30=2,20,IF(입력란!$C$30=3,22,0))))/100-1))</f>
        <v>0</v>
      </c>
      <c r="R608" s="19">
        <f>SUM(S608:Z608)</f>
        <v>1090296.7167316349</v>
      </c>
      <c r="S608" s="21">
        <f>AN608*IF(MID(E608,3,1)="1",트라이포드!$J$26,트라이포드!$I$26)*IF(MID(E608,3,1)="3",IF(G608="생명50%이하",트라이포드!$N$26,트라이포드!$M$26),1)*IF(MID(E608,5,1)="2",트라이포드!$R$26,트라이포드!$Q$26)*(1+입력란!$P$19/100)</f>
        <v>1090296.7167316349</v>
      </c>
      <c r="T608" s="21"/>
      <c r="U608" s="21"/>
      <c r="V608" s="21"/>
      <c r="W608" s="21"/>
      <c r="X608" s="21"/>
      <c r="Y608" s="21"/>
      <c r="Z608" s="20">
        <f>AN608*IF(MID(E608,1,1)="1",트라이포드!$D$26,트라이포드!$C$26)*(1+입력란!$P$19/100)</f>
        <v>0</v>
      </c>
      <c r="AA608" s="21">
        <f>SUM(AB608:AI608)</f>
        <v>2180593.4334632698</v>
      </c>
      <c r="AB608" s="21">
        <f>S608*2</f>
        <v>2180593.4334632698</v>
      </c>
      <c r="AC608" s="21"/>
      <c r="AD608" s="21"/>
      <c r="AE608" s="21"/>
      <c r="AF608" s="21"/>
      <c r="AG608" s="21"/>
      <c r="AH608" s="21"/>
      <c r="AI608" s="20">
        <f>Z608*2</f>
        <v>0</v>
      </c>
      <c r="AJ608" s="21">
        <f>AQ608*(1-입력란!$P$10/100)</f>
        <v>29.6393301576</v>
      </c>
      <c r="AK60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08" s="21">
        <f>입력란!$P$24+IF(입력란!$C$18=1,10,IF(입력란!$C$18=2,25,IF(입력란!$C$18=3,50,0)))+IF(입력란!$C$23&lt;&gt;0,-12)</f>
        <v>200</v>
      </c>
      <c r="AM608" s="21">
        <f>SUM(AN608:AP608)</f>
        <v>800947.54561815027</v>
      </c>
      <c r="AN608" s="21">
        <f>(VLOOKUP(C608,$B$4:$AJ$7,33,FALSE)+VLOOKUP(C608,$B$8:$AJ$11,33,FALSE)*입력란!$P$4)*입력란!$P$25/100</f>
        <v>800947.54561815027</v>
      </c>
      <c r="AO608" s="21"/>
      <c r="AP608" s="21"/>
      <c r="AQ608" s="22">
        <v>30</v>
      </c>
    </row>
    <row r="609" spans="2:43" ht="13.5" customHeight="1" x14ac:dyDescent="0.55000000000000004">
      <c r="B609" s="66">
        <v>594</v>
      </c>
      <c r="C609" s="29">
        <v>4</v>
      </c>
      <c r="D609" s="49" t="s">
        <v>54</v>
      </c>
      <c r="E609" s="27" t="s">
        <v>334</v>
      </c>
      <c r="F609" s="29"/>
      <c r="G609" s="29"/>
      <c r="H609" s="37">
        <f>I609/AJ609</f>
        <v>94985.057254957967</v>
      </c>
      <c r="I609" s="37">
        <f>SUM(J609:Q609)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2815293.4720182382</v>
      </c>
      <c r="J609" s="21">
        <f>S609*(1+IF($AK609+IF(입력란!$C$26=1,10,0)&gt;100,100,$AK609+IF(입력란!$C$26=1,10,0))/100*(($AL609+IF(입력란!$C$30=1,17,IF(입력란!$C$30=2,20,IF(입력란!$C$30=3,22,0))))/100-1))</f>
        <v>1661410.5894402177</v>
      </c>
      <c r="K609" s="21"/>
      <c r="L609" s="21"/>
      <c r="M609" s="21"/>
      <c r="N609" s="21"/>
      <c r="O609" s="21"/>
      <c r="P609" s="21"/>
      <c r="Q609" s="20">
        <f>Z609*(1+IF($AK609+IF(입력란!$C$26=1,10,0)&gt;100,100,$AK609+IF(입력란!$C$26=1,10,0))/100*(($AL609+IF(입력란!$C$30=1,17,IF(입력란!$C$30=2,20,IF(입력란!$C$30=3,22,0))))/100-1))</f>
        <v>332282.11788804358</v>
      </c>
      <c r="R609" s="19">
        <f>SUM(S609:Z609)</f>
        <v>1310073.8595022878</v>
      </c>
      <c r="S609" s="21">
        <f>AN609*IF(MID(E609,3,1)="1",트라이포드!$J$26,트라이포드!$I$26)*IF(MID(E609,3,1)="3",IF(G609="생명50%이하",트라이포드!$N$26,트라이포드!$M$26),1)*IF(MID(E609,5,1)="2",트라이포드!$R$26,트라이포드!$Q$26)*(1+입력란!$P$19/100)</f>
        <v>1091728.2162519065</v>
      </c>
      <c r="T609" s="21"/>
      <c r="U609" s="21"/>
      <c r="V609" s="21"/>
      <c r="W609" s="21"/>
      <c r="X609" s="21"/>
      <c r="Y609" s="21"/>
      <c r="Z609" s="20">
        <f>AN609*IF(MID(E609,1,1)="1",트라이포드!$D$26,트라이포드!$C$26)*(1+입력란!$P$19/100)</f>
        <v>218345.64325038131</v>
      </c>
      <c r="AA609" s="21">
        <f>SUM(AB609:AI609)</f>
        <v>2620147.7190045756</v>
      </c>
      <c r="AB609" s="21">
        <f>S609*2</f>
        <v>2183456.4325038129</v>
      </c>
      <c r="AC609" s="21"/>
      <c r="AD609" s="21"/>
      <c r="AE609" s="21"/>
      <c r="AF609" s="21"/>
      <c r="AG609" s="21"/>
      <c r="AH609" s="21"/>
      <c r="AI609" s="20">
        <f>Z609*2</f>
        <v>436691.28650076262</v>
      </c>
      <c r="AJ609" s="21">
        <f>AQ609*(1-입력란!$P$10/100)</f>
        <v>29.6393301576</v>
      </c>
      <c r="AK60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09" s="21">
        <f>입력란!$P$24+IF(입력란!$C$18=1,10,IF(입력란!$C$18=2,25,IF(입력란!$C$18=3,50,0)))+IF(입력란!$C$23&lt;&gt;0,-12)</f>
        <v>200</v>
      </c>
      <c r="AM609" s="21">
        <f>SUM(AN609:AP609)</f>
        <v>801999.14561815024</v>
      </c>
      <c r="AN609" s="21">
        <f>(VLOOKUP(C609,$B$4:$AJ$7,33,FALSE)+VLOOKUP(C609,$B$8:$AJ$11,33,FALSE)*입력란!$P$4)*입력란!$P$25/100</f>
        <v>801999.14561815024</v>
      </c>
      <c r="AO609" s="21"/>
      <c r="AP609" s="21"/>
      <c r="AQ609" s="22">
        <v>30</v>
      </c>
    </row>
    <row r="610" spans="2:43" ht="13.5" customHeight="1" x14ac:dyDescent="0.55000000000000004">
      <c r="B610" s="66">
        <v>595</v>
      </c>
      <c r="C610" s="29">
        <v>4</v>
      </c>
      <c r="D610" s="49" t="s">
        <v>254</v>
      </c>
      <c r="E610" s="27" t="s">
        <v>232</v>
      </c>
      <c r="F610" s="29"/>
      <c r="G610" s="29"/>
      <c r="H610" s="37">
        <f>I610/AJ610</f>
        <v>79154.214379131634</v>
      </c>
      <c r="I610" s="37">
        <f>SUM(J610:Q610)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2346077.8933485318</v>
      </c>
      <c r="J610" s="21">
        <f>S610*(1+IF($AK610+IF(입력란!$C$26=1,10,0)&gt;100,100,$AK610+IF(입력란!$C$26=1,10,0))/100*(($AL610+IF(입력란!$C$30=1,17,IF(입력란!$C$30=2,20,IF(입력란!$C$30=3,22,0))))/100-1))</f>
        <v>1661410.5894402177</v>
      </c>
      <c r="K610" s="21"/>
      <c r="L610" s="21"/>
      <c r="M610" s="21"/>
      <c r="N610" s="21"/>
      <c r="O610" s="21"/>
      <c r="P610" s="21"/>
      <c r="Q610" s="20">
        <f>Z610*(1+IF($AK610+IF(입력란!$C$26=1,10,0)&gt;100,100,$AK610+IF(입력란!$C$26=1,10,0))/100*(($AL610+IF(입력란!$C$30=1,17,IF(입력란!$C$30=2,20,IF(입력란!$C$30=3,22,0))))/100-1))</f>
        <v>0</v>
      </c>
      <c r="R610" s="19">
        <f>SUM(S610:Z610)</f>
        <v>1091728.2162519065</v>
      </c>
      <c r="S610" s="21">
        <f>AN610*IF(MID(E610,3,1)="1",트라이포드!$J$26,트라이포드!$I$26)*IF(MID(E610,3,1)="3",IF(G610="생명50%이하",트라이포드!$N$26,트라이포드!$M$26),1)*IF(MID(E610,5,1)="2",트라이포드!$R$26,트라이포드!$Q$26)*(1+입력란!$P$19/100)</f>
        <v>1091728.2162519065</v>
      </c>
      <c r="T610" s="21"/>
      <c r="U610" s="21"/>
      <c r="V610" s="21"/>
      <c r="W610" s="21"/>
      <c r="X610" s="21"/>
      <c r="Y610" s="21"/>
      <c r="Z610" s="20">
        <f>AN610*IF(MID(E610,1,1)="1",트라이포드!$D$26,트라이포드!$C$26)*(1+입력란!$P$19/100)</f>
        <v>0</v>
      </c>
      <c r="AA610" s="21">
        <f>SUM(AB610:AI610)</f>
        <v>2183456.4325038129</v>
      </c>
      <c r="AB610" s="21">
        <f>S610*2</f>
        <v>2183456.4325038129</v>
      </c>
      <c r="AC610" s="21"/>
      <c r="AD610" s="21"/>
      <c r="AE610" s="21"/>
      <c r="AF610" s="21"/>
      <c r="AG610" s="21"/>
      <c r="AH610" s="21"/>
      <c r="AI610" s="20">
        <f>Z610*2</f>
        <v>0</v>
      </c>
      <c r="AJ610" s="21">
        <f>AQ610*(1-입력란!$P$10/100)</f>
        <v>29.6393301576</v>
      </c>
      <c r="AK61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0" s="21">
        <f>입력란!$P$24+IF(입력란!$C$18=1,10,IF(입력란!$C$18=2,25,IF(입력란!$C$18=3,50,0)))+IF(입력란!$C$23&lt;&gt;0,-12)</f>
        <v>200</v>
      </c>
      <c r="AM610" s="21">
        <f>SUM(AN610:AP610)</f>
        <v>801999.14561815024</v>
      </c>
      <c r="AN610" s="21">
        <f>(VLOOKUP(C610,$B$4:$AJ$7,33,FALSE)+VLOOKUP(C610,$B$8:$AJ$11,33,FALSE)*입력란!$P$4)*입력란!$P$25/100</f>
        <v>801999.14561815024</v>
      </c>
      <c r="AO610" s="21"/>
      <c r="AP610" s="21"/>
      <c r="AQ610" s="22">
        <v>30</v>
      </c>
    </row>
    <row r="611" spans="2:43" ht="13.5" customHeight="1" x14ac:dyDescent="0.55000000000000004">
      <c r="B611" s="66">
        <v>596</v>
      </c>
      <c r="C611" s="29">
        <v>7</v>
      </c>
      <c r="D611" s="49" t="s">
        <v>254</v>
      </c>
      <c r="E611" s="27" t="s">
        <v>232</v>
      </c>
      <c r="F611" s="29"/>
      <c r="G611" s="29"/>
      <c r="H611" s="37">
        <f>I611/AJ611</f>
        <v>79202.457048964774</v>
      </c>
      <c r="I611" s="37">
        <f>SUM(J611:Q611)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2347507.7737674005</v>
      </c>
      <c r="J611" s="21">
        <f>S611*(1+IF($AK611+IF(입력란!$C$26=1,10,0)&gt;100,100,$AK611+IF(입력란!$C$26=1,10,0))/100*(($AL611+IF(입력란!$C$30=1,17,IF(입력란!$C$30=2,20,IF(입력란!$C$30=3,22,0))))/100-1))</f>
        <v>1662423.1809131084</v>
      </c>
      <c r="K611" s="21"/>
      <c r="L611" s="21"/>
      <c r="M611" s="21"/>
      <c r="N611" s="21"/>
      <c r="O611" s="21"/>
      <c r="P611" s="21"/>
      <c r="Q611" s="20">
        <f>Z611*(1+IF($AK611+IF(입력란!$C$26=1,10,0)&gt;100,100,$AK611+IF(입력란!$C$26=1,10,0))/100*(($AL611+IF(입력란!$C$30=1,17,IF(입력란!$C$30=2,20,IF(입력란!$C$30=3,22,0))))/100-1))</f>
        <v>0</v>
      </c>
      <c r="R611" s="19">
        <f>SUM(S611:Z611)</f>
        <v>1092393.5994446687</v>
      </c>
      <c r="S611" s="21">
        <f>AN611*IF(MID(E611,3,1)="1",트라이포드!$J$26,트라이포드!$I$26)*IF(MID(E611,3,1)="3",IF(G611="생명50%이하",트라이포드!$N$26,트라이포드!$M$26),1)*IF(MID(E611,5,1)="2",트라이포드!$R$26,트라이포드!$Q$26)*(1+입력란!$P$19/100)</f>
        <v>1092393.5994446687</v>
      </c>
      <c r="T611" s="21"/>
      <c r="U611" s="21"/>
      <c r="V611" s="21"/>
      <c r="W611" s="21"/>
      <c r="X611" s="21"/>
      <c r="Y611" s="21"/>
      <c r="Z611" s="20">
        <f>AN611*IF(MID(E611,1,1)="1",트라이포드!$D$26,트라이포드!$C$26)*(1+입력란!$P$19/100)</f>
        <v>0</v>
      </c>
      <c r="AA611" s="21">
        <f>SUM(AB611:AI611)</f>
        <v>2184787.1988893375</v>
      </c>
      <c r="AB611" s="21">
        <f>S611*2</f>
        <v>2184787.1988893375</v>
      </c>
      <c r="AC611" s="21"/>
      <c r="AD611" s="21"/>
      <c r="AE611" s="21"/>
      <c r="AF611" s="21"/>
      <c r="AG611" s="21"/>
      <c r="AH611" s="21"/>
      <c r="AI611" s="20">
        <f>Z611*2</f>
        <v>0</v>
      </c>
      <c r="AJ611" s="21">
        <f>AQ611*(1-입력란!$P$10/100)</f>
        <v>29.6393301576</v>
      </c>
      <c r="AK61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1" s="21">
        <f>입력란!$P$24+IF(입력란!$C$18=1,10,IF(입력란!$C$18=2,25,IF(입력란!$C$18=3,50,0)))+IF(입력란!$C$23&lt;&gt;0,-12)</f>
        <v>200</v>
      </c>
      <c r="AM611" s="21">
        <f>SUM(AN611:AP611)</f>
        <v>802487.94561815029</v>
      </c>
      <c r="AN611" s="21">
        <f>(VLOOKUP(C611,$B$4:$AJ$7,33,FALSE)+VLOOKUP(C611,$B$8:$AJ$11,33,FALSE)*입력란!$P$4)*입력란!$P$25/100</f>
        <v>802487.94561815029</v>
      </c>
      <c r="AO611" s="21"/>
      <c r="AP611" s="21"/>
      <c r="AQ611" s="22">
        <v>30</v>
      </c>
    </row>
    <row r="612" spans="2:43" ht="13.5" customHeight="1" x14ac:dyDescent="0.55000000000000004">
      <c r="B612" s="66">
        <v>597</v>
      </c>
      <c r="C612" s="29">
        <v>7</v>
      </c>
      <c r="D612" s="49" t="s">
        <v>54</v>
      </c>
      <c r="E612" s="27" t="s">
        <v>354</v>
      </c>
      <c r="F612" s="29"/>
      <c r="G612" s="29"/>
      <c r="H612" s="37">
        <f>I612/AJ612</f>
        <v>114843.56272099895</v>
      </c>
      <c r="I612" s="37">
        <f>SUM(J612:Q612)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3403886.2719627311</v>
      </c>
      <c r="J612" s="21">
        <f>S612*(1+IF($AK612+IF(입력란!$C$26=1,10,0)&gt;100,100,$AK612+IF(입력란!$C$26=1,10,0))/100*(($AL612+IF(입력란!$C$30=1,17,IF(입력란!$C$30=2,20,IF(입력란!$C$30=3,22,0))))/100-1))</f>
        <v>2078028.9761413855</v>
      </c>
      <c r="K612" s="21"/>
      <c r="L612" s="21"/>
      <c r="M612" s="21"/>
      <c r="N612" s="21"/>
      <c r="O612" s="21"/>
      <c r="P612" s="21"/>
      <c r="Q612" s="20">
        <f>Z612*(1+IF($AK612+IF(입력란!$C$26=1,10,0)&gt;100,100,$AK612+IF(입력란!$C$26=1,10,0))/100*(($AL612+IF(입력란!$C$30=1,17,IF(입력란!$C$30=2,20,IF(입력란!$C$30=3,22,0))))/100-1))</f>
        <v>332484.6361826217</v>
      </c>
      <c r="R612" s="19">
        <f>SUM(S612:Z612)</f>
        <v>1583970.7191947696</v>
      </c>
      <c r="S612" s="21">
        <f>AN612*IF(MID(E612,3,1)="1",트라이포드!$J$26,트라이포드!$I$26)*IF(MID(E612,3,1)="3",IF(G612="생명50%이하",트라이포드!$N$26,트라이포드!$M$26),1)*IF(MID(E612,5,1)="2",트라이포드!$R$26,트라이포드!$Q$26)*(1+입력란!$P$19/100)</f>
        <v>1365491.9993058359</v>
      </c>
      <c r="T612" s="21"/>
      <c r="U612" s="21"/>
      <c r="V612" s="21"/>
      <c r="W612" s="21"/>
      <c r="X612" s="21"/>
      <c r="Y612" s="21"/>
      <c r="Z612" s="20">
        <f>AN612*IF(MID(E612,1,1)="1",트라이포드!$D$26,트라이포드!$C$26)*(1+입력란!$P$19/100)</f>
        <v>218478.71988893376</v>
      </c>
      <c r="AA612" s="21">
        <f>SUM(AB612:AI612)</f>
        <v>3167941.4383895393</v>
      </c>
      <c r="AB612" s="21">
        <f>S612*2</f>
        <v>2730983.9986116719</v>
      </c>
      <c r="AC612" s="21"/>
      <c r="AD612" s="21"/>
      <c r="AE612" s="21"/>
      <c r="AF612" s="21"/>
      <c r="AG612" s="21"/>
      <c r="AH612" s="21"/>
      <c r="AI612" s="20">
        <f>Z612*2</f>
        <v>436957.43977786752</v>
      </c>
      <c r="AJ612" s="21">
        <f>AQ612*(1-입력란!$P$10/100)</f>
        <v>29.6393301576</v>
      </c>
      <c r="AK61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2" s="21">
        <f>입력란!$P$24+IF(입력란!$C$18=1,10,IF(입력란!$C$18=2,25,IF(입력란!$C$18=3,50,0)))+IF(입력란!$C$23&lt;&gt;0,-12)</f>
        <v>200</v>
      </c>
      <c r="AM612" s="21">
        <f>SUM(AN612:AP612)</f>
        <v>802487.94561815029</v>
      </c>
      <c r="AN612" s="21">
        <f>(VLOOKUP(C612,$B$4:$AJ$7,33,FALSE)+VLOOKUP(C612,$B$8:$AJ$11,33,FALSE)*입력란!$P$4)*입력란!$P$25/100</f>
        <v>802487.94561815029</v>
      </c>
      <c r="AO612" s="21"/>
      <c r="AP612" s="21"/>
      <c r="AQ612" s="22">
        <v>30</v>
      </c>
    </row>
    <row r="613" spans="2:43" ht="13.5" customHeight="1" x14ac:dyDescent="0.55000000000000004">
      <c r="B613" s="66">
        <v>598</v>
      </c>
      <c r="C613" s="29">
        <v>7</v>
      </c>
      <c r="D613" s="49" t="s">
        <v>254</v>
      </c>
      <c r="E613" s="27" t="s">
        <v>234</v>
      </c>
      <c r="F613" s="29"/>
      <c r="G613" s="29"/>
      <c r="H613" s="37">
        <f>I613/AJ613</f>
        <v>99003.071311205975</v>
      </c>
      <c r="I613" s="37">
        <f>SUM(J613:Q613)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2934384.7172092507</v>
      </c>
      <c r="J613" s="21">
        <f>S613*(1+IF($AK613+IF(입력란!$C$26=1,10,0)&gt;100,100,$AK613+IF(입력란!$C$26=1,10,0))/100*(($AL613+IF(입력란!$C$30=1,17,IF(입력란!$C$30=2,20,IF(입력란!$C$30=3,22,0))))/100-1))</f>
        <v>2078028.9761413855</v>
      </c>
      <c r="K613" s="21"/>
      <c r="L613" s="21"/>
      <c r="M613" s="21"/>
      <c r="N613" s="21"/>
      <c r="O613" s="21"/>
      <c r="P613" s="21"/>
      <c r="Q613" s="20">
        <f>Z613*(1+IF($AK613+IF(입력란!$C$26=1,10,0)&gt;100,100,$AK613+IF(입력란!$C$26=1,10,0))/100*(($AL613+IF(입력란!$C$30=1,17,IF(입력란!$C$30=2,20,IF(입력란!$C$30=3,22,0))))/100-1))</f>
        <v>0</v>
      </c>
      <c r="R613" s="19">
        <f>SUM(S613:Z613)</f>
        <v>1365491.9993058359</v>
      </c>
      <c r="S613" s="21">
        <f>AN613*IF(MID(E613,3,1)="1",트라이포드!$J$26,트라이포드!$I$26)*IF(MID(E613,3,1)="3",IF(G613="생명50%이하",트라이포드!$N$26,트라이포드!$M$26),1)*IF(MID(E613,5,1)="2",트라이포드!$R$26,트라이포드!$Q$26)*(1+입력란!$P$19/100)</f>
        <v>1365491.9993058359</v>
      </c>
      <c r="T613" s="21"/>
      <c r="U613" s="21"/>
      <c r="V613" s="21"/>
      <c r="W613" s="21"/>
      <c r="X613" s="21"/>
      <c r="Y613" s="21"/>
      <c r="Z613" s="20">
        <f>AN613*IF(MID(E613,1,1)="1",트라이포드!$D$26,트라이포드!$C$26)*(1+입력란!$P$19/100)</f>
        <v>0</v>
      </c>
      <c r="AA613" s="21">
        <f>SUM(AB613:AI613)</f>
        <v>2730983.9986116719</v>
      </c>
      <c r="AB613" s="21">
        <f>S613*2</f>
        <v>2730983.9986116719</v>
      </c>
      <c r="AC613" s="21"/>
      <c r="AD613" s="21"/>
      <c r="AE613" s="21"/>
      <c r="AF613" s="21"/>
      <c r="AG613" s="21"/>
      <c r="AH613" s="21"/>
      <c r="AI613" s="20">
        <f>Z613*2</f>
        <v>0</v>
      </c>
      <c r="AJ613" s="21">
        <f>AQ613*(1-입력란!$P$10/100)</f>
        <v>29.6393301576</v>
      </c>
      <c r="AK61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3" s="21">
        <f>입력란!$P$24+IF(입력란!$C$18=1,10,IF(입력란!$C$18=2,25,IF(입력란!$C$18=3,50,0)))+IF(입력란!$C$23&lt;&gt;0,-12)</f>
        <v>200</v>
      </c>
      <c r="AM613" s="21">
        <f>SUM(AN613:AP613)</f>
        <v>802487.94561815029</v>
      </c>
      <c r="AN613" s="21">
        <f>(VLOOKUP(C613,$B$4:$AJ$7,33,FALSE)+VLOOKUP(C613,$B$8:$AJ$11,33,FALSE)*입력란!$P$4)*입력란!$P$25/100</f>
        <v>802487.94561815029</v>
      </c>
      <c r="AO613" s="21"/>
      <c r="AP613" s="21"/>
      <c r="AQ613" s="22">
        <v>30</v>
      </c>
    </row>
    <row r="614" spans="2:43" ht="13.5" customHeight="1" x14ac:dyDescent="0.55000000000000004">
      <c r="B614" s="66">
        <v>599</v>
      </c>
      <c r="C614" s="29">
        <v>7</v>
      </c>
      <c r="D614" s="49" t="s">
        <v>54</v>
      </c>
      <c r="E614" s="27" t="s">
        <v>334</v>
      </c>
      <c r="F614" s="29"/>
      <c r="G614" s="29"/>
      <c r="H614" s="37">
        <f>I614/AJ614</f>
        <v>95042.948458757732</v>
      </c>
      <c r="I614" s="37">
        <f>SUM(J614:Q614)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2817009.3285208805</v>
      </c>
      <c r="J614" s="21">
        <f>S614*(1+IF($AK614+IF(입력란!$C$26=1,10,0)&gt;100,100,$AK614+IF(입력란!$C$26=1,10,0))/100*(($AL614+IF(입력란!$C$30=1,17,IF(입력란!$C$30=2,20,IF(입력란!$C$30=3,22,0))))/100-1))</f>
        <v>1662423.1809131084</v>
      </c>
      <c r="K614" s="21"/>
      <c r="L614" s="21"/>
      <c r="M614" s="21"/>
      <c r="N614" s="21"/>
      <c r="O614" s="21"/>
      <c r="P614" s="21"/>
      <c r="Q614" s="20">
        <f>Z614*(1+IF($AK614+IF(입력란!$C$26=1,10,0)&gt;100,100,$AK614+IF(입력란!$C$26=1,10,0))/100*(($AL614+IF(입력란!$C$30=1,17,IF(입력란!$C$30=2,20,IF(입력란!$C$30=3,22,0))))/100-1))</f>
        <v>332484.6361826217</v>
      </c>
      <c r="R614" s="19">
        <f>SUM(S614:Z614)</f>
        <v>1310872.3193336024</v>
      </c>
      <c r="S614" s="21">
        <f>AN614*IF(MID(E614,3,1)="1",트라이포드!$J$26,트라이포드!$I$26)*IF(MID(E614,3,1)="3",IF(G614="생명50%이하",트라이포드!$N$26,트라이포드!$M$26),1)*IF(MID(E614,5,1)="2",트라이포드!$R$26,트라이포드!$Q$26)*(1+입력란!$P$19/100)</f>
        <v>1092393.5994446687</v>
      </c>
      <c r="T614" s="21"/>
      <c r="U614" s="21"/>
      <c r="V614" s="21"/>
      <c r="W614" s="21"/>
      <c r="X614" s="21"/>
      <c r="Y614" s="21"/>
      <c r="Z614" s="20">
        <f>AN614*IF(MID(E614,1,1)="1",트라이포드!$D$26,트라이포드!$C$26)*(1+입력란!$P$19/100)</f>
        <v>218478.71988893376</v>
      </c>
      <c r="AA614" s="21">
        <f>SUM(AB614:AI614)</f>
        <v>2621744.6386672049</v>
      </c>
      <c r="AB614" s="21">
        <f>S614*2</f>
        <v>2184787.1988893375</v>
      </c>
      <c r="AC614" s="21"/>
      <c r="AD614" s="21"/>
      <c r="AE614" s="21"/>
      <c r="AF614" s="21"/>
      <c r="AG614" s="21"/>
      <c r="AH614" s="21"/>
      <c r="AI614" s="20">
        <f>Z614*2</f>
        <v>436957.43977786752</v>
      </c>
      <c r="AJ614" s="21">
        <f>AQ614*(1-입력란!$P$10/100)</f>
        <v>29.6393301576</v>
      </c>
      <c r="AK61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4" s="21">
        <f>입력란!$P$24+IF(입력란!$C$18=1,10,IF(입력란!$C$18=2,25,IF(입력란!$C$18=3,50,0)))+IF(입력란!$C$23&lt;&gt;0,-12)</f>
        <v>200</v>
      </c>
      <c r="AM614" s="21">
        <f>SUM(AN614:AP614)</f>
        <v>802487.94561815029</v>
      </c>
      <c r="AN614" s="21">
        <f>(VLOOKUP(C614,$B$4:$AJ$7,33,FALSE)+VLOOKUP(C614,$B$8:$AJ$11,33,FALSE)*입력란!$P$4)*입력란!$P$25/100</f>
        <v>802487.94561815029</v>
      </c>
      <c r="AO614" s="21"/>
      <c r="AP614" s="21"/>
      <c r="AQ614" s="22">
        <v>30</v>
      </c>
    </row>
    <row r="615" spans="2:43" ht="13.5" customHeight="1" x14ac:dyDescent="0.55000000000000004">
      <c r="B615" s="66">
        <v>600</v>
      </c>
      <c r="C615" s="29">
        <v>7</v>
      </c>
      <c r="D615" s="49" t="s">
        <v>54</v>
      </c>
      <c r="E615" s="27" t="s">
        <v>355</v>
      </c>
      <c r="F615" s="29"/>
      <c r="G615" s="29"/>
      <c r="H615" s="37">
        <f>I615/AJ615</f>
        <v>95042.948458757732</v>
      </c>
      <c r="I615" s="37">
        <f>SUM(J615:Q615)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2817009.3285208805</v>
      </c>
      <c r="J615" s="21">
        <f>S615*(1+IF($AK615+IF(입력란!$C$26=1,10,0)&gt;100,100,$AK615+IF(입력란!$C$26=1,10,0))/100*(($AL615+IF(입력란!$C$30=1,17,IF(입력란!$C$30=2,20,IF(입력란!$C$30=3,22,0))))/100-1))</f>
        <v>1662423.1809131084</v>
      </c>
      <c r="K615" s="21"/>
      <c r="L615" s="21"/>
      <c r="M615" s="21"/>
      <c r="N615" s="21"/>
      <c r="O615" s="21"/>
      <c r="P615" s="21"/>
      <c r="Q615" s="20">
        <f>Z615*(1+IF($AK615+IF(입력란!$C$26=1,10,0)&gt;100,100,$AK615+IF(입력란!$C$26=1,10,0))/100*(($AL615+IF(입력란!$C$30=1,17,IF(입력란!$C$30=2,20,IF(입력란!$C$30=3,22,0))))/100-1))</f>
        <v>332484.6361826217</v>
      </c>
      <c r="R615" s="19">
        <f>SUM(S615:Z615)</f>
        <v>1310872.3193336024</v>
      </c>
      <c r="S615" s="21">
        <f>AN615*IF(MID(E615,3,1)="1",트라이포드!$J$26,트라이포드!$I$26)*IF(MID(E615,3,1)="3",IF(G615="생명50%이하",트라이포드!$N$26,트라이포드!$M$26),1)*IF(MID(E615,5,1)="2",트라이포드!$R$26,트라이포드!$Q$26)*(1+입력란!$P$19/100)</f>
        <v>1092393.5994446687</v>
      </c>
      <c r="T615" s="21"/>
      <c r="U615" s="21"/>
      <c r="V615" s="21"/>
      <c r="W615" s="21"/>
      <c r="X615" s="21"/>
      <c r="Y615" s="21"/>
      <c r="Z615" s="20">
        <f>AN615*IF(MID(E615,1,1)="1",트라이포드!$D$26,트라이포드!$C$26)*(1+입력란!$P$19/100)</f>
        <v>218478.71988893376</v>
      </c>
      <c r="AA615" s="21">
        <f>SUM(AB615:AI615)</f>
        <v>2621744.6386672049</v>
      </c>
      <c r="AB615" s="21">
        <f>S615*2</f>
        <v>2184787.1988893375</v>
      </c>
      <c r="AC615" s="21"/>
      <c r="AD615" s="21"/>
      <c r="AE615" s="21"/>
      <c r="AF615" s="21"/>
      <c r="AG615" s="21"/>
      <c r="AH615" s="21"/>
      <c r="AI615" s="20">
        <f>Z615*2</f>
        <v>436957.43977786752</v>
      </c>
      <c r="AJ615" s="21">
        <f>AQ615*(1-입력란!$P$10/100)</f>
        <v>29.6393301576</v>
      </c>
      <c r="AK61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5" s="21">
        <f>입력란!$P$24+IF(입력란!$C$18=1,10,IF(입력란!$C$18=2,25,IF(입력란!$C$18=3,50,0)))+IF(입력란!$C$23&lt;&gt;0,-12)</f>
        <v>200</v>
      </c>
      <c r="AM615" s="21">
        <f>SUM(AN615:AP615)</f>
        <v>802487.94561815029</v>
      </c>
      <c r="AN615" s="21">
        <f>(VLOOKUP(C615,$B$4:$AJ$7,33,FALSE)+VLOOKUP(C615,$B$8:$AJ$11,33,FALSE)*입력란!$P$4)*입력란!$P$25/100</f>
        <v>802487.94561815029</v>
      </c>
      <c r="AO615" s="21"/>
      <c r="AP615" s="21"/>
      <c r="AQ615" s="22">
        <v>30</v>
      </c>
    </row>
    <row r="616" spans="2:43" ht="13.5" customHeight="1" x14ac:dyDescent="0.55000000000000004">
      <c r="B616" s="66">
        <v>601</v>
      </c>
      <c r="C616" s="29">
        <v>7</v>
      </c>
      <c r="D616" s="49" t="s">
        <v>254</v>
      </c>
      <c r="E616" s="27" t="s">
        <v>255</v>
      </c>
      <c r="F616" s="29"/>
      <c r="G616" s="29"/>
      <c r="H616" s="37">
        <f>I616/AJ616</f>
        <v>79202.457048964774</v>
      </c>
      <c r="I616" s="37">
        <f>SUM(J616:Q616)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2347507.7737674005</v>
      </c>
      <c r="J616" s="21">
        <f>S616*(1+IF($AK616+IF(입력란!$C$26=1,10,0)&gt;100,100,$AK616+IF(입력란!$C$26=1,10,0))/100*(($AL616+IF(입력란!$C$30=1,17,IF(입력란!$C$30=2,20,IF(입력란!$C$30=3,22,0))))/100-1))</f>
        <v>1662423.1809131084</v>
      </c>
      <c r="K616" s="21"/>
      <c r="L616" s="21"/>
      <c r="M616" s="21"/>
      <c r="N616" s="21"/>
      <c r="O616" s="21"/>
      <c r="P616" s="21"/>
      <c r="Q616" s="20">
        <f>Z616*(1+IF($AK616+IF(입력란!$C$26=1,10,0)&gt;100,100,$AK616+IF(입력란!$C$26=1,10,0))/100*(($AL616+IF(입력란!$C$30=1,17,IF(입력란!$C$30=2,20,IF(입력란!$C$30=3,22,0))))/100-1))</f>
        <v>0</v>
      </c>
      <c r="R616" s="19">
        <f>SUM(S616:Z616)</f>
        <v>1092393.5994446687</v>
      </c>
      <c r="S616" s="21">
        <f>AN616*IF(MID(E616,3,1)="1",트라이포드!$J$26,트라이포드!$I$26)*IF(MID(E616,3,1)="3",IF(G616="생명50%이하",트라이포드!$N$26,트라이포드!$M$26),1)*IF(MID(E616,5,1)="2",트라이포드!$R$26,트라이포드!$Q$26)*(1+입력란!$P$19/100)</f>
        <v>1092393.5994446687</v>
      </c>
      <c r="T616" s="21"/>
      <c r="U616" s="21"/>
      <c r="V616" s="21"/>
      <c r="W616" s="21"/>
      <c r="X616" s="21"/>
      <c r="Y616" s="21"/>
      <c r="Z616" s="20">
        <f>AN616*IF(MID(E616,1,1)="1",트라이포드!$D$26,트라이포드!$C$26)*(1+입력란!$P$19/100)</f>
        <v>0</v>
      </c>
      <c r="AA616" s="21">
        <f>SUM(AB616:AI616)</f>
        <v>2184787.1988893375</v>
      </c>
      <c r="AB616" s="21">
        <f>S616*2</f>
        <v>2184787.1988893375</v>
      </c>
      <c r="AC616" s="21"/>
      <c r="AD616" s="21"/>
      <c r="AE616" s="21"/>
      <c r="AF616" s="21"/>
      <c r="AG616" s="21"/>
      <c r="AH616" s="21"/>
      <c r="AI616" s="20">
        <f>Z616*2</f>
        <v>0</v>
      </c>
      <c r="AJ616" s="21">
        <f>AQ616*(1-입력란!$P$10/100)</f>
        <v>29.6393301576</v>
      </c>
      <c r="AK61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6" s="21">
        <f>입력란!$P$24+IF(입력란!$C$18=1,10,IF(입력란!$C$18=2,25,IF(입력란!$C$18=3,50,0)))+IF(입력란!$C$23&lt;&gt;0,-12)</f>
        <v>200</v>
      </c>
      <c r="AM616" s="21">
        <f>SUM(AN616:AP616)</f>
        <v>802487.94561815029</v>
      </c>
      <c r="AN616" s="21">
        <f>(VLOOKUP(C616,$B$4:$AJ$7,33,FALSE)+VLOOKUP(C616,$B$8:$AJ$11,33,FALSE)*입력란!$P$4)*입력란!$P$25/100</f>
        <v>802487.94561815029</v>
      </c>
      <c r="AO616" s="21"/>
      <c r="AP616" s="21"/>
      <c r="AQ616" s="22">
        <v>30</v>
      </c>
    </row>
    <row r="617" spans="2:43" ht="13.5" customHeight="1" x14ac:dyDescent="0.55000000000000004">
      <c r="B617" s="66">
        <v>602</v>
      </c>
      <c r="C617" s="29">
        <v>10</v>
      </c>
      <c r="D617" s="49" t="s">
        <v>254</v>
      </c>
      <c r="E617" s="27" t="s">
        <v>232</v>
      </c>
      <c r="F617" s="29"/>
      <c r="G617" s="29"/>
      <c r="H617" s="37">
        <f>I617/AJ617</f>
        <v>79232.843682167935</v>
      </c>
      <c r="I617" s="37">
        <f>SUM(J617:Q617)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2348408.4132212866</v>
      </c>
      <c r="J617" s="21">
        <f>S617*(1+IF($AK617+IF(입력란!$C$26=1,10,0)&gt;100,100,$AK617+IF(입력란!$C$26=1,10,0))/100*(($AL617+IF(입력란!$C$30=1,17,IF(입력란!$C$30=2,20,IF(입력란!$C$30=3,22,0))))/100-1))</f>
        <v>1663060.9823817622</v>
      </c>
      <c r="K617" s="21"/>
      <c r="L617" s="21"/>
      <c r="M617" s="21"/>
      <c r="N617" s="21"/>
      <c r="O617" s="21"/>
      <c r="P617" s="21"/>
      <c r="Q617" s="20">
        <f>Z617*(1+IF($AK617+IF(입력란!$C$26=1,10,0)&gt;100,100,$AK617+IF(입력란!$C$26=1,10,0))/100*(($AL617+IF(입력란!$C$30=1,17,IF(입력란!$C$30=2,20,IF(입력란!$C$30=3,22,0))))/100-1))</f>
        <v>0</v>
      </c>
      <c r="R617" s="19">
        <f>SUM(S617:Z617)</f>
        <v>1092812.7046701452</v>
      </c>
      <c r="S617" s="21">
        <f>AN617*IF(MID(E617,3,1)="1",트라이포드!$J$26,트라이포드!$I$26)*IF(MID(E617,3,1)="3",IF(G617="생명50%이하",트라이포드!$N$26,트라이포드!$M$26),1)*IF(MID(E617,5,1)="2",트라이포드!$R$26,트라이포드!$Q$26)*(1+입력란!$P$19/100)</f>
        <v>1092812.7046701452</v>
      </c>
      <c r="T617" s="21"/>
      <c r="U617" s="21"/>
      <c r="V617" s="21"/>
      <c r="W617" s="21"/>
      <c r="X617" s="21"/>
      <c r="Y617" s="21"/>
      <c r="Z617" s="20">
        <f>AN617*IF(MID(E617,1,1)="1",트라이포드!$D$26,트라이포드!$C$26)*(1+입력란!$P$19/100)</f>
        <v>0</v>
      </c>
      <c r="AA617" s="21">
        <f>SUM(AB617:AI617)</f>
        <v>2185625.4093402904</v>
      </c>
      <c r="AB617" s="21">
        <f>S617*2</f>
        <v>2185625.4093402904</v>
      </c>
      <c r="AC617" s="21"/>
      <c r="AD617" s="21"/>
      <c r="AE617" s="21"/>
      <c r="AF617" s="21"/>
      <c r="AG617" s="21"/>
      <c r="AH617" s="21"/>
      <c r="AI617" s="20">
        <f>Z617*2</f>
        <v>0</v>
      </c>
      <c r="AJ617" s="21">
        <f>AQ617*(1-입력란!$P$10/100)</f>
        <v>29.6393301576</v>
      </c>
      <c r="AK61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7" s="21">
        <f>입력란!$P$24+IF(입력란!$C$18=1,10,IF(입력란!$C$18=2,25,IF(입력란!$C$18=3,50,0)))+IF(입력란!$C$23&lt;&gt;0,-12)</f>
        <v>200</v>
      </c>
      <c r="AM617" s="21">
        <f>SUM(AN617:AP617)</f>
        <v>802795.82630471</v>
      </c>
      <c r="AN617" s="21">
        <f>(VLOOKUP(C617,$B$4:$AJ$7,33,FALSE)+VLOOKUP(C617,$B$8:$AJ$11,33,FALSE)*입력란!$P$4)*입력란!$P$25/100</f>
        <v>802795.82630471</v>
      </c>
      <c r="AO617" s="21"/>
      <c r="AP617" s="21"/>
      <c r="AQ617" s="22">
        <v>30</v>
      </c>
    </row>
    <row r="618" spans="2:43" ht="13.5" customHeight="1" x14ac:dyDescent="0.55000000000000004">
      <c r="B618" s="66">
        <v>603</v>
      </c>
      <c r="C618" s="29">
        <v>10</v>
      </c>
      <c r="D618" s="49" t="s">
        <v>54</v>
      </c>
      <c r="E618" s="27" t="s">
        <v>357</v>
      </c>
      <c r="F618" s="29"/>
      <c r="G618" s="29"/>
      <c r="H618" s="37">
        <f>I618/AJ618</f>
        <v>134695.83425968548</v>
      </c>
      <c r="I618" s="37">
        <f>SUM(J618:Q618)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3992294.3024761868</v>
      </c>
      <c r="J618" s="21">
        <f>S618*(1+IF($AK618+IF(입력란!$C$26=1,10,0)&gt;100,100,$AK618+IF(입력란!$C$26=1,10,0))/100*(($AL618+IF(입력란!$C$30=1,17,IF(입력란!$C$30=2,20,IF(입력란!$C$30=3,22,0))))/100-1))</f>
        <v>2494591.473572643</v>
      </c>
      <c r="K618" s="21"/>
      <c r="L618" s="21"/>
      <c r="M618" s="21"/>
      <c r="N618" s="21"/>
      <c r="O618" s="21"/>
      <c r="P618" s="21"/>
      <c r="Q618" s="20">
        <f>Z618*(1+IF($AK618+IF(입력란!$C$26=1,10,0)&gt;100,100,$AK618+IF(입력란!$C$26=1,10,0))/100*(($AL618+IF(입력란!$C$30=1,17,IF(입력란!$C$30=2,20,IF(입력란!$C$30=3,22,0))))/100-1))</f>
        <v>332612.19647635246</v>
      </c>
      <c r="R618" s="19">
        <f>SUM(S618:Z618)</f>
        <v>1857781.5979392468</v>
      </c>
      <c r="S618" s="21">
        <f>AN618*IF(MID(E618,3,1)="1",트라이포드!$J$26,트라이포드!$I$26)*IF(MID(E618,3,1)="3",IF(G618="생명50%이하",트라이포드!$N$26,트라이포드!$M$26),1)*IF(MID(E618,5,1)="2",트라이포드!$R$26,트라이포드!$Q$26)*(1+입력란!$P$19/100)</f>
        <v>1639219.0570052178</v>
      </c>
      <c r="T618" s="21"/>
      <c r="U618" s="21"/>
      <c r="V618" s="21"/>
      <c r="W618" s="21"/>
      <c r="X618" s="21"/>
      <c r="Y618" s="21"/>
      <c r="Z618" s="20">
        <f>AN618*IF(MID(E618,1,1)="1",트라이포드!$D$26,트라이포드!$C$26)*(1+입력란!$P$19/100)</f>
        <v>218562.54093402906</v>
      </c>
      <c r="AA618" s="21">
        <f>SUM(AB618:AI618)</f>
        <v>3715563.1958784936</v>
      </c>
      <c r="AB618" s="21">
        <f>S618*2</f>
        <v>3278438.1140104355</v>
      </c>
      <c r="AC618" s="21"/>
      <c r="AD618" s="21"/>
      <c r="AE618" s="21"/>
      <c r="AF618" s="21"/>
      <c r="AG618" s="21"/>
      <c r="AH618" s="21"/>
      <c r="AI618" s="20">
        <f>Z618*2</f>
        <v>437125.08186805813</v>
      </c>
      <c r="AJ618" s="21">
        <f>AQ618*(1-입력란!$P$10/100)</f>
        <v>29.6393301576</v>
      </c>
      <c r="AK61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8" s="21">
        <f>입력란!$P$24+IF(입력란!$C$18=1,10,IF(입력란!$C$18=2,25,IF(입력란!$C$18=3,50,0)))+IF(입력란!$C$23&lt;&gt;0,-12)</f>
        <v>200</v>
      </c>
      <c r="AM618" s="21">
        <f>SUM(AN618:AP618)</f>
        <v>802795.82630471</v>
      </c>
      <c r="AN618" s="21">
        <f>(VLOOKUP(C618,$B$4:$AJ$7,33,FALSE)+VLOOKUP(C618,$B$8:$AJ$11,33,FALSE)*입력란!$P$4)*입력란!$P$25/100</f>
        <v>802795.82630471</v>
      </c>
      <c r="AO618" s="21"/>
      <c r="AP618" s="21"/>
      <c r="AQ618" s="22">
        <v>30</v>
      </c>
    </row>
    <row r="619" spans="2:43" ht="13.5" customHeight="1" x14ac:dyDescent="0.55000000000000004">
      <c r="B619" s="66">
        <v>604</v>
      </c>
      <c r="C619" s="29">
        <v>10</v>
      </c>
      <c r="D619" s="49" t="s">
        <v>254</v>
      </c>
      <c r="E619" s="27" t="s">
        <v>240</v>
      </c>
      <c r="F619" s="29"/>
      <c r="G619" s="29"/>
      <c r="H619" s="37">
        <f>I619/AJ619</f>
        <v>118849.26552325189</v>
      </c>
      <c r="I619" s="37">
        <f>SUM(J619:Q619)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3522612.6198319294</v>
      </c>
      <c r="J619" s="21">
        <f>S619*(1+IF($AK619+IF(입력란!$C$26=1,10,0)&gt;100,100,$AK619+IF(입력란!$C$26=1,10,0))/100*(($AL619+IF(입력란!$C$30=1,17,IF(입력란!$C$30=2,20,IF(입력란!$C$30=3,22,0))))/100-1))</f>
        <v>2494591.473572643</v>
      </c>
      <c r="K619" s="21"/>
      <c r="L619" s="21"/>
      <c r="M619" s="21"/>
      <c r="N619" s="21"/>
      <c r="O619" s="21"/>
      <c r="P619" s="21"/>
      <c r="Q619" s="20">
        <f>Z619*(1+IF($AK619+IF(입력란!$C$26=1,10,0)&gt;100,100,$AK619+IF(입력란!$C$26=1,10,0))/100*(($AL619+IF(입력란!$C$30=1,17,IF(입력란!$C$30=2,20,IF(입력란!$C$30=3,22,0))))/100-1))</f>
        <v>0</v>
      </c>
      <c r="R619" s="19">
        <f>SUM(S619:Z619)</f>
        <v>1639219.0570052178</v>
      </c>
      <c r="S619" s="21">
        <f>AN619*IF(MID(E619,3,1)="1",트라이포드!$J$26,트라이포드!$I$26)*IF(MID(E619,3,1)="3",IF(G619="생명50%이하",트라이포드!$N$26,트라이포드!$M$26),1)*IF(MID(E619,5,1)="2",트라이포드!$R$26,트라이포드!$Q$26)*(1+입력란!$P$19/100)</f>
        <v>1639219.0570052178</v>
      </c>
      <c r="T619" s="21"/>
      <c r="U619" s="21"/>
      <c r="V619" s="21"/>
      <c r="W619" s="21"/>
      <c r="X619" s="21"/>
      <c r="Y619" s="21"/>
      <c r="Z619" s="20">
        <f>AN619*IF(MID(E619,1,1)="1",트라이포드!$D$26,트라이포드!$C$26)*(1+입력란!$P$19/100)</f>
        <v>0</v>
      </c>
      <c r="AA619" s="21">
        <f>SUM(AB619:AI619)</f>
        <v>3278438.1140104355</v>
      </c>
      <c r="AB619" s="21">
        <f>S619*2</f>
        <v>3278438.1140104355</v>
      </c>
      <c r="AC619" s="21"/>
      <c r="AD619" s="21"/>
      <c r="AE619" s="21"/>
      <c r="AF619" s="21"/>
      <c r="AG619" s="21"/>
      <c r="AH619" s="21"/>
      <c r="AI619" s="20">
        <f>Z619*2</f>
        <v>0</v>
      </c>
      <c r="AJ619" s="21">
        <f>AQ619*(1-입력란!$P$10/100)</f>
        <v>29.6393301576</v>
      </c>
      <c r="AK61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19" s="21">
        <f>입력란!$P$24+IF(입력란!$C$18=1,10,IF(입력란!$C$18=2,25,IF(입력란!$C$18=3,50,0)))+IF(입력란!$C$23&lt;&gt;0,-12)</f>
        <v>200</v>
      </c>
      <c r="AM619" s="21">
        <f>SUM(AN619:AP619)</f>
        <v>802795.82630471</v>
      </c>
      <c r="AN619" s="21">
        <f>(VLOOKUP(C619,$B$4:$AJ$7,33,FALSE)+VLOOKUP(C619,$B$8:$AJ$11,33,FALSE)*입력란!$P$4)*입력란!$P$25/100</f>
        <v>802795.82630471</v>
      </c>
      <c r="AO619" s="21"/>
      <c r="AP619" s="21"/>
      <c r="AQ619" s="22">
        <v>30</v>
      </c>
    </row>
    <row r="620" spans="2:43" ht="13.5" customHeight="1" x14ac:dyDescent="0.55000000000000004">
      <c r="B620" s="66">
        <v>605</v>
      </c>
      <c r="C620" s="29">
        <v>10</v>
      </c>
      <c r="D620" s="49" t="s">
        <v>54</v>
      </c>
      <c r="E620" s="27" t="s">
        <v>179</v>
      </c>
      <c r="F620" s="29"/>
      <c r="G620" s="29"/>
      <c r="H620" s="37">
        <f>I620/AJ620</f>
        <v>164408.15064049847</v>
      </c>
      <c r="I620" s="37">
        <f>SUM(J620:Q620)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4872947.4574341699</v>
      </c>
      <c r="J620" s="21">
        <f>S620*(1+IF($AK620+IF(입력란!$C$26=1,10,0)&gt;100,100,$AK620+IF(입력란!$C$26=1,10,0))/100*(($AL620+IF(입력란!$C$30=1,17,IF(입력란!$C$30=2,20,IF(입력란!$C$30=3,22,0))))/100-1))</f>
        <v>3118239.3419658043</v>
      </c>
      <c r="K620" s="21"/>
      <c r="L620" s="21"/>
      <c r="M620" s="21"/>
      <c r="N620" s="21"/>
      <c r="O620" s="21"/>
      <c r="P620" s="21"/>
      <c r="Q620" s="20">
        <f>Z620*(1+IF($AK620+IF(입력란!$C$26=1,10,0)&gt;100,100,$AK620+IF(입력란!$C$26=1,10,0))/100*(($AL620+IF(입력란!$C$30=1,17,IF(입력란!$C$30=2,20,IF(입력란!$C$30=3,22,0))))/100-1))</f>
        <v>332612.19647635246</v>
      </c>
      <c r="R620" s="19">
        <f>SUM(S620:Z620)</f>
        <v>2267586.3621905516</v>
      </c>
      <c r="S620" s="21">
        <f>AN620*IF(MID(E620,3,1)="1",트라이포드!$J$26,트라이포드!$I$26)*IF(MID(E620,3,1)="3",IF(G620="생명50%이하",트라이포드!$N$26,트라이포드!$M$26),1)*IF(MID(E620,5,1)="2",트라이포드!$R$26,트라이포드!$Q$26)*(1+입력란!$P$19/100)</f>
        <v>2049023.8212565223</v>
      </c>
      <c r="T620" s="21"/>
      <c r="U620" s="21"/>
      <c r="V620" s="21"/>
      <c r="W620" s="21"/>
      <c r="X620" s="21"/>
      <c r="Y620" s="21"/>
      <c r="Z620" s="20">
        <f>AN620*IF(MID(E620,1,1)="1",트라이포드!$D$26,트라이포드!$C$26)*(1+입력란!$P$19/100)</f>
        <v>218562.54093402906</v>
      </c>
      <c r="AA620" s="21">
        <f>SUM(AB620:AI620)</f>
        <v>4535172.7243811032</v>
      </c>
      <c r="AB620" s="21">
        <f>S620*2</f>
        <v>4098047.6425130446</v>
      </c>
      <c r="AC620" s="21"/>
      <c r="AD620" s="21"/>
      <c r="AE620" s="21"/>
      <c r="AF620" s="21"/>
      <c r="AG620" s="21"/>
      <c r="AH620" s="21"/>
      <c r="AI620" s="20">
        <f>Z620*2</f>
        <v>437125.08186805813</v>
      </c>
      <c r="AJ620" s="21">
        <f>AQ620*(1-입력란!$P$10/100)</f>
        <v>29.6393301576</v>
      </c>
      <c r="AK62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0" s="21">
        <f>입력란!$P$24+IF(입력란!$C$18=1,10,IF(입력란!$C$18=2,25,IF(입력란!$C$18=3,50,0)))+IF(입력란!$C$23&lt;&gt;0,-12)</f>
        <v>200</v>
      </c>
      <c r="AM620" s="21">
        <f>SUM(AN620:AP620)</f>
        <v>802795.82630471</v>
      </c>
      <c r="AN620" s="21">
        <f>(VLOOKUP(C620,$B$4:$AJ$7,33,FALSE)+VLOOKUP(C620,$B$8:$AJ$11,33,FALSE)*입력란!$P$4)*입력란!$P$25/100</f>
        <v>802795.82630471</v>
      </c>
      <c r="AO620" s="21"/>
      <c r="AP620" s="21"/>
      <c r="AQ620" s="22">
        <v>30</v>
      </c>
    </row>
    <row r="621" spans="2:43" ht="13.5" customHeight="1" x14ac:dyDescent="0.55000000000000004">
      <c r="B621" s="66">
        <v>606</v>
      </c>
      <c r="C621" s="29">
        <v>10</v>
      </c>
      <c r="D621" s="49" t="s">
        <v>254</v>
      </c>
      <c r="E621" s="27" t="s">
        <v>249</v>
      </c>
      <c r="F621" s="29"/>
      <c r="G621" s="29"/>
      <c r="H621" s="37">
        <f>I621/AJ621</f>
        <v>148561.58190406489</v>
      </c>
      <c r="I621" s="37">
        <f>SUM(J621:Q621)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4403265.7747899126</v>
      </c>
      <c r="J621" s="21">
        <f>S621*(1+IF($AK621+IF(입력란!$C$26=1,10,0)&gt;100,100,$AK621+IF(입력란!$C$26=1,10,0))/100*(($AL621+IF(입력란!$C$30=1,17,IF(입력란!$C$30=2,20,IF(입력란!$C$30=3,22,0))))/100-1))</f>
        <v>3118239.3419658043</v>
      </c>
      <c r="K621" s="21"/>
      <c r="L621" s="21"/>
      <c r="M621" s="21"/>
      <c r="N621" s="21"/>
      <c r="O621" s="21"/>
      <c r="P621" s="21"/>
      <c r="Q621" s="20">
        <f>Z621*(1+IF($AK621+IF(입력란!$C$26=1,10,0)&gt;100,100,$AK621+IF(입력란!$C$26=1,10,0))/100*(($AL621+IF(입력란!$C$30=1,17,IF(입력란!$C$30=2,20,IF(입력란!$C$30=3,22,0))))/100-1))</f>
        <v>0</v>
      </c>
      <c r="R621" s="19">
        <f>SUM(S621:Z621)</f>
        <v>2049023.8212565223</v>
      </c>
      <c r="S621" s="21">
        <f>AN621*IF(MID(E621,3,1)="1",트라이포드!$J$26,트라이포드!$I$26)*IF(MID(E621,3,1)="3",IF(G621="생명50%이하",트라이포드!$N$26,트라이포드!$M$26),1)*IF(MID(E621,5,1)="2",트라이포드!$R$26,트라이포드!$Q$26)*(1+입력란!$P$19/100)</f>
        <v>2049023.8212565223</v>
      </c>
      <c r="T621" s="21"/>
      <c r="U621" s="21"/>
      <c r="V621" s="21"/>
      <c r="W621" s="21"/>
      <c r="X621" s="21"/>
      <c r="Y621" s="21"/>
      <c r="Z621" s="20">
        <f>AN621*IF(MID(E621,1,1)="1",트라이포드!$D$26,트라이포드!$C$26)*(1+입력란!$P$19/100)</f>
        <v>0</v>
      </c>
      <c r="AA621" s="21">
        <f>SUM(AB621:AI621)</f>
        <v>4098047.6425130446</v>
      </c>
      <c r="AB621" s="21">
        <f>S621*2</f>
        <v>4098047.6425130446</v>
      </c>
      <c r="AC621" s="21"/>
      <c r="AD621" s="21"/>
      <c r="AE621" s="21"/>
      <c r="AF621" s="21"/>
      <c r="AG621" s="21"/>
      <c r="AH621" s="21"/>
      <c r="AI621" s="20">
        <f>Z621*2</f>
        <v>0</v>
      </c>
      <c r="AJ621" s="21">
        <f>AQ621*(1-입력란!$P$10/100)</f>
        <v>29.6393301576</v>
      </c>
      <c r="AK62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1" s="21">
        <f>입력란!$P$24+IF(입력란!$C$18=1,10,IF(입력란!$C$18=2,25,IF(입력란!$C$18=3,50,0)))+IF(입력란!$C$23&lt;&gt;0,-12)</f>
        <v>200</v>
      </c>
      <c r="AM621" s="21">
        <f>SUM(AN621:AP621)</f>
        <v>802795.82630471</v>
      </c>
      <c r="AN621" s="21">
        <f>(VLOOKUP(C621,$B$4:$AJ$7,33,FALSE)+VLOOKUP(C621,$B$8:$AJ$11,33,FALSE)*입력란!$P$4)*입력란!$P$25/100</f>
        <v>802795.82630471</v>
      </c>
      <c r="AO621" s="21"/>
      <c r="AP621" s="21"/>
      <c r="AQ621" s="22">
        <v>30</v>
      </c>
    </row>
    <row r="622" spans="2:43" ht="13.5" customHeight="1" x14ac:dyDescent="0.55000000000000004">
      <c r="B622" s="66">
        <v>607</v>
      </c>
      <c r="C622" s="29">
        <v>10</v>
      </c>
      <c r="D622" s="49" t="s">
        <v>54</v>
      </c>
      <c r="E622" s="27" t="s">
        <v>199</v>
      </c>
      <c r="F622" s="29"/>
      <c r="G622" s="29"/>
      <c r="H622" s="37">
        <f>I622/AJ622</f>
        <v>134695.83425968548</v>
      </c>
      <c r="I622" s="37">
        <f>SUM(J622:Q622)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3992294.3024761868</v>
      </c>
      <c r="J622" s="21">
        <f>S622*(1+IF($AK622+IF(입력란!$C$26=1,10,0)&gt;100,100,$AK622+IF(입력란!$C$26=1,10,0))/100*(($AL622+IF(입력란!$C$30=1,17,IF(입력란!$C$30=2,20,IF(입력란!$C$30=3,22,0))))/100-1))</f>
        <v>2494591.473572643</v>
      </c>
      <c r="K622" s="21"/>
      <c r="L622" s="21"/>
      <c r="M622" s="21"/>
      <c r="N622" s="21"/>
      <c r="O622" s="21"/>
      <c r="P622" s="21"/>
      <c r="Q622" s="20">
        <f>Z622*(1+IF($AK622+IF(입력란!$C$26=1,10,0)&gt;100,100,$AK622+IF(입력란!$C$26=1,10,0))/100*(($AL622+IF(입력란!$C$30=1,17,IF(입력란!$C$30=2,20,IF(입력란!$C$30=3,22,0))))/100-1))</f>
        <v>332612.19647635246</v>
      </c>
      <c r="R622" s="19">
        <f>SUM(S622:Z622)</f>
        <v>1857781.5979392468</v>
      </c>
      <c r="S622" s="21">
        <f>AN622*IF(MID(E622,3,1)="1",트라이포드!$J$26,트라이포드!$I$26)*IF(MID(E622,3,1)="3",IF(G622="생명50%이하",트라이포드!$N$26,트라이포드!$M$26),1)*IF(MID(E622,5,1)="2",트라이포드!$R$26,트라이포드!$Q$26)*(1+입력란!$P$19/100)</f>
        <v>1639219.0570052178</v>
      </c>
      <c r="T622" s="21"/>
      <c r="U622" s="21"/>
      <c r="V622" s="21"/>
      <c r="W622" s="21"/>
      <c r="X622" s="21"/>
      <c r="Y622" s="21"/>
      <c r="Z622" s="20">
        <f>AN622*IF(MID(E622,1,1)="1",트라이포드!$D$26,트라이포드!$C$26)*(1+입력란!$P$19/100)</f>
        <v>218562.54093402906</v>
      </c>
      <c r="AA622" s="21">
        <f>SUM(AB622:AI622)</f>
        <v>3715563.1958784936</v>
      </c>
      <c r="AB622" s="21">
        <f>S622*2</f>
        <v>3278438.1140104355</v>
      </c>
      <c r="AC622" s="21"/>
      <c r="AD622" s="21"/>
      <c r="AE622" s="21"/>
      <c r="AF622" s="21"/>
      <c r="AG622" s="21"/>
      <c r="AH622" s="21"/>
      <c r="AI622" s="20">
        <f>Z622*2</f>
        <v>437125.08186805813</v>
      </c>
      <c r="AJ622" s="21">
        <f>AQ622*(1-입력란!$P$10/100)</f>
        <v>29.6393301576</v>
      </c>
      <c r="AK62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2" s="21">
        <f>입력란!$P$24+IF(입력란!$C$18=1,10,IF(입력란!$C$18=2,25,IF(입력란!$C$18=3,50,0)))+IF(입력란!$C$23&lt;&gt;0,-12)</f>
        <v>200</v>
      </c>
      <c r="AM622" s="21">
        <f>SUM(AN622:AP622)</f>
        <v>802795.82630471</v>
      </c>
      <c r="AN622" s="21">
        <f>(VLOOKUP(C622,$B$4:$AJ$7,33,FALSE)+VLOOKUP(C622,$B$8:$AJ$11,33,FALSE)*입력란!$P$4)*입력란!$P$25/100</f>
        <v>802795.82630471</v>
      </c>
      <c r="AO622" s="21"/>
      <c r="AP622" s="21"/>
      <c r="AQ622" s="22">
        <v>30</v>
      </c>
    </row>
    <row r="623" spans="2:43" ht="13.5" customHeight="1" x14ac:dyDescent="0.55000000000000004">
      <c r="B623" s="66">
        <v>608</v>
      </c>
      <c r="C623" s="29">
        <v>10</v>
      </c>
      <c r="D623" s="49" t="s">
        <v>254</v>
      </c>
      <c r="E623" s="27" t="s">
        <v>256</v>
      </c>
      <c r="F623" s="29"/>
      <c r="G623" s="29"/>
      <c r="H623" s="37">
        <f>I623/AJ623</f>
        <v>118849.26552325189</v>
      </c>
      <c r="I623" s="37">
        <f>SUM(J623:Q623)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3522612.6198319294</v>
      </c>
      <c r="J623" s="21">
        <f>S623*(1+IF($AK623+IF(입력란!$C$26=1,10,0)&gt;100,100,$AK623+IF(입력란!$C$26=1,10,0))/100*(($AL623+IF(입력란!$C$30=1,17,IF(입력란!$C$30=2,20,IF(입력란!$C$30=3,22,0))))/100-1))</f>
        <v>2494591.473572643</v>
      </c>
      <c r="K623" s="21"/>
      <c r="L623" s="21"/>
      <c r="M623" s="21"/>
      <c r="N623" s="21"/>
      <c r="O623" s="21"/>
      <c r="P623" s="21"/>
      <c r="Q623" s="20">
        <f>Z623*(1+IF($AK623+IF(입력란!$C$26=1,10,0)&gt;100,100,$AK623+IF(입력란!$C$26=1,10,0))/100*(($AL623+IF(입력란!$C$30=1,17,IF(입력란!$C$30=2,20,IF(입력란!$C$30=3,22,0))))/100-1))</f>
        <v>0</v>
      </c>
      <c r="R623" s="19">
        <f>SUM(S623:Z623)</f>
        <v>1639219.0570052178</v>
      </c>
      <c r="S623" s="21">
        <f>AN623*IF(MID(E623,3,1)="1",트라이포드!$J$26,트라이포드!$I$26)*IF(MID(E623,3,1)="3",IF(G623="생명50%이하",트라이포드!$N$26,트라이포드!$M$26),1)*IF(MID(E623,5,1)="2",트라이포드!$R$26,트라이포드!$Q$26)*(1+입력란!$P$19/100)</f>
        <v>1639219.0570052178</v>
      </c>
      <c r="T623" s="21"/>
      <c r="U623" s="21"/>
      <c r="V623" s="21"/>
      <c r="W623" s="21"/>
      <c r="X623" s="21"/>
      <c r="Y623" s="21"/>
      <c r="Z623" s="20">
        <f>AN623*IF(MID(E623,1,1)="1",트라이포드!$D$26,트라이포드!$C$26)*(1+입력란!$P$19/100)</f>
        <v>0</v>
      </c>
      <c r="AA623" s="21">
        <f>SUM(AB623:AI623)</f>
        <v>3278438.1140104355</v>
      </c>
      <c r="AB623" s="21">
        <f>S623*2</f>
        <v>3278438.1140104355</v>
      </c>
      <c r="AC623" s="21"/>
      <c r="AD623" s="21"/>
      <c r="AE623" s="21"/>
      <c r="AF623" s="21"/>
      <c r="AG623" s="21"/>
      <c r="AH623" s="21"/>
      <c r="AI623" s="20">
        <f>Z623*2</f>
        <v>0</v>
      </c>
      <c r="AJ623" s="21">
        <f>AQ623*(1-입력란!$P$10/100)</f>
        <v>29.6393301576</v>
      </c>
      <c r="AK62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3" s="21">
        <f>입력란!$P$24+IF(입력란!$C$18=1,10,IF(입력란!$C$18=2,25,IF(입력란!$C$18=3,50,0)))+IF(입력란!$C$23&lt;&gt;0,-12)</f>
        <v>200</v>
      </c>
      <c r="AM623" s="21">
        <f>SUM(AN623:AP623)</f>
        <v>802795.82630471</v>
      </c>
      <c r="AN623" s="21">
        <f>(VLOOKUP(C623,$B$4:$AJ$7,33,FALSE)+VLOOKUP(C623,$B$8:$AJ$11,33,FALSE)*입력란!$P$4)*입력란!$P$25/100</f>
        <v>802795.82630471</v>
      </c>
      <c r="AO623" s="21"/>
      <c r="AP623" s="21"/>
      <c r="AQ623" s="22">
        <v>30</v>
      </c>
    </row>
    <row r="624" spans="2:43" ht="13.5" customHeight="1" x14ac:dyDescent="0.55000000000000004">
      <c r="B624" s="66">
        <v>609</v>
      </c>
      <c r="C624" s="29">
        <v>1</v>
      </c>
      <c r="D624" s="49" t="s">
        <v>254</v>
      </c>
      <c r="E624" s="27" t="s">
        <v>232</v>
      </c>
      <c r="F624" s="29"/>
      <c r="G624" s="29" t="s">
        <v>376</v>
      </c>
      <c r="H624" s="37">
        <f>I624/AJ624</f>
        <v>79050.425525619896</v>
      </c>
      <c r="I624" s="37">
        <f>SUM(J624:Q624)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2343001.6612526188</v>
      </c>
      <c r="J624" s="21">
        <f>S624*(1+IF($AK624+IF(입력란!$C$26=1,10,0)&gt;100,100,$AK624+IF(입력란!$C$26=1,10,0))/100*(($AL624+IF(입력란!$C$30=1,17,IF(입력란!$C$30=2,20,IF(입력란!$C$30=3,22,0))))/100-1))</f>
        <v>1659232.1090946947</v>
      </c>
      <c r="K624" s="21"/>
      <c r="L624" s="21"/>
      <c r="M624" s="21"/>
      <c r="N624" s="21"/>
      <c r="O624" s="21"/>
      <c r="P624" s="21"/>
      <c r="Q624" s="20">
        <f>Z624*(1+IF($AK624+IF(입력란!$C$26=1,10,0)&gt;100,100,$AK624+IF(입력란!$C$26=1,10,0))/100*(($AL624+IF(입력란!$C$30=1,17,IF(입력란!$C$30=2,20,IF(입력란!$C$30=3,22,0))))/100-1))</f>
        <v>0</v>
      </c>
      <c r="R624" s="19">
        <f>SUM(S624:Z624)</f>
        <v>1090296.7167316349</v>
      </c>
      <c r="S624" s="21">
        <f>AN624*IF(MID(E624,3,1)="1",트라이포드!$J$26,트라이포드!$I$26)*IF(MID(E624,3,1)="3",IF(G624="생명50%이하",트라이포드!$N$26,트라이포드!$M$26),1)*IF(MID(E624,5,1)="2",트라이포드!$R$26,트라이포드!$Q$26)*(1+입력란!$P$19/100)</f>
        <v>1090296.7167316349</v>
      </c>
      <c r="T624" s="21"/>
      <c r="U624" s="21"/>
      <c r="V624" s="21"/>
      <c r="W624" s="21"/>
      <c r="X624" s="21"/>
      <c r="Y624" s="21"/>
      <c r="Z624" s="20">
        <f>AN624*IF(MID(E624,1,1)="1",트라이포드!$D$26,트라이포드!$C$26)*(1+입력란!$P$19/100)</f>
        <v>0</v>
      </c>
      <c r="AA624" s="21">
        <f>SUM(AB624:AI624)</f>
        <v>2180593.4334632698</v>
      </c>
      <c r="AB624" s="21">
        <f>S624*2</f>
        <v>2180593.4334632698</v>
      </c>
      <c r="AC624" s="21"/>
      <c r="AD624" s="21"/>
      <c r="AE624" s="21"/>
      <c r="AF624" s="21"/>
      <c r="AG624" s="21"/>
      <c r="AH624" s="21"/>
      <c r="AI624" s="20">
        <f>Z624*2</f>
        <v>0</v>
      </c>
      <c r="AJ624" s="21">
        <f>AQ624*(1-입력란!$P$10/100)</f>
        <v>29.6393301576</v>
      </c>
      <c r="AK62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4" s="21">
        <f>입력란!$P$24+IF(입력란!$C$18=1,10,IF(입력란!$C$18=2,25,IF(입력란!$C$18=3,50,0)))+IF(입력란!$C$23&lt;&gt;0,-12)</f>
        <v>200</v>
      </c>
      <c r="AM624" s="21">
        <f>SUM(AN624:AP624)</f>
        <v>800947.54561815027</v>
      </c>
      <c r="AN624" s="21">
        <f>(VLOOKUP(C624,$B$4:$AJ$7,33,FALSE)+VLOOKUP(C624,$B$8:$AJ$11,33,FALSE)*입력란!$P$4)*입력란!$P$25/100</f>
        <v>800947.54561815027</v>
      </c>
      <c r="AO624" s="21"/>
      <c r="AP624" s="21"/>
      <c r="AQ624" s="22">
        <v>30</v>
      </c>
    </row>
    <row r="625" spans="2:43" ht="13.5" customHeight="1" x14ac:dyDescent="0.55000000000000004">
      <c r="B625" s="66">
        <v>610</v>
      </c>
      <c r="C625" s="29">
        <v>4</v>
      </c>
      <c r="D625" s="49" t="s">
        <v>54</v>
      </c>
      <c r="E625" s="27" t="s">
        <v>334</v>
      </c>
      <c r="F625" s="29"/>
      <c r="G625" s="29" t="s">
        <v>376</v>
      </c>
      <c r="H625" s="37">
        <f>I625/AJ625</f>
        <v>94985.057254957967</v>
      </c>
      <c r="I625" s="37">
        <f>SUM(J625:Q625)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2815293.4720182382</v>
      </c>
      <c r="J625" s="21">
        <f>S625*(1+IF($AK625+IF(입력란!$C$26=1,10,0)&gt;100,100,$AK625+IF(입력란!$C$26=1,10,0))/100*(($AL625+IF(입력란!$C$30=1,17,IF(입력란!$C$30=2,20,IF(입력란!$C$30=3,22,0))))/100-1))</f>
        <v>1661410.5894402177</v>
      </c>
      <c r="K625" s="21"/>
      <c r="L625" s="21"/>
      <c r="M625" s="21"/>
      <c r="N625" s="21"/>
      <c r="O625" s="21"/>
      <c r="P625" s="21"/>
      <c r="Q625" s="20">
        <f>Z625*(1+IF($AK625+IF(입력란!$C$26=1,10,0)&gt;100,100,$AK625+IF(입력란!$C$26=1,10,0))/100*(($AL625+IF(입력란!$C$30=1,17,IF(입력란!$C$30=2,20,IF(입력란!$C$30=3,22,0))))/100-1))</f>
        <v>332282.11788804358</v>
      </c>
      <c r="R625" s="19">
        <f>SUM(S625:Z625)</f>
        <v>1310073.8595022878</v>
      </c>
      <c r="S625" s="21">
        <f>AN625*IF(MID(E625,3,1)="1",트라이포드!$J$26,트라이포드!$I$26)*IF(MID(E625,3,1)="3",IF(G625="생명50%이하",트라이포드!$N$26,트라이포드!$M$26),1)*IF(MID(E625,5,1)="2",트라이포드!$R$26,트라이포드!$Q$26)*(1+입력란!$P$19/100)</f>
        <v>1091728.2162519065</v>
      </c>
      <c r="T625" s="21"/>
      <c r="U625" s="21"/>
      <c r="V625" s="21"/>
      <c r="W625" s="21"/>
      <c r="X625" s="21"/>
      <c r="Y625" s="21"/>
      <c r="Z625" s="20">
        <f>AN625*IF(MID(E625,1,1)="1",트라이포드!$D$26,트라이포드!$C$26)*(1+입력란!$P$19/100)</f>
        <v>218345.64325038131</v>
      </c>
      <c r="AA625" s="21">
        <f>SUM(AB625:AI625)</f>
        <v>2620147.7190045756</v>
      </c>
      <c r="AB625" s="21">
        <f>S625*2</f>
        <v>2183456.4325038129</v>
      </c>
      <c r="AC625" s="21"/>
      <c r="AD625" s="21"/>
      <c r="AE625" s="21"/>
      <c r="AF625" s="21"/>
      <c r="AG625" s="21"/>
      <c r="AH625" s="21"/>
      <c r="AI625" s="20">
        <f>Z625*2</f>
        <v>436691.28650076262</v>
      </c>
      <c r="AJ625" s="21">
        <f>AQ625*(1-입력란!$P$10/100)</f>
        <v>29.6393301576</v>
      </c>
      <c r="AK62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5" s="21">
        <f>입력란!$P$24+IF(입력란!$C$18=1,10,IF(입력란!$C$18=2,25,IF(입력란!$C$18=3,50,0)))+IF(입력란!$C$23&lt;&gt;0,-12)</f>
        <v>200</v>
      </c>
      <c r="AM625" s="21">
        <f>SUM(AN625:AP625)</f>
        <v>801999.14561815024</v>
      </c>
      <c r="AN625" s="21">
        <f>(VLOOKUP(C625,$B$4:$AJ$7,33,FALSE)+VLOOKUP(C625,$B$8:$AJ$11,33,FALSE)*입력란!$P$4)*입력란!$P$25/100</f>
        <v>801999.14561815024</v>
      </c>
      <c r="AO625" s="21"/>
      <c r="AP625" s="21"/>
      <c r="AQ625" s="22">
        <v>30</v>
      </c>
    </row>
    <row r="626" spans="2:43" ht="13.5" customHeight="1" x14ac:dyDescent="0.55000000000000004">
      <c r="B626" s="66">
        <v>611</v>
      </c>
      <c r="C626" s="29">
        <v>4</v>
      </c>
      <c r="D626" s="49" t="s">
        <v>254</v>
      </c>
      <c r="E626" s="27" t="s">
        <v>232</v>
      </c>
      <c r="F626" s="29"/>
      <c r="G626" s="29" t="s">
        <v>375</v>
      </c>
      <c r="H626" s="37">
        <f>I626/AJ626</f>
        <v>79154.214379131634</v>
      </c>
      <c r="I626" s="37">
        <f>SUM(J626:Q626)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2346077.8933485318</v>
      </c>
      <c r="J626" s="21">
        <f>S626*(1+IF($AK626+IF(입력란!$C$26=1,10,0)&gt;100,100,$AK626+IF(입력란!$C$26=1,10,0))/100*(($AL626+IF(입력란!$C$30=1,17,IF(입력란!$C$30=2,20,IF(입력란!$C$30=3,22,0))))/100-1))</f>
        <v>1661410.5894402177</v>
      </c>
      <c r="K626" s="21"/>
      <c r="L626" s="21"/>
      <c r="M626" s="21"/>
      <c r="N626" s="21"/>
      <c r="O626" s="21"/>
      <c r="P626" s="21"/>
      <c r="Q626" s="20">
        <f>Z626*(1+IF($AK626+IF(입력란!$C$26=1,10,0)&gt;100,100,$AK626+IF(입력란!$C$26=1,10,0))/100*(($AL626+IF(입력란!$C$30=1,17,IF(입력란!$C$30=2,20,IF(입력란!$C$30=3,22,0))))/100-1))</f>
        <v>0</v>
      </c>
      <c r="R626" s="19">
        <f>SUM(S626:Z626)</f>
        <v>1091728.2162519065</v>
      </c>
      <c r="S626" s="21">
        <f>AN626*IF(MID(E626,3,1)="1",트라이포드!$J$26,트라이포드!$I$26)*IF(MID(E626,3,1)="3",IF(G626="생명50%이하",트라이포드!$N$26,트라이포드!$M$26),1)*IF(MID(E626,5,1)="2",트라이포드!$R$26,트라이포드!$Q$26)*(1+입력란!$P$19/100)</f>
        <v>1091728.2162519065</v>
      </c>
      <c r="T626" s="21"/>
      <c r="U626" s="21"/>
      <c r="V626" s="21"/>
      <c r="W626" s="21"/>
      <c r="X626" s="21"/>
      <c r="Y626" s="21"/>
      <c r="Z626" s="20">
        <f>AN626*IF(MID(E626,1,1)="1",트라이포드!$D$26,트라이포드!$C$26)*(1+입력란!$P$19/100)</f>
        <v>0</v>
      </c>
      <c r="AA626" s="21">
        <f>SUM(AB626:AI626)</f>
        <v>2183456.4325038129</v>
      </c>
      <c r="AB626" s="21">
        <f>S626*2</f>
        <v>2183456.4325038129</v>
      </c>
      <c r="AC626" s="21"/>
      <c r="AD626" s="21"/>
      <c r="AE626" s="21"/>
      <c r="AF626" s="21"/>
      <c r="AG626" s="21"/>
      <c r="AH626" s="21"/>
      <c r="AI626" s="20">
        <f>Z626*2</f>
        <v>0</v>
      </c>
      <c r="AJ626" s="21">
        <f>AQ626*(1-입력란!$P$10/100)</f>
        <v>29.6393301576</v>
      </c>
      <c r="AK62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6" s="21">
        <f>입력란!$P$24+IF(입력란!$C$18=1,10,IF(입력란!$C$18=2,25,IF(입력란!$C$18=3,50,0)))+IF(입력란!$C$23&lt;&gt;0,-12)</f>
        <v>200</v>
      </c>
      <c r="AM626" s="21">
        <f>SUM(AN626:AP626)</f>
        <v>801999.14561815024</v>
      </c>
      <c r="AN626" s="21">
        <f>(VLOOKUP(C626,$B$4:$AJ$7,33,FALSE)+VLOOKUP(C626,$B$8:$AJ$11,33,FALSE)*입력란!$P$4)*입력란!$P$25/100</f>
        <v>801999.14561815024</v>
      </c>
      <c r="AO626" s="21"/>
      <c r="AP626" s="21"/>
      <c r="AQ626" s="22">
        <v>30</v>
      </c>
    </row>
    <row r="627" spans="2:43" ht="13.5" customHeight="1" x14ac:dyDescent="0.55000000000000004">
      <c r="B627" s="66">
        <v>612</v>
      </c>
      <c r="C627" s="29">
        <v>7</v>
      </c>
      <c r="D627" s="49" t="s">
        <v>254</v>
      </c>
      <c r="E627" s="27" t="s">
        <v>232</v>
      </c>
      <c r="F627" s="29"/>
      <c r="G627" s="29" t="s">
        <v>375</v>
      </c>
      <c r="H627" s="37">
        <f>I627/AJ627</f>
        <v>79202.457048964774</v>
      </c>
      <c r="I627" s="37">
        <f>SUM(J627:Q627)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2347507.7737674005</v>
      </c>
      <c r="J627" s="21">
        <f>S627*(1+IF($AK627+IF(입력란!$C$26=1,10,0)&gt;100,100,$AK627+IF(입력란!$C$26=1,10,0))/100*(($AL627+IF(입력란!$C$30=1,17,IF(입력란!$C$30=2,20,IF(입력란!$C$30=3,22,0))))/100-1))</f>
        <v>1662423.1809131084</v>
      </c>
      <c r="K627" s="21"/>
      <c r="L627" s="21"/>
      <c r="M627" s="21"/>
      <c r="N627" s="21"/>
      <c r="O627" s="21"/>
      <c r="P627" s="21"/>
      <c r="Q627" s="20">
        <f>Z627*(1+IF($AK627+IF(입력란!$C$26=1,10,0)&gt;100,100,$AK627+IF(입력란!$C$26=1,10,0))/100*(($AL627+IF(입력란!$C$30=1,17,IF(입력란!$C$30=2,20,IF(입력란!$C$30=3,22,0))))/100-1))</f>
        <v>0</v>
      </c>
      <c r="R627" s="19">
        <f>SUM(S627:Z627)</f>
        <v>1092393.5994446687</v>
      </c>
      <c r="S627" s="21">
        <f>AN627*IF(MID(E627,3,1)="1",트라이포드!$J$26,트라이포드!$I$26)*IF(MID(E627,3,1)="3",IF(G627="생명50%이하",트라이포드!$N$26,트라이포드!$M$26),1)*IF(MID(E627,5,1)="2",트라이포드!$R$26,트라이포드!$Q$26)*(1+입력란!$P$19/100)</f>
        <v>1092393.5994446687</v>
      </c>
      <c r="T627" s="21"/>
      <c r="U627" s="21"/>
      <c r="V627" s="21"/>
      <c r="W627" s="21"/>
      <c r="X627" s="21"/>
      <c r="Y627" s="21"/>
      <c r="Z627" s="20">
        <f>AN627*IF(MID(E627,1,1)="1",트라이포드!$D$26,트라이포드!$C$26)*(1+입력란!$P$19/100)</f>
        <v>0</v>
      </c>
      <c r="AA627" s="21">
        <f>SUM(AB627:AI627)</f>
        <v>2184787.1988893375</v>
      </c>
      <c r="AB627" s="21">
        <f>S627*2</f>
        <v>2184787.1988893375</v>
      </c>
      <c r="AC627" s="21"/>
      <c r="AD627" s="21"/>
      <c r="AE627" s="21"/>
      <c r="AF627" s="21"/>
      <c r="AG627" s="21"/>
      <c r="AH627" s="21"/>
      <c r="AI627" s="20">
        <f>Z627*2</f>
        <v>0</v>
      </c>
      <c r="AJ627" s="21">
        <f>AQ627*(1-입력란!$P$10/100)</f>
        <v>29.6393301576</v>
      </c>
      <c r="AK62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7" s="21">
        <f>입력란!$P$24+IF(입력란!$C$18=1,10,IF(입력란!$C$18=2,25,IF(입력란!$C$18=3,50,0)))+IF(입력란!$C$23&lt;&gt;0,-12)</f>
        <v>200</v>
      </c>
      <c r="AM627" s="21">
        <f>SUM(AN627:AP627)</f>
        <v>802487.94561815029</v>
      </c>
      <c r="AN627" s="21">
        <f>(VLOOKUP(C627,$B$4:$AJ$7,33,FALSE)+VLOOKUP(C627,$B$8:$AJ$11,33,FALSE)*입력란!$P$4)*입력란!$P$25/100</f>
        <v>802487.94561815029</v>
      </c>
      <c r="AO627" s="21"/>
      <c r="AP627" s="21"/>
      <c r="AQ627" s="22">
        <v>30</v>
      </c>
    </row>
    <row r="628" spans="2:43" ht="13.5" customHeight="1" x14ac:dyDescent="0.55000000000000004">
      <c r="B628" s="66">
        <v>613</v>
      </c>
      <c r="C628" s="29">
        <v>7</v>
      </c>
      <c r="D628" s="49" t="s">
        <v>54</v>
      </c>
      <c r="E628" s="27" t="s">
        <v>354</v>
      </c>
      <c r="F628" s="29"/>
      <c r="G628" s="29" t="s">
        <v>375</v>
      </c>
      <c r="H628" s="37">
        <f>I628/AJ628</f>
        <v>114843.56272099895</v>
      </c>
      <c r="I628" s="37">
        <f>SUM(J628:Q628)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3403886.2719627311</v>
      </c>
      <c r="J628" s="21">
        <f>S628*(1+IF($AK628+IF(입력란!$C$26=1,10,0)&gt;100,100,$AK628+IF(입력란!$C$26=1,10,0))/100*(($AL628+IF(입력란!$C$30=1,17,IF(입력란!$C$30=2,20,IF(입력란!$C$30=3,22,0))))/100-1))</f>
        <v>2078028.9761413855</v>
      </c>
      <c r="K628" s="21"/>
      <c r="L628" s="21"/>
      <c r="M628" s="21"/>
      <c r="N628" s="21"/>
      <c r="O628" s="21"/>
      <c r="P628" s="21"/>
      <c r="Q628" s="20">
        <f>Z628*(1+IF($AK628+IF(입력란!$C$26=1,10,0)&gt;100,100,$AK628+IF(입력란!$C$26=1,10,0))/100*(($AL628+IF(입력란!$C$30=1,17,IF(입력란!$C$30=2,20,IF(입력란!$C$30=3,22,0))))/100-1))</f>
        <v>332484.6361826217</v>
      </c>
      <c r="R628" s="19">
        <f>SUM(S628:Z628)</f>
        <v>1583970.7191947696</v>
      </c>
      <c r="S628" s="21">
        <f>AN628*IF(MID(E628,3,1)="1",트라이포드!$J$26,트라이포드!$I$26)*IF(MID(E628,3,1)="3",IF(G628="생명50%이하",트라이포드!$N$26,트라이포드!$M$26),1)*IF(MID(E628,5,1)="2",트라이포드!$R$26,트라이포드!$Q$26)*(1+입력란!$P$19/100)</f>
        <v>1365491.9993058359</v>
      </c>
      <c r="T628" s="21"/>
      <c r="U628" s="21"/>
      <c r="V628" s="21"/>
      <c r="W628" s="21"/>
      <c r="X628" s="21"/>
      <c r="Y628" s="21"/>
      <c r="Z628" s="20">
        <f>AN628*IF(MID(E628,1,1)="1",트라이포드!$D$26,트라이포드!$C$26)*(1+입력란!$P$19/100)</f>
        <v>218478.71988893376</v>
      </c>
      <c r="AA628" s="21">
        <f>SUM(AB628:AI628)</f>
        <v>3167941.4383895393</v>
      </c>
      <c r="AB628" s="21">
        <f>S628*2</f>
        <v>2730983.9986116719</v>
      </c>
      <c r="AC628" s="21"/>
      <c r="AD628" s="21"/>
      <c r="AE628" s="21"/>
      <c r="AF628" s="21"/>
      <c r="AG628" s="21"/>
      <c r="AH628" s="21"/>
      <c r="AI628" s="20">
        <f>Z628*2</f>
        <v>436957.43977786752</v>
      </c>
      <c r="AJ628" s="21">
        <f>AQ628*(1-입력란!$P$10/100)</f>
        <v>29.6393301576</v>
      </c>
      <c r="AK62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8" s="21">
        <f>입력란!$P$24+IF(입력란!$C$18=1,10,IF(입력란!$C$18=2,25,IF(입력란!$C$18=3,50,0)))+IF(입력란!$C$23&lt;&gt;0,-12)</f>
        <v>200</v>
      </c>
      <c r="AM628" s="21">
        <f>SUM(AN628:AP628)</f>
        <v>802487.94561815029</v>
      </c>
      <c r="AN628" s="21">
        <f>(VLOOKUP(C628,$B$4:$AJ$7,33,FALSE)+VLOOKUP(C628,$B$8:$AJ$11,33,FALSE)*입력란!$P$4)*입력란!$P$25/100</f>
        <v>802487.94561815029</v>
      </c>
      <c r="AO628" s="21"/>
      <c r="AP628" s="21"/>
      <c r="AQ628" s="22">
        <v>30</v>
      </c>
    </row>
    <row r="629" spans="2:43" ht="13.5" customHeight="1" x14ac:dyDescent="0.55000000000000004">
      <c r="B629" s="66">
        <v>614</v>
      </c>
      <c r="C629" s="29">
        <v>7</v>
      </c>
      <c r="D629" s="49" t="s">
        <v>254</v>
      </c>
      <c r="E629" s="27" t="s">
        <v>234</v>
      </c>
      <c r="F629" s="29"/>
      <c r="G629" s="29" t="s">
        <v>375</v>
      </c>
      <c r="H629" s="37">
        <f>I629/AJ629</f>
        <v>99003.071311205975</v>
      </c>
      <c r="I629" s="37">
        <f>SUM(J629:Q629)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2934384.7172092507</v>
      </c>
      <c r="J629" s="21">
        <f>S629*(1+IF($AK629+IF(입력란!$C$26=1,10,0)&gt;100,100,$AK629+IF(입력란!$C$26=1,10,0))/100*(($AL629+IF(입력란!$C$30=1,17,IF(입력란!$C$30=2,20,IF(입력란!$C$30=3,22,0))))/100-1))</f>
        <v>2078028.9761413855</v>
      </c>
      <c r="K629" s="21"/>
      <c r="L629" s="21"/>
      <c r="M629" s="21"/>
      <c r="N629" s="21"/>
      <c r="O629" s="21"/>
      <c r="P629" s="21"/>
      <c r="Q629" s="20">
        <f>Z629*(1+IF($AK629+IF(입력란!$C$26=1,10,0)&gt;100,100,$AK629+IF(입력란!$C$26=1,10,0))/100*(($AL629+IF(입력란!$C$30=1,17,IF(입력란!$C$30=2,20,IF(입력란!$C$30=3,22,0))))/100-1))</f>
        <v>0</v>
      </c>
      <c r="R629" s="19">
        <f>SUM(S629:Z629)</f>
        <v>1365491.9993058359</v>
      </c>
      <c r="S629" s="21">
        <f>AN629*IF(MID(E629,3,1)="1",트라이포드!$J$26,트라이포드!$I$26)*IF(MID(E629,3,1)="3",IF(G629="생명50%이하",트라이포드!$N$26,트라이포드!$M$26),1)*IF(MID(E629,5,1)="2",트라이포드!$R$26,트라이포드!$Q$26)*(1+입력란!$P$19/100)</f>
        <v>1365491.9993058359</v>
      </c>
      <c r="T629" s="21"/>
      <c r="U629" s="21"/>
      <c r="V629" s="21"/>
      <c r="W629" s="21"/>
      <c r="X629" s="21"/>
      <c r="Y629" s="21"/>
      <c r="Z629" s="20">
        <f>AN629*IF(MID(E629,1,1)="1",트라이포드!$D$26,트라이포드!$C$26)*(1+입력란!$P$19/100)</f>
        <v>0</v>
      </c>
      <c r="AA629" s="21">
        <f>SUM(AB629:AI629)</f>
        <v>2730983.9986116719</v>
      </c>
      <c r="AB629" s="21">
        <f>S629*2</f>
        <v>2730983.9986116719</v>
      </c>
      <c r="AC629" s="21"/>
      <c r="AD629" s="21"/>
      <c r="AE629" s="21"/>
      <c r="AF629" s="21"/>
      <c r="AG629" s="21"/>
      <c r="AH629" s="21"/>
      <c r="AI629" s="20">
        <f>Z629*2</f>
        <v>0</v>
      </c>
      <c r="AJ629" s="21">
        <f>AQ629*(1-입력란!$P$10/100)</f>
        <v>29.6393301576</v>
      </c>
      <c r="AK62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29" s="21">
        <f>입력란!$P$24+IF(입력란!$C$18=1,10,IF(입력란!$C$18=2,25,IF(입력란!$C$18=3,50,0)))+IF(입력란!$C$23&lt;&gt;0,-12)</f>
        <v>200</v>
      </c>
      <c r="AM629" s="21">
        <f>SUM(AN629:AP629)</f>
        <v>802487.94561815029</v>
      </c>
      <c r="AN629" s="21">
        <f>(VLOOKUP(C629,$B$4:$AJ$7,33,FALSE)+VLOOKUP(C629,$B$8:$AJ$11,33,FALSE)*입력란!$P$4)*입력란!$P$25/100</f>
        <v>802487.94561815029</v>
      </c>
      <c r="AO629" s="21"/>
      <c r="AP629" s="21"/>
      <c r="AQ629" s="22">
        <v>30</v>
      </c>
    </row>
    <row r="630" spans="2:43" ht="13.5" customHeight="1" x14ac:dyDescent="0.55000000000000004">
      <c r="B630" s="66">
        <v>615</v>
      </c>
      <c r="C630" s="29">
        <v>7</v>
      </c>
      <c r="D630" s="49" t="s">
        <v>54</v>
      </c>
      <c r="E630" s="27" t="s">
        <v>334</v>
      </c>
      <c r="F630" s="29"/>
      <c r="G630" s="29" t="s">
        <v>375</v>
      </c>
      <c r="H630" s="37">
        <f>I630/AJ630</f>
        <v>95042.948458757732</v>
      </c>
      <c r="I630" s="37">
        <f>SUM(J630:Q630)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2817009.3285208805</v>
      </c>
      <c r="J630" s="21">
        <f>S630*(1+IF($AK630+IF(입력란!$C$26=1,10,0)&gt;100,100,$AK630+IF(입력란!$C$26=1,10,0))/100*(($AL630+IF(입력란!$C$30=1,17,IF(입력란!$C$30=2,20,IF(입력란!$C$30=3,22,0))))/100-1))</f>
        <v>1662423.1809131084</v>
      </c>
      <c r="K630" s="21"/>
      <c r="L630" s="21"/>
      <c r="M630" s="21"/>
      <c r="N630" s="21"/>
      <c r="O630" s="21"/>
      <c r="P630" s="21"/>
      <c r="Q630" s="20">
        <f>Z630*(1+IF($AK630+IF(입력란!$C$26=1,10,0)&gt;100,100,$AK630+IF(입력란!$C$26=1,10,0))/100*(($AL630+IF(입력란!$C$30=1,17,IF(입력란!$C$30=2,20,IF(입력란!$C$30=3,22,0))))/100-1))</f>
        <v>332484.6361826217</v>
      </c>
      <c r="R630" s="19">
        <f>SUM(S630:Z630)</f>
        <v>1310872.3193336024</v>
      </c>
      <c r="S630" s="21">
        <f>AN630*IF(MID(E630,3,1)="1",트라이포드!$J$26,트라이포드!$I$26)*IF(MID(E630,3,1)="3",IF(G630="생명50%이하",트라이포드!$N$26,트라이포드!$M$26),1)*IF(MID(E630,5,1)="2",트라이포드!$R$26,트라이포드!$Q$26)*(1+입력란!$P$19/100)</f>
        <v>1092393.5994446687</v>
      </c>
      <c r="T630" s="21"/>
      <c r="U630" s="21"/>
      <c r="V630" s="21"/>
      <c r="W630" s="21"/>
      <c r="X630" s="21"/>
      <c r="Y630" s="21"/>
      <c r="Z630" s="20">
        <f>AN630*IF(MID(E630,1,1)="1",트라이포드!$D$26,트라이포드!$C$26)*(1+입력란!$P$19/100)</f>
        <v>218478.71988893376</v>
      </c>
      <c r="AA630" s="21">
        <f>SUM(AB630:AI630)</f>
        <v>2621744.6386672049</v>
      </c>
      <c r="AB630" s="21">
        <f>S630*2</f>
        <v>2184787.1988893375</v>
      </c>
      <c r="AC630" s="21"/>
      <c r="AD630" s="21"/>
      <c r="AE630" s="21"/>
      <c r="AF630" s="21"/>
      <c r="AG630" s="21"/>
      <c r="AH630" s="21"/>
      <c r="AI630" s="20">
        <f>Z630*2</f>
        <v>436957.43977786752</v>
      </c>
      <c r="AJ630" s="21">
        <f>AQ630*(1-입력란!$P$10/100)</f>
        <v>29.6393301576</v>
      </c>
      <c r="AK630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0" s="21">
        <f>입력란!$P$24+IF(입력란!$C$18=1,10,IF(입력란!$C$18=2,25,IF(입력란!$C$18=3,50,0)))+IF(입력란!$C$23&lt;&gt;0,-12)</f>
        <v>200</v>
      </c>
      <c r="AM630" s="21">
        <f>SUM(AN630:AP630)</f>
        <v>802487.94561815029</v>
      </c>
      <c r="AN630" s="21">
        <f>(VLOOKUP(C630,$B$4:$AJ$7,33,FALSE)+VLOOKUP(C630,$B$8:$AJ$11,33,FALSE)*입력란!$P$4)*입력란!$P$25/100</f>
        <v>802487.94561815029</v>
      </c>
      <c r="AO630" s="21"/>
      <c r="AP630" s="21"/>
      <c r="AQ630" s="22">
        <v>30</v>
      </c>
    </row>
    <row r="631" spans="2:43" ht="13.5" customHeight="1" x14ac:dyDescent="0.55000000000000004">
      <c r="B631" s="66">
        <v>616</v>
      </c>
      <c r="C631" s="29">
        <v>7</v>
      </c>
      <c r="D631" s="49" t="s">
        <v>54</v>
      </c>
      <c r="E631" s="27" t="s">
        <v>355</v>
      </c>
      <c r="F631" s="29"/>
      <c r="G631" s="29" t="s">
        <v>375</v>
      </c>
      <c r="H631" s="37">
        <f>I631/AJ631</f>
        <v>142564.42268813663</v>
      </c>
      <c r="I631" s="37">
        <f>SUM(J631:Q631)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4225513.9927813215</v>
      </c>
      <c r="J631" s="21">
        <f>S631*(1+IF($AK631+IF(입력란!$C$26=1,10,0)&gt;100,100,$AK631+IF(입력란!$C$26=1,10,0))/100*(($AL631+IF(입력란!$C$30=1,17,IF(입력란!$C$30=2,20,IF(입력란!$C$30=3,22,0))))/100-1))</f>
        <v>2659877.0894609736</v>
      </c>
      <c r="K631" s="21"/>
      <c r="L631" s="21"/>
      <c r="M631" s="21"/>
      <c r="N631" s="21"/>
      <c r="O631" s="21"/>
      <c r="P631" s="21"/>
      <c r="Q631" s="20">
        <f>Z631*(1+IF($AK631+IF(입력란!$C$26=1,10,0)&gt;100,100,$AK631+IF(입력란!$C$26=1,10,0))/100*(($AL631+IF(입력란!$C$30=1,17,IF(입력란!$C$30=2,20,IF(입력란!$C$30=3,22,0))))/100-1))</f>
        <v>332484.6361826217</v>
      </c>
      <c r="R631" s="19">
        <f>SUM(S631:Z631)</f>
        <v>1966308.4790004038</v>
      </c>
      <c r="S631" s="21">
        <f>AN631*IF(MID(E631,3,1)="1",트라이포드!$J$26,트라이포드!$I$26)*IF(MID(E631,3,1)="3",IF(G631="생명50%이하",트라이포드!$N$26,트라이포드!$M$26),1)*IF(MID(E631,5,1)="2",트라이포드!$R$26,트라이포드!$Q$26)*(1+입력란!$P$19/100)</f>
        <v>1747829.7591114701</v>
      </c>
      <c r="T631" s="21"/>
      <c r="U631" s="21"/>
      <c r="V631" s="21"/>
      <c r="W631" s="21"/>
      <c r="X631" s="21"/>
      <c r="Y631" s="21"/>
      <c r="Z631" s="20">
        <f>AN631*IF(MID(E631,1,1)="1",트라이포드!$D$26,트라이포드!$C$26)*(1+입력란!$P$19/100)</f>
        <v>218478.71988893376</v>
      </c>
      <c r="AA631" s="21">
        <f>SUM(AB631:AI631)</f>
        <v>3932616.9580008076</v>
      </c>
      <c r="AB631" s="21">
        <f>S631*2</f>
        <v>3495659.5182229402</v>
      </c>
      <c r="AC631" s="21"/>
      <c r="AD631" s="21"/>
      <c r="AE631" s="21"/>
      <c r="AF631" s="21"/>
      <c r="AG631" s="21"/>
      <c r="AH631" s="21"/>
      <c r="AI631" s="20">
        <f>Z631*2</f>
        <v>436957.43977786752</v>
      </c>
      <c r="AJ631" s="21">
        <f>AQ631*(1-입력란!$P$10/100)</f>
        <v>29.6393301576</v>
      </c>
      <c r="AK631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1" s="21">
        <f>입력란!$P$24+IF(입력란!$C$18=1,10,IF(입력란!$C$18=2,25,IF(입력란!$C$18=3,50,0)))+IF(입력란!$C$23&lt;&gt;0,-12)</f>
        <v>200</v>
      </c>
      <c r="AM631" s="21">
        <f>SUM(AN631:AP631)</f>
        <v>802487.94561815029</v>
      </c>
      <c r="AN631" s="21">
        <f>(VLOOKUP(C631,$B$4:$AJ$7,33,FALSE)+VLOOKUP(C631,$B$8:$AJ$11,33,FALSE)*입력란!$P$4)*입력란!$P$25/100</f>
        <v>802487.94561815029</v>
      </c>
      <c r="AO631" s="21"/>
      <c r="AP631" s="21"/>
      <c r="AQ631" s="22">
        <v>30</v>
      </c>
    </row>
    <row r="632" spans="2:43" ht="13.5" customHeight="1" x14ac:dyDescent="0.55000000000000004">
      <c r="B632" s="66">
        <v>617</v>
      </c>
      <c r="C632" s="29">
        <v>7</v>
      </c>
      <c r="D632" s="49" t="s">
        <v>254</v>
      </c>
      <c r="E632" s="27" t="s">
        <v>255</v>
      </c>
      <c r="F632" s="29"/>
      <c r="G632" s="29" t="s">
        <v>375</v>
      </c>
      <c r="H632" s="37">
        <f>I632/AJ632</f>
        <v>126723.93127834366</v>
      </c>
      <c r="I632" s="37">
        <f>SUM(J632:Q632)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3756012.438027841</v>
      </c>
      <c r="J632" s="21">
        <f>S632*(1+IF($AK632+IF(입력란!$C$26=1,10,0)&gt;100,100,$AK632+IF(입력란!$C$26=1,10,0))/100*(($AL632+IF(입력란!$C$30=1,17,IF(입력란!$C$30=2,20,IF(입력란!$C$30=3,22,0))))/100-1))</f>
        <v>2659877.0894609736</v>
      </c>
      <c r="K632" s="21"/>
      <c r="L632" s="21"/>
      <c r="M632" s="21"/>
      <c r="N632" s="21"/>
      <c r="O632" s="21"/>
      <c r="P632" s="21"/>
      <c r="Q632" s="20">
        <f>Z632*(1+IF($AK632+IF(입력란!$C$26=1,10,0)&gt;100,100,$AK632+IF(입력란!$C$26=1,10,0))/100*(($AL632+IF(입력란!$C$30=1,17,IF(입력란!$C$30=2,20,IF(입력란!$C$30=3,22,0))))/100-1))</f>
        <v>0</v>
      </c>
      <c r="R632" s="19">
        <f>SUM(S632:Z632)</f>
        <v>1747829.7591114701</v>
      </c>
      <c r="S632" s="21">
        <f>AN632*IF(MID(E632,3,1)="1",트라이포드!$J$26,트라이포드!$I$26)*IF(MID(E632,3,1)="3",IF(G632="생명50%이하",트라이포드!$N$26,트라이포드!$M$26),1)*IF(MID(E632,5,1)="2",트라이포드!$R$26,트라이포드!$Q$26)*(1+입력란!$P$19/100)</f>
        <v>1747829.7591114701</v>
      </c>
      <c r="T632" s="21"/>
      <c r="U632" s="21"/>
      <c r="V632" s="21"/>
      <c r="W632" s="21"/>
      <c r="X632" s="21"/>
      <c r="Y632" s="21"/>
      <c r="Z632" s="20">
        <f>AN632*IF(MID(E632,1,1)="1",트라이포드!$D$26,트라이포드!$C$26)*(1+입력란!$P$19/100)</f>
        <v>0</v>
      </c>
      <c r="AA632" s="21">
        <f>SUM(AB632:AI632)</f>
        <v>3495659.5182229402</v>
      </c>
      <c r="AB632" s="21">
        <f>S632*2</f>
        <v>3495659.5182229402</v>
      </c>
      <c r="AC632" s="21"/>
      <c r="AD632" s="21"/>
      <c r="AE632" s="21"/>
      <c r="AF632" s="21"/>
      <c r="AG632" s="21"/>
      <c r="AH632" s="21"/>
      <c r="AI632" s="20">
        <f>Z632*2</f>
        <v>0</v>
      </c>
      <c r="AJ632" s="21">
        <f>AQ632*(1-입력란!$P$10/100)</f>
        <v>29.6393301576</v>
      </c>
      <c r="AK632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2" s="21">
        <f>입력란!$P$24+IF(입력란!$C$18=1,10,IF(입력란!$C$18=2,25,IF(입력란!$C$18=3,50,0)))+IF(입력란!$C$23&lt;&gt;0,-12)</f>
        <v>200</v>
      </c>
      <c r="AM632" s="21">
        <f>SUM(AN632:AP632)</f>
        <v>802487.94561815029</v>
      </c>
      <c r="AN632" s="21">
        <f>(VLOOKUP(C632,$B$4:$AJ$7,33,FALSE)+VLOOKUP(C632,$B$8:$AJ$11,33,FALSE)*입력란!$P$4)*입력란!$P$25/100</f>
        <v>802487.94561815029</v>
      </c>
      <c r="AO632" s="21"/>
      <c r="AP632" s="21"/>
      <c r="AQ632" s="22">
        <v>30</v>
      </c>
    </row>
    <row r="633" spans="2:43" ht="13.5" customHeight="1" x14ac:dyDescent="0.55000000000000004">
      <c r="B633" s="66">
        <v>618</v>
      </c>
      <c r="C633" s="29">
        <v>10</v>
      </c>
      <c r="D633" s="49" t="s">
        <v>254</v>
      </c>
      <c r="E633" s="27" t="s">
        <v>232</v>
      </c>
      <c r="F633" s="29"/>
      <c r="G633" s="29" t="s">
        <v>375</v>
      </c>
      <c r="H633" s="37">
        <f>I633/AJ633</f>
        <v>79232.843682167935</v>
      </c>
      <c r="I633" s="37">
        <f>SUM(J633:Q633)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2348408.4132212866</v>
      </c>
      <c r="J633" s="21">
        <f>S633*(1+IF($AK633+IF(입력란!$C$26=1,10,0)&gt;100,100,$AK633+IF(입력란!$C$26=1,10,0))/100*(($AL633+IF(입력란!$C$30=1,17,IF(입력란!$C$30=2,20,IF(입력란!$C$30=3,22,0))))/100-1))</f>
        <v>1663060.9823817622</v>
      </c>
      <c r="K633" s="21"/>
      <c r="L633" s="21"/>
      <c r="M633" s="21"/>
      <c r="N633" s="21"/>
      <c r="O633" s="21"/>
      <c r="P633" s="21"/>
      <c r="Q633" s="20">
        <f>Z633*(1+IF($AK633+IF(입력란!$C$26=1,10,0)&gt;100,100,$AK633+IF(입력란!$C$26=1,10,0))/100*(($AL633+IF(입력란!$C$30=1,17,IF(입력란!$C$30=2,20,IF(입력란!$C$30=3,22,0))))/100-1))</f>
        <v>0</v>
      </c>
      <c r="R633" s="19">
        <f>SUM(S633:Z633)</f>
        <v>1092812.7046701452</v>
      </c>
      <c r="S633" s="21">
        <f>AN633*IF(MID(E633,3,1)="1",트라이포드!$J$26,트라이포드!$I$26)*IF(MID(E633,3,1)="3",IF(G633="생명50%이하",트라이포드!$N$26,트라이포드!$M$26),1)*IF(MID(E633,5,1)="2",트라이포드!$R$26,트라이포드!$Q$26)*(1+입력란!$P$19/100)</f>
        <v>1092812.7046701452</v>
      </c>
      <c r="T633" s="21"/>
      <c r="U633" s="21"/>
      <c r="V633" s="21"/>
      <c r="W633" s="21"/>
      <c r="X633" s="21"/>
      <c r="Y633" s="21"/>
      <c r="Z633" s="20">
        <f>AN633*IF(MID(E633,1,1)="1",트라이포드!$D$26,트라이포드!$C$26)*(1+입력란!$P$19/100)</f>
        <v>0</v>
      </c>
      <c r="AA633" s="21">
        <f>SUM(AB633:AI633)</f>
        <v>2185625.4093402904</v>
      </c>
      <c r="AB633" s="21">
        <f>S633*2</f>
        <v>2185625.4093402904</v>
      </c>
      <c r="AC633" s="21"/>
      <c r="AD633" s="21"/>
      <c r="AE633" s="21"/>
      <c r="AF633" s="21"/>
      <c r="AG633" s="21"/>
      <c r="AH633" s="21"/>
      <c r="AI633" s="20">
        <f>Z633*2</f>
        <v>0</v>
      </c>
      <c r="AJ633" s="21">
        <f>AQ633*(1-입력란!$P$10/100)</f>
        <v>29.6393301576</v>
      </c>
      <c r="AK633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3" s="21">
        <f>입력란!$P$24+IF(입력란!$C$18=1,10,IF(입력란!$C$18=2,25,IF(입력란!$C$18=3,50,0)))+IF(입력란!$C$23&lt;&gt;0,-12)</f>
        <v>200</v>
      </c>
      <c r="AM633" s="21">
        <f>SUM(AN633:AP633)</f>
        <v>802795.82630471</v>
      </c>
      <c r="AN633" s="21">
        <f>(VLOOKUP(C633,$B$4:$AJ$7,33,FALSE)+VLOOKUP(C633,$B$8:$AJ$11,33,FALSE)*입력란!$P$4)*입력란!$P$25/100</f>
        <v>802795.82630471</v>
      </c>
      <c r="AO633" s="21"/>
      <c r="AP633" s="21"/>
      <c r="AQ633" s="22">
        <v>30</v>
      </c>
    </row>
    <row r="634" spans="2:43" ht="13.5" customHeight="1" x14ac:dyDescent="0.55000000000000004">
      <c r="B634" s="66">
        <v>619</v>
      </c>
      <c r="C634" s="29">
        <v>10</v>
      </c>
      <c r="D634" s="49" t="s">
        <v>54</v>
      </c>
      <c r="E634" s="27" t="s">
        <v>357</v>
      </c>
      <c r="F634" s="29"/>
      <c r="G634" s="29" t="s">
        <v>375</v>
      </c>
      <c r="H634" s="37">
        <f>I634/AJ634</f>
        <v>134695.83425968548</v>
      </c>
      <c r="I634" s="37">
        <f>SUM(J634:Q634)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3992294.3024761868</v>
      </c>
      <c r="J634" s="21">
        <f>S634*(1+IF($AK634+IF(입력란!$C$26=1,10,0)&gt;100,100,$AK634+IF(입력란!$C$26=1,10,0))/100*(($AL634+IF(입력란!$C$30=1,17,IF(입력란!$C$30=2,20,IF(입력란!$C$30=3,22,0))))/100-1))</f>
        <v>2494591.473572643</v>
      </c>
      <c r="K634" s="21"/>
      <c r="L634" s="21"/>
      <c r="M634" s="21"/>
      <c r="N634" s="21"/>
      <c r="O634" s="21"/>
      <c r="P634" s="21"/>
      <c r="Q634" s="20">
        <f>Z634*(1+IF($AK634+IF(입력란!$C$26=1,10,0)&gt;100,100,$AK634+IF(입력란!$C$26=1,10,0))/100*(($AL634+IF(입력란!$C$30=1,17,IF(입력란!$C$30=2,20,IF(입력란!$C$30=3,22,0))))/100-1))</f>
        <v>332612.19647635246</v>
      </c>
      <c r="R634" s="19">
        <f>SUM(S634:Z634)</f>
        <v>1857781.5979392468</v>
      </c>
      <c r="S634" s="21">
        <f>AN634*IF(MID(E634,3,1)="1",트라이포드!$J$26,트라이포드!$I$26)*IF(MID(E634,3,1)="3",IF(G634="생명50%이하",트라이포드!$N$26,트라이포드!$M$26),1)*IF(MID(E634,5,1)="2",트라이포드!$R$26,트라이포드!$Q$26)*(1+입력란!$P$19/100)</f>
        <v>1639219.0570052178</v>
      </c>
      <c r="T634" s="21"/>
      <c r="U634" s="21"/>
      <c r="V634" s="21"/>
      <c r="W634" s="21"/>
      <c r="X634" s="21"/>
      <c r="Y634" s="21"/>
      <c r="Z634" s="20">
        <f>AN634*IF(MID(E634,1,1)="1",트라이포드!$D$26,트라이포드!$C$26)*(1+입력란!$P$19/100)</f>
        <v>218562.54093402906</v>
      </c>
      <c r="AA634" s="21">
        <f>SUM(AB634:AI634)</f>
        <v>3715563.1958784936</v>
      </c>
      <c r="AB634" s="21">
        <f>S634*2</f>
        <v>3278438.1140104355</v>
      </c>
      <c r="AC634" s="21"/>
      <c r="AD634" s="21"/>
      <c r="AE634" s="21"/>
      <c r="AF634" s="21"/>
      <c r="AG634" s="21"/>
      <c r="AH634" s="21"/>
      <c r="AI634" s="20">
        <f>Z634*2</f>
        <v>437125.08186805813</v>
      </c>
      <c r="AJ634" s="21">
        <f>AQ634*(1-입력란!$P$10/100)</f>
        <v>29.6393301576</v>
      </c>
      <c r="AK634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4" s="21">
        <f>입력란!$P$24+IF(입력란!$C$18=1,10,IF(입력란!$C$18=2,25,IF(입력란!$C$18=3,50,0)))+IF(입력란!$C$23&lt;&gt;0,-12)</f>
        <v>200</v>
      </c>
      <c r="AM634" s="21">
        <f>SUM(AN634:AP634)</f>
        <v>802795.82630471</v>
      </c>
      <c r="AN634" s="21">
        <f>(VLOOKUP(C634,$B$4:$AJ$7,33,FALSE)+VLOOKUP(C634,$B$8:$AJ$11,33,FALSE)*입력란!$P$4)*입력란!$P$25/100</f>
        <v>802795.82630471</v>
      </c>
      <c r="AO634" s="21"/>
      <c r="AP634" s="21"/>
      <c r="AQ634" s="22">
        <v>30</v>
      </c>
    </row>
    <row r="635" spans="2:43" ht="13.5" customHeight="1" x14ac:dyDescent="0.55000000000000004">
      <c r="B635" s="66">
        <v>620</v>
      </c>
      <c r="C635" s="29">
        <v>10</v>
      </c>
      <c r="D635" s="49" t="s">
        <v>254</v>
      </c>
      <c r="E635" s="27" t="s">
        <v>240</v>
      </c>
      <c r="F635" s="29"/>
      <c r="G635" s="29" t="s">
        <v>375</v>
      </c>
      <c r="H635" s="37">
        <f>I635/AJ635</f>
        <v>118849.26552325189</v>
      </c>
      <c r="I635" s="37">
        <f>SUM(J635:Q635)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3522612.6198319294</v>
      </c>
      <c r="J635" s="21">
        <f>S635*(1+IF($AK635+IF(입력란!$C$26=1,10,0)&gt;100,100,$AK635+IF(입력란!$C$26=1,10,0))/100*(($AL635+IF(입력란!$C$30=1,17,IF(입력란!$C$30=2,20,IF(입력란!$C$30=3,22,0))))/100-1))</f>
        <v>2494591.473572643</v>
      </c>
      <c r="K635" s="21"/>
      <c r="L635" s="21"/>
      <c r="M635" s="21"/>
      <c r="N635" s="21"/>
      <c r="O635" s="21"/>
      <c r="P635" s="21"/>
      <c r="Q635" s="20">
        <f>Z635*(1+IF($AK635+IF(입력란!$C$26=1,10,0)&gt;100,100,$AK635+IF(입력란!$C$26=1,10,0))/100*(($AL635+IF(입력란!$C$30=1,17,IF(입력란!$C$30=2,20,IF(입력란!$C$30=3,22,0))))/100-1))</f>
        <v>0</v>
      </c>
      <c r="R635" s="19">
        <f>SUM(S635:Z635)</f>
        <v>1639219.0570052178</v>
      </c>
      <c r="S635" s="21">
        <f>AN635*IF(MID(E635,3,1)="1",트라이포드!$J$26,트라이포드!$I$26)*IF(MID(E635,3,1)="3",IF(G635="생명50%이하",트라이포드!$N$26,트라이포드!$M$26),1)*IF(MID(E635,5,1)="2",트라이포드!$R$26,트라이포드!$Q$26)*(1+입력란!$P$19/100)</f>
        <v>1639219.0570052178</v>
      </c>
      <c r="T635" s="21"/>
      <c r="U635" s="21"/>
      <c r="V635" s="21"/>
      <c r="W635" s="21"/>
      <c r="X635" s="21"/>
      <c r="Y635" s="21"/>
      <c r="Z635" s="20">
        <f>AN635*IF(MID(E635,1,1)="1",트라이포드!$D$26,트라이포드!$C$26)*(1+입력란!$P$19/100)</f>
        <v>0</v>
      </c>
      <c r="AA635" s="21">
        <f>SUM(AB635:AI635)</f>
        <v>3278438.1140104355</v>
      </c>
      <c r="AB635" s="21">
        <f>S635*2</f>
        <v>3278438.1140104355</v>
      </c>
      <c r="AC635" s="21"/>
      <c r="AD635" s="21"/>
      <c r="AE635" s="21"/>
      <c r="AF635" s="21"/>
      <c r="AG635" s="21"/>
      <c r="AH635" s="21"/>
      <c r="AI635" s="20">
        <f>Z635*2</f>
        <v>0</v>
      </c>
      <c r="AJ635" s="21">
        <f>AQ635*(1-입력란!$P$10/100)</f>
        <v>29.6393301576</v>
      </c>
      <c r="AK635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5" s="21">
        <f>입력란!$P$24+IF(입력란!$C$18=1,10,IF(입력란!$C$18=2,25,IF(입력란!$C$18=3,50,0)))+IF(입력란!$C$23&lt;&gt;0,-12)</f>
        <v>200</v>
      </c>
      <c r="AM635" s="21">
        <f>SUM(AN635:AP635)</f>
        <v>802795.82630471</v>
      </c>
      <c r="AN635" s="21">
        <f>(VLOOKUP(C635,$B$4:$AJ$7,33,FALSE)+VLOOKUP(C635,$B$8:$AJ$11,33,FALSE)*입력란!$P$4)*입력란!$P$25/100</f>
        <v>802795.82630471</v>
      </c>
      <c r="AO635" s="21"/>
      <c r="AP635" s="21"/>
      <c r="AQ635" s="22">
        <v>30</v>
      </c>
    </row>
    <row r="636" spans="2:43" ht="13.5" customHeight="1" x14ac:dyDescent="0.55000000000000004">
      <c r="B636" s="66">
        <v>621</v>
      </c>
      <c r="C636" s="29">
        <v>10</v>
      </c>
      <c r="D636" s="49" t="s">
        <v>54</v>
      </c>
      <c r="E636" s="27" t="s">
        <v>179</v>
      </c>
      <c r="F636" s="29"/>
      <c r="G636" s="29" t="s">
        <v>375</v>
      </c>
      <c r="H636" s="37">
        <f>I636/AJ636</f>
        <v>164408.15064049847</v>
      </c>
      <c r="I636" s="37">
        <f>SUM(J636:Q636)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4872947.4574341699</v>
      </c>
      <c r="J636" s="21">
        <f>S636*(1+IF($AK636+IF(입력란!$C$26=1,10,0)&gt;100,100,$AK636+IF(입력란!$C$26=1,10,0))/100*(($AL636+IF(입력란!$C$30=1,17,IF(입력란!$C$30=2,20,IF(입력란!$C$30=3,22,0))))/100-1))</f>
        <v>3118239.3419658043</v>
      </c>
      <c r="K636" s="21"/>
      <c r="L636" s="21"/>
      <c r="M636" s="21"/>
      <c r="N636" s="21"/>
      <c r="O636" s="21"/>
      <c r="P636" s="21"/>
      <c r="Q636" s="20">
        <f>Z636*(1+IF($AK636+IF(입력란!$C$26=1,10,0)&gt;100,100,$AK636+IF(입력란!$C$26=1,10,0))/100*(($AL636+IF(입력란!$C$30=1,17,IF(입력란!$C$30=2,20,IF(입력란!$C$30=3,22,0))))/100-1))</f>
        <v>332612.19647635246</v>
      </c>
      <c r="R636" s="19">
        <f>SUM(S636:Z636)</f>
        <v>2267586.3621905516</v>
      </c>
      <c r="S636" s="21">
        <f>AN636*IF(MID(E636,3,1)="1",트라이포드!$J$26,트라이포드!$I$26)*IF(MID(E636,3,1)="3",IF(G636="생명50%이하",트라이포드!$N$26,트라이포드!$M$26),1)*IF(MID(E636,5,1)="2",트라이포드!$R$26,트라이포드!$Q$26)*(1+입력란!$P$19/100)</f>
        <v>2049023.8212565223</v>
      </c>
      <c r="T636" s="21"/>
      <c r="U636" s="21"/>
      <c r="V636" s="21"/>
      <c r="W636" s="21"/>
      <c r="X636" s="21"/>
      <c r="Y636" s="21"/>
      <c r="Z636" s="20">
        <f>AN636*IF(MID(E636,1,1)="1",트라이포드!$D$26,트라이포드!$C$26)*(1+입력란!$P$19/100)</f>
        <v>218562.54093402906</v>
      </c>
      <c r="AA636" s="21">
        <f>SUM(AB636:AI636)</f>
        <v>4535172.7243811032</v>
      </c>
      <c r="AB636" s="21">
        <f>S636*2</f>
        <v>4098047.6425130446</v>
      </c>
      <c r="AC636" s="21"/>
      <c r="AD636" s="21"/>
      <c r="AE636" s="21"/>
      <c r="AF636" s="21"/>
      <c r="AG636" s="21"/>
      <c r="AH636" s="21"/>
      <c r="AI636" s="20">
        <f>Z636*2</f>
        <v>437125.08186805813</v>
      </c>
      <c r="AJ636" s="21">
        <f>AQ636*(1-입력란!$P$10/100)</f>
        <v>29.6393301576</v>
      </c>
      <c r="AK63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6" s="21">
        <f>입력란!$P$24+IF(입력란!$C$18=1,10,IF(입력란!$C$18=2,25,IF(입력란!$C$18=3,50,0)))+IF(입력란!$C$23&lt;&gt;0,-12)</f>
        <v>200</v>
      </c>
      <c r="AM636" s="21">
        <f>SUM(AN636:AP636)</f>
        <v>802795.82630471</v>
      </c>
      <c r="AN636" s="21">
        <f>(VLOOKUP(C636,$B$4:$AJ$7,33,FALSE)+VLOOKUP(C636,$B$8:$AJ$11,33,FALSE)*입력란!$P$4)*입력란!$P$25/100</f>
        <v>802795.82630471</v>
      </c>
      <c r="AO636" s="21"/>
      <c r="AP636" s="21"/>
      <c r="AQ636" s="22">
        <v>30</v>
      </c>
    </row>
    <row r="637" spans="2:43" ht="13.5" customHeight="1" x14ac:dyDescent="0.55000000000000004">
      <c r="B637" s="66">
        <v>622</v>
      </c>
      <c r="C637" s="29">
        <v>10</v>
      </c>
      <c r="D637" s="49" t="s">
        <v>254</v>
      </c>
      <c r="E637" s="27" t="s">
        <v>249</v>
      </c>
      <c r="F637" s="29"/>
      <c r="G637" s="29" t="s">
        <v>375</v>
      </c>
      <c r="H637" s="37">
        <f>I637/AJ637</f>
        <v>148561.58190406489</v>
      </c>
      <c r="I637" s="37">
        <f>SUM(J637:Q637)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4403265.7747899126</v>
      </c>
      <c r="J637" s="21">
        <f>S637*(1+IF($AK637+IF(입력란!$C$26=1,10,0)&gt;100,100,$AK637+IF(입력란!$C$26=1,10,0))/100*(($AL637+IF(입력란!$C$30=1,17,IF(입력란!$C$30=2,20,IF(입력란!$C$30=3,22,0))))/100-1))</f>
        <v>3118239.3419658043</v>
      </c>
      <c r="K637" s="21"/>
      <c r="L637" s="21"/>
      <c r="M637" s="21"/>
      <c r="N637" s="21"/>
      <c r="O637" s="21"/>
      <c r="P637" s="21"/>
      <c r="Q637" s="20">
        <f>Z637*(1+IF($AK637+IF(입력란!$C$26=1,10,0)&gt;100,100,$AK637+IF(입력란!$C$26=1,10,0))/100*(($AL637+IF(입력란!$C$30=1,17,IF(입력란!$C$30=2,20,IF(입력란!$C$30=3,22,0))))/100-1))</f>
        <v>0</v>
      </c>
      <c r="R637" s="19">
        <f>SUM(S637:Z637)</f>
        <v>2049023.8212565223</v>
      </c>
      <c r="S637" s="21">
        <f>AN637*IF(MID(E637,3,1)="1",트라이포드!$J$26,트라이포드!$I$26)*IF(MID(E637,3,1)="3",IF(G637="생명50%이하",트라이포드!$N$26,트라이포드!$M$26),1)*IF(MID(E637,5,1)="2",트라이포드!$R$26,트라이포드!$Q$26)*(1+입력란!$P$19/100)</f>
        <v>2049023.8212565223</v>
      </c>
      <c r="T637" s="21"/>
      <c r="U637" s="21"/>
      <c r="V637" s="21"/>
      <c r="W637" s="21"/>
      <c r="X637" s="21"/>
      <c r="Y637" s="21"/>
      <c r="Z637" s="20">
        <f>AN637*IF(MID(E637,1,1)="1",트라이포드!$D$26,트라이포드!$C$26)*(1+입력란!$P$19/100)</f>
        <v>0</v>
      </c>
      <c r="AA637" s="21">
        <f>SUM(AB637:AI637)</f>
        <v>4098047.6425130446</v>
      </c>
      <c r="AB637" s="21">
        <f>S637*2</f>
        <v>4098047.6425130446</v>
      </c>
      <c r="AC637" s="21"/>
      <c r="AD637" s="21"/>
      <c r="AE637" s="21"/>
      <c r="AF637" s="21"/>
      <c r="AG637" s="21"/>
      <c r="AH637" s="21"/>
      <c r="AI637" s="20">
        <f>Z637*2</f>
        <v>0</v>
      </c>
      <c r="AJ637" s="21">
        <f>AQ637*(1-입력란!$P$10/100)</f>
        <v>29.6393301576</v>
      </c>
      <c r="AK637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7" s="21">
        <f>입력란!$P$24+IF(입력란!$C$18=1,10,IF(입력란!$C$18=2,25,IF(입력란!$C$18=3,50,0)))+IF(입력란!$C$23&lt;&gt;0,-12)</f>
        <v>200</v>
      </c>
      <c r="AM637" s="21">
        <f>SUM(AN637:AP637)</f>
        <v>802795.82630471</v>
      </c>
      <c r="AN637" s="21">
        <f>(VLOOKUP(C637,$B$4:$AJ$7,33,FALSE)+VLOOKUP(C637,$B$8:$AJ$11,33,FALSE)*입력란!$P$4)*입력란!$P$25/100</f>
        <v>802795.82630471</v>
      </c>
      <c r="AO637" s="21"/>
      <c r="AP637" s="21"/>
      <c r="AQ637" s="22">
        <v>30</v>
      </c>
    </row>
    <row r="638" spans="2:43" ht="13.5" customHeight="1" x14ac:dyDescent="0.55000000000000004">
      <c r="B638" s="66">
        <v>623</v>
      </c>
      <c r="C638" s="29">
        <v>10</v>
      </c>
      <c r="D638" s="49" t="s">
        <v>54</v>
      </c>
      <c r="E638" s="27" t="s">
        <v>199</v>
      </c>
      <c r="F638" s="29"/>
      <c r="G638" s="29" t="s">
        <v>375</v>
      </c>
      <c r="H638" s="37">
        <f>I638/AJ638</f>
        <v>206005.39357363665</v>
      </c>
      <c r="I638" s="37">
        <f>SUM(J638:Q638)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6105861.8743753461</v>
      </c>
      <c r="J638" s="21">
        <f>S638*(1+IF($AK638+IF(입력란!$C$26=1,10,0)&gt;100,100,$AK638+IF(입력란!$C$26=1,10,0))/100*(($AL638+IF(입력란!$C$30=1,17,IF(입력란!$C$30=2,20,IF(입력란!$C$30=3,22,0))))/100-1))</f>
        <v>3991346.3577162293</v>
      </c>
      <c r="K638" s="21"/>
      <c r="L638" s="21"/>
      <c r="M638" s="21"/>
      <c r="N638" s="21"/>
      <c r="O638" s="21"/>
      <c r="P638" s="21"/>
      <c r="Q638" s="20">
        <f>Z638*(1+IF($AK638+IF(입력란!$C$26=1,10,0)&gt;100,100,$AK638+IF(입력란!$C$26=1,10,0))/100*(($AL638+IF(입력란!$C$30=1,17,IF(입력란!$C$30=2,20,IF(입력란!$C$30=3,22,0))))/100-1))</f>
        <v>332612.19647635246</v>
      </c>
      <c r="R638" s="19">
        <f>SUM(S638:Z638)</f>
        <v>2841313.0321423775</v>
      </c>
      <c r="S638" s="21">
        <f>AN638*IF(MID(E638,3,1)="1",트라이포드!$J$26,트라이포드!$I$26)*IF(MID(E638,3,1)="3",IF(G638="생명50%이하",트라이포드!$N$26,트라이포드!$M$26),1)*IF(MID(E638,5,1)="2",트라이포드!$R$26,트라이포드!$Q$26)*(1+입력란!$P$19/100)</f>
        <v>2622750.4912083484</v>
      </c>
      <c r="T638" s="21"/>
      <c r="U638" s="21"/>
      <c r="V638" s="21"/>
      <c r="W638" s="21"/>
      <c r="X638" s="21"/>
      <c r="Y638" s="21"/>
      <c r="Z638" s="20">
        <f>AN638*IF(MID(E638,1,1)="1",트라이포드!$D$26,트라이포드!$C$26)*(1+입력란!$P$19/100)</f>
        <v>218562.54093402906</v>
      </c>
      <c r="AA638" s="21">
        <f>SUM(AB638:AI638)</f>
        <v>5682626.0642847549</v>
      </c>
      <c r="AB638" s="21">
        <f>S638*2</f>
        <v>5245500.9824166968</v>
      </c>
      <c r="AC638" s="21"/>
      <c r="AD638" s="21"/>
      <c r="AE638" s="21"/>
      <c r="AF638" s="21"/>
      <c r="AG638" s="21"/>
      <c r="AH638" s="21"/>
      <c r="AI638" s="20">
        <f>Z638*2</f>
        <v>437125.08186805813</v>
      </c>
      <c r="AJ638" s="21">
        <f>AQ638*(1-입력란!$P$10/100)</f>
        <v>29.6393301576</v>
      </c>
      <c r="AK638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8" s="21">
        <f>입력란!$P$24+IF(입력란!$C$18=1,10,IF(입력란!$C$18=2,25,IF(입력란!$C$18=3,50,0)))+IF(입력란!$C$23&lt;&gt;0,-12)</f>
        <v>200</v>
      </c>
      <c r="AM638" s="21">
        <f>SUM(AN638:AP638)</f>
        <v>802795.82630471</v>
      </c>
      <c r="AN638" s="21">
        <f>(VLOOKUP(C638,$B$4:$AJ$7,33,FALSE)+VLOOKUP(C638,$B$8:$AJ$11,33,FALSE)*입력란!$P$4)*입력란!$P$25/100</f>
        <v>802795.82630471</v>
      </c>
      <c r="AO638" s="21"/>
      <c r="AP638" s="21"/>
      <c r="AQ638" s="22">
        <v>30</v>
      </c>
    </row>
    <row r="639" spans="2:43" ht="13.5" customHeight="1" x14ac:dyDescent="0.55000000000000004">
      <c r="B639" s="66">
        <v>624</v>
      </c>
      <c r="C639" s="29">
        <v>10</v>
      </c>
      <c r="D639" s="49" t="s">
        <v>254</v>
      </c>
      <c r="E639" s="27" t="s">
        <v>256</v>
      </c>
      <c r="F639" s="29"/>
      <c r="G639" s="29" t="s">
        <v>375</v>
      </c>
      <c r="H639" s="37">
        <f>I639/AJ639</f>
        <v>190158.82483720305</v>
      </c>
      <c r="I639" s="37">
        <f>SUM(J639:Q639)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5636180.1917310879</v>
      </c>
      <c r="J639" s="21">
        <f>S639*(1+IF($AK639+IF(입력란!$C$26=1,10,0)&gt;100,100,$AK639+IF(입력란!$C$26=1,10,0))/100*(($AL639+IF(입력란!$C$30=1,17,IF(입력란!$C$30=2,20,IF(입력란!$C$30=3,22,0))))/100-1))</f>
        <v>3991346.3577162293</v>
      </c>
      <c r="K639" s="21"/>
      <c r="L639" s="21"/>
      <c r="M639" s="21"/>
      <c r="N639" s="21"/>
      <c r="O639" s="21"/>
      <c r="P639" s="21"/>
      <c r="Q639" s="20">
        <f>Z639*(1+IF($AK639+IF(입력란!$C$26=1,10,0)&gt;100,100,$AK639+IF(입력란!$C$26=1,10,0))/100*(($AL639+IF(입력란!$C$30=1,17,IF(입력란!$C$30=2,20,IF(입력란!$C$30=3,22,0))))/100-1))</f>
        <v>0</v>
      </c>
      <c r="R639" s="19">
        <f>SUM(S639:Z639)</f>
        <v>2622750.4912083484</v>
      </c>
      <c r="S639" s="21">
        <f>AN639*IF(MID(E639,3,1)="1",트라이포드!$J$26,트라이포드!$I$26)*IF(MID(E639,3,1)="3",IF(G639="생명50%이하",트라이포드!$N$26,트라이포드!$M$26),1)*IF(MID(E639,5,1)="2",트라이포드!$R$26,트라이포드!$Q$26)*(1+입력란!$P$19/100)</f>
        <v>2622750.4912083484</v>
      </c>
      <c r="T639" s="21"/>
      <c r="U639" s="21"/>
      <c r="V639" s="21"/>
      <c r="W639" s="21"/>
      <c r="X639" s="21"/>
      <c r="Y639" s="21"/>
      <c r="Z639" s="20">
        <f>AN639*IF(MID(E639,1,1)="1",트라이포드!$D$26,트라이포드!$C$26)*(1+입력란!$P$19/100)</f>
        <v>0</v>
      </c>
      <c r="AA639" s="21">
        <f>SUM(AB639:AI639)</f>
        <v>5245500.9824166968</v>
      </c>
      <c r="AB639" s="21">
        <f>S639*2</f>
        <v>5245500.9824166968</v>
      </c>
      <c r="AC639" s="21"/>
      <c r="AD639" s="21"/>
      <c r="AE639" s="21"/>
      <c r="AF639" s="21"/>
      <c r="AG639" s="21"/>
      <c r="AH639" s="21"/>
      <c r="AI639" s="20">
        <f>Z639*2</f>
        <v>0</v>
      </c>
      <c r="AJ639" s="21">
        <f>AQ639*(1-입력란!$P$10/100)</f>
        <v>29.6393301576</v>
      </c>
      <c r="AK639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39" s="21">
        <f>입력란!$P$24+IF(입력란!$C$18=1,10,IF(입력란!$C$18=2,25,IF(입력란!$C$18=3,50,0)))+IF(입력란!$C$23&lt;&gt;0,-12)</f>
        <v>200</v>
      </c>
      <c r="AM639" s="21">
        <f>SUM(AN639:AP639)</f>
        <v>802795.82630471</v>
      </c>
      <c r="AN639" s="21">
        <f>(VLOOKUP(C639,$B$4:$AJ$7,33,FALSE)+VLOOKUP(C639,$B$8:$AJ$11,33,FALSE)*입력란!$P$4)*입력란!$P$25/100</f>
        <v>802795.82630471</v>
      </c>
      <c r="AO639" s="21"/>
      <c r="AP639" s="21"/>
      <c r="AQ639" s="22">
        <v>30</v>
      </c>
    </row>
    <row r="640" spans="2:43" ht="13.5" customHeight="1" x14ac:dyDescent="0.55000000000000004">
      <c r="B640" s="66">
        <v>625</v>
      </c>
      <c r="C640" s="29">
        <v>1</v>
      </c>
      <c r="D640" s="49" t="s">
        <v>254</v>
      </c>
      <c r="E640" s="27" t="s">
        <v>232</v>
      </c>
      <c r="F640" s="29"/>
      <c r="G640" s="29" t="s">
        <v>374</v>
      </c>
      <c r="H640" s="37">
        <f>J640*2/(1+1/(K640/J640))</f>
        <v>79050.425525619896</v>
      </c>
      <c r="I640" s="37"/>
      <c r="J640" s="21">
        <f t="array" ref="J640">IFERROR(INDEX($H$16:$H$657,MATCH(1,(C640=$C$16:$C$657)*(D640=$D$16:$D$657)*(E640=$E$16:$E$657)*(""=$G$16:$G$657),0)),"에러")</f>
        <v>79050.425525619896</v>
      </c>
      <c r="K640" s="21">
        <f t="array" ref="K640">IFERROR(INDEX($H$16:$H$657,MATCH(1,(C640=$C$16:$C$657)*(D640=$D$16:$D$657)*(E640=$E$16:$E$657)*("생명50%이하"=$G$16:$G$657),0)),"에러")</f>
        <v>79050.425525619896</v>
      </c>
      <c r="L640" s="21"/>
      <c r="M640" s="21"/>
      <c r="N640" s="21"/>
      <c r="O640" s="21"/>
      <c r="P640" s="21"/>
      <c r="Q640" s="20"/>
      <c r="R640" s="19"/>
      <c r="S640" s="21"/>
      <c r="T640" s="21"/>
      <c r="U640" s="21"/>
      <c r="V640" s="21"/>
      <c r="W640" s="21"/>
      <c r="X640" s="21"/>
      <c r="Y640" s="21"/>
      <c r="Z640" s="20"/>
      <c r="AA640" s="21"/>
      <c r="AB640" s="21"/>
      <c r="AC640" s="21"/>
      <c r="AD640" s="21"/>
      <c r="AE640" s="21"/>
      <c r="AF640" s="21"/>
      <c r="AG640" s="21"/>
      <c r="AH640" s="21"/>
      <c r="AI640" s="20"/>
      <c r="AJ640" s="21"/>
      <c r="AK640" s="21"/>
      <c r="AL640" s="21"/>
      <c r="AM640" s="21"/>
      <c r="AN640" s="21"/>
      <c r="AO640" s="21"/>
      <c r="AP640" s="21"/>
      <c r="AQ640" s="22"/>
    </row>
    <row r="641" spans="2:43" ht="13.5" customHeight="1" x14ac:dyDescent="0.55000000000000004">
      <c r="B641" s="66">
        <v>626</v>
      </c>
      <c r="C641" s="29">
        <v>4</v>
      </c>
      <c r="D641" s="49" t="s">
        <v>54</v>
      </c>
      <c r="E641" s="27" t="s">
        <v>334</v>
      </c>
      <c r="F641" s="29"/>
      <c r="G641" s="29" t="s">
        <v>374</v>
      </c>
      <c r="H641" s="37">
        <f>J641*2/(1+1/(K641/J641))</f>
        <v>94985.057254957967</v>
      </c>
      <c r="I641" s="37"/>
      <c r="J641" s="21">
        <f t="array" ref="J641">IFERROR(INDEX($H$16:$H$657,MATCH(1,(C641=$C$16:$C$657)*(D641=$D$16:$D$657)*(E641=$E$16:$E$657)*(""=$G$16:$G$657),0)),"에러")</f>
        <v>94985.057254957967</v>
      </c>
      <c r="K641" s="21">
        <f t="array" ref="K641">IFERROR(INDEX($H$16:$H$657,MATCH(1,(C641=$C$16:$C$657)*(D641=$D$16:$D$657)*(E641=$E$16:$E$657)*("생명50%이하"=$G$16:$G$657),0)),"에러")</f>
        <v>94985.057254957967</v>
      </c>
      <c r="L641" s="21"/>
      <c r="M641" s="21"/>
      <c r="N641" s="21"/>
      <c r="O641" s="21"/>
      <c r="P641" s="21"/>
      <c r="Q641" s="20"/>
      <c r="R641" s="19"/>
      <c r="S641" s="21"/>
      <c r="T641" s="21"/>
      <c r="U641" s="21"/>
      <c r="V641" s="21"/>
      <c r="W641" s="21"/>
      <c r="X641" s="21"/>
      <c r="Y641" s="21"/>
      <c r="Z641" s="20"/>
      <c r="AA641" s="21"/>
      <c r="AB641" s="21"/>
      <c r="AC641" s="21"/>
      <c r="AD641" s="21"/>
      <c r="AE641" s="21"/>
      <c r="AF641" s="21"/>
      <c r="AG641" s="21"/>
      <c r="AH641" s="21"/>
      <c r="AI641" s="20"/>
      <c r="AJ641" s="21"/>
      <c r="AK641" s="21"/>
      <c r="AL641" s="21"/>
      <c r="AM641" s="21"/>
      <c r="AN641" s="21"/>
      <c r="AO641" s="21"/>
      <c r="AP641" s="21"/>
      <c r="AQ641" s="22"/>
    </row>
    <row r="642" spans="2:43" ht="13.5" customHeight="1" x14ac:dyDescent="0.55000000000000004">
      <c r="B642" s="66">
        <v>627</v>
      </c>
      <c r="C642" s="29">
        <v>4</v>
      </c>
      <c r="D642" s="49" t="s">
        <v>254</v>
      </c>
      <c r="E642" s="27" t="s">
        <v>232</v>
      </c>
      <c r="F642" s="29"/>
      <c r="G642" s="29" t="s">
        <v>374</v>
      </c>
      <c r="H642" s="37">
        <f>J642*2/(1+1/(K642/J642))</f>
        <v>79154.214379131634</v>
      </c>
      <c r="I642" s="37"/>
      <c r="J642" s="21">
        <f t="array" ref="J642">IFERROR(INDEX($H$16:$H$657,MATCH(1,(C642=$C$16:$C$657)*(D642=$D$16:$D$657)*(E642=$E$16:$E$657)*(""=$G$16:$G$657),0)),"에러")</f>
        <v>79154.214379131634</v>
      </c>
      <c r="K642" s="21">
        <f t="array" ref="K642">IFERROR(INDEX($H$16:$H$657,MATCH(1,(C642=$C$16:$C$657)*(D642=$D$16:$D$657)*(E642=$E$16:$E$657)*("생명50%이하"=$G$16:$G$657),0)),"에러")</f>
        <v>79154.214379131634</v>
      </c>
      <c r="L642" s="21"/>
      <c r="M642" s="21"/>
      <c r="N642" s="21"/>
      <c r="O642" s="21"/>
      <c r="P642" s="21"/>
      <c r="Q642" s="20"/>
      <c r="R642" s="19"/>
      <c r="S642" s="21"/>
      <c r="T642" s="21"/>
      <c r="U642" s="21"/>
      <c r="V642" s="21"/>
      <c r="W642" s="21"/>
      <c r="X642" s="21"/>
      <c r="Y642" s="21"/>
      <c r="Z642" s="20"/>
      <c r="AA642" s="21"/>
      <c r="AB642" s="21"/>
      <c r="AC642" s="21"/>
      <c r="AD642" s="21"/>
      <c r="AE642" s="21"/>
      <c r="AF642" s="21"/>
      <c r="AG642" s="21"/>
      <c r="AH642" s="21"/>
      <c r="AI642" s="20"/>
      <c r="AJ642" s="21"/>
      <c r="AK642" s="21"/>
      <c r="AL642" s="21"/>
      <c r="AM642" s="21"/>
      <c r="AN642" s="21"/>
      <c r="AO642" s="21"/>
      <c r="AP642" s="21"/>
      <c r="AQ642" s="22"/>
    </row>
    <row r="643" spans="2:43" ht="13.5" customHeight="1" x14ac:dyDescent="0.55000000000000004">
      <c r="B643" s="66">
        <v>628</v>
      </c>
      <c r="C643" s="29">
        <v>7</v>
      </c>
      <c r="D643" s="49" t="s">
        <v>254</v>
      </c>
      <c r="E643" s="27" t="s">
        <v>232</v>
      </c>
      <c r="F643" s="29"/>
      <c r="G643" s="29" t="s">
        <v>374</v>
      </c>
      <c r="H643" s="37">
        <f>J643*2/(1+1/(K643/J643))</f>
        <v>79202.457048964774</v>
      </c>
      <c r="I643" s="37"/>
      <c r="J643" s="21">
        <f t="array" ref="J643">IFERROR(INDEX($H$16:$H$657,MATCH(1,(C643=$C$16:$C$657)*(D643=$D$16:$D$657)*(E643=$E$16:$E$657)*(""=$G$16:$G$657),0)),"에러")</f>
        <v>79202.457048964774</v>
      </c>
      <c r="K643" s="21">
        <f t="array" ref="K643">IFERROR(INDEX($H$16:$H$657,MATCH(1,(C643=$C$16:$C$657)*(D643=$D$16:$D$657)*(E643=$E$16:$E$657)*("생명50%이하"=$G$16:$G$657),0)),"에러")</f>
        <v>79202.457048964774</v>
      </c>
      <c r="L643" s="21"/>
      <c r="M643" s="21"/>
      <c r="N643" s="21"/>
      <c r="O643" s="21"/>
      <c r="P643" s="21"/>
      <c r="Q643" s="20"/>
      <c r="R643" s="19"/>
      <c r="S643" s="21"/>
      <c r="T643" s="21"/>
      <c r="U643" s="21"/>
      <c r="V643" s="21"/>
      <c r="W643" s="21"/>
      <c r="X643" s="21"/>
      <c r="Y643" s="21"/>
      <c r="Z643" s="20"/>
      <c r="AA643" s="21"/>
      <c r="AB643" s="21"/>
      <c r="AC643" s="21"/>
      <c r="AD643" s="21"/>
      <c r="AE643" s="21"/>
      <c r="AF643" s="21"/>
      <c r="AG643" s="21"/>
      <c r="AH643" s="21"/>
      <c r="AI643" s="20"/>
      <c r="AJ643" s="21"/>
      <c r="AK643" s="21"/>
      <c r="AL643" s="21"/>
      <c r="AM643" s="21"/>
      <c r="AN643" s="21"/>
      <c r="AO643" s="21"/>
      <c r="AP643" s="21"/>
      <c r="AQ643" s="22"/>
    </row>
    <row r="644" spans="2:43" ht="13.5" customHeight="1" x14ac:dyDescent="0.55000000000000004">
      <c r="B644" s="66">
        <v>629</v>
      </c>
      <c r="C644" s="29">
        <v>7</v>
      </c>
      <c r="D644" s="49" t="s">
        <v>54</v>
      </c>
      <c r="E644" s="27" t="s">
        <v>354</v>
      </c>
      <c r="F644" s="29"/>
      <c r="G644" s="29" t="s">
        <v>374</v>
      </c>
      <c r="H644" s="37">
        <f>J644*2/(1+1/(K644/J644))</f>
        <v>114843.56272099895</v>
      </c>
      <c r="I644" s="37"/>
      <c r="J644" s="21">
        <f t="array" ref="J644">IFERROR(INDEX($H$16:$H$657,MATCH(1,(C644=$C$16:$C$657)*(D644=$D$16:$D$657)*(E644=$E$16:$E$657)*(""=$G$16:$G$657),0)),"에러")</f>
        <v>114843.56272099895</v>
      </c>
      <c r="K644" s="21">
        <f t="array" ref="K644">IFERROR(INDEX($H$16:$H$657,MATCH(1,(C644=$C$16:$C$657)*(D644=$D$16:$D$657)*(E644=$E$16:$E$657)*("생명50%이하"=$G$16:$G$657),0)),"에러")</f>
        <v>114843.56272099895</v>
      </c>
      <c r="L644" s="21"/>
      <c r="M644" s="21"/>
      <c r="N644" s="21"/>
      <c r="O644" s="21"/>
      <c r="P644" s="21"/>
      <c r="Q644" s="20"/>
      <c r="R644" s="19"/>
      <c r="S644" s="21"/>
      <c r="T644" s="21"/>
      <c r="U644" s="21"/>
      <c r="V644" s="21"/>
      <c r="W644" s="21"/>
      <c r="X644" s="21"/>
      <c r="Y644" s="21"/>
      <c r="Z644" s="20"/>
      <c r="AA644" s="21"/>
      <c r="AB644" s="21"/>
      <c r="AC644" s="21"/>
      <c r="AD644" s="21"/>
      <c r="AE644" s="21"/>
      <c r="AF644" s="21"/>
      <c r="AG644" s="21"/>
      <c r="AH644" s="21"/>
      <c r="AI644" s="20"/>
      <c r="AJ644" s="21"/>
      <c r="AK644" s="21"/>
      <c r="AL644" s="21"/>
      <c r="AM644" s="21"/>
      <c r="AN644" s="21"/>
      <c r="AO644" s="21"/>
      <c r="AP644" s="21"/>
      <c r="AQ644" s="22"/>
    </row>
    <row r="645" spans="2:43" ht="13.5" customHeight="1" x14ac:dyDescent="0.55000000000000004">
      <c r="B645" s="66">
        <v>630</v>
      </c>
      <c r="C645" s="29">
        <v>7</v>
      </c>
      <c r="D645" s="49" t="s">
        <v>254</v>
      </c>
      <c r="E645" s="27" t="s">
        <v>234</v>
      </c>
      <c r="F645" s="29"/>
      <c r="G645" s="29" t="s">
        <v>374</v>
      </c>
      <c r="H645" s="37">
        <f>J645*2/(1+1/(K645/J645))</f>
        <v>99003.071311205975</v>
      </c>
      <c r="I645" s="37"/>
      <c r="J645" s="21">
        <f t="array" ref="J645">IFERROR(INDEX($H$16:$H$657,MATCH(1,(C645=$C$16:$C$657)*(D645=$D$16:$D$657)*(E645=$E$16:$E$657)*(""=$G$16:$G$657),0)),"에러")</f>
        <v>99003.071311205975</v>
      </c>
      <c r="K645" s="21">
        <f t="array" ref="K645">IFERROR(INDEX($H$16:$H$657,MATCH(1,(C645=$C$16:$C$657)*(D645=$D$16:$D$657)*(E645=$E$16:$E$657)*("생명50%이하"=$G$16:$G$657),0)),"에러")</f>
        <v>99003.071311205975</v>
      </c>
      <c r="L645" s="21"/>
      <c r="M645" s="21"/>
      <c r="N645" s="21"/>
      <c r="O645" s="21"/>
      <c r="P645" s="21"/>
      <c r="Q645" s="20"/>
      <c r="R645" s="19"/>
      <c r="S645" s="21"/>
      <c r="T645" s="21"/>
      <c r="U645" s="21"/>
      <c r="V645" s="21"/>
      <c r="W645" s="21"/>
      <c r="X645" s="21"/>
      <c r="Y645" s="21"/>
      <c r="Z645" s="20"/>
      <c r="AA645" s="21"/>
      <c r="AB645" s="21"/>
      <c r="AC645" s="21"/>
      <c r="AD645" s="21"/>
      <c r="AE645" s="21"/>
      <c r="AF645" s="21"/>
      <c r="AG645" s="21"/>
      <c r="AH645" s="21"/>
      <c r="AI645" s="20"/>
      <c r="AJ645" s="21"/>
      <c r="AK645" s="21"/>
      <c r="AL645" s="21"/>
      <c r="AM645" s="21"/>
      <c r="AN645" s="21"/>
      <c r="AO645" s="21"/>
      <c r="AP645" s="21"/>
      <c r="AQ645" s="22"/>
    </row>
    <row r="646" spans="2:43" ht="13.5" customHeight="1" x14ac:dyDescent="0.55000000000000004">
      <c r="B646" s="66">
        <v>631</v>
      </c>
      <c r="C646" s="29">
        <v>7</v>
      </c>
      <c r="D646" s="49" t="s">
        <v>54</v>
      </c>
      <c r="E646" s="27" t="s">
        <v>334</v>
      </c>
      <c r="F646" s="29"/>
      <c r="G646" s="29" t="s">
        <v>374</v>
      </c>
      <c r="H646" s="37">
        <f>J646*2/(1+1/(K646/J646))</f>
        <v>95042.948458757732</v>
      </c>
      <c r="I646" s="37"/>
      <c r="J646" s="21">
        <f t="array" ref="J646">IFERROR(INDEX($H$16:$H$657,MATCH(1,(C646=$C$16:$C$657)*(D646=$D$16:$D$657)*(E646=$E$16:$E$657)*(""=$G$16:$G$657),0)),"에러")</f>
        <v>95042.948458757732</v>
      </c>
      <c r="K646" s="21">
        <f t="array" ref="K646">IFERROR(INDEX($H$16:$H$657,MATCH(1,(C646=$C$16:$C$657)*(D646=$D$16:$D$657)*(E646=$E$16:$E$657)*("생명50%이하"=$G$16:$G$657),0)),"에러")</f>
        <v>95042.948458757732</v>
      </c>
      <c r="L646" s="21"/>
      <c r="M646" s="21"/>
      <c r="N646" s="21"/>
      <c r="O646" s="21"/>
      <c r="P646" s="21"/>
      <c r="Q646" s="20"/>
      <c r="R646" s="19"/>
      <c r="S646" s="21"/>
      <c r="T646" s="21"/>
      <c r="U646" s="21"/>
      <c r="V646" s="21"/>
      <c r="W646" s="21"/>
      <c r="X646" s="21"/>
      <c r="Y646" s="21"/>
      <c r="Z646" s="20"/>
      <c r="AA646" s="21"/>
      <c r="AB646" s="21"/>
      <c r="AC646" s="21"/>
      <c r="AD646" s="21"/>
      <c r="AE646" s="21"/>
      <c r="AF646" s="21"/>
      <c r="AG646" s="21"/>
      <c r="AH646" s="21"/>
      <c r="AI646" s="20"/>
      <c r="AJ646" s="21"/>
      <c r="AK646" s="21"/>
      <c r="AL646" s="21"/>
      <c r="AM646" s="21"/>
      <c r="AN646" s="21"/>
      <c r="AO646" s="21"/>
      <c r="AP646" s="21"/>
      <c r="AQ646" s="22"/>
    </row>
    <row r="647" spans="2:43" ht="13.5" customHeight="1" x14ac:dyDescent="0.55000000000000004">
      <c r="B647" s="66">
        <v>632</v>
      </c>
      <c r="C647" s="29">
        <v>7</v>
      </c>
      <c r="D647" s="49" t="s">
        <v>54</v>
      </c>
      <c r="E647" s="27" t="s">
        <v>355</v>
      </c>
      <c r="F647" s="29"/>
      <c r="G647" s="29" t="s">
        <v>374</v>
      </c>
      <c r="H647" s="37">
        <f>J647*2/(1+1/(K647/J647))</f>
        <v>114051.53815050928</v>
      </c>
      <c r="I647" s="37"/>
      <c r="J647" s="21">
        <f t="array" ref="J647">IFERROR(INDEX($H$16:$H$657,MATCH(1,(C647=$C$16:$C$657)*(D647=$D$16:$D$657)*(E647=$E$16:$E$657)*(""=$G$16:$G$657),0)),"에러")</f>
        <v>95042.948458757732</v>
      </c>
      <c r="K647" s="21">
        <f t="array" ref="K647">IFERROR(INDEX($H$16:$H$657,MATCH(1,(C647=$C$16:$C$657)*(D647=$D$16:$D$657)*(E647=$E$16:$E$657)*("생명50%이하"=$G$16:$G$657),0)),"에러")</f>
        <v>142564.42268813663</v>
      </c>
      <c r="L647" s="21"/>
      <c r="M647" s="21"/>
      <c r="N647" s="21"/>
      <c r="O647" s="21"/>
      <c r="P647" s="21"/>
      <c r="Q647" s="20"/>
      <c r="R647" s="19"/>
      <c r="S647" s="21"/>
      <c r="T647" s="21"/>
      <c r="U647" s="21"/>
      <c r="V647" s="21"/>
      <c r="W647" s="21"/>
      <c r="X647" s="21"/>
      <c r="Y647" s="21"/>
      <c r="Z647" s="20"/>
      <c r="AA647" s="21"/>
      <c r="AB647" s="21"/>
      <c r="AC647" s="21"/>
      <c r="AD647" s="21"/>
      <c r="AE647" s="21"/>
      <c r="AF647" s="21"/>
      <c r="AG647" s="21"/>
      <c r="AH647" s="21"/>
      <c r="AI647" s="20"/>
      <c r="AJ647" s="21"/>
      <c r="AK647" s="21"/>
      <c r="AL647" s="21"/>
      <c r="AM647" s="21"/>
      <c r="AN647" s="21"/>
      <c r="AO647" s="21"/>
      <c r="AP647" s="21"/>
      <c r="AQ647" s="22"/>
    </row>
    <row r="648" spans="2:43" ht="13.5" customHeight="1" x14ac:dyDescent="0.55000000000000004">
      <c r="B648" s="66">
        <v>633</v>
      </c>
      <c r="C648" s="29">
        <v>7</v>
      </c>
      <c r="D648" s="49" t="s">
        <v>254</v>
      </c>
      <c r="E648" s="27" t="s">
        <v>255</v>
      </c>
      <c r="F648" s="29"/>
      <c r="G648" s="29" t="s">
        <v>374</v>
      </c>
      <c r="H648" s="37">
        <f>J648*2/(1+1/(K648/J648))</f>
        <v>97479.94713718741</v>
      </c>
      <c r="I648" s="37"/>
      <c r="J648" s="21">
        <f t="array" ref="J648">IFERROR(INDEX($H$16:$H$657,MATCH(1,(C648=$C$16:$C$657)*(D648=$D$16:$D$657)*(E648=$E$16:$E$657)*(""=$G$16:$G$657),0)),"에러")</f>
        <v>79202.457048964774</v>
      </c>
      <c r="K648" s="21">
        <f t="array" ref="K648">IFERROR(INDEX($H$16:$H$657,MATCH(1,(C648=$C$16:$C$657)*(D648=$D$16:$D$657)*(E648=$E$16:$E$657)*("생명50%이하"=$G$16:$G$657),0)),"에러")</f>
        <v>126723.93127834366</v>
      </c>
      <c r="L648" s="21"/>
      <c r="M648" s="21"/>
      <c r="N648" s="21"/>
      <c r="O648" s="21"/>
      <c r="P648" s="21"/>
      <c r="Q648" s="20"/>
      <c r="R648" s="19"/>
      <c r="S648" s="21"/>
      <c r="T648" s="21"/>
      <c r="U648" s="21"/>
      <c r="V648" s="21"/>
      <c r="W648" s="21"/>
      <c r="X648" s="21"/>
      <c r="Y648" s="21"/>
      <c r="Z648" s="20"/>
      <c r="AA648" s="21"/>
      <c r="AB648" s="21"/>
      <c r="AC648" s="21"/>
      <c r="AD648" s="21"/>
      <c r="AE648" s="21"/>
      <c r="AF648" s="21"/>
      <c r="AG648" s="21"/>
      <c r="AH648" s="21"/>
      <c r="AI648" s="20"/>
      <c r="AJ648" s="21"/>
      <c r="AK648" s="21"/>
      <c r="AL648" s="21"/>
      <c r="AM648" s="21"/>
      <c r="AN648" s="21"/>
      <c r="AO648" s="21"/>
      <c r="AP648" s="21"/>
      <c r="AQ648" s="22"/>
    </row>
    <row r="649" spans="2:43" ht="13.5" customHeight="1" x14ac:dyDescent="0.55000000000000004">
      <c r="B649" s="66">
        <v>634</v>
      </c>
      <c r="C649" s="29">
        <v>10</v>
      </c>
      <c r="D649" s="49" t="s">
        <v>254</v>
      </c>
      <c r="E649" s="27" t="s">
        <v>232</v>
      </c>
      <c r="F649" s="29"/>
      <c r="G649" s="29" t="s">
        <v>374</v>
      </c>
      <c r="H649" s="37">
        <f>J649*2/(1+1/(K649/J649))</f>
        <v>79232.843682167935</v>
      </c>
      <c r="I649" s="37"/>
      <c r="J649" s="21">
        <f t="array" ref="J649">IFERROR(INDEX($H$16:$H$657,MATCH(1,(C649=$C$16:$C$657)*(D649=$D$16:$D$657)*(E649=$E$16:$E$657)*(""=$G$16:$G$657),0)),"에러")</f>
        <v>79232.843682167935</v>
      </c>
      <c r="K649" s="21">
        <f t="array" ref="K649">IFERROR(INDEX($H$16:$H$657,MATCH(1,(C649=$C$16:$C$657)*(D649=$D$16:$D$657)*(E649=$E$16:$E$657)*("생명50%이하"=$G$16:$G$657),0)),"에러")</f>
        <v>79232.843682167935</v>
      </c>
      <c r="L649" s="21"/>
      <c r="M649" s="21"/>
      <c r="N649" s="21"/>
      <c r="O649" s="21"/>
      <c r="P649" s="21"/>
      <c r="Q649" s="20"/>
      <c r="R649" s="19"/>
      <c r="S649" s="21"/>
      <c r="T649" s="21"/>
      <c r="U649" s="21"/>
      <c r="V649" s="21"/>
      <c r="W649" s="21"/>
      <c r="X649" s="21"/>
      <c r="Y649" s="21"/>
      <c r="Z649" s="20"/>
      <c r="AA649" s="21"/>
      <c r="AB649" s="21"/>
      <c r="AC649" s="21"/>
      <c r="AD649" s="21"/>
      <c r="AE649" s="21"/>
      <c r="AF649" s="21"/>
      <c r="AG649" s="21"/>
      <c r="AH649" s="21"/>
      <c r="AI649" s="20"/>
      <c r="AJ649" s="21"/>
      <c r="AK649" s="21"/>
      <c r="AL649" s="21"/>
      <c r="AM649" s="21"/>
      <c r="AN649" s="21"/>
      <c r="AO649" s="21"/>
      <c r="AP649" s="21"/>
      <c r="AQ649" s="22"/>
    </row>
    <row r="650" spans="2:43" ht="13.5" customHeight="1" x14ac:dyDescent="0.55000000000000004">
      <c r="B650" s="66">
        <v>635</v>
      </c>
      <c r="C650" s="29">
        <v>10</v>
      </c>
      <c r="D650" s="49" t="s">
        <v>54</v>
      </c>
      <c r="E650" s="27" t="s">
        <v>357</v>
      </c>
      <c r="F650" s="29"/>
      <c r="G650" s="29" t="s">
        <v>374</v>
      </c>
      <c r="H650" s="37">
        <f>J650*2/(1+1/(K650/J650))</f>
        <v>134695.83425968548</v>
      </c>
      <c r="I650" s="37"/>
      <c r="J650" s="21">
        <f t="array" ref="J650">IFERROR(INDEX($H$16:$H$657,MATCH(1,(C650=$C$16:$C$657)*(D650=$D$16:$D$657)*(E650=$E$16:$E$657)*(""=$G$16:$G$657),0)),"에러")</f>
        <v>134695.83425968548</v>
      </c>
      <c r="K650" s="21">
        <f t="array" ref="K650">IFERROR(INDEX($H$16:$H$657,MATCH(1,(C650=$C$16:$C$657)*(D650=$D$16:$D$657)*(E650=$E$16:$E$657)*("생명50%이하"=$G$16:$G$657),0)),"에러")</f>
        <v>134695.83425968548</v>
      </c>
      <c r="L650" s="21"/>
      <c r="M650" s="21"/>
      <c r="N650" s="21"/>
      <c r="O650" s="21"/>
      <c r="P650" s="21"/>
      <c r="Q650" s="20"/>
      <c r="R650" s="19"/>
      <c r="S650" s="21"/>
      <c r="T650" s="21"/>
      <c r="U650" s="21"/>
      <c r="V650" s="21"/>
      <c r="W650" s="21"/>
      <c r="X650" s="21"/>
      <c r="Y650" s="21"/>
      <c r="Z650" s="20"/>
      <c r="AA650" s="21"/>
      <c r="AB650" s="21"/>
      <c r="AC650" s="21"/>
      <c r="AD650" s="21"/>
      <c r="AE650" s="21"/>
      <c r="AF650" s="21"/>
      <c r="AG650" s="21"/>
      <c r="AH650" s="21"/>
      <c r="AI650" s="20"/>
      <c r="AJ650" s="21"/>
      <c r="AK650" s="21"/>
      <c r="AL650" s="21"/>
      <c r="AM650" s="21"/>
      <c r="AN650" s="21"/>
      <c r="AO650" s="21"/>
      <c r="AP650" s="21"/>
      <c r="AQ650" s="22"/>
    </row>
    <row r="651" spans="2:43" ht="13.5" customHeight="1" x14ac:dyDescent="0.55000000000000004">
      <c r="B651" s="66">
        <v>636</v>
      </c>
      <c r="C651" s="29">
        <v>10</v>
      </c>
      <c r="D651" s="49" t="s">
        <v>254</v>
      </c>
      <c r="E651" s="27" t="s">
        <v>240</v>
      </c>
      <c r="F651" s="29"/>
      <c r="G651" s="29" t="s">
        <v>374</v>
      </c>
      <c r="H651" s="37">
        <f>J651*2/(1+1/(K651/J651))</f>
        <v>118849.26552325189</v>
      </c>
      <c r="I651" s="37"/>
      <c r="J651" s="21">
        <f t="array" ref="J651">IFERROR(INDEX($H$16:$H$657,MATCH(1,(C651=$C$16:$C$657)*(D651=$D$16:$D$657)*(E651=$E$16:$E$657)*(""=$G$16:$G$657),0)),"에러")</f>
        <v>118849.26552325189</v>
      </c>
      <c r="K651" s="21">
        <f t="array" ref="K651">IFERROR(INDEX($H$16:$H$657,MATCH(1,(C651=$C$16:$C$657)*(D651=$D$16:$D$657)*(E651=$E$16:$E$657)*("생명50%이하"=$G$16:$G$657),0)),"에러")</f>
        <v>118849.26552325189</v>
      </c>
      <c r="L651" s="21"/>
      <c r="M651" s="21"/>
      <c r="N651" s="21"/>
      <c r="O651" s="21"/>
      <c r="P651" s="21"/>
      <c r="Q651" s="20"/>
      <c r="R651" s="19"/>
      <c r="S651" s="21"/>
      <c r="T651" s="21"/>
      <c r="U651" s="21"/>
      <c r="V651" s="21"/>
      <c r="W651" s="21"/>
      <c r="X651" s="21"/>
      <c r="Y651" s="21"/>
      <c r="Z651" s="20"/>
      <c r="AA651" s="21"/>
      <c r="AB651" s="21"/>
      <c r="AC651" s="21"/>
      <c r="AD651" s="21"/>
      <c r="AE651" s="21"/>
      <c r="AF651" s="21"/>
      <c r="AG651" s="21"/>
      <c r="AH651" s="21"/>
      <c r="AI651" s="20"/>
      <c r="AJ651" s="21"/>
      <c r="AK651" s="21"/>
      <c r="AL651" s="21"/>
      <c r="AM651" s="21"/>
      <c r="AN651" s="21"/>
      <c r="AO651" s="21"/>
      <c r="AP651" s="21"/>
      <c r="AQ651" s="22"/>
    </row>
    <row r="652" spans="2:43" ht="13.5" customHeight="1" x14ac:dyDescent="0.55000000000000004">
      <c r="B652" s="66">
        <v>637</v>
      </c>
      <c r="C652" s="29">
        <v>10</v>
      </c>
      <c r="D652" s="49" t="s">
        <v>54</v>
      </c>
      <c r="E652" s="27" t="s">
        <v>179</v>
      </c>
      <c r="F652" s="29"/>
      <c r="G652" s="29" t="s">
        <v>374</v>
      </c>
      <c r="H652" s="37">
        <f>J652*2/(1+1/(K652/J652))</f>
        <v>164408.15064049847</v>
      </c>
      <c r="I652" s="37"/>
      <c r="J652" s="21">
        <f t="array" ref="J652">IFERROR(INDEX($H$16:$H$657,MATCH(1,(C652=$C$16:$C$657)*(D652=$D$16:$D$657)*(E652=$E$16:$E$657)*(""=$G$16:$G$657),0)),"에러")</f>
        <v>164408.15064049847</v>
      </c>
      <c r="K652" s="21">
        <f t="array" ref="K652">IFERROR(INDEX($H$16:$H$657,MATCH(1,(C652=$C$16:$C$657)*(D652=$D$16:$D$657)*(E652=$E$16:$E$657)*("생명50%이하"=$G$16:$G$657),0)),"에러")</f>
        <v>164408.15064049847</v>
      </c>
      <c r="L652" s="21"/>
      <c r="M652" s="21"/>
      <c r="N652" s="21"/>
      <c r="O652" s="21"/>
      <c r="P652" s="21"/>
      <c r="Q652" s="20"/>
      <c r="R652" s="19"/>
      <c r="S652" s="21"/>
      <c r="T652" s="21"/>
      <c r="U652" s="21"/>
      <c r="V652" s="21"/>
      <c r="W652" s="21"/>
      <c r="X652" s="21"/>
      <c r="Y652" s="21"/>
      <c r="Z652" s="20"/>
      <c r="AA652" s="21"/>
      <c r="AB652" s="21"/>
      <c r="AC652" s="21"/>
      <c r="AD652" s="21"/>
      <c r="AE652" s="21"/>
      <c r="AF652" s="21"/>
      <c r="AG652" s="21"/>
      <c r="AH652" s="21"/>
      <c r="AI652" s="20"/>
      <c r="AJ652" s="21"/>
      <c r="AK652" s="21"/>
      <c r="AL652" s="21"/>
      <c r="AM652" s="21"/>
      <c r="AN652" s="21"/>
      <c r="AO652" s="21"/>
      <c r="AP652" s="21"/>
      <c r="AQ652" s="22"/>
    </row>
    <row r="653" spans="2:43" ht="13.5" customHeight="1" x14ac:dyDescent="0.55000000000000004">
      <c r="B653" s="66">
        <v>638</v>
      </c>
      <c r="C653" s="29">
        <v>10</v>
      </c>
      <c r="D653" s="49" t="s">
        <v>254</v>
      </c>
      <c r="E653" s="27" t="s">
        <v>249</v>
      </c>
      <c r="F653" s="29"/>
      <c r="G653" s="29" t="s">
        <v>374</v>
      </c>
      <c r="H653" s="37">
        <f>J653*2/(1+1/(K653/J653))</f>
        <v>148561.58190406489</v>
      </c>
      <c r="I653" s="37"/>
      <c r="J653" s="21">
        <f t="array" ref="J653">IFERROR(INDEX($H$16:$H$657,MATCH(1,(C653=$C$16:$C$657)*(D653=$D$16:$D$657)*(E653=$E$16:$E$657)*(""=$G$16:$G$657),0)),"에러")</f>
        <v>148561.58190406489</v>
      </c>
      <c r="K653" s="21">
        <f t="array" ref="K653">IFERROR(INDEX($H$16:$H$657,MATCH(1,(C653=$C$16:$C$657)*(D653=$D$16:$D$657)*(E653=$E$16:$E$657)*("생명50%이하"=$G$16:$G$657),0)),"에러")</f>
        <v>148561.58190406489</v>
      </c>
      <c r="L653" s="21"/>
      <c r="M653" s="21"/>
      <c r="N653" s="21"/>
      <c r="O653" s="21"/>
      <c r="P653" s="21"/>
      <c r="Q653" s="20"/>
      <c r="R653" s="19"/>
      <c r="S653" s="21"/>
      <c r="T653" s="21"/>
      <c r="U653" s="21"/>
      <c r="V653" s="21"/>
      <c r="W653" s="21"/>
      <c r="X653" s="21"/>
      <c r="Y653" s="21"/>
      <c r="Z653" s="20"/>
      <c r="AA653" s="21"/>
      <c r="AB653" s="21"/>
      <c r="AC653" s="21"/>
      <c r="AD653" s="21"/>
      <c r="AE653" s="21"/>
      <c r="AF653" s="21"/>
      <c r="AG653" s="21"/>
      <c r="AH653" s="21"/>
      <c r="AI653" s="20"/>
      <c r="AJ653" s="21"/>
      <c r="AK653" s="21"/>
      <c r="AL653" s="21"/>
      <c r="AM653" s="21"/>
      <c r="AN653" s="21"/>
      <c r="AO653" s="21"/>
      <c r="AP653" s="21"/>
      <c r="AQ653" s="22"/>
    </row>
    <row r="654" spans="2:43" ht="13.5" customHeight="1" x14ac:dyDescent="0.55000000000000004">
      <c r="B654" s="66">
        <v>639</v>
      </c>
      <c r="C654" s="29">
        <v>10</v>
      </c>
      <c r="D654" s="49" t="s">
        <v>54</v>
      </c>
      <c r="E654" s="27" t="s">
        <v>199</v>
      </c>
      <c r="F654" s="29"/>
      <c r="G654" s="29" t="s">
        <v>374</v>
      </c>
      <c r="H654" s="37">
        <f>J654*2/(1+1/(K654/J654))</f>
        <v>162887.98561636385</v>
      </c>
      <c r="I654" s="37"/>
      <c r="J654" s="21">
        <f t="array" ref="J654">IFERROR(INDEX($H$16:$H$657,MATCH(1,(C654=$C$16:$C$657)*(D654=$D$16:$D$657)*(E654=$E$16:$E$657)*(""=$G$16:$G$657),0)),"에러")</f>
        <v>134695.83425968548</v>
      </c>
      <c r="K654" s="21">
        <f t="array" ref="K654">IFERROR(INDEX($H$16:$H$657,MATCH(1,(C654=$C$16:$C$657)*(D654=$D$16:$D$657)*(E654=$E$16:$E$657)*("생명50%이하"=$G$16:$G$657),0)),"에러")</f>
        <v>206005.39357363665</v>
      </c>
      <c r="L654" s="21"/>
      <c r="M654" s="21"/>
      <c r="N654" s="21"/>
      <c r="O654" s="21"/>
      <c r="P654" s="21"/>
      <c r="Q654" s="20"/>
      <c r="R654" s="19"/>
      <c r="S654" s="21"/>
      <c r="T654" s="21"/>
      <c r="U654" s="21"/>
      <c r="V654" s="21"/>
      <c r="W654" s="21"/>
      <c r="X654" s="21"/>
      <c r="Y654" s="21"/>
      <c r="Z654" s="20"/>
      <c r="AA654" s="21"/>
      <c r="AB654" s="21"/>
      <c r="AC654" s="21"/>
      <c r="AD654" s="21"/>
      <c r="AE654" s="21"/>
      <c r="AF654" s="21"/>
      <c r="AG654" s="21"/>
      <c r="AH654" s="21"/>
      <c r="AI654" s="20"/>
      <c r="AJ654" s="21"/>
      <c r="AK654" s="21"/>
      <c r="AL654" s="21"/>
      <c r="AM654" s="21"/>
      <c r="AN654" s="21"/>
      <c r="AO654" s="21"/>
      <c r="AP654" s="21"/>
      <c r="AQ654" s="22"/>
    </row>
    <row r="655" spans="2:43" ht="13.5" customHeight="1" x14ac:dyDescent="0.55000000000000004">
      <c r="B655" s="66">
        <v>640</v>
      </c>
      <c r="C655" s="29">
        <v>10</v>
      </c>
      <c r="D655" s="49" t="s">
        <v>254</v>
      </c>
      <c r="E655" s="27" t="s">
        <v>256</v>
      </c>
      <c r="F655" s="29"/>
      <c r="G655" s="29" t="s">
        <v>374</v>
      </c>
      <c r="H655" s="37">
        <f>J655*2/(1+1/(K655/J655))</f>
        <v>146276.01910554079</v>
      </c>
      <c r="I655" s="37"/>
      <c r="J655" s="21">
        <f t="array" ref="J655">IFERROR(INDEX($H$16:$H$657,MATCH(1,(C655=$C$16:$C$657)*(D655=$D$16:$D$657)*(E655=$E$16:$E$657)*(""=$G$16:$G$657),0)),"에러")</f>
        <v>118849.26552325189</v>
      </c>
      <c r="K655" s="21">
        <f t="array" ref="K655">IFERROR(INDEX($H$16:$H$657,MATCH(1,(C655=$C$16:$C$657)*(D655=$D$16:$D$657)*(E655=$E$16:$E$657)*("생명50%이하"=$G$16:$G$657),0)),"에러")</f>
        <v>190158.82483720305</v>
      </c>
      <c r="L655" s="21"/>
      <c r="M655" s="21"/>
      <c r="N655" s="21"/>
      <c r="O655" s="21"/>
      <c r="P655" s="21"/>
      <c r="Q655" s="20"/>
      <c r="R655" s="19"/>
      <c r="S655" s="21"/>
      <c r="T655" s="21"/>
      <c r="U655" s="21"/>
      <c r="V655" s="21"/>
      <c r="W655" s="21"/>
      <c r="X655" s="21"/>
      <c r="Y655" s="21"/>
      <c r="Z655" s="20"/>
      <c r="AA655" s="21"/>
      <c r="AB655" s="21"/>
      <c r="AC655" s="21"/>
      <c r="AD655" s="21"/>
      <c r="AE655" s="21"/>
      <c r="AF655" s="21"/>
      <c r="AG655" s="21"/>
      <c r="AH655" s="21"/>
      <c r="AI655" s="20"/>
      <c r="AJ655" s="21"/>
      <c r="AK655" s="21"/>
      <c r="AL655" s="21"/>
      <c r="AM655" s="21"/>
      <c r="AN655" s="21"/>
      <c r="AO655" s="21"/>
      <c r="AP655" s="21"/>
      <c r="AQ655" s="22"/>
    </row>
    <row r="656" spans="2:43" ht="13.5" customHeight="1" x14ac:dyDescent="0.55000000000000004">
      <c r="B656" s="66">
        <v>641</v>
      </c>
      <c r="C656" s="68">
        <v>1</v>
      </c>
      <c r="D656" s="69" t="s">
        <v>257</v>
      </c>
      <c r="E656" s="27"/>
      <c r="F656" s="29"/>
      <c r="G656" s="29"/>
      <c r="H656" s="37">
        <f>I656/AJ656</f>
        <v>73520.368145918692</v>
      </c>
      <c r="I656" s="37">
        <f>SUM(J656:Q656)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21790944.647851825</v>
      </c>
      <c r="J656" s="21">
        <f>S656*(1+IF($AK656+IF(입력란!$C$26=1,10,0)&gt;100,100,$AK656+IF(입력란!$C$26=1,10,0))/100*(($AL656+IF(입력란!$C$30=1,17,IF(입력란!$C$30=2,20,IF(입력란!$C$30=3,22,0))))/100-1))</f>
        <v>15431587.456874033</v>
      </c>
      <c r="K656" s="21"/>
      <c r="L656" s="21"/>
      <c r="M656" s="21"/>
      <c r="N656" s="21"/>
      <c r="O656" s="21"/>
      <c r="P656" s="21"/>
      <c r="Q656" s="20"/>
      <c r="R656" s="19">
        <f>SUM(S656:Z656)</f>
        <v>10140238.394594986</v>
      </c>
      <c r="S656" s="21">
        <f>AN656*IF(입력란!$C$12=0,1,IF(입력란!$C$12=1,1.2,IF(입력란!$C$12=2,1.35,IF(입력란!$C$12=3,1.5,1))))*(1+입력란!$P$20/100)</f>
        <v>10140238.394594986</v>
      </c>
      <c r="T656" s="21"/>
      <c r="U656" s="21"/>
      <c r="V656" s="21"/>
      <c r="W656" s="21"/>
      <c r="X656" s="21"/>
      <c r="Y656" s="21"/>
      <c r="Z656" s="20"/>
      <c r="AA656" s="21">
        <f>SUM(AB656:AI656)</f>
        <v>20280476.789189972</v>
      </c>
      <c r="AB656" s="21">
        <f>S656*2</f>
        <v>20280476.789189972</v>
      </c>
      <c r="AC656" s="21"/>
      <c r="AD656" s="21"/>
      <c r="AE656" s="21"/>
      <c r="AF656" s="21"/>
      <c r="AG656" s="21"/>
      <c r="AH656" s="21"/>
      <c r="AI656" s="20"/>
      <c r="AJ656" s="21">
        <f>AQ656*(1-입력란!$P$10/100)</f>
        <v>296.393301576</v>
      </c>
      <c r="AK656" s="21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56" s="21">
        <f>입력란!$P$24+IF(입력란!$C$18=1,10,IF(입력란!$C$18=2,25,IF(입력란!$C$18=3,50,0)))+IF(입력란!$C$23&lt;&gt;0,-12)</f>
        <v>200</v>
      </c>
      <c r="AM656" s="21">
        <f>SUM(AN656:AP656)</f>
        <v>5280698.3642780958</v>
      </c>
      <c r="AN656" s="21">
        <f>(VLOOKUP(C656,$B$4:$AJ$7,34,FALSE)+VLOOKUP(C656,$B$8:$AJ$11,34,FALSE)*입력란!$P$4)*입력란!$P$25/100</f>
        <v>5280698.3642780958</v>
      </c>
      <c r="AO656" s="21"/>
      <c r="AP656" s="21"/>
      <c r="AQ656" s="22">
        <v>300</v>
      </c>
    </row>
    <row r="657" spans="2:43" ht="14.25" customHeight="1" thickBot="1" x14ac:dyDescent="0.6">
      <c r="B657" s="70">
        <v>642</v>
      </c>
      <c r="C657" s="71">
        <v>1</v>
      </c>
      <c r="D657" s="65" t="s">
        <v>258</v>
      </c>
      <c r="E657" s="45"/>
      <c r="F657" s="46"/>
      <c r="G657" s="46"/>
      <c r="H657" s="38">
        <f>I657/AJ657</f>
        <v>87521.102011004099</v>
      </c>
      <c r="I657" s="38">
        <f>SUM(J657:Q657)*IF(입력란!$C$16=1,1.04,IF(입력란!$C$16=2,1.1,IF(입력란!$C$16=3,1.2,1)))*IF(입력란!$C$21=1,1+입력란!$P$13*0.001,IF(입력란!$C$21=2,1+입력란!$P$13*0.0022,IF(입력란!$C$21=3,1+입력란!$P$13*0.0045,1)))*IF(입력란!$C$18&lt;&gt;0,0.98,1)*IF(입력란!$C$30=1,1.07,IF(입력란!$C$30=2,1.08,IF(입력란!$C$30=3,1.09,1)))*(1+입력란!$P$22/100)*IF(입력란!$C$31=1,1.12*1.15,IF(입력란!$C$31=2,1.15*1.18,IF(입력란!$C$31=3,1.17*1.2,1)))*IF(입력란!$C$32=1,1.12,IF(입력란!$C$32=2,1.14,IF(입력란!$C$32=3,1.15,1)))</f>
        <v>25940668.382611398</v>
      </c>
      <c r="J657" s="33">
        <f>S657*(1+IF($AK657+IF(입력란!$C$26=1,10,0)&gt;100,100,$AK657+IF(입력란!$C$26=1,10,0))/100*(($AL657+IF(입력란!$C$30=1,17,IF(입력란!$C$30=2,20,IF(입력란!$C$30=3,22,0))))/100-1))</f>
        <v>18370277.163523402</v>
      </c>
      <c r="K657" s="33"/>
      <c r="L657" s="33"/>
      <c r="M657" s="33"/>
      <c r="N657" s="33"/>
      <c r="O657" s="33"/>
      <c r="P657" s="33"/>
      <c r="Q657" s="35"/>
      <c r="R657" s="34">
        <f>SUM(S657:Z657)</f>
        <v>12071278.495067149</v>
      </c>
      <c r="S657" s="33">
        <f>AN657*(1+입력란!$P$20/100)</f>
        <v>12071278.495067149</v>
      </c>
      <c r="T657" s="33"/>
      <c r="U657" s="33"/>
      <c r="V657" s="33"/>
      <c r="W657" s="33"/>
      <c r="X657" s="33"/>
      <c r="Y657" s="33"/>
      <c r="Z657" s="35"/>
      <c r="AA657" s="33">
        <f>SUM(AB657:AI657)</f>
        <v>24142556.990134299</v>
      </c>
      <c r="AB657" s="33">
        <f>S657*2</f>
        <v>24142556.990134299</v>
      </c>
      <c r="AC657" s="33"/>
      <c r="AD657" s="33"/>
      <c r="AE657" s="33"/>
      <c r="AF657" s="33"/>
      <c r="AG657" s="33"/>
      <c r="AH657" s="33"/>
      <c r="AI657" s="35"/>
      <c r="AJ657" s="33">
        <f>AQ657*(1-입력란!$P$10/100)</f>
        <v>296.393301576</v>
      </c>
      <c r="AK657" s="33">
        <f>IF((입력란!$P$8+IF(입력란!$C$13=1,20,IF(입력란!$C$13=2,25,IF(입력란!$C$13=3,30,0)))+IF(입력란!$C$19=1,5,IF(입력란!$C$19=2,10,IF(입력란!$C$19=3,15,0)))+IF(입력란!$C$23=1,4,IF(입력란!$C$23=2,10,IF(입력란!$C$23=3,20,0))))&gt;100,100,입력란!$P$8+IF(입력란!$C$13=1,20,IF(입력란!$C$13=2,25,IF(입력란!$C$13=3,30,0)))+IF(입력란!$C$19=1,5,IF(입력란!$C$19=2,10,IF(입력란!$C$19=3,15,0)))+IF(입력란!$C$23=1,4,IF(입력란!$C$23=2,10,IF(입력란!$C$23=3,20,0))))</f>
        <v>42.181702799999997</v>
      </c>
      <c r="AL657" s="33">
        <f>입력란!$P$24+IF(입력란!$C$18=1,10,IF(입력란!$C$18=2,25,IF(입력란!$C$18=3,50,0)))+IF(입력란!$C$23&lt;&gt;0,-12)</f>
        <v>200</v>
      </c>
      <c r="AM657" s="33">
        <f>SUM(AN657:AP657)</f>
        <v>6286319.721795111</v>
      </c>
      <c r="AN657" s="33">
        <f>(VLOOKUP(C657,$B$4:$AJ$7,35,FALSE)+VLOOKUP(C657,$B$8:$AJ$11,35,FALSE)*입력란!$P$4)*입력란!$P$25/100</f>
        <v>6286319.721795111</v>
      </c>
      <c r="AO657" s="33"/>
      <c r="AP657" s="33"/>
      <c r="AQ657" s="47">
        <v>300</v>
      </c>
    </row>
    <row r="658" spans="2:43" ht="13.5" customHeight="1" x14ac:dyDescent="0.55000000000000004">
      <c r="B658" s="2"/>
      <c r="D658" s="2"/>
      <c r="E658" s="32"/>
      <c r="H658" s="28"/>
      <c r="I658" s="28"/>
      <c r="R658" s="29"/>
      <c r="S658" s="21"/>
      <c r="AA658" s="23"/>
      <c r="AB658" s="23"/>
      <c r="AJ658" s="28"/>
      <c r="AK658" s="28"/>
      <c r="AL658" s="28"/>
      <c r="AM658" s="28"/>
      <c r="AN658" s="28"/>
      <c r="AO658" s="28"/>
      <c r="AP658" s="28"/>
    </row>
    <row r="659" spans="2:43" ht="13.5" customHeight="1" x14ac:dyDescent="0.55000000000000004">
      <c r="B659" s="2"/>
      <c r="D659" s="2"/>
      <c r="E659" s="32"/>
      <c r="H659" s="28"/>
      <c r="I659" s="28"/>
      <c r="R659" s="29"/>
      <c r="S659" s="21"/>
      <c r="AA659" s="23"/>
      <c r="AB659" s="23"/>
      <c r="AJ659" s="28"/>
      <c r="AK659" s="28"/>
      <c r="AL659" s="28"/>
      <c r="AM659" s="28"/>
      <c r="AN659" s="28"/>
      <c r="AO659" s="28"/>
      <c r="AP659" s="28"/>
    </row>
    <row r="660" spans="2:43" ht="13.5" customHeight="1" x14ac:dyDescent="0.55000000000000004">
      <c r="B660" s="2"/>
      <c r="D660" s="2"/>
      <c r="E660" s="32"/>
      <c r="H660" s="28"/>
      <c r="I660" s="28"/>
      <c r="R660" s="29"/>
      <c r="S660" s="21"/>
      <c r="AA660" s="23"/>
      <c r="AB660" s="23"/>
      <c r="AJ660" s="28"/>
      <c r="AK660" s="28"/>
      <c r="AL660" s="28"/>
      <c r="AM660" s="28"/>
      <c r="AN660" s="28"/>
      <c r="AO660" s="28"/>
      <c r="AP660" s="28"/>
    </row>
    <row r="661" spans="2:43" ht="13.5" customHeight="1" x14ac:dyDescent="0.55000000000000004">
      <c r="B661" s="2"/>
      <c r="D661" s="2"/>
      <c r="E661" s="32"/>
      <c r="H661" s="28"/>
      <c r="I661" s="28"/>
      <c r="R661" s="29"/>
      <c r="S661" s="21"/>
      <c r="AA661" s="23"/>
      <c r="AB661" s="23"/>
      <c r="AJ661" s="28"/>
      <c r="AK661" s="28"/>
      <c r="AL661" s="28"/>
      <c r="AM661" s="28"/>
      <c r="AN661" s="28"/>
      <c r="AO661" s="28"/>
      <c r="AP661" s="28"/>
    </row>
    <row r="662" spans="2:43" ht="13.5" customHeight="1" x14ac:dyDescent="0.55000000000000004">
      <c r="B662" s="2"/>
      <c r="D662" s="2"/>
      <c r="E662" s="32"/>
      <c r="H662" s="28"/>
      <c r="I662" s="28"/>
      <c r="AJ662" s="28"/>
      <c r="AK662" s="28"/>
      <c r="AL662" s="28"/>
      <c r="AM662" s="28"/>
      <c r="AN662" s="28"/>
      <c r="AO662" s="28"/>
      <c r="AP662" s="28"/>
    </row>
    <row r="663" spans="2:43" ht="13.5" customHeight="1" x14ac:dyDescent="0.55000000000000004">
      <c r="B663" s="2"/>
      <c r="D663" s="2"/>
      <c r="E663" s="32"/>
      <c r="H663" s="28"/>
      <c r="I663" s="28"/>
      <c r="AJ663" s="28"/>
      <c r="AK663" s="28"/>
      <c r="AL663" s="28"/>
      <c r="AM663" s="28"/>
      <c r="AN663" s="28"/>
      <c r="AO663" s="28"/>
      <c r="AP663" s="28"/>
    </row>
    <row r="664" spans="2:43" ht="13.5" customHeight="1" x14ac:dyDescent="0.55000000000000004">
      <c r="B664" s="2"/>
      <c r="D664" s="2"/>
      <c r="E664" s="32"/>
      <c r="H664" s="28"/>
      <c r="I664" s="28"/>
      <c r="AJ664" s="28"/>
      <c r="AK664" s="28"/>
      <c r="AL664" s="28"/>
      <c r="AM664" s="28"/>
      <c r="AN664" s="28"/>
      <c r="AO664" s="28"/>
      <c r="AP664" s="28"/>
    </row>
    <row r="665" spans="2:43" ht="13.5" customHeight="1" x14ac:dyDescent="0.55000000000000004">
      <c r="B665" s="2"/>
      <c r="D665" s="2"/>
      <c r="E665" s="32"/>
      <c r="H665" s="28"/>
      <c r="I665" s="28"/>
      <c r="AJ665" s="28"/>
      <c r="AK665" s="28"/>
      <c r="AL665" s="28"/>
      <c r="AM665" s="28"/>
      <c r="AN665" s="28"/>
      <c r="AO665" s="28"/>
      <c r="AP665" s="28"/>
    </row>
    <row r="666" spans="2:43" ht="13.5" customHeight="1" x14ac:dyDescent="0.55000000000000004">
      <c r="B666" s="2"/>
      <c r="E666" s="32"/>
      <c r="H666" s="28"/>
      <c r="I666" s="28"/>
      <c r="AJ666" s="28"/>
      <c r="AK666" s="28"/>
      <c r="AL666" s="28"/>
      <c r="AM666" s="28"/>
      <c r="AN666" s="28"/>
      <c r="AO666" s="28"/>
      <c r="AP666" s="28"/>
    </row>
    <row r="667" spans="2:43" ht="13.5" customHeight="1" x14ac:dyDescent="0.55000000000000004">
      <c r="B667" s="2"/>
      <c r="E667" s="32"/>
      <c r="H667" s="28"/>
      <c r="I667" s="28"/>
      <c r="AJ667" s="28"/>
      <c r="AK667" s="28"/>
      <c r="AL667" s="28"/>
      <c r="AM667" s="28"/>
      <c r="AN667" s="28"/>
      <c r="AO667" s="28"/>
      <c r="AP667" s="28"/>
    </row>
    <row r="668" spans="2:43" ht="13.5" customHeight="1" x14ac:dyDescent="0.55000000000000004">
      <c r="B668" s="2"/>
      <c r="E668" s="32"/>
      <c r="H668" s="28"/>
      <c r="I668" s="28"/>
      <c r="AJ668" s="28"/>
      <c r="AK668" s="28"/>
      <c r="AL668" s="28"/>
      <c r="AM668" s="28"/>
      <c r="AN668" s="28"/>
      <c r="AO668" s="28"/>
      <c r="AP668" s="28"/>
    </row>
    <row r="669" spans="2:43" ht="13.5" customHeight="1" x14ac:dyDescent="0.55000000000000004">
      <c r="B669" s="2"/>
      <c r="E669" s="32"/>
      <c r="H669" s="28"/>
      <c r="I669" s="28"/>
      <c r="AJ669" s="28"/>
      <c r="AK669" s="28"/>
      <c r="AL669" s="28"/>
      <c r="AM669" s="28"/>
      <c r="AN669" s="28"/>
      <c r="AO669" s="28"/>
      <c r="AP669" s="28"/>
    </row>
    <row r="670" spans="2:43" ht="13.5" customHeight="1" x14ac:dyDescent="0.55000000000000004">
      <c r="B670" s="2"/>
      <c r="E670" s="32"/>
      <c r="H670" s="28"/>
      <c r="I670" s="28"/>
      <c r="AJ670" s="28"/>
      <c r="AK670" s="28"/>
      <c r="AL670" s="28"/>
      <c r="AM670" s="28"/>
      <c r="AN670" s="28"/>
      <c r="AO670" s="28"/>
      <c r="AP670" s="28"/>
    </row>
    <row r="671" spans="2:43" ht="13.5" customHeight="1" x14ac:dyDescent="0.55000000000000004">
      <c r="B671" s="2"/>
      <c r="E671" s="32"/>
      <c r="H671" s="28"/>
      <c r="I671" s="28"/>
      <c r="AJ671" s="28"/>
      <c r="AK671" s="28"/>
      <c r="AL671" s="28"/>
      <c r="AM671" s="28"/>
      <c r="AN671" s="28"/>
      <c r="AO671" s="28"/>
      <c r="AP671" s="28"/>
    </row>
    <row r="672" spans="2:43" ht="13.5" customHeight="1" x14ac:dyDescent="0.55000000000000004">
      <c r="B672" s="2"/>
      <c r="E672" s="32"/>
      <c r="H672" s="28"/>
      <c r="I672" s="28"/>
      <c r="AJ672" s="28"/>
      <c r="AK672" s="28"/>
      <c r="AL672" s="28"/>
      <c r="AM672" s="28"/>
      <c r="AN672" s="28"/>
      <c r="AO672" s="28"/>
      <c r="AP672" s="28"/>
    </row>
    <row r="673" spans="2:42" ht="13.5" customHeight="1" x14ac:dyDescent="0.55000000000000004">
      <c r="B673" s="2"/>
      <c r="E673" s="32"/>
      <c r="H673" s="28"/>
      <c r="I673" s="28"/>
      <c r="AJ673" s="28"/>
      <c r="AK673" s="28"/>
      <c r="AL673" s="28"/>
      <c r="AM673" s="28"/>
      <c r="AN673" s="28"/>
      <c r="AO673" s="28"/>
      <c r="AP673" s="28"/>
    </row>
    <row r="674" spans="2:42" ht="13.5" customHeight="1" x14ac:dyDescent="0.55000000000000004">
      <c r="B674" s="2"/>
      <c r="E674" s="32"/>
      <c r="H674" s="28"/>
      <c r="I674" s="28"/>
      <c r="AJ674" s="28"/>
      <c r="AK674" s="28"/>
      <c r="AL674" s="28"/>
      <c r="AM674" s="28"/>
      <c r="AN674" s="28"/>
      <c r="AO674" s="28"/>
      <c r="AP674" s="28"/>
    </row>
    <row r="675" spans="2:42" ht="13.5" customHeight="1" x14ac:dyDescent="0.55000000000000004">
      <c r="B675" s="2"/>
      <c r="E675" s="32"/>
      <c r="H675" s="28"/>
      <c r="I675" s="28"/>
      <c r="AJ675" s="28"/>
      <c r="AK675" s="28"/>
      <c r="AL675" s="28"/>
      <c r="AM675" s="28"/>
      <c r="AN675" s="28"/>
      <c r="AO675" s="28"/>
      <c r="AP675" s="28"/>
    </row>
    <row r="676" spans="2:42" ht="13.5" customHeight="1" x14ac:dyDescent="0.55000000000000004">
      <c r="B676" s="2"/>
      <c r="E676" s="32"/>
      <c r="AJ676" s="28"/>
      <c r="AK676" s="28"/>
      <c r="AL676" s="28"/>
      <c r="AM676" s="28"/>
      <c r="AN676" s="28"/>
      <c r="AO676" s="28"/>
      <c r="AP676" s="28"/>
    </row>
    <row r="677" spans="2:42" ht="13.5" customHeight="1" x14ac:dyDescent="0.55000000000000004">
      <c r="B677" s="2"/>
      <c r="E677" s="32"/>
      <c r="AJ677" s="28"/>
      <c r="AK677" s="28"/>
      <c r="AL677" s="28"/>
      <c r="AM677" s="28"/>
      <c r="AN677" s="28"/>
      <c r="AO677" s="28"/>
      <c r="AP677" s="28"/>
    </row>
    <row r="678" spans="2:42" ht="13.5" customHeight="1" x14ac:dyDescent="0.55000000000000004">
      <c r="B678" s="2"/>
      <c r="E678" s="32"/>
      <c r="AJ678" s="28"/>
      <c r="AK678" s="28"/>
      <c r="AL678" s="28"/>
      <c r="AM678" s="28"/>
      <c r="AN678" s="28"/>
      <c r="AO678" s="28"/>
      <c r="AP678" s="28"/>
    </row>
    <row r="679" spans="2:42" ht="13.5" customHeight="1" x14ac:dyDescent="0.55000000000000004">
      <c r="B679" s="2"/>
      <c r="E679" s="32"/>
      <c r="AJ679" s="28"/>
      <c r="AK679" s="28"/>
      <c r="AL679" s="28"/>
      <c r="AM679" s="28"/>
      <c r="AN679" s="28"/>
      <c r="AO679" s="28"/>
      <c r="AP679" s="28"/>
    </row>
    <row r="680" spans="2:42" ht="13.5" customHeight="1" x14ac:dyDescent="0.55000000000000004">
      <c r="B680" s="2"/>
      <c r="E680" s="32"/>
      <c r="AJ680" s="28"/>
      <c r="AK680" s="28"/>
      <c r="AL680" s="28"/>
      <c r="AM680" s="28"/>
      <c r="AN680" s="28"/>
      <c r="AO680" s="28"/>
      <c r="AP680" s="28"/>
    </row>
    <row r="681" spans="2:42" ht="13.5" customHeight="1" x14ac:dyDescent="0.55000000000000004">
      <c r="B681" s="2"/>
    </row>
    <row r="682" spans="2:42" ht="13.5" customHeight="1" x14ac:dyDescent="0.55000000000000004">
      <c r="B682" s="2"/>
    </row>
    <row r="683" spans="2:42" ht="13.5" customHeight="1" x14ac:dyDescent="0.55000000000000004">
      <c r="B683" s="2"/>
    </row>
    <row r="684" spans="2:42" ht="13.5" customHeight="1" x14ac:dyDescent="0.55000000000000004">
      <c r="B684" s="2"/>
    </row>
    <row r="685" spans="2:42" ht="13.5" customHeight="1" x14ac:dyDescent="0.55000000000000004">
      <c r="B685" s="2"/>
    </row>
    <row r="686" spans="2:42" ht="13.5" customHeight="1" x14ac:dyDescent="0.55000000000000004">
      <c r="B686" s="2"/>
    </row>
    <row r="687" spans="2:42" ht="13.5" customHeight="1" x14ac:dyDescent="0.55000000000000004">
      <c r="B687" s="2"/>
    </row>
    <row r="688" spans="2:42" ht="13.5" customHeight="1" x14ac:dyDescent="0.55000000000000004">
      <c r="B688" s="2"/>
    </row>
    <row r="689" spans="2:2" x14ac:dyDescent="0.55000000000000004">
      <c r="B689" s="2"/>
    </row>
    <row r="690" spans="2:2" x14ac:dyDescent="0.55000000000000004">
      <c r="B690" s="2"/>
    </row>
    <row r="691" spans="2:2" x14ac:dyDescent="0.55000000000000004">
      <c r="B691" s="2"/>
    </row>
    <row r="692" spans="2:2" x14ac:dyDescent="0.55000000000000004">
      <c r="B692" s="2"/>
    </row>
    <row r="693" spans="2:2" x14ac:dyDescent="0.55000000000000004">
      <c r="B693" s="2"/>
    </row>
    <row r="694" spans="2:2" x14ac:dyDescent="0.55000000000000004">
      <c r="B694" s="2"/>
    </row>
    <row r="695" spans="2:2" x14ac:dyDescent="0.55000000000000004">
      <c r="B695" s="2"/>
    </row>
    <row r="696" spans="2:2" x14ac:dyDescent="0.55000000000000004">
      <c r="B696" s="2"/>
    </row>
    <row r="697" spans="2:2" x14ac:dyDescent="0.55000000000000004">
      <c r="B697" s="2"/>
    </row>
    <row r="698" spans="2:2" x14ac:dyDescent="0.55000000000000004">
      <c r="B698" s="2"/>
    </row>
    <row r="699" spans="2:2" x14ac:dyDescent="0.55000000000000004">
      <c r="B699" s="2"/>
    </row>
    <row r="700" spans="2:2" x14ac:dyDescent="0.55000000000000004">
      <c r="B700" s="2"/>
    </row>
    <row r="701" spans="2:2" x14ac:dyDescent="0.55000000000000004">
      <c r="B701" s="2"/>
    </row>
    <row r="702" spans="2:2" x14ac:dyDescent="0.55000000000000004">
      <c r="B702" s="2"/>
    </row>
  </sheetData>
  <autoFilter ref="B15:AQ688" xr:uid="{00000000-0009-0000-0000-000001000000}">
    <sortState xmlns:xlrd2="http://schemas.microsoft.com/office/spreadsheetml/2017/richdata2" ref="B16:AQ688">
      <sortCondition ref="B15:B688"/>
    </sortState>
  </autoFilter>
  <mergeCells count="12">
    <mergeCell ref="E2:F2"/>
    <mergeCell ref="K2:L2"/>
    <mergeCell ref="O2:P2"/>
    <mergeCell ref="U2:W2"/>
    <mergeCell ref="X2:Y2"/>
    <mergeCell ref="R2:S2"/>
    <mergeCell ref="H14:Q14"/>
    <mergeCell ref="R14:Z14"/>
    <mergeCell ref="AA14:AI14"/>
    <mergeCell ref="AG2:AH2"/>
    <mergeCell ref="AA2:AB2"/>
    <mergeCell ref="AE2:AF2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6"/>
  <sheetViews>
    <sheetView workbookViewId="0"/>
  </sheetViews>
  <sheetFormatPr defaultColWidth="9" defaultRowHeight="15" x14ac:dyDescent="0.55000000000000004"/>
  <cols>
    <col min="1" max="1" width="9" style="1"/>
    <col min="2" max="2" width="12.140625" style="1" bestFit="1" customWidth="1"/>
    <col min="3" max="19" width="6.2109375" style="1" customWidth="1"/>
    <col min="20" max="16384" width="9" style="1"/>
  </cols>
  <sheetData>
    <row r="2" spans="2:19" ht="15.45" thickBot="1" x14ac:dyDescent="0.6"/>
    <row r="3" spans="2:19" ht="15.45" thickBot="1" x14ac:dyDescent="0.6">
      <c r="B3" s="8" t="s">
        <v>55</v>
      </c>
      <c r="C3" s="94" t="s">
        <v>58</v>
      </c>
      <c r="D3" s="95"/>
      <c r="E3" s="95"/>
      <c r="F3" s="95"/>
      <c r="G3" s="95"/>
      <c r="H3" s="96"/>
      <c r="I3" s="95" t="s">
        <v>59</v>
      </c>
      <c r="J3" s="95"/>
      <c r="K3" s="95"/>
      <c r="L3" s="95"/>
      <c r="M3" s="95"/>
      <c r="N3" s="95"/>
      <c r="O3" s="79" t="s">
        <v>60</v>
      </c>
      <c r="P3" s="80"/>
      <c r="Q3" s="80"/>
      <c r="R3" s="81"/>
    </row>
    <row r="4" spans="2:19" ht="15.45" thickBot="1" x14ac:dyDescent="0.6">
      <c r="B4" s="14"/>
      <c r="C4" s="79">
        <v>1</v>
      </c>
      <c r="D4" s="80"/>
      <c r="E4" s="80">
        <v>2</v>
      </c>
      <c r="F4" s="80"/>
      <c r="G4" s="80">
        <v>3</v>
      </c>
      <c r="H4" s="81"/>
      <c r="I4" s="80">
        <v>1</v>
      </c>
      <c r="J4" s="80"/>
      <c r="K4" s="80">
        <v>2</v>
      </c>
      <c r="L4" s="80"/>
      <c r="M4" s="80">
        <v>3</v>
      </c>
      <c r="N4" s="80"/>
      <c r="O4" s="79">
        <v>1</v>
      </c>
      <c r="P4" s="80"/>
      <c r="Q4" s="80">
        <v>2</v>
      </c>
      <c r="R4" s="81"/>
    </row>
    <row r="5" spans="2:19" x14ac:dyDescent="0.55000000000000004">
      <c r="B5" s="9" t="s">
        <v>15</v>
      </c>
      <c r="C5" s="9"/>
      <c r="D5" s="15"/>
      <c r="E5" s="1">
        <v>0</v>
      </c>
      <c r="F5" s="15">
        <v>10</v>
      </c>
      <c r="H5" s="10"/>
      <c r="J5" s="15"/>
      <c r="K5" s="1">
        <v>0</v>
      </c>
      <c r="L5" s="15">
        <f>IF(입력란!G4=1,15,IF(입력란!G4=2,17.4,IF(입력란!G4=3,19.9,IF(입력란!G4=4,22.5,IF(입력란!G4=5,25.1,0)))))</f>
        <v>15</v>
      </c>
      <c r="M5" s="1">
        <v>1</v>
      </c>
      <c r="N5" s="1">
        <f>IF(입력란!G5=1,1.4,IF(입력란!G5=2,1.47,IF(입력란!G5=3,1.54,IF(입력란!G5=4,1.62,IF(입력란!G5=5,1.7,0)))))</f>
        <v>1.4</v>
      </c>
      <c r="O5" s="9"/>
      <c r="P5" s="15"/>
      <c r="R5" s="17"/>
    </row>
    <row r="6" spans="2:19" x14ac:dyDescent="0.55000000000000004">
      <c r="B6" s="9" t="s">
        <v>40</v>
      </c>
      <c r="C6" s="9"/>
      <c r="D6" s="7"/>
      <c r="F6" s="7"/>
      <c r="G6" s="1">
        <v>0</v>
      </c>
      <c r="H6" s="10">
        <v>10</v>
      </c>
      <c r="I6" s="1">
        <v>1</v>
      </c>
      <c r="J6" s="7">
        <f>IF(입력란!G6=1,1.5,IF(입력란!G6=2,1.57,IF(입력란!G6=3,1.64,IF(입력란!G6=4,1.72,IF(입력란!G6=5,1.8,0)))))</f>
        <v>1.5</v>
      </c>
      <c r="K6" s="1">
        <v>1</v>
      </c>
      <c r="L6" s="7">
        <f>IF(입력란!G7=1,0.5,IF(입력란!G7=2,0.6,IF(입력란!G7=3,0.7,IF(입력란!G7=4,0.8,IF(입력란!G7=5,0.9,0)))))</f>
        <v>0.5</v>
      </c>
      <c r="M6" s="1">
        <v>1</v>
      </c>
      <c r="N6" s="1">
        <f>IF(입력란!G8=1,0.25,IF(입력란!G8=2,0.27,IF(입력란!G8=3,0.29,IF(입력란!G8=4,0.31,IF(입력란!G8=5,0.33,0)))))</f>
        <v>0.25</v>
      </c>
      <c r="O6" s="9">
        <v>1</v>
      </c>
      <c r="P6" s="7">
        <f>IF(입력란!G9=1,1.2,IF(입력란!G9=2,1.26,IF(입력란!G9=3,1.32,IF(입력란!G9=4,1.41,IF(입력란!G9=5,1.5,0)))))</f>
        <v>1.2</v>
      </c>
      <c r="Q6" s="1">
        <v>0</v>
      </c>
      <c r="R6" s="10">
        <f>IF(입력란!G10=1,1,IF(입력란!G10=2,1.11,IF(입력란!G10=3,1.22,IF(입력란!G10=4,1.33,IF(입력란!G10=5,1.45,0)))))</f>
        <v>1</v>
      </c>
    </row>
    <row r="7" spans="2:19" x14ac:dyDescent="0.55000000000000004">
      <c r="B7" s="9" t="s">
        <v>41</v>
      </c>
      <c r="C7" s="9"/>
      <c r="D7" s="7"/>
      <c r="F7" s="7"/>
      <c r="G7" s="1">
        <v>100</v>
      </c>
      <c r="H7" s="10">
        <f>IF(입력란!G11=1,0,IF(입력란!G11=2,37,IF(입력란!G11=3,74,IF(입력란!G11=4,112,IF(입력란!G11=5,150,0)))))</f>
        <v>0</v>
      </c>
      <c r="J7" s="7"/>
      <c r="L7" s="7"/>
      <c r="M7" s="1">
        <v>1</v>
      </c>
      <c r="N7" s="1">
        <f>IF(입력란!G12=1,1.4,IF(입력란!G12=2,1.488,IF(입력란!G12=3,1.58,IF(입력란!G12=4,1.672,IF(입력란!G12=5,1.764,0)))))</f>
        <v>1.4</v>
      </c>
      <c r="O7" s="9">
        <v>0</v>
      </c>
      <c r="P7" s="7">
        <f>IF(입력란!G13=1,50,IF(입력란!G13=2,59,IF(입력란!G13=3,68.5,IF(입력란!G13=4,78,IF(입력란!G13=5,87.5,0)))))</f>
        <v>50</v>
      </c>
      <c r="Q7" s="1">
        <v>1</v>
      </c>
      <c r="R7" s="10">
        <f>IF(입력란!G14=1,1.725,IF(입력란!G14=2,1.83,IF(입력란!G14=3,1.935,IF(입력란!G14=4,2.04,IF(입력란!G14=5,2.16,0)))))</f>
        <v>1.7250000000000001</v>
      </c>
    </row>
    <row r="8" spans="2:19" x14ac:dyDescent="0.55000000000000004">
      <c r="B8" s="9" t="s">
        <v>16</v>
      </c>
      <c r="C8" s="9"/>
      <c r="D8" s="7"/>
      <c r="F8" s="7"/>
      <c r="H8" s="10"/>
      <c r="I8" s="1">
        <v>1</v>
      </c>
      <c r="J8" s="7">
        <v>1</v>
      </c>
      <c r="L8" s="7"/>
      <c r="M8" s="1">
        <v>0</v>
      </c>
      <c r="N8" s="1">
        <f>IF(입력란!G15=1,30,IF(입력란!G15=2,37,IF(입력란!G15=3,44,IF(입력란!G15=4,52,IF(입력란!G15=5,60,0)))))</f>
        <v>30</v>
      </c>
      <c r="O8" s="9">
        <v>1</v>
      </c>
      <c r="P8" s="7">
        <f>IF(입력란!G16=1,1.35,IF(입력란!G16=2,1.418,IF(입력란!G16=3,1.485,IF(입력란!G16=4,1.566,IF(입력란!G16=5,1.647,0)))))</f>
        <v>1.35</v>
      </c>
      <c r="Q8" s="1">
        <v>1</v>
      </c>
      <c r="R8" s="10">
        <f>IF(입력란!G17=1,1.8,IF(입력란!G17=2,1.8945,IF(입력란!G17=3,1.989,IF(입력란!G17=4,2.0835,IF(입력란!G17=5,2.178,0)))))</f>
        <v>1.8</v>
      </c>
      <c r="S8" s="1" t="s">
        <v>132</v>
      </c>
    </row>
    <row r="9" spans="2:19" x14ac:dyDescent="0.55000000000000004">
      <c r="B9" s="9" t="s">
        <v>17</v>
      </c>
      <c r="C9" s="9"/>
      <c r="D9" s="7"/>
      <c r="F9" s="7"/>
      <c r="G9" s="1">
        <v>1</v>
      </c>
      <c r="H9" s="10">
        <f>IF(입력란!G18=1,1.2,IF(입력란!G18=2,1.262,IF(입력란!G18=3,1.324,IF(입력란!G18=4,1.386,IF(입력란!G18=5,1.45,0)))))</f>
        <v>1.2</v>
      </c>
      <c r="J9" s="7"/>
      <c r="K9" s="1">
        <v>0</v>
      </c>
      <c r="L9" s="7">
        <f>IF(입력란!G19=1,60,IF(입력란!G19=2,68.4,IF(입력란!G19=3,76.8,IF(입력란!G19=4,85.8,IF(입력란!G19=5,94.8,0)))))</f>
        <v>60</v>
      </c>
      <c r="M9" s="1">
        <v>1</v>
      </c>
      <c r="N9" s="1">
        <f>IF(입력란!G20=1,1.24,IF(입력란!G20=2,1.282,IF(입력란!G20=3,1.324,IF(입력란!G20=4,1.372,IF(입력란!G20=5,1.42,0)))))</f>
        <v>1.24</v>
      </c>
      <c r="O9" s="9">
        <v>1</v>
      </c>
      <c r="P9" s="7">
        <f>IF(입력란!G21=1,1.8,IF(입력란!G21=2,1.89,IF(입력란!G21=3,1.98,IF(입력란!G21=4,2.088,IF(입력란!G21=5,2.196,0)))))</f>
        <v>1.8</v>
      </c>
      <c r="Q9" s="1">
        <v>1</v>
      </c>
      <c r="R9" s="10">
        <f>IF(입력란!G22=1,1.6,IF(입력란!G22=2,1.68,IF(입력란!G22=3,1.76,IF(입력란!G22=4,1.856,IF(입력란!G22=5,1.952,0)))))</f>
        <v>1.6</v>
      </c>
    </row>
    <row r="10" spans="2:19" x14ac:dyDescent="0.55000000000000004">
      <c r="B10" s="9" t="s">
        <v>18</v>
      </c>
      <c r="C10" s="9"/>
      <c r="D10" s="7"/>
      <c r="F10" s="7"/>
      <c r="H10" s="10"/>
      <c r="I10" s="1">
        <v>0</v>
      </c>
      <c r="J10" s="7">
        <v>0.6</v>
      </c>
      <c r="K10" s="1">
        <v>0</v>
      </c>
      <c r="L10" s="7">
        <f>IF(입력란!G24=1,50,IF(입력란!G24=2,57,IF(입력란!G24=3,64,IF(입력란!G24=4,72,IF(입력란!G24=5,80,0)))))</f>
        <v>50</v>
      </c>
      <c r="O10" s="9">
        <v>1</v>
      </c>
      <c r="P10" s="7">
        <v>2</v>
      </c>
      <c r="Q10" s="1">
        <v>0</v>
      </c>
      <c r="R10" s="10">
        <f>IF(입력란!G25=1,3,IF(입력란!G25=2,3.2,IF(입력란!G25=3,3.4,IF(입력란!G25=4,3.7,IF(입력란!G25=5,4,0)))))</f>
        <v>3</v>
      </c>
    </row>
    <row r="11" spans="2:19" x14ac:dyDescent="0.55000000000000004">
      <c r="B11" s="9" t="s">
        <v>19</v>
      </c>
      <c r="C11" s="9"/>
      <c r="D11" s="7"/>
      <c r="E11" s="1">
        <v>0</v>
      </c>
      <c r="F11" s="7">
        <v>10</v>
      </c>
      <c r="H11" s="10"/>
      <c r="I11" s="1">
        <v>1</v>
      </c>
      <c r="J11" s="7">
        <f>IF(입력란!G26=1,1.6,IF(입력란!G26=2,1.68,IF(입력란!G26=3,1.76,IF(입력란!G26=4,1.856,IF(입력란!G26=5,1.952,0)))))</f>
        <v>1.6</v>
      </c>
      <c r="K11" s="1">
        <v>1</v>
      </c>
      <c r="L11" s="7">
        <f>IF(입력란!G27=1,2,IF(입력란!G27=2,2.11,IF(입력란!G27=3,2.22,IF(입력란!G27=4,2.33,IF(입력란!G27=5,2.45,0)))))</f>
        <v>2</v>
      </c>
      <c r="M11" s="1">
        <v>1</v>
      </c>
      <c r="N11" s="1">
        <f>IF(입력란!G28=1,1.15,IF(입력란!G28=2,1.21,IF(입력란!G28=3,1.27,IF(입력란!G28=4,1.33,IF(입력란!G28=5,1.4,0)))))</f>
        <v>1.1499999999999999</v>
      </c>
      <c r="O11" s="9">
        <f>IF(입력란!G29=1,1.4,IF(입력란!G29=2,1.47,IF(입력란!G29=3,1.54,IF(입력란!G29=4,1.62,IF(입력란!G29=5,1.7,0)))))</f>
        <v>1.4</v>
      </c>
      <c r="P11" s="7">
        <f>IF(입력란!G29=1,0.003,IF(입력란!G29=2,0.0035,IF(입력란!G29=3,0.004,IF(입력란!G29=4,0.0045,IF(입력란!G29=5,0.005,0)))))</f>
        <v>3.0000000000000001E-3</v>
      </c>
      <c r="Q11" s="1">
        <f>IF(입력란!G30=1,1.15,IF(입력란!G30=2,1.21,IF(입력란!G30=3,1.27,IF(입력란!G30=4,1.33,IF(입력란!G30=5,1.4,0)))))</f>
        <v>1.1499999999999999</v>
      </c>
      <c r="R11" s="10">
        <v>1.3</v>
      </c>
    </row>
    <row r="12" spans="2:19" x14ac:dyDescent="0.55000000000000004">
      <c r="B12" s="9" t="s">
        <v>42</v>
      </c>
      <c r="C12" s="9"/>
      <c r="D12" s="7"/>
      <c r="F12" s="7"/>
      <c r="H12" s="10"/>
      <c r="I12" s="1">
        <v>0</v>
      </c>
      <c r="J12" s="7">
        <f>IF(입력란!G31=1,0.3,IF(입력란!G31=2,0.4,IF(입력란!G31=3,0.5,IF(입력란!G31=4,0.6,IF(입력란!G31=5,0.7,0)))))</f>
        <v>0.3</v>
      </c>
      <c r="L12" s="7"/>
      <c r="M12" s="1">
        <v>1</v>
      </c>
      <c r="N12" s="1">
        <v>2</v>
      </c>
      <c r="O12" s="9">
        <v>1</v>
      </c>
      <c r="P12" s="7">
        <f>IF(입력란!G32=1,2.8,IF(입력란!G32=2,2.962,IF(입력란!G32=3,3.142,IF(입력란!G32=4,3.322,IF(입력란!G32=5,3.502,0)))))</f>
        <v>2.8</v>
      </c>
      <c r="Q12" s="1">
        <v>1.18</v>
      </c>
      <c r="R12" s="10">
        <f>IF(입력란!G33=1,1.45,IF(입력란!G33=2,1.57,IF(입력란!G33=3,1.69,IF(입력란!G33=4,1.82,IF(입력란!G33=5,1.95,0)))))</f>
        <v>1.45</v>
      </c>
    </row>
    <row r="13" spans="2:19" x14ac:dyDescent="0.55000000000000004">
      <c r="B13" s="9" t="s">
        <v>43</v>
      </c>
      <c r="C13" s="9"/>
      <c r="D13" s="7"/>
      <c r="F13" s="7"/>
      <c r="G13" s="1">
        <v>0</v>
      </c>
      <c r="H13" s="10">
        <f>IF(입력란!G34=1,15,IF(입력란!G34=2,18,IF(입력란!G34=3,21,IF(입력란!G34=4,25,IF(입력란!G34=5,30,0)))))</f>
        <v>15</v>
      </c>
      <c r="I13" s="1">
        <v>1</v>
      </c>
      <c r="J13" s="7">
        <f>IF(입력란!G35=1,1.4,IF(입력란!G35=2,1.47,IF(입력란!G35=3,1.54,IF(입력란!G35=4,1.62,IF(입력란!G35=5,1.7,0)))))</f>
        <v>1.4</v>
      </c>
      <c r="L13" s="7"/>
      <c r="O13" s="9">
        <v>1</v>
      </c>
      <c r="P13" s="7">
        <v>1.5</v>
      </c>
      <c r="Q13" s="1">
        <v>1</v>
      </c>
      <c r="R13" s="10">
        <v>1.5</v>
      </c>
    </row>
    <row r="14" spans="2:19" x14ac:dyDescent="0.55000000000000004">
      <c r="B14" s="9" t="s">
        <v>44</v>
      </c>
      <c r="C14" s="9"/>
      <c r="D14" s="7"/>
      <c r="F14" s="7"/>
      <c r="H14" s="10"/>
      <c r="J14" s="7"/>
      <c r="K14" s="1">
        <v>1</v>
      </c>
      <c r="L14" s="7">
        <f>IF(입력란!G36=1,2,IF(입력란!G36=2,2.15,IF(입력란!G36=3,2.3,IF(입력란!G36=4,2.45,IF(입력란!G36=5,2.6,0)))))</f>
        <v>2</v>
      </c>
      <c r="M14" s="1">
        <v>1</v>
      </c>
      <c r="N14" s="1">
        <f>IF(입력란!G37=1,1.4,IF(입력란!G37=2,1.47,IF(입력란!G37=3,1.54,IF(입력란!G37=4,1.62,IF(입력란!G37=5,1.7,0)))))</f>
        <v>1.4</v>
      </c>
      <c r="O14" s="9">
        <v>1</v>
      </c>
      <c r="P14" s="7">
        <f>IF(입력란!G38=1,7,IF(입력란!G38=2,7.45,IF(입력란!G38=3,7.9,IF(입력란!G38=4,8.35,IF(입력란!G38=5,8.8,0)))))</f>
        <v>7</v>
      </c>
      <c r="Q14" s="1">
        <v>0</v>
      </c>
      <c r="R14" s="10">
        <v>1</v>
      </c>
    </row>
    <row r="15" spans="2:19" x14ac:dyDescent="0.55000000000000004">
      <c r="B15" s="9" t="s">
        <v>45</v>
      </c>
      <c r="C15" s="9"/>
      <c r="D15" s="7"/>
      <c r="F15" s="7"/>
      <c r="H15" s="10"/>
      <c r="I15" s="1">
        <v>0</v>
      </c>
      <c r="J15" s="7">
        <f>IF(입력란!G39=1,60,IF(입력란!G39=2,70,IF(입력란!G39=3,80,IF(입력란!G39=4,90,IF(입력란!G39=5,100,0)))))</f>
        <v>60</v>
      </c>
      <c r="K15" s="1">
        <v>1</v>
      </c>
      <c r="L15" s="7">
        <f>IF(입력란!G40=1,1.5,IF(입력란!G40=2,1.62,IF(입력란!G40=3,1.74,IF(입력란!G40=4,1.86,IF(입력란!G40=5,1.995,0)))))</f>
        <v>1.5</v>
      </c>
      <c r="O15" s="9">
        <v>1</v>
      </c>
      <c r="P15" s="7">
        <f>IF(입력란!G41=1,2.8,IF(입력란!G41=2,3,IF(입력란!G41=3,3.2,IF(입력란!G41=4,3.4,IF(입력란!G41=5,3.6,0)))))</f>
        <v>2.8</v>
      </c>
      <c r="Q15" s="1">
        <v>1</v>
      </c>
      <c r="R15" s="10">
        <f>IF(입력란!G42=1,2.4,IF(입력란!G42=2,2.57,IF(입력란!G42=3,2.74,IF(입력란!G42=4,2.92,IF(입력란!G42=5,3.1,0)))))</f>
        <v>2.4</v>
      </c>
    </row>
    <row r="16" spans="2:19" x14ac:dyDescent="0.55000000000000004">
      <c r="B16" s="9" t="s">
        <v>456</v>
      </c>
      <c r="C16" s="9"/>
      <c r="D16" s="7"/>
      <c r="F16" s="7"/>
      <c r="H16" s="10"/>
      <c r="I16" s="1">
        <f>IF(입력란!G43=1,1.25,IF(입력란!G43=2,1.31,IF(입력란!G43=3,1.37,IF(입력란!G43=4,1.44,IF(입력란!G43=5,1.5,0)))))</f>
        <v>1.25</v>
      </c>
      <c r="J16" s="7">
        <v>1.1499999999999999</v>
      </c>
      <c r="K16" s="1">
        <v>1</v>
      </c>
      <c r="L16" s="7">
        <f>IF(입력란!G44=1,1.4,IF(입력란!G44=2,1.47,IF(입력란!G44=3,1.54,IF(입력란!G44=4,1.62,IF(입력란!G44=5,1.7,0)))))</f>
        <v>1.4</v>
      </c>
      <c r="M16" s="1">
        <v>1</v>
      </c>
      <c r="N16" s="1">
        <f>IF(입력란!G45=1,1.6,IF(입력란!G45=2,1.68,IF(입력란!G45=3,1.77,IF(입력란!G45=4,1.86,IF(입력란!G45=5,1.95,0)))))</f>
        <v>1.6</v>
      </c>
      <c r="O16" s="9">
        <v>0</v>
      </c>
      <c r="P16" s="7">
        <f>IF(입력란!G46=1,0.5,IF(입력란!G46=2,0.575,IF(입력란!G46=3,0.65,IF(입력란!G46=4,0.725,IF(입력란!G46=5,0.8,0)))))</f>
        <v>0.5</v>
      </c>
      <c r="Q16" s="1">
        <v>1</v>
      </c>
      <c r="R16" s="10">
        <f>IF(입력란!G47=1,1.4,IF(입력란!G47=2,1.47,IF(입력란!G47=3,1.54,IF(입력란!G47=4,1.62,IF(입력란!G47=5,1.7,0)))))</f>
        <v>1.4</v>
      </c>
    </row>
    <row r="17" spans="2:18" x14ac:dyDescent="0.55000000000000004">
      <c r="B17" s="9" t="s">
        <v>46</v>
      </c>
      <c r="C17" s="9">
        <v>1</v>
      </c>
      <c r="D17" s="7">
        <f>IF(입력란!J4=1,1.25,IF(입력란!J4=2,1.31,IF(입력란!J4=3,1.37,IF(입력란!J4=4,1.43,IF(입력란!J4=5,1.5,0)))))</f>
        <v>1.25</v>
      </c>
      <c r="E17" s="1">
        <v>1</v>
      </c>
      <c r="F17" s="7">
        <f>IF(입력란!J5=1,1.1,IF(입력란!J5=2,1.16,IF(입력란!J5=3,1.22,IF(입력란!J5=4,1.28,IF(입력란!J5=5,1.35,0)))))</f>
        <v>1.1000000000000001</v>
      </c>
      <c r="H17" s="10"/>
      <c r="I17" s="1">
        <v>1</v>
      </c>
      <c r="J17" s="7">
        <f>IF(입력란!J6=1,1.25,IF(입력란!J6=2,1.31,IF(입력란!J6=3,1.37,IF(입력란!J6=4,1.43,IF(입력란!J6=5,1.5,0)))))</f>
        <v>1.25</v>
      </c>
      <c r="L17" s="7"/>
      <c r="M17" s="1">
        <v>0</v>
      </c>
      <c r="N17" s="1">
        <f>IF(입력란!J7=1,5,IF(입력란!J7=2,5.7,IF(입력란!J7=3,6.4,IF(입력란!J7=4,7.2,IF(입력란!J7=5,8,0)))))</f>
        <v>5</v>
      </c>
      <c r="O17" s="9">
        <v>0</v>
      </c>
      <c r="P17" s="7">
        <f>IF(입력란!J8=1,1.6,IF(입력란!J8=2,1.77,IF(입력란!J8=3,1.94,IF(입력란!J8=4,2.12,IF(입력란!J8=5,2.3,0)))))</f>
        <v>1.6</v>
      </c>
      <c r="Q17" s="1">
        <v>1</v>
      </c>
      <c r="R17" s="10">
        <f>IF(입력란!J9=1,1.8,IF(입력란!J9=2,1.896,IF(입력란!J9=3,1.992,IF(입력란!J9=4,2.096,IF(입력란!J9=5,2.2,0)))))</f>
        <v>1.8</v>
      </c>
    </row>
    <row r="18" spans="2:18" x14ac:dyDescent="0.55000000000000004">
      <c r="B18" s="9" t="s">
        <v>455</v>
      </c>
      <c r="C18" s="9"/>
      <c r="D18" s="7"/>
      <c r="F18" s="7"/>
      <c r="H18" s="10"/>
      <c r="I18" s="1">
        <f>IF(입력란!J10=1,1.35,IF(입력란!J10=2,1.42,IF(입력란!J10=3,1.49,IF(입력란!J10=4,1.57,IF(입력란!J10=5,1.65,0)))))</f>
        <v>1.35</v>
      </c>
      <c r="J18" s="7">
        <f>IF(입력란!J10=1,1.1,IF(입력란!J10=2,1.16,IF(입력란!J10=3,1.22,IF(입력란!J10=4,1.28,IF(입력란!J10=5,1.35,0)))))</f>
        <v>1.1000000000000001</v>
      </c>
      <c r="K18" s="1">
        <f>IF(입력란!J11=1,1.35,IF(입력란!J11=2,1.42,IF(입력란!J11=3,1.49,IF(입력란!J11=4,1.57,IF(입력란!J11=5,1.65,0)))))</f>
        <v>1.35</v>
      </c>
      <c r="L18" s="7">
        <v>5.5999999999999999E-3</v>
      </c>
      <c r="M18" s="1">
        <v>0.85</v>
      </c>
      <c r="N18" s="1">
        <v>0.02</v>
      </c>
      <c r="O18" s="9">
        <v>1</v>
      </c>
      <c r="P18" s="7">
        <f>IF(입력란!J13=1,1,IF(입력란!J13=2,1.05,IF(입력란!J13=3,1.1,IF(입력란!J13=4,1.15,IF(입력란!J13=5,1.2,0)))))</f>
        <v>1</v>
      </c>
      <c r="Q18" s="1">
        <v>1</v>
      </c>
      <c r="R18" s="10">
        <f>IF(입력란!J14=1,1.35,IF(입력란!J14=2,1.42,IF(입력란!J14=3,1.49,IF(입력란!J14=4,1.57,IF(입력란!J14=5,1.65,0)))))</f>
        <v>1.35</v>
      </c>
    </row>
    <row r="19" spans="2:18" x14ac:dyDescent="0.55000000000000004">
      <c r="B19" s="9" t="s">
        <v>48</v>
      </c>
      <c r="C19" s="9"/>
      <c r="D19" s="7"/>
      <c r="F19" s="7"/>
      <c r="H19" s="10"/>
      <c r="I19" s="1">
        <v>1</v>
      </c>
      <c r="J19" s="7">
        <f>IF(입력란!J15=1,1.3,IF(입력란!J15=2,1.37,IF(입력란!J15=3,1.44,IF(입력란!J15=4,1.52,IF(입력란!J15=5,1.6,0)))))</f>
        <v>1.3</v>
      </c>
      <c r="K19" s="1">
        <v>1</v>
      </c>
      <c r="L19" s="7">
        <f>IF(입력란!J16=1,1.2,IF(입력란!J16=2,1.26,IF(입력란!J16=3,1.32,IF(입력란!J16=4,1.38,IF(입력란!J16=5,1.45,0)))))</f>
        <v>1.2</v>
      </c>
      <c r="M19" s="1">
        <v>0</v>
      </c>
      <c r="N19" s="1">
        <f>IF(입력란!J17=1,11,IF(입력란!J17=2,12,IF(입력란!J17=3,13,IF(입력란!J17=4,14,IF(입력란!J17=5,15,0)))))</f>
        <v>11</v>
      </c>
      <c r="O19" s="9">
        <v>1</v>
      </c>
      <c r="P19" s="7">
        <f>IF(입력란!J18=1,2.17,IF(입력란!J18=2,2.93,IF(입력란!J18=3,3.17,IF(입력란!J18=4,3.41,IF(입력란!J18=5,3.65,0)))))</f>
        <v>2.17</v>
      </c>
      <c r="Q19" s="1">
        <v>1</v>
      </c>
      <c r="R19" s="10">
        <f>IF(입력란!J19=1,1.8,IF(입력란!J19=2,1.896,IF(입력란!J19=3,1.992,IF(입력란!J19=4,2.096,IF(입력란!J19=5,2.2,0)))))</f>
        <v>1.8</v>
      </c>
    </row>
    <row r="20" spans="2:18" x14ac:dyDescent="0.55000000000000004">
      <c r="B20" s="9" t="s">
        <v>49</v>
      </c>
      <c r="C20" s="9">
        <v>1</v>
      </c>
      <c r="D20" s="7">
        <f>IF(입력란!J20=1,1.1,IF(입력란!J20=2,1.16,IF(입력란!J20=3,1.22,IF(입력란!J20=4,1.28,IF(입력란!J20=5,1.35,0)))))</f>
        <v>1.1000000000000001</v>
      </c>
      <c r="E20" s="1">
        <v>1</v>
      </c>
      <c r="F20" s="7">
        <f>IF(입력란!J21=1,1.25,IF(입력란!J21=2,1.312,IF(입력란!J21=3,1.375,IF(입력란!J21=4,1.438,IF(입력란!J21=5,1.5,0)))))</f>
        <v>1.25</v>
      </c>
      <c r="G20" s="1">
        <v>1</v>
      </c>
      <c r="H20" s="10">
        <f>IF(입력란!J22=1,1.25,IF(입력란!J22=2,1.31,IF(입력란!J22=3,1.37,IF(입력란!J22=4,1.43,IF(입력란!J22=5,1.5,0)))))</f>
        <v>1.25</v>
      </c>
      <c r="I20" s="1">
        <v>1</v>
      </c>
      <c r="J20" s="7">
        <f>IF(입력란!J23=1,1.4,IF(입력란!J23=2,1.472,IF(입력란!J23=3,1.548,IF(입력란!J23=4,1.624,IF(입력란!J23=5,1.7,0)))))</f>
        <v>1.4</v>
      </c>
      <c r="K20" s="1">
        <v>1</v>
      </c>
      <c r="L20" s="7">
        <f>IF(입력란!J24=1,1.3,IF(입력란!J24=2,1.37,IF(입력란!J24=3,1.44,IF(입력란!J24=4,1.52,IF(입력란!J24=5,1.6,0)))))</f>
        <v>1.3</v>
      </c>
      <c r="O20" s="9">
        <v>1</v>
      </c>
      <c r="P20" s="7">
        <f>IF(입력란!J25=1,2.8,IF(입력란!J25=2,2.94,IF(입력란!J25=3,3.08,IF(입력란!J25=4,3.24,IF(입력란!J25=5,3.4,0)))))</f>
        <v>2.8</v>
      </c>
      <c r="Q20" s="1">
        <v>1</v>
      </c>
      <c r="R20" s="10">
        <f>IF(입력란!J26=1,3,IF(입력란!J26=2,3.25,IF(입력란!J26=3,3.5,IF(입력란!J26=4,3.75,IF(입력란!J26=5,4,0)))))</f>
        <v>3</v>
      </c>
    </row>
    <row r="21" spans="2:18" x14ac:dyDescent="0.55000000000000004">
      <c r="B21" s="9" t="s">
        <v>50</v>
      </c>
      <c r="C21" s="9">
        <v>0</v>
      </c>
      <c r="D21" s="7">
        <f>IF(입력란!J27=1,7,IF(입력란!J27=2,8.2,IF(입력란!J27=3,9.4,IF(입력란!J27=4,10.7,IF(입력란!J27=5,13,0)))))</f>
        <v>7</v>
      </c>
      <c r="E21" s="1">
        <f>IF(입력란!J28=1,1.15,IF(입력란!J28=2,1.21,IF(입력란!J28=3,1.27,IF(입력란!J28=4,1.33,IF(입력란!J28=5,1.4,0)))))</f>
        <v>1.1499999999999999</v>
      </c>
      <c r="F21" s="7">
        <v>0.02</v>
      </c>
      <c r="H21" s="10"/>
      <c r="I21" s="1">
        <v>0</v>
      </c>
      <c r="J21" s="7">
        <f>IF(입력란!J29=1,0.3,IF(입력란!J29=2,0.375,IF(입력란!J29=3,0.45,IF(입력란!J29=4,0.525,IF(입력란!J29=5,0.6,0)))))</f>
        <v>0.3</v>
      </c>
      <c r="K21" s="1">
        <v>1</v>
      </c>
      <c r="L21" s="7">
        <f>IF(입력란!J30=1,1.25,IF(입력란!J30=2,1.31,IF(입력란!J30=3,1.37,IF(입력란!J30=4,1.43,IF(입력란!J30=5,1.5,0)))))</f>
        <v>1.25</v>
      </c>
      <c r="M21" s="1">
        <v>1</v>
      </c>
      <c r="N21" s="1">
        <f>IF(입력란!J31=1,1.25,IF(입력란!J31=2,1.313,IF(입력란!J31=3,1.375,IF(입력란!J31=4,1.438,IF(입력란!J31=5,1.5,0)))))</f>
        <v>1.25</v>
      </c>
      <c r="O21" s="9">
        <v>1</v>
      </c>
      <c r="P21" s="7">
        <f>IF(입력란!J32=1,1.8,IF(입력란!J32=2,1.89,IF(입력란!J32=3,1.98,IF(입력란!J32=4,2.088,IF(입력란!J32=5,2.196,0)))))</f>
        <v>1.8</v>
      </c>
      <c r="Q21" s="1">
        <v>1</v>
      </c>
      <c r="R21" s="10">
        <f>IF(입력란!J33=1,1.8,IF(입력란!J33=2,1.89,IF(입력란!J33=3,1.98,IF(입력란!J33=4,2.088,IF(입력란!J33=5,2.196,0)))))</f>
        <v>1.8</v>
      </c>
    </row>
    <row r="22" spans="2:18" x14ac:dyDescent="0.55000000000000004">
      <c r="B22" s="9" t="s">
        <v>51</v>
      </c>
      <c r="C22" s="9"/>
      <c r="D22" s="7"/>
      <c r="E22" s="1">
        <v>0</v>
      </c>
      <c r="F22" s="7">
        <f>IF(입력란!M4=1,0.2,IF(입력란!M4=2,0.262,IF(입력란!M4=3,0.324,IF(입력란!M4=4,0.386,IF(입력란!M4=5,0.45,0)))))</f>
        <v>0.2</v>
      </c>
      <c r="H22" s="10"/>
      <c r="I22" s="1">
        <v>1</v>
      </c>
      <c r="J22" s="7">
        <f>IF(입력란!M5=1,1.25,IF(입력란!M5=2,1.2875,IF(입력란!M5=3,1.325,IF(입력란!M5=4,1.3625,IF(입력란!M5=5,1.4,0)))))</f>
        <v>1.25</v>
      </c>
      <c r="L22" s="7"/>
      <c r="M22" s="1">
        <v>1</v>
      </c>
      <c r="N22" s="1">
        <f>IF(입력란!M6=1,1.6,IF(입력란!M6=2,1.69,IF(입력란!M6=3,1.78,IF(입력란!M6=4,1.87,IF(입력란!M6=5,1.96,0)))))</f>
        <v>1.6</v>
      </c>
      <c r="O22" s="9">
        <v>1</v>
      </c>
      <c r="P22" s="7">
        <f>IF(입력란!M7=1,3,IF(입력란!M7=2,3.37,IF(입력란!M7=3,3.74,IF(입력란!M7=4,4.12,IF(입력란!M7=5,4.5,0)))))</f>
        <v>3</v>
      </c>
      <c r="Q22" s="1">
        <v>1</v>
      </c>
      <c r="R22" s="10">
        <f>IF(입력란!M8=1,1.3,IF(입력란!M8=2,1.38,IF(입력란!M8=3,1.46,IF(입력란!M8=4,1.55,IF(입력란!M8=5,1.64,0)))))</f>
        <v>1.3</v>
      </c>
    </row>
    <row r="23" spans="2:18" x14ac:dyDescent="0.55000000000000004">
      <c r="B23" s="9" t="s">
        <v>52</v>
      </c>
      <c r="C23" s="9"/>
      <c r="D23" s="7"/>
      <c r="F23" s="7"/>
      <c r="H23" s="10"/>
      <c r="I23" s="1">
        <v>0</v>
      </c>
      <c r="J23" s="7">
        <f>IF(입력란!M9=1,50,IF(입력란!M9=2,57.5,IF(입력란!M9=3,65,IF(입력란!M9=4,72.5,IF(입력란!M9=5,80,0)))))</f>
        <v>50</v>
      </c>
      <c r="K23" s="1">
        <v>1</v>
      </c>
      <c r="L23" s="7">
        <f>IF(입력란!M10=1,1.4,IF(입력란!M10=2,1.472,IF(입력란!M10=3,1.548,IF(입력란!M10=4,1.624,IF(입력란!M10=5,1.7,0)))))</f>
        <v>1.4</v>
      </c>
      <c r="O23" s="9">
        <v>1</v>
      </c>
      <c r="P23" s="7">
        <v>2</v>
      </c>
      <c r="Q23" s="1">
        <v>0</v>
      </c>
      <c r="R23" s="10">
        <f>IF(입력란!M11=1,1.2,IF(입력란!M11=2,1.32,IF(입력란!M11=3,1.44,IF(입력란!M11=4,1.572,IF(입력란!M11=5,1.704,0)))))</f>
        <v>1.2</v>
      </c>
    </row>
    <row r="24" spans="2:18" x14ac:dyDescent="0.55000000000000004">
      <c r="B24" s="9" t="s">
        <v>425</v>
      </c>
      <c r="C24" s="9"/>
      <c r="D24" s="7"/>
      <c r="F24" s="7"/>
      <c r="G24" s="1">
        <v>0</v>
      </c>
      <c r="H24" s="10">
        <v>0.01</v>
      </c>
      <c r="I24" s="1">
        <v>1</v>
      </c>
      <c r="J24" s="7">
        <f>IF(입력란!M12=1,1.4,IF(입력란!M12=2,1.47,IF(입력란!M12=3,1.54,IF(입력란!M12=4,1.62,IF(입력란!M12=5,1.7,0)))))</f>
        <v>1.4</v>
      </c>
      <c r="K24" s="1">
        <v>1</v>
      </c>
      <c r="L24" s="7">
        <f>IF(입력란!M13=1,1.4,IF(입력란!M13=2,1.472,IF(입력란!M13=3,1.548,IF(입력란!M13=4,1.624,IF(입력란!M13=5,1.7,0)))))</f>
        <v>1.4</v>
      </c>
      <c r="M24" s="1">
        <v>0</v>
      </c>
      <c r="N24" s="1">
        <f>IF(입력란!M14=1,0.3,IF(입력란!M14=2,0.375,IF(입력란!M14=3,0.45,IF(입력란!M14=4,0.525,IF(입력란!M14=5,0.6,0)))))</f>
        <v>0.3</v>
      </c>
      <c r="O24" s="9">
        <v>1</v>
      </c>
      <c r="P24" s="7">
        <f>IF(입력란!M15=1,1.65,IF(입력란!M15=2,1.73,IF(입력란!M15=3,1.82,IF(입력란!M15=4,1.91,IF(입력란!M15=5,2,0)))))</f>
        <v>1.65</v>
      </c>
      <c r="Q24" s="1">
        <v>1</v>
      </c>
      <c r="R24" s="10">
        <f>IF(입력란!M16=1,0.3,IF(입력란!M16=2,0.33,IF(입력란!M16=3,0.366,IF(입력란!M16=4,0.4,IF(입력란!M16=5,0.433,0)))))</f>
        <v>0.3</v>
      </c>
    </row>
    <row r="25" spans="2:18" x14ac:dyDescent="0.55000000000000004">
      <c r="B25" s="9" t="s">
        <v>53</v>
      </c>
      <c r="C25" s="9"/>
      <c r="D25" s="7"/>
      <c r="F25" s="7"/>
      <c r="H25" s="10"/>
      <c r="I25" s="1">
        <v>1</v>
      </c>
      <c r="J25" s="7">
        <f>IF(입력란!M17=1,1.25,IF(입력란!M17=2,1.31,IF(입력란!M17=3,1.37,IF(입력란!M17=4,1.43,IF(입력란!M17=5,1.5,0)))))</f>
        <v>1.25</v>
      </c>
      <c r="L25" s="7"/>
      <c r="M25" s="1">
        <v>1</v>
      </c>
      <c r="N25" s="1">
        <f>IF(입력란!M18=1,1.4,IF(입력란!M18=2,1.47,IF(입력란!M18=3,1.54,IF(입력란!M18=4,1.62,IF(입력란!M18=5,1.7,0)))))</f>
        <v>1.4</v>
      </c>
      <c r="O25" s="9">
        <v>1</v>
      </c>
      <c r="P25" s="7">
        <f>IF(입력란!M19=1,1.8,IF(입력란!M19=2,1.9,IF(입력란!M19=3,2,IF(입력란!M19=4,2.1,IF(입력란!M19=5,2.2,0)))))</f>
        <v>1.8</v>
      </c>
      <c r="Q25" s="1">
        <v>1</v>
      </c>
      <c r="R25" s="10">
        <f>IF(입력란!M20=1,1.75,IF(입력란!M20=2,1.83,IF(입력란!M20=3,1.92,IF(입력란!M20=4,2.01,IF(입력란!M20=5,2.1,0)))))</f>
        <v>1.75</v>
      </c>
    </row>
    <row r="26" spans="2:18" ht="15.45" thickBot="1" x14ac:dyDescent="0.6">
      <c r="B26" s="11" t="s">
        <v>54</v>
      </c>
      <c r="C26" s="11">
        <v>0</v>
      </c>
      <c r="D26" s="16">
        <f>IF(입력란!M21=1,0.2,IF(입력란!M21=2,0.29,IF(입력란!M21=3,0.38,IF(입력란!M21=4,0.47,IF(입력란!M21=5,0.56,0)))))</f>
        <v>0.2</v>
      </c>
      <c r="E26" s="12"/>
      <c r="F26" s="16"/>
      <c r="G26" s="12"/>
      <c r="H26" s="13"/>
      <c r="I26" s="12">
        <v>1</v>
      </c>
      <c r="J26" s="16">
        <f>IF(입력란!M22=1,1.25,IF(입력란!M22=2,1.31,IF(입력란!M22=3,1.37,IF(입력란!M22=4,1.44,IF(입력란!M22=5,1.5,0)))))</f>
        <v>1.25</v>
      </c>
      <c r="K26" s="12"/>
      <c r="L26" s="16"/>
      <c r="M26" s="12">
        <v>1</v>
      </c>
      <c r="N26" s="12">
        <f>IF(입력란!M23=1,1.6,IF(입력란!M23=2,1.69,IF(입력란!M23=3,1.78,IF(입력란!M23=4,1.87,IF(입력란!M23=5,1.96,0)))))</f>
        <v>1.6</v>
      </c>
      <c r="O26" s="11"/>
      <c r="P26" s="16"/>
      <c r="Q26" s="12">
        <v>1</v>
      </c>
      <c r="R26" s="13">
        <f>IF(입력란!M24=1,1.5,IF(입력란!M24=2,1.57,IF(입력란!M24=3,1.64,IF(입력란!M24=4,1.72,IF(입력란!M24=5,1.8,0)))))</f>
        <v>1.5</v>
      </c>
    </row>
  </sheetData>
  <mergeCells count="11">
    <mergeCell ref="O3:R3"/>
    <mergeCell ref="Q4:R4"/>
    <mergeCell ref="O4:P4"/>
    <mergeCell ref="C3:H3"/>
    <mergeCell ref="I3:N3"/>
    <mergeCell ref="C4:D4"/>
    <mergeCell ref="E4:F4"/>
    <mergeCell ref="G4:H4"/>
    <mergeCell ref="I4:J4"/>
    <mergeCell ref="K4:L4"/>
    <mergeCell ref="M4:N4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4"/>
  <sheetViews>
    <sheetView workbookViewId="0"/>
  </sheetViews>
  <sheetFormatPr defaultColWidth="9" defaultRowHeight="18" customHeight="1" x14ac:dyDescent="0.55000000000000004"/>
  <cols>
    <col min="1" max="16384" width="9" style="1"/>
  </cols>
  <sheetData>
    <row r="1" spans="1:35" ht="18" customHeight="1" x14ac:dyDescent="0.55000000000000004">
      <c r="A1" s="5" t="s">
        <v>0</v>
      </c>
      <c r="B1" s="4">
        <v>3568</v>
      </c>
      <c r="C1" s="3"/>
      <c r="D1" s="3"/>
      <c r="E1" s="1" t="s">
        <v>418</v>
      </c>
      <c r="L1" s="1">
        <v>4375</v>
      </c>
      <c r="M1" s="3"/>
      <c r="N1" s="3"/>
      <c r="O1" s="1" t="s">
        <v>401</v>
      </c>
      <c r="Q1" s="1">
        <v>4369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3" spans="1:35" s="6" customFormat="1" ht="18" customHeight="1" x14ac:dyDescent="0.55000000000000004">
      <c r="A3" s="5"/>
      <c r="B3" s="5" t="s">
        <v>15</v>
      </c>
      <c r="C3" s="5" t="s">
        <v>1</v>
      </c>
      <c r="D3" s="92" t="s">
        <v>2</v>
      </c>
      <c r="E3" s="92"/>
      <c r="F3" s="5" t="s">
        <v>16</v>
      </c>
      <c r="G3" s="5" t="s">
        <v>17</v>
      </c>
      <c r="H3" s="5" t="s">
        <v>18</v>
      </c>
      <c r="I3" s="5" t="s">
        <v>19</v>
      </c>
      <c r="J3" s="92" t="s">
        <v>6</v>
      </c>
      <c r="K3" s="92"/>
      <c r="L3" s="5" t="s">
        <v>8</v>
      </c>
      <c r="M3" s="5" t="s">
        <v>9</v>
      </c>
      <c r="N3" s="92" t="s">
        <v>12</v>
      </c>
      <c r="O3" s="92"/>
      <c r="P3" s="5" t="s">
        <v>457</v>
      </c>
      <c r="Q3" s="92" t="s">
        <v>3</v>
      </c>
      <c r="R3" s="92"/>
      <c r="S3" s="5" t="s">
        <v>455</v>
      </c>
      <c r="T3" s="92" t="s">
        <v>7</v>
      </c>
      <c r="U3" s="92"/>
      <c r="V3" s="92"/>
      <c r="W3" s="92" t="s">
        <v>10</v>
      </c>
      <c r="X3" s="92"/>
      <c r="Y3" s="5" t="s">
        <v>13</v>
      </c>
      <c r="Z3" s="92" t="s">
        <v>4</v>
      </c>
      <c r="AA3" s="92"/>
      <c r="AB3" s="5" t="s">
        <v>5</v>
      </c>
      <c r="AC3" s="5" t="s">
        <v>425</v>
      </c>
      <c r="AD3" s="92" t="s">
        <v>11</v>
      </c>
      <c r="AE3" s="92"/>
      <c r="AF3" s="92" t="s">
        <v>14</v>
      </c>
      <c r="AG3" s="92"/>
      <c r="AH3" s="6" t="s">
        <v>20</v>
      </c>
      <c r="AI3" s="6" t="s">
        <v>21</v>
      </c>
    </row>
    <row r="5" spans="1:35" ht="18" customHeight="1" x14ac:dyDescent="0.55000000000000004">
      <c r="A5" s="3"/>
      <c r="B5" s="4">
        <v>261</v>
      </c>
      <c r="C5" s="4">
        <v>153</v>
      </c>
      <c r="D5" s="4">
        <v>49</v>
      </c>
      <c r="E5" s="4">
        <v>197</v>
      </c>
      <c r="F5" s="4">
        <v>22</v>
      </c>
      <c r="G5" s="4">
        <v>563</v>
      </c>
      <c r="H5" s="4">
        <v>156</v>
      </c>
      <c r="I5" s="4">
        <v>537</v>
      </c>
      <c r="J5" s="4">
        <v>571</v>
      </c>
      <c r="K5" s="4">
        <v>322</v>
      </c>
      <c r="L5" s="4">
        <v>91</v>
      </c>
      <c r="M5" s="4">
        <v>83</v>
      </c>
      <c r="N5" s="4">
        <v>337</v>
      </c>
      <c r="O5" s="4">
        <v>338</v>
      </c>
      <c r="P5" s="4">
        <v>1004</v>
      </c>
      <c r="Q5" s="4">
        <v>156</v>
      </c>
      <c r="R5" s="4">
        <v>199</v>
      </c>
      <c r="S5" s="4">
        <v>251</v>
      </c>
      <c r="T5" s="4">
        <v>270</v>
      </c>
      <c r="U5" s="4">
        <v>270</v>
      </c>
      <c r="V5" s="4">
        <v>359</v>
      </c>
      <c r="W5" s="4">
        <v>237</v>
      </c>
      <c r="X5" s="4">
        <v>157</v>
      </c>
      <c r="Y5" s="4">
        <v>1028</v>
      </c>
      <c r="Z5" s="4">
        <v>963</v>
      </c>
      <c r="AA5" s="4">
        <v>81</v>
      </c>
      <c r="AB5" s="4">
        <v>726</v>
      </c>
      <c r="AC5" s="4">
        <v>1175</v>
      </c>
      <c r="AD5" s="4">
        <v>426</v>
      </c>
      <c r="AE5" s="4">
        <v>720</v>
      </c>
      <c r="AF5" s="4">
        <v>399</v>
      </c>
      <c r="AG5" s="4">
        <v>1598</v>
      </c>
      <c r="AH5" s="1">
        <f>1891+34024</f>
        <v>35915</v>
      </c>
      <c r="AI5" s="1">
        <v>42756</v>
      </c>
    </row>
    <row r="6" spans="1:35" ht="18" customHeight="1" x14ac:dyDescent="0.55000000000000004">
      <c r="A6" s="3"/>
      <c r="B6" s="4">
        <v>689</v>
      </c>
      <c r="C6" s="4">
        <v>404</v>
      </c>
      <c r="D6" s="4">
        <v>130</v>
      </c>
      <c r="E6" s="4">
        <v>521</v>
      </c>
      <c r="F6" s="4">
        <v>59</v>
      </c>
      <c r="G6" s="4">
        <v>1490</v>
      </c>
      <c r="H6" s="4">
        <v>412</v>
      </c>
      <c r="I6" s="4">
        <v>1417</v>
      </c>
      <c r="J6" s="4">
        <v>1512</v>
      </c>
      <c r="K6" s="4">
        <v>852</v>
      </c>
      <c r="L6" s="4">
        <v>240</v>
      </c>
      <c r="M6" s="4">
        <v>218</v>
      </c>
      <c r="N6" s="4">
        <v>890</v>
      </c>
      <c r="O6" s="4">
        <v>894</v>
      </c>
      <c r="P6" s="4">
        <v>2651</v>
      </c>
      <c r="Q6" s="4">
        <v>412</v>
      </c>
      <c r="R6" s="4">
        <v>526</v>
      </c>
      <c r="S6" s="4">
        <v>664</v>
      </c>
      <c r="T6" s="4">
        <v>714</v>
      </c>
      <c r="U6" s="4">
        <v>714</v>
      </c>
      <c r="V6" s="4">
        <v>950</v>
      </c>
      <c r="W6" s="4">
        <v>627</v>
      </c>
      <c r="X6" s="4">
        <v>415</v>
      </c>
      <c r="Y6" s="4">
        <v>2719</v>
      </c>
      <c r="Z6" s="4">
        <v>2547</v>
      </c>
      <c r="AA6" s="4">
        <v>215</v>
      </c>
      <c r="AB6" s="4">
        <v>1919</v>
      </c>
      <c r="AC6" s="4">
        <v>3106</v>
      </c>
      <c r="AD6" s="4">
        <v>1129</v>
      </c>
      <c r="AE6" s="4">
        <v>1905</v>
      </c>
      <c r="AF6" s="4">
        <v>1056</v>
      </c>
      <c r="AG6" s="4">
        <v>4227</v>
      </c>
    </row>
    <row r="7" spans="1:35" ht="18" customHeight="1" x14ac:dyDescent="0.55000000000000004">
      <c r="A7" s="3"/>
      <c r="B7" s="4">
        <v>896</v>
      </c>
      <c r="C7" s="4">
        <v>520</v>
      </c>
      <c r="D7" s="4">
        <v>168</v>
      </c>
      <c r="E7" s="4">
        <v>671</v>
      </c>
      <c r="F7" s="4">
        <v>75</v>
      </c>
      <c r="G7" s="4">
        <v>1921</v>
      </c>
      <c r="H7" s="4">
        <v>530</v>
      </c>
      <c r="I7" s="4">
        <v>1821</v>
      </c>
      <c r="J7" s="4">
        <v>1953</v>
      </c>
      <c r="K7" s="4">
        <v>1098</v>
      </c>
      <c r="L7" s="4">
        <v>311</v>
      </c>
      <c r="M7" s="4">
        <v>282</v>
      </c>
      <c r="N7" s="4">
        <v>1148</v>
      </c>
      <c r="O7" s="4">
        <v>1152</v>
      </c>
      <c r="P7" s="4">
        <v>3425</v>
      </c>
      <c r="Q7" s="4">
        <v>530</v>
      </c>
      <c r="R7" s="4">
        <v>678</v>
      </c>
      <c r="S7" s="4">
        <v>856</v>
      </c>
      <c r="T7" s="4">
        <v>920</v>
      </c>
      <c r="U7" s="4">
        <v>920</v>
      </c>
      <c r="V7" s="4">
        <v>1225</v>
      </c>
      <c r="W7" s="4">
        <v>809</v>
      </c>
      <c r="X7" s="4">
        <v>536</v>
      </c>
      <c r="Y7" s="4">
        <v>3506</v>
      </c>
      <c r="Z7" s="4">
        <v>3283</v>
      </c>
      <c r="AA7" s="4">
        <v>278</v>
      </c>
      <c r="AB7" s="4">
        <v>2475</v>
      </c>
      <c r="AC7" s="4">
        <v>4005</v>
      </c>
      <c r="AD7" s="4">
        <v>1455</v>
      </c>
      <c r="AE7" s="4">
        <v>2456</v>
      </c>
      <c r="AF7" s="4">
        <v>1361</v>
      </c>
      <c r="AG7" s="4">
        <v>5449</v>
      </c>
    </row>
    <row r="8" spans="1:35" ht="18" customHeight="1" x14ac:dyDescent="0.55000000000000004">
      <c r="A8" s="3"/>
      <c r="B8" s="4">
        <v>1024</v>
      </c>
      <c r="C8" s="4">
        <v>595</v>
      </c>
      <c r="D8" s="4">
        <v>193</v>
      </c>
      <c r="E8" s="4">
        <v>773</v>
      </c>
      <c r="F8" s="4">
        <v>86</v>
      </c>
      <c r="G8" s="4">
        <v>2195</v>
      </c>
      <c r="H8" s="4">
        <v>605</v>
      </c>
      <c r="I8" s="4">
        <v>2085</v>
      </c>
      <c r="J8" s="4">
        <v>2223</v>
      </c>
      <c r="K8" s="4">
        <v>1257</v>
      </c>
      <c r="L8" s="4">
        <v>355</v>
      </c>
      <c r="M8" s="4">
        <v>323</v>
      </c>
      <c r="N8" s="4">
        <v>1312</v>
      </c>
      <c r="O8" s="4">
        <v>1318</v>
      </c>
      <c r="P8" s="4">
        <v>3925</v>
      </c>
      <c r="Q8" s="4">
        <v>605</v>
      </c>
      <c r="R8" s="4">
        <v>775</v>
      </c>
      <c r="S8" s="4">
        <v>978</v>
      </c>
      <c r="T8" s="4">
        <v>1052</v>
      </c>
      <c r="U8" s="4">
        <v>1052</v>
      </c>
      <c r="V8" s="4">
        <v>1399</v>
      </c>
      <c r="W8" s="4">
        <v>925</v>
      </c>
      <c r="X8" s="4">
        <v>614</v>
      </c>
      <c r="Y8" s="4">
        <v>4009</v>
      </c>
      <c r="Z8" s="4">
        <v>3753</v>
      </c>
      <c r="AA8" s="4">
        <v>318</v>
      </c>
      <c r="AB8" s="4">
        <v>2830</v>
      </c>
      <c r="AC8" s="4">
        <v>4579</v>
      </c>
      <c r="AD8" s="4">
        <v>1663</v>
      </c>
      <c r="AE8" s="4">
        <v>2808</v>
      </c>
      <c r="AF8" s="4">
        <v>1557</v>
      </c>
      <c r="AG8" s="4">
        <v>6231</v>
      </c>
    </row>
    <row r="9" spans="1:35" ht="18" customHeight="1" x14ac:dyDescent="0.55000000000000004">
      <c r="B9" s="1">
        <v>1024</v>
      </c>
      <c r="C9" s="1">
        <v>595</v>
      </c>
      <c r="D9" s="1">
        <v>193</v>
      </c>
      <c r="E9" s="1">
        <v>773</v>
      </c>
      <c r="F9" s="1">
        <v>86</v>
      </c>
      <c r="G9" s="1">
        <v>2196</v>
      </c>
      <c r="H9" s="1">
        <v>605</v>
      </c>
      <c r="I9" s="1">
        <v>2086</v>
      </c>
      <c r="J9" s="1">
        <v>2224</v>
      </c>
      <c r="K9" s="1">
        <v>1258</v>
      </c>
      <c r="L9" s="1">
        <v>355</v>
      </c>
      <c r="M9" s="1">
        <v>323</v>
      </c>
      <c r="N9" s="1">
        <v>1313</v>
      </c>
      <c r="O9" s="1">
        <v>1319</v>
      </c>
      <c r="P9" s="1">
        <v>3927</v>
      </c>
      <c r="Q9" s="1">
        <v>605</v>
      </c>
      <c r="R9" s="1">
        <v>775</v>
      </c>
      <c r="S9" s="1">
        <v>978</v>
      </c>
      <c r="T9" s="1">
        <v>1052</v>
      </c>
      <c r="U9" s="1">
        <v>1052</v>
      </c>
      <c r="V9" s="1">
        <v>1400</v>
      </c>
      <c r="W9" s="1">
        <v>926</v>
      </c>
      <c r="X9" s="1">
        <v>614</v>
      </c>
      <c r="Y9" s="1">
        <v>4012</v>
      </c>
      <c r="Z9" s="1">
        <v>3755</v>
      </c>
      <c r="AA9" s="1">
        <v>319</v>
      </c>
      <c r="AB9" s="1">
        <v>2832</v>
      </c>
      <c r="AC9" s="1">
        <v>4582</v>
      </c>
      <c r="AD9" s="1">
        <v>1664</v>
      </c>
      <c r="AE9" s="1">
        <v>2809</v>
      </c>
      <c r="AF9" s="1">
        <v>1558</v>
      </c>
      <c r="AG9" s="1">
        <v>6234</v>
      </c>
    </row>
    <row r="10" spans="1:35" ht="18" customHeight="1" x14ac:dyDescent="0.55000000000000004">
      <c r="B10" s="1">
        <v>1024</v>
      </c>
      <c r="C10" s="1">
        <v>595</v>
      </c>
      <c r="D10" s="1">
        <v>193</v>
      </c>
      <c r="E10" s="1">
        <v>773</v>
      </c>
      <c r="F10" s="1">
        <v>86</v>
      </c>
      <c r="G10" s="1">
        <v>2197</v>
      </c>
      <c r="H10" s="1">
        <v>605</v>
      </c>
      <c r="I10" s="1">
        <v>2086</v>
      </c>
      <c r="J10" s="1">
        <v>2225</v>
      </c>
      <c r="K10" s="1">
        <v>1259</v>
      </c>
      <c r="L10" s="1">
        <v>355</v>
      </c>
      <c r="M10" s="1">
        <v>323</v>
      </c>
      <c r="N10" s="1">
        <v>1313</v>
      </c>
      <c r="O10" s="1">
        <v>1319</v>
      </c>
      <c r="P10" s="1">
        <v>3928</v>
      </c>
      <c r="Q10" s="1">
        <v>605</v>
      </c>
      <c r="R10" s="1">
        <v>775</v>
      </c>
      <c r="S10" s="1">
        <v>979</v>
      </c>
      <c r="T10" s="1">
        <v>1053</v>
      </c>
      <c r="U10" s="1">
        <v>1053</v>
      </c>
      <c r="V10" s="1">
        <v>1401</v>
      </c>
      <c r="W10" s="1">
        <v>926</v>
      </c>
      <c r="X10" s="1">
        <v>614</v>
      </c>
      <c r="Y10" s="1">
        <v>4013</v>
      </c>
      <c r="Z10" s="1">
        <v>3757</v>
      </c>
      <c r="AA10" s="1">
        <v>319</v>
      </c>
      <c r="AB10" s="1">
        <v>2833</v>
      </c>
      <c r="AC10" s="1">
        <v>4583</v>
      </c>
      <c r="AD10" s="1">
        <v>1665</v>
      </c>
      <c r="AE10" s="1">
        <v>2810</v>
      </c>
      <c r="AF10" s="1">
        <v>1559</v>
      </c>
      <c r="AG10" s="1">
        <v>6236</v>
      </c>
    </row>
    <row r="12" spans="1:35" ht="18" customHeight="1" x14ac:dyDescent="0.55000000000000004">
      <c r="A12" s="3"/>
      <c r="B12" s="4">
        <v>21752</v>
      </c>
      <c r="C12" s="4">
        <v>12855</v>
      </c>
      <c r="D12" s="4">
        <v>4091</v>
      </c>
      <c r="E12" s="4">
        <v>16362</v>
      </c>
      <c r="F12" s="4">
        <v>1859</v>
      </c>
      <c r="G12" s="4">
        <v>57810</v>
      </c>
      <c r="H12" s="4">
        <v>13086</v>
      </c>
      <c r="I12" s="4">
        <v>55259</v>
      </c>
      <c r="J12" s="4">
        <v>58792</v>
      </c>
      <c r="K12" s="4">
        <v>33073</v>
      </c>
      <c r="L12" s="4">
        <v>7553</v>
      </c>
      <c r="M12" s="4">
        <v>6971</v>
      </c>
      <c r="N12" s="4">
        <v>28338</v>
      </c>
      <c r="O12" s="4">
        <v>28342</v>
      </c>
      <c r="P12" s="4">
        <v>103002</v>
      </c>
      <c r="Q12" s="4">
        <v>13118</v>
      </c>
      <c r="R12" s="4">
        <v>16697</v>
      </c>
      <c r="S12" s="4">
        <v>25852</v>
      </c>
      <c r="T12" s="4">
        <v>27712</v>
      </c>
      <c r="U12" s="4">
        <v>27712</v>
      </c>
      <c r="V12" s="4">
        <v>36952</v>
      </c>
      <c r="W12" s="4">
        <v>19770</v>
      </c>
      <c r="X12" s="4">
        <v>13180</v>
      </c>
      <c r="Y12" s="4">
        <v>105590</v>
      </c>
      <c r="Z12" s="4">
        <v>99138</v>
      </c>
      <c r="AA12" s="4">
        <v>8260</v>
      </c>
      <c r="AB12" s="4">
        <v>61019</v>
      </c>
      <c r="AC12" s="4">
        <v>120892</v>
      </c>
      <c r="AD12" s="4">
        <v>43900</v>
      </c>
      <c r="AE12" s="4">
        <v>74081</v>
      </c>
      <c r="AF12" s="4">
        <v>41073</v>
      </c>
      <c r="AG12" s="4">
        <v>164285</v>
      </c>
      <c r="AH12" s="1">
        <f>47841+861147</f>
        <v>908988</v>
      </c>
      <c r="AI12" s="1">
        <v>1317165</v>
      </c>
    </row>
    <row r="13" spans="1:35" ht="18" customHeight="1" x14ac:dyDescent="0.55000000000000004">
      <c r="A13" s="3"/>
      <c r="B13" s="4">
        <v>22180</v>
      </c>
      <c r="C13" s="4">
        <v>13106</v>
      </c>
      <c r="D13" s="4">
        <v>4172</v>
      </c>
      <c r="E13" s="4">
        <v>16686</v>
      </c>
      <c r="F13" s="4">
        <v>1896</v>
      </c>
      <c r="G13" s="4">
        <v>58737</v>
      </c>
      <c r="H13" s="4">
        <v>13342</v>
      </c>
      <c r="I13" s="4">
        <v>56139</v>
      </c>
      <c r="J13" s="4">
        <v>59733</v>
      </c>
      <c r="K13" s="4">
        <v>33603</v>
      </c>
      <c r="L13" s="4">
        <v>7702</v>
      </c>
      <c r="M13" s="4">
        <v>7106</v>
      </c>
      <c r="N13" s="4">
        <v>28891</v>
      </c>
      <c r="O13" s="4">
        <v>28899</v>
      </c>
      <c r="P13" s="4">
        <v>104649</v>
      </c>
      <c r="Q13" s="4">
        <v>13374</v>
      </c>
      <c r="R13" s="4">
        <v>17023</v>
      </c>
      <c r="S13" s="4">
        <v>26265</v>
      </c>
      <c r="T13" s="4">
        <v>28157</v>
      </c>
      <c r="U13" s="4">
        <v>28157</v>
      </c>
      <c r="V13" s="4">
        <v>37543</v>
      </c>
      <c r="W13" s="4">
        <v>20160</v>
      </c>
      <c r="X13" s="4">
        <v>13438</v>
      </c>
      <c r="Y13" s="4">
        <v>107281</v>
      </c>
      <c r="Z13" s="4">
        <v>100721</v>
      </c>
      <c r="AA13" s="4">
        <v>8395</v>
      </c>
      <c r="AB13" s="4">
        <v>62212</v>
      </c>
      <c r="AC13" s="4">
        <v>122823</v>
      </c>
      <c r="AD13" s="4">
        <v>44602</v>
      </c>
      <c r="AE13" s="4">
        <v>75266</v>
      </c>
      <c r="AF13" s="4">
        <v>41730</v>
      </c>
      <c r="AG13" s="4">
        <v>166914</v>
      </c>
    </row>
    <row r="14" spans="1:35" ht="18" customHeight="1" x14ac:dyDescent="0.55000000000000004">
      <c r="A14" s="3"/>
      <c r="B14" s="4">
        <v>22387</v>
      </c>
      <c r="C14" s="4">
        <v>13222</v>
      </c>
      <c r="D14" s="4">
        <v>4209</v>
      </c>
      <c r="E14" s="4">
        <v>16836</v>
      </c>
      <c r="F14" s="4">
        <v>1912</v>
      </c>
      <c r="G14" s="4">
        <v>59168</v>
      </c>
      <c r="H14" s="4">
        <v>13461</v>
      </c>
      <c r="I14" s="4">
        <v>56543</v>
      </c>
      <c r="J14" s="4">
        <v>60174</v>
      </c>
      <c r="K14" s="4">
        <v>33850</v>
      </c>
      <c r="L14" s="4">
        <v>7773</v>
      </c>
      <c r="M14" s="4">
        <v>7170</v>
      </c>
      <c r="N14" s="4">
        <v>29149</v>
      </c>
      <c r="O14" s="4">
        <v>29157</v>
      </c>
      <c r="P14" s="4">
        <v>105423</v>
      </c>
      <c r="Q14" s="4">
        <v>13493</v>
      </c>
      <c r="R14" s="4">
        <v>17176</v>
      </c>
      <c r="S14" s="4">
        <v>26457</v>
      </c>
      <c r="T14" s="4">
        <v>28362</v>
      </c>
      <c r="U14" s="4">
        <v>28362</v>
      </c>
      <c r="V14" s="4">
        <v>37818</v>
      </c>
      <c r="W14" s="4">
        <v>20342</v>
      </c>
      <c r="X14" s="4">
        <v>13559</v>
      </c>
      <c r="Y14" s="4">
        <v>108067</v>
      </c>
      <c r="Z14" s="4">
        <v>101458</v>
      </c>
      <c r="AA14" s="4">
        <v>8458</v>
      </c>
      <c r="AB14" s="4">
        <v>62768</v>
      </c>
      <c r="AC14" s="4">
        <v>123722</v>
      </c>
      <c r="AD14" s="4">
        <v>44929</v>
      </c>
      <c r="AE14" s="4">
        <v>75817</v>
      </c>
      <c r="AF14" s="4">
        <v>42035</v>
      </c>
      <c r="AG14" s="4">
        <v>168136</v>
      </c>
    </row>
    <row r="15" spans="1:35" ht="18" customHeight="1" x14ac:dyDescent="0.55000000000000004">
      <c r="A15" s="3"/>
      <c r="B15" s="4">
        <v>22515</v>
      </c>
      <c r="C15" s="4">
        <v>13297</v>
      </c>
      <c r="D15" s="4">
        <v>4235</v>
      </c>
      <c r="E15" s="4">
        <v>16938</v>
      </c>
      <c r="F15" s="4">
        <v>1923</v>
      </c>
      <c r="G15" s="4">
        <v>59442</v>
      </c>
      <c r="H15" s="4">
        <v>13535</v>
      </c>
      <c r="I15" s="4">
        <v>56807</v>
      </c>
      <c r="J15" s="4">
        <v>60444</v>
      </c>
      <c r="K15" s="4">
        <v>34009</v>
      </c>
      <c r="L15" s="4">
        <v>7817</v>
      </c>
      <c r="M15" s="4">
        <v>7211</v>
      </c>
      <c r="N15" s="4">
        <v>29313</v>
      </c>
      <c r="O15" s="4">
        <v>29322</v>
      </c>
      <c r="P15" s="4">
        <v>105922</v>
      </c>
      <c r="Q15" s="4">
        <v>13567</v>
      </c>
      <c r="R15" s="4">
        <v>17272</v>
      </c>
      <c r="S15" s="4">
        <v>26579</v>
      </c>
      <c r="T15" s="4">
        <v>28494</v>
      </c>
      <c r="U15" s="4">
        <v>28494</v>
      </c>
      <c r="V15" s="4">
        <v>37992</v>
      </c>
      <c r="W15" s="4">
        <v>20458</v>
      </c>
      <c r="X15" s="4">
        <v>13637</v>
      </c>
      <c r="Y15" s="4">
        <v>108571</v>
      </c>
      <c r="Z15" s="4">
        <v>101928</v>
      </c>
      <c r="AA15" s="4">
        <v>8498</v>
      </c>
      <c r="AB15" s="4">
        <v>63123</v>
      </c>
      <c r="AC15" s="4">
        <v>124296</v>
      </c>
      <c r="AD15" s="4">
        <v>45137</v>
      </c>
      <c r="AE15" s="4">
        <v>76169</v>
      </c>
      <c r="AF15" s="4">
        <v>42231</v>
      </c>
      <c r="AG15" s="4">
        <v>168917</v>
      </c>
    </row>
    <row r="16" spans="1:35" ht="18" customHeight="1" x14ac:dyDescent="0.55000000000000004">
      <c r="B16" s="1">
        <v>24406</v>
      </c>
      <c r="C16" s="1">
        <v>14413</v>
      </c>
      <c r="D16" s="1">
        <v>4591</v>
      </c>
      <c r="E16" s="1">
        <v>18365</v>
      </c>
      <c r="F16" s="1">
        <v>2084</v>
      </c>
      <c r="G16" s="1">
        <v>64471</v>
      </c>
      <c r="H16" s="1">
        <v>14670</v>
      </c>
      <c r="I16" s="1">
        <v>61613</v>
      </c>
      <c r="J16" s="1">
        <v>65556</v>
      </c>
      <c r="K16" s="1">
        <v>36888</v>
      </c>
      <c r="L16" s="1">
        <v>8474</v>
      </c>
      <c r="M16" s="1">
        <v>7817</v>
      </c>
      <c r="N16" s="1">
        <v>31775</v>
      </c>
      <c r="O16" s="1">
        <v>31784</v>
      </c>
      <c r="P16" s="1">
        <v>114900</v>
      </c>
      <c r="Q16" s="1">
        <v>14705</v>
      </c>
      <c r="R16" s="1">
        <v>18721</v>
      </c>
      <c r="S16" s="1">
        <v>28828</v>
      </c>
      <c r="T16" s="1">
        <v>30905</v>
      </c>
      <c r="U16" s="1">
        <v>30905</v>
      </c>
      <c r="V16" s="1">
        <v>41208</v>
      </c>
      <c r="W16" s="1">
        <v>22171</v>
      </c>
      <c r="X16" s="1">
        <v>14782</v>
      </c>
      <c r="Y16" s="1">
        <v>117759</v>
      </c>
      <c r="Z16" s="1">
        <v>110555</v>
      </c>
      <c r="AA16" s="1">
        <v>9215</v>
      </c>
      <c r="AB16" s="1">
        <v>68422</v>
      </c>
      <c r="AC16" s="1">
        <v>134813</v>
      </c>
      <c r="AD16" s="1">
        <v>48956</v>
      </c>
      <c r="AE16" s="1">
        <v>82613</v>
      </c>
      <c r="AF16" s="1">
        <v>45806</v>
      </c>
      <c r="AG16" s="1">
        <v>183210</v>
      </c>
    </row>
    <row r="17" spans="2:35" ht="18" customHeight="1" x14ac:dyDescent="0.55000000000000004">
      <c r="B17" s="1">
        <v>25565</v>
      </c>
      <c r="C17" s="1">
        <v>15102</v>
      </c>
      <c r="D17" s="1">
        <v>4809</v>
      </c>
      <c r="E17" s="1">
        <v>19236</v>
      </c>
      <c r="F17" s="1">
        <v>2183</v>
      </c>
      <c r="G17" s="1">
        <v>67573</v>
      </c>
      <c r="H17" s="1">
        <v>15369</v>
      </c>
      <c r="I17" s="1">
        <v>64584</v>
      </c>
      <c r="J17" s="1">
        <v>68701</v>
      </c>
      <c r="K17" s="1">
        <v>38662</v>
      </c>
      <c r="L17" s="1">
        <v>8881</v>
      </c>
      <c r="M17" s="1">
        <v>8192</v>
      </c>
      <c r="N17" s="1">
        <v>33295</v>
      </c>
      <c r="O17" s="1">
        <v>33301</v>
      </c>
      <c r="P17" s="1">
        <v>120412</v>
      </c>
      <c r="Q17" s="1">
        <v>15408</v>
      </c>
      <c r="R17" s="1">
        <v>19613</v>
      </c>
      <c r="S17" s="1">
        <v>30215</v>
      </c>
      <c r="T17" s="1">
        <v>32392</v>
      </c>
      <c r="U17" s="1">
        <v>32392</v>
      </c>
      <c r="V17" s="1">
        <v>43190</v>
      </c>
      <c r="W17" s="1">
        <v>23227</v>
      </c>
      <c r="X17" s="1">
        <v>15489</v>
      </c>
      <c r="Y17" s="1">
        <v>123421</v>
      </c>
      <c r="Z17" s="1">
        <v>115871</v>
      </c>
      <c r="AA17" s="1">
        <v>9657</v>
      </c>
      <c r="AB17" s="1">
        <v>71687</v>
      </c>
      <c r="AC17" s="1">
        <v>141297</v>
      </c>
      <c r="AD17" s="1">
        <v>51310</v>
      </c>
      <c r="AE17" s="1">
        <v>86585</v>
      </c>
      <c r="AF17" s="1">
        <v>48011</v>
      </c>
      <c r="AG17" s="1">
        <v>192022</v>
      </c>
    </row>
    <row r="19" spans="2:35" ht="18" customHeight="1" x14ac:dyDescent="0.55000000000000004">
      <c r="B19" s="4">
        <f>(B12-B5)/$B$1</f>
        <v>6.0232623318385654</v>
      </c>
      <c r="C19" s="4">
        <f t="shared" ref="C19:AG19" si="0">(C12-C5)/$B$1</f>
        <v>3.5599775784753365</v>
      </c>
      <c r="D19" s="4">
        <f t="shared" si="0"/>
        <v>1.132847533632287</v>
      </c>
      <c r="E19" s="4">
        <f t="shared" si="0"/>
        <v>4.5305493273542599</v>
      </c>
      <c r="F19" s="4">
        <f t="shared" si="0"/>
        <v>0.51485426008968604</v>
      </c>
      <c r="G19" s="4">
        <f>(G12-G5)/$Q$1</f>
        <v>13.1029983978027</v>
      </c>
      <c r="H19" s="4">
        <f t="shared" si="0"/>
        <v>3.6238789237668163</v>
      </c>
      <c r="I19" s="4">
        <f>(I12-I5)/$Q$1</f>
        <v>12.525062943465324</v>
      </c>
      <c r="J19" s="4">
        <f>(J12-J5)/$Q$1</f>
        <v>13.325932707713436</v>
      </c>
      <c r="K19" s="4">
        <f>(K12-K5)/$Q$1</f>
        <v>7.4962233920805676</v>
      </c>
      <c r="L19" s="4">
        <f t="shared" si="0"/>
        <v>2.0913677130044843</v>
      </c>
      <c r="M19" s="4">
        <f t="shared" si="0"/>
        <v>1.9304932735426008</v>
      </c>
      <c r="N19" s="4">
        <f t="shared" si="0"/>
        <v>7.8478139013452912</v>
      </c>
      <c r="O19" s="4">
        <f t="shared" si="0"/>
        <v>7.8486547085201792</v>
      </c>
      <c r="P19" s="4">
        <f>(P12-P5)/$L$1</f>
        <v>23.313828571428573</v>
      </c>
      <c r="Q19" s="4">
        <f t="shared" ref="P19:Q19" si="1">(Q12-Q5)/$B$1</f>
        <v>3.6328475336322872</v>
      </c>
      <c r="R19" s="4">
        <f t="shared" si="0"/>
        <v>4.6238789237668163</v>
      </c>
      <c r="S19" s="4">
        <f>(S12-S5)/$L$1</f>
        <v>5.8516571428571424</v>
      </c>
      <c r="T19" s="4">
        <f>(T12-T5)/$L$1</f>
        <v>6.2724571428571432</v>
      </c>
      <c r="U19" s="4">
        <f t="shared" ref="U19:V19" si="2">(U12-U5)/$L$1</f>
        <v>6.2724571428571432</v>
      </c>
      <c r="V19" s="4">
        <f t="shared" si="2"/>
        <v>8.3641142857142849</v>
      </c>
      <c r="W19" s="4">
        <f t="shared" si="0"/>
        <v>5.4744955156950672</v>
      </c>
      <c r="X19" s="4">
        <f t="shared" si="0"/>
        <v>3.6499439461883409</v>
      </c>
      <c r="Y19" s="4">
        <f>(Y12-Y5)/$Q$1</f>
        <v>23.932707713435569</v>
      </c>
      <c r="Z19" s="4">
        <f>(Z12-Z5)/$L$1</f>
        <v>22.44</v>
      </c>
      <c r="AA19" s="4">
        <f>(AA12-AA5)/$L$1</f>
        <v>1.8694857142857142</v>
      </c>
      <c r="AB19" s="4">
        <f t="shared" si="0"/>
        <v>16.898262331838566</v>
      </c>
      <c r="AC19" s="4">
        <f>(AC12-AC5)/$L$1</f>
        <v>27.363885714285715</v>
      </c>
      <c r="AD19" s="4">
        <f t="shared" ref="AD19:AG19" si="3">(AD12-AD5)/$L$1</f>
        <v>9.9369142857142858</v>
      </c>
      <c r="AE19" s="4">
        <f t="shared" si="3"/>
        <v>16.768228571428573</v>
      </c>
      <c r="AF19" s="4">
        <f t="shared" si="3"/>
        <v>9.2969142857142852</v>
      </c>
      <c r="AG19" s="4">
        <f t="shared" si="3"/>
        <v>37.185600000000001</v>
      </c>
      <c r="AH19" s="4">
        <f t="shared" ref="AH19:AI19" si="4">(AH12-AH5)/$B$1</f>
        <v>244.69534753363229</v>
      </c>
      <c r="AI19" s="4">
        <f>(AI12-AI5)/$L$1</f>
        <v>291.29348571428574</v>
      </c>
    </row>
    <row r="20" spans="2:35" ht="18" customHeight="1" x14ac:dyDescent="0.55000000000000004">
      <c r="B20" s="4">
        <f t="shared" ref="B20" si="5">(B13-B6)/$B$1</f>
        <v>6.0232623318385654</v>
      </c>
      <c r="C20" s="4">
        <f t="shared" ref="C20:AG20" si="6">(C13-C6)/$B$1</f>
        <v>3.5599775784753365</v>
      </c>
      <c r="D20" s="4">
        <f t="shared" si="6"/>
        <v>1.132847533632287</v>
      </c>
      <c r="E20" s="4">
        <f t="shared" si="6"/>
        <v>4.5305493273542599</v>
      </c>
      <c r="F20" s="4">
        <f t="shared" si="6"/>
        <v>0.51485426008968604</v>
      </c>
      <c r="G20" s="4">
        <f>(G13-G6)/$Q$1</f>
        <v>13.1029983978027</v>
      </c>
      <c r="H20" s="4">
        <f t="shared" si="6"/>
        <v>3.6238789237668163</v>
      </c>
      <c r="I20" s="4">
        <f>(I13-I6)/$Q$1</f>
        <v>12.525062943465324</v>
      </c>
      <c r="J20" s="4">
        <f>(J13-J6)/$Q$1</f>
        <v>13.325932707713436</v>
      </c>
      <c r="K20" s="4">
        <f>(K13-K6)/$Q$1</f>
        <v>7.4962233920805676</v>
      </c>
      <c r="L20" s="4">
        <f t="shared" si="6"/>
        <v>2.0913677130044843</v>
      </c>
      <c r="M20" s="4">
        <f t="shared" si="6"/>
        <v>1.9304932735426008</v>
      </c>
      <c r="N20" s="4">
        <f t="shared" si="6"/>
        <v>7.8478139013452912</v>
      </c>
      <c r="O20" s="4">
        <f t="shared" si="6"/>
        <v>7.8489349775784749</v>
      </c>
      <c r="P20" s="4">
        <f t="shared" ref="P20:P24" si="7">(P13-P6)/$L$1</f>
        <v>23.313828571428573</v>
      </c>
      <c r="Q20" s="4">
        <f t="shared" ref="P20:Q20" si="8">(Q13-Q6)/$B$1</f>
        <v>3.6328475336322872</v>
      </c>
      <c r="R20" s="4">
        <f t="shared" si="6"/>
        <v>4.6235986547085206</v>
      </c>
      <c r="S20" s="4">
        <f t="shared" ref="S20:S24" si="9">(S13-S6)/$L$1</f>
        <v>5.8516571428571424</v>
      </c>
      <c r="T20" s="4">
        <f t="shared" ref="T20:V24" si="10">(T13-T6)/$L$1</f>
        <v>6.2726857142857142</v>
      </c>
      <c r="U20" s="4">
        <f t="shared" si="10"/>
        <v>6.2726857142857142</v>
      </c>
      <c r="V20" s="4">
        <f t="shared" si="10"/>
        <v>8.3641142857142849</v>
      </c>
      <c r="W20" s="4">
        <f t="shared" si="6"/>
        <v>5.4744955156950672</v>
      </c>
      <c r="X20" s="4">
        <f t="shared" si="6"/>
        <v>3.6499439461883409</v>
      </c>
      <c r="Y20" s="4">
        <f>(Y13-Y6)/$Q$1</f>
        <v>23.932707713435569</v>
      </c>
      <c r="Z20" s="4">
        <f t="shared" ref="Z20:AA24" si="11">(Z13-Z6)/$L$1</f>
        <v>22.439771428571429</v>
      </c>
      <c r="AA20" s="4">
        <f t="shared" si="11"/>
        <v>1.8697142857142857</v>
      </c>
      <c r="AB20" s="4">
        <f t="shared" si="6"/>
        <v>16.898262331838566</v>
      </c>
      <c r="AC20" s="4">
        <f t="shared" ref="AC20:AG24" si="12">(AC13-AC6)/$L$1</f>
        <v>27.363885714285715</v>
      </c>
      <c r="AD20" s="4">
        <f t="shared" si="12"/>
        <v>9.9366857142857139</v>
      </c>
      <c r="AE20" s="4">
        <f t="shared" si="12"/>
        <v>16.768228571428573</v>
      </c>
      <c r="AF20" s="4">
        <f t="shared" si="12"/>
        <v>9.2969142857142852</v>
      </c>
      <c r="AG20" s="4">
        <f t="shared" si="12"/>
        <v>37.185600000000001</v>
      </c>
    </row>
    <row r="21" spans="2:35" ht="18" customHeight="1" x14ac:dyDescent="0.55000000000000004">
      <c r="B21" s="4">
        <f t="shared" ref="B21" si="13">(B14-B7)/$B$1</f>
        <v>6.0232623318385654</v>
      </c>
      <c r="C21" s="4">
        <f t="shared" ref="C21:AG21" si="14">(C14-C7)/$B$1</f>
        <v>3.5599775784753365</v>
      </c>
      <c r="D21" s="4">
        <f t="shared" si="14"/>
        <v>1.132567264573991</v>
      </c>
      <c r="E21" s="4">
        <f t="shared" si="14"/>
        <v>4.5305493273542599</v>
      </c>
      <c r="F21" s="4">
        <f t="shared" si="14"/>
        <v>0.51485426008968604</v>
      </c>
      <c r="G21" s="4">
        <f>(G14-G7)/$Q$1</f>
        <v>13.1029983978027</v>
      </c>
      <c r="H21" s="4">
        <f t="shared" si="14"/>
        <v>3.624159192825112</v>
      </c>
      <c r="I21" s="4">
        <f>(I14-I7)/$Q$1</f>
        <v>12.525062943465324</v>
      </c>
      <c r="J21" s="4">
        <f>(J14-J7)/$Q$1</f>
        <v>13.325932707713436</v>
      </c>
      <c r="K21" s="4">
        <f>(K14-K7)/$Q$1</f>
        <v>7.4964522774090181</v>
      </c>
      <c r="L21" s="4">
        <f t="shared" si="14"/>
        <v>2.0913677130044843</v>
      </c>
      <c r="M21" s="4">
        <f t="shared" si="14"/>
        <v>1.9304932735426008</v>
      </c>
      <c r="N21" s="4">
        <f t="shared" si="14"/>
        <v>7.8478139013452912</v>
      </c>
      <c r="O21" s="4">
        <f t="shared" si="14"/>
        <v>7.8489349775784749</v>
      </c>
      <c r="P21" s="4">
        <f t="shared" si="7"/>
        <v>23.313828571428573</v>
      </c>
      <c r="Q21" s="4">
        <f t="shared" ref="P21:Q21" si="15">(Q14-Q7)/$B$1</f>
        <v>3.6331278026905829</v>
      </c>
      <c r="R21" s="4">
        <f t="shared" si="14"/>
        <v>4.6238789237668163</v>
      </c>
      <c r="S21" s="4">
        <f t="shared" si="9"/>
        <v>5.8516571428571424</v>
      </c>
      <c r="T21" s="4">
        <f t="shared" si="10"/>
        <v>6.2724571428571432</v>
      </c>
      <c r="U21" s="4">
        <f t="shared" si="10"/>
        <v>6.2724571428571432</v>
      </c>
      <c r="V21" s="4">
        <f t="shared" si="10"/>
        <v>8.3641142857142849</v>
      </c>
      <c r="W21" s="4">
        <f t="shared" si="14"/>
        <v>5.4744955156950672</v>
      </c>
      <c r="X21" s="4">
        <f t="shared" si="14"/>
        <v>3.6499439461883409</v>
      </c>
      <c r="Y21" s="4">
        <f>(Y14-Y7)/$Q$1</f>
        <v>23.932478828107119</v>
      </c>
      <c r="Z21" s="4">
        <f t="shared" si="11"/>
        <v>22.44</v>
      </c>
      <c r="AA21" s="4">
        <f t="shared" si="11"/>
        <v>1.8697142857142857</v>
      </c>
      <c r="AB21" s="4">
        <f t="shared" si="14"/>
        <v>16.898262331838566</v>
      </c>
      <c r="AC21" s="4">
        <f t="shared" si="12"/>
        <v>27.363885714285715</v>
      </c>
      <c r="AD21" s="4">
        <f t="shared" si="12"/>
        <v>9.9369142857142858</v>
      </c>
      <c r="AE21" s="4">
        <f t="shared" si="12"/>
        <v>16.768228571428573</v>
      </c>
      <c r="AF21" s="4">
        <f t="shared" si="12"/>
        <v>9.2969142857142852</v>
      </c>
      <c r="AG21" s="4">
        <f t="shared" si="12"/>
        <v>37.185600000000001</v>
      </c>
    </row>
    <row r="22" spans="2:35" ht="18" customHeight="1" x14ac:dyDescent="0.55000000000000004">
      <c r="B22" s="4">
        <f t="shared" ref="B22" si="16">(B15-B8)/$B$1</f>
        <v>6.0232623318385654</v>
      </c>
      <c r="C22" s="4">
        <f t="shared" ref="C22:AG22" si="17">(C15-C8)/$B$1</f>
        <v>3.5599775784753365</v>
      </c>
      <c r="D22" s="4">
        <f t="shared" si="17"/>
        <v>1.132847533632287</v>
      </c>
      <c r="E22" s="4">
        <f t="shared" si="17"/>
        <v>4.5305493273542599</v>
      </c>
      <c r="F22" s="4">
        <f t="shared" si="17"/>
        <v>0.51485426008968604</v>
      </c>
      <c r="G22" s="4">
        <f>(G15-G8)/$Q$1</f>
        <v>13.1029983978027</v>
      </c>
      <c r="H22" s="4">
        <f t="shared" si="17"/>
        <v>3.6238789237668163</v>
      </c>
      <c r="I22" s="4">
        <f>(I15-I8)/$Q$1</f>
        <v>12.525062943465324</v>
      </c>
      <c r="J22" s="4">
        <f>(J15-J8)/$Q$1</f>
        <v>13.325932707713436</v>
      </c>
      <c r="K22" s="4">
        <f>(K15-K8)/$Q$1</f>
        <v>7.4964522774090181</v>
      </c>
      <c r="L22" s="4">
        <f t="shared" si="17"/>
        <v>2.0913677130044843</v>
      </c>
      <c r="M22" s="4">
        <f t="shared" si="17"/>
        <v>1.9304932735426008</v>
      </c>
      <c r="N22" s="4">
        <f t="shared" si="17"/>
        <v>7.8478139013452912</v>
      </c>
      <c r="O22" s="4">
        <f t="shared" si="17"/>
        <v>7.8486547085201792</v>
      </c>
      <c r="P22" s="4">
        <f t="shared" si="7"/>
        <v>23.313600000000001</v>
      </c>
      <c r="Q22" s="4">
        <f t="shared" ref="P22:Q22" si="18">(Q15-Q8)/$B$1</f>
        <v>3.6328475336322872</v>
      </c>
      <c r="R22" s="4">
        <f t="shared" si="17"/>
        <v>4.6235986547085206</v>
      </c>
      <c r="S22" s="4">
        <f t="shared" si="9"/>
        <v>5.8516571428571424</v>
      </c>
      <c r="T22" s="4">
        <f t="shared" si="10"/>
        <v>6.2724571428571432</v>
      </c>
      <c r="U22" s="4">
        <f t="shared" si="10"/>
        <v>6.2724571428571432</v>
      </c>
      <c r="V22" s="4">
        <f t="shared" si="10"/>
        <v>8.3641142857142849</v>
      </c>
      <c r="W22" s="4">
        <f t="shared" si="17"/>
        <v>5.4744955156950672</v>
      </c>
      <c r="X22" s="4">
        <f t="shared" si="17"/>
        <v>3.6499439461883409</v>
      </c>
      <c r="Y22" s="4">
        <f>(Y15-Y8)/$Q$1</f>
        <v>23.932707713435569</v>
      </c>
      <c r="Z22" s="4">
        <f t="shared" si="11"/>
        <v>22.44</v>
      </c>
      <c r="AA22" s="4">
        <f t="shared" si="11"/>
        <v>1.8697142857142857</v>
      </c>
      <c r="AB22" s="4">
        <f t="shared" si="17"/>
        <v>16.898262331838566</v>
      </c>
      <c r="AC22" s="4">
        <f t="shared" si="12"/>
        <v>27.363885714285715</v>
      </c>
      <c r="AD22" s="4">
        <f t="shared" si="12"/>
        <v>9.9369142857142858</v>
      </c>
      <c r="AE22" s="4">
        <f t="shared" si="12"/>
        <v>16.768228571428573</v>
      </c>
      <c r="AF22" s="4">
        <f t="shared" si="12"/>
        <v>9.2969142857142852</v>
      </c>
      <c r="AG22" s="4">
        <f t="shared" si="12"/>
        <v>37.185371428571429</v>
      </c>
    </row>
    <row r="23" spans="2:35" ht="18" customHeight="1" x14ac:dyDescent="0.55000000000000004">
      <c r="B23" s="4">
        <f>(B16-B9)/$B$1</f>
        <v>6.553251121076233</v>
      </c>
      <c r="C23" s="4">
        <f t="shared" ref="C23:AG23" si="19">(C16-C9)/$B$1</f>
        <v>3.8727578475336322</v>
      </c>
      <c r="D23" s="4">
        <f t="shared" si="19"/>
        <v>1.2326233183856503</v>
      </c>
      <c r="E23" s="4">
        <f t="shared" si="19"/>
        <v>4.9304932735426013</v>
      </c>
      <c r="F23" s="4">
        <f t="shared" si="19"/>
        <v>0.55997757847533636</v>
      </c>
      <c r="G23" s="4">
        <f>(G16-G9)/$Q$1</f>
        <v>14.253833829251546</v>
      </c>
      <c r="H23" s="4">
        <f t="shared" si="19"/>
        <v>3.9419843049327352</v>
      </c>
      <c r="I23" s="4">
        <f>(I16-I9)/$Q$1</f>
        <v>13.624856946669718</v>
      </c>
      <c r="J23" s="4">
        <f>(J16-J9)/$Q$1</f>
        <v>14.495765621423667</v>
      </c>
      <c r="K23" s="4">
        <f>(K16-K9)/$Q$1</f>
        <v>8.1551842526894021</v>
      </c>
      <c r="L23" s="4">
        <f t="shared" si="19"/>
        <v>2.2755044843049328</v>
      </c>
      <c r="M23" s="4">
        <f t="shared" si="19"/>
        <v>2.1003363228699552</v>
      </c>
      <c r="N23" s="4">
        <f t="shared" si="19"/>
        <v>8.5375560538116595</v>
      </c>
      <c r="O23" s="4">
        <f t="shared" si="19"/>
        <v>8.5383968609865466</v>
      </c>
      <c r="P23" s="4">
        <f t="shared" si="7"/>
        <v>25.365257142857143</v>
      </c>
      <c r="Q23" s="4">
        <f t="shared" ref="P23:Q23" si="20">(Q16-Q9)/$B$1</f>
        <v>3.9517937219730941</v>
      </c>
      <c r="R23" s="4">
        <f t="shared" si="19"/>
        <v>5.0297085201793719</v>
      </c>
      <c r="S23" s="4">
        <f t="shared" si="9"/>
        <v>6.3657142857142857</v>
      </c>
      <c r="T23" s="4">
        <f t="shared" si="10"/>
        <v>6.8235428571428569</v>
      </c>
      <c r="U23" s="4">
        <f t="shared" si="10"/>
        <v>6.8235428571428569</v>
      </c>
      <c r="V23" s="4">
        <f t="shared" si="10"/>
        <v>9.0989714285714278</v>
      </c>
      <c r="W23" s="4">
        <f t="shared" si="19"/>
        <v>5.9543161434977581</v>
      </c>
      <c r="X23" s="4">
        <f t="shared" si="19"/>
        <v>3.9708520179372195</v>
      </c>
      <c r="Y23" s="4">
        <f>(Y16-Y9)/$Q$1</f>
        <v>26.035019455252918</v>
      </c>
      <c r="Z23" s="4">
        <f t="shared" si="11"/>
        <v>24.411428571428573</v>
      </c>
      <c r="AA23" s="4">
        <f t="shared" si="11"/>
        <v>2.0333714285714284</v>
      </c>
      <c r="AB23" s="4">
        <f t="shared" si="19"/>
        <v>18.382847533632287</v>
      </c>
      <c r="AC23" s="4">
        <f t="shared" si="12"/>
        <v>29.767085714285713</v>
      </c>
      <c r="AD23" s="4">
        <f t="shared" si="12"/>
        <v>10.8096</v>
      </c>
      <c r="AE23" s="4">
        <f t="shared" si="12"/>
        <v>18.240914285714286</v>
      </c>
      <c r="AF23" s="4">
        <f t="shared" si="12"/>
        <v>10.113828571428572</v>
      </c>
      <c r="AG23" s="4">
        <f t="shared" si="12"/>
        <v>40.451657142857144</v>
      </c>
    </row>
    <row r="24" spans="2:35" ht="18" customHeight="1" x14ac:dyDescent="0.55000000000000004">
      <c r="B24" s="4">
        <f t="shared" ref="B24:AG24" si="21">(B17-B10)/$B$1</f>
        <v>6.8780829596412554</v>
      </c>
      <c r="C24" s="4">
        <f t="shared" si="21"/>
        <v>4.065863228699552</v>
      </c>
      <c r="D24" s="4">
        <f t="shared" si="21"/>
        <v>1.2937219730941705</v>
      </c>
      <c r="E24" s="4">
        <f t="shared" si="21"/>
        <v>5.1746076233183853</v>
      </c>
      <c r="F24" s="4">
        <f t="shared" si="21"/>
        <v>0.58772421524663676</v>
      </c>
      <c r="G24" s="4">
        <f>(G17-G10)/$Q$1</f>
        <v>14.963607232776379</v>
      </c>
      <c r="H24" s="4">
        <f t="shared" si="21"/>
        <v>4.1378923766816147</v>
      </c>
      <c r="I24" s="4">
        <f>(I17-I10)/$Q$1</f>
        <v>14.304875257495995</v>
      </c>
      <c r="J24" s="4">
        <f>(J17-J10)/$Q$1</f>
        <v>15.215381094071869</v>
      </c>
      <c r="K24" s="4">
        <f>(K17-K10)/$Q$1</f>
        <v>8.5609979400320437</v>
      </c>
      <c r="L24" s="4">
        <f t="shared" si="21"/>
        <v>2.3895739910313902</v>
      </c>
      <c r="M24" s="4">
        <f t="shared" si="21"/>
        <v>2.2054372197309418</v>
      </c>
      <c r="N24" s="4">
        <f t="shared" si="21"/>
        <v>8.9635650224215251</v>
      </c>
      <c r="O24" s="4">
        <f t="shared" si="21"/>
        <v>8.9635650224215251</v>
      </c>
      <c r="P24" s="4">
        <f t="shared" si="7"/>
        <v>26.624914285714286</v>
      </c>
      <c r="Q24" s="4">
        <f t="shared" ref="P24:Q24" si="22">(Q17-Q10)/$B$1</f>
        <v>4.1488228699551568</v>
      </c>
      <c r="R24" s="4">
        <f t="shared" si="21"/>
        <v>5.2797085201793719</v>
      </c>
      <c r="S24" s="4">
        <f t="shared" si="9"/>
        <v>6.6825142857142854</v>
      </c>
      <c r="T24" s="4">
        <f t="shared" si="10"/>
        <v>7.1631999999999998</v>
      </c>
      <c r="U24" s="4">
        <f t="shared" si="10"/>
        <v>7.1631999999999998</v>
      </c>
      <c r="V24" s="4">
        <f t="shared" si="10"/>
        <v>9.5517714285714277</v>
      </c>
      <c r="W24" s="4">
        <f t="shared" si="21"/>
        <v>6.2502802690582957</v>
      </c>
      <c r="X24" s="4">
        <f t="shared" si="21"/>
        <v>4.169002242152466</v>
      </c>
      <c r="Y24" s="4">
        <f>(Y17-Y10)/$Q$1</f>
        <v>27.330739299610894</v>
      </c>
      <c r="Z24" s="4">
        <f t="shared" si="11"/>
        <v>25.626057142857142</v>
      </c>
      <c r="AA24" s="4">
        <f t="shared" si="11"/>
        <v>2.1343999999999999</v>
      </c>
      <c r="AB24" s="4">
        <f t="shared" si="21"/>
        <v>19.297645739910315</v>
      </c>
      <c r="AC24" s="4">
        <f t="shared" si="12"/>
        <v>31.248914285714285</v>
      </c>
      <c r="AD24" s="4">
        <f t="shared" si="12"/>
        <v>11.347428571428571</v>
      </c>
      <c r="AE24" s="4">
        <f t="shared" si="12"/>
        <v>19.148571428571429</v>
      </c>
      <c r="AF24" s="4">
        <f t="shared" si="12"/>
        <v>10.617599999999999</v>
      </c>
      <c r="AG24" s="4">
        <f t="shared" si="12"/>
        <v>42.46537142857143</v>
      </c>
    </row>
  </sheetData>
  <mergeCells count="9">
    <mergeCell ref="AF3:AG3"/>
    <mergeCell ref="W3:X3"/>
    <mergeCell ref="AD3:AE3"/>
    <mergeCell ref="D3:E3"/>
    <mergeCell ref="N3:O3"/>
    <mergeCell ref="J3:K3"/>
    <mergeCell ref="Q3:R3"/>
    <mergeCell ref="T3:V3"/>
    <mergeCell ref="Z3:AA3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1"/>
  <sheetViews>
    <sheetView topLeftCell="A16" workbookViewId="0">
      <selection activeCell="A51" sqref="A51"/>
    </sheetView>
  </sheetViews>
  <sheetFormatPr defaultRowHeight="17.600000000000001" x14ac:dyDescent="0.55000000000000004"/>
  <sheetData>
    <row r="1" spans="1:1" x14ac:dyDescent="0.55000000000000004">
      <c r="A1" t="s">
        <v>382</v>
      </c>
    </row>
    <row r="2" spans="1:1" x14ac:dyDescent="0.55000000000000004">
      <c r="A2" t="s">
        <v>365</v>
      </c>
    </row>
    <row r="3" spans="1:1" x14ac:dyDescent="0.55000000000000004">
      <c r="A3" s="64" t="s">
        <v>394</v>
      </c>
    </row>
    <row r="4" spans="1:1" x14ac:dyDescent="0.55000000000000004">
      <c r="A4" t="s">
        <v>366</v>
      </c>
    </row>
    <row r="5" spans="1:1" x14ac:dyDescent="0.55000000000000004">
      <c r="A5" t="s">
        <v>368</v>
      </c>
    </row>
    <row r="6" spans="1:1" x14ac:dyDescent="0.55000000000000004">
      <c r="A6" s="64" t="s">
        <v>372</v>
      </c>
    </row>
    <row r="7" spans="1:1" x14ac:dyDescent="0.55000000000000004">
      <c r="A7" t="s">
        <v>369</v>
      </c>
    </row>
    <row r="8" spans="1:1" x14ac:dyDescent="0.55000000000000004">
      <c r="A8" s="64" t="s">
        <v>373</v>
      </c>
    </row>
    <row r="9" spans="1:1" x14ac:dyDescent="0.55000000000000004">
      <c r="A9" t="s">
        <v>388</v>
      </c>
    </row>
    <row r="10" spans="1:1" x14ac:dyDescent="0.55000000000000004">
      <c r="A10" t="s">
        <v>377</v>
      </c>
    </row>
    <row r="12" spans="1:1" x14ac:dyDescent="0.55000000000000004">
      <c r="A12" t="s">
        <v>389</v>
      </c>
    </row>
    <row r="13" spans="1:1" x14ac:dyDescent="0.55000000000000004">
      <c r="A13" t="s">
        <v>390</v>
      </c>
    </row>
    <row r="15" spans="1:1" x14ac:dyDescent="0.55000000000000004">
      <c r="A15" t="s">
        <v>391</v>
      </c>
    </row>
    <row r="16" spans="1:1" x14ac:dyDescent="0.55000000000000004">
      <c r="A16" t="s">
        <v>392</v>
      </c>
    </row>
    <row r="17" spans="1:1" x14ac:dyDescent="0.55000000000000004">
      <c r="A17" t="s">
        <v>393</v>
      </c>
    </row>
    <row r="19" spans="1:1" x14ac:dyDescent="0.55000000000000004">
      <c r="A19" t="s">
        <v>395</v>
      </c>
    </row>
    <row r="20" spans="1:1" x14ac:dyDescent="0.55000000000000004">
      <c r="A20" t="s">
        <v>396</v>
      </c>
    </row>
    <row r="21" spans="1:1" x14ac:dyDescent="0.55000000000000004">
      <c r="A21" t="s">
        <v>397</v>
      </c>
    </row>
    <row r="23" spans="1:1" x14ac:dyDescent="0.55000000000000004">
      <c r="A23" t="s">
        <v>399</v>
      </c>
    </row>
    <row r="24" spans="1:1" x14ac:dyDescent="0.55000000000000004">
      <c r="A24" t="s">
        <v>403</v>
      </c>
    </row>
    <row r="25" spans="1:1" x14ac:dyDescent="0.55000000000000004">
      <c r="A25" t="s">
        <v>400</v>
      </c>
    </row>
    <row r="26" spans="1:1" x14ac:dyDescent="0.55000000000000004">
      <c r="A26" t="s">
        <v>404</v>
      </c>
    </row>
    <row r="27" spans="1:1" x14ac:dyDescent="0.55000000000000004">
      <c r="A27" t="s">
        <v>405</v>
      </c>
    </row>
    <row r="29" spans="1:1" x14ac:dyDescent="0.55000000000000004">
      <c r="A29" t="s">
        <v>407</v>
      </c>
    </row>
    <row r="30" spans="1:1" x14ac:dyDescent="0.55000000000000004">
      <c r="A30" t="s">
        <v>484</v>
      </c>
    </row>
    <row r="31" spans="1:1" x14ac:dyDescent="0.55000000000000004">
      <c r="A31" t="s">
        <v>485</v>
      </c>
    </row>
    <row r="32" spans="1:1" x14ac:dyDescent="0.55000000000000004">
      <c r="A32" t="s">
        <v>486</v>
      </c>
    </row>
    <row r="33" spans="1:1" x14ac:dyDescent="0.55000000000000004">
      <c r="A33" t="s">
        <v>487</v>
      </c>
    </row>
    <row r="34" spans="1:1" x14ac:dyDescent="0.55000000000000004">
      <c r="A34" t="s">
        <v>488</v>
      </c>
    </row>
    <row r="35" spans="1:1" x14ac:dyDescent="0.55000000000000004">
      <c r="A35" t="s">
        <v>489</v>
      </c>
    </row>
    <row r="36" spans="1:1" x14ac:dyDescent="0.55000000000000004">
      <c r="A36" t="s">
        <v>490</v>
      </c>
    </row>
    <row r="37" spans="1:1" x14ac:dyDescent="0.55000000000000004">
      <c r="A37" t="s">
        <v>491</v>
      </c>
    </row>
    <row r="38" spans="1:1" x14ac:dyDescent="0.55000000000000004">
      <c r="A38" t="s">
        <v>492</v>
      </c>
    </row>
    <row r="39" spans="1:1" x14ac:dyDescent="0.55000000000000004">
      <c r="A39" t="s">
        <v>493</v>
      </c>
    </row>
    <row r="40" spans="1:1" x14ac:dyDescent="0.55000000000000004">
      <c r="A40" t="s">
        <v>494</v>
      </c>
    </row>
    <row r="41" spans="1:1" x14ac:dyDescent="0.55000000000000004">
      <c r="A41" t="s">
        <v>496</v>
      </c>
    </row>
    <row r="42" spans="1:1" x14ac:dyDescent="0.55000000000000004">
      <c r="A42" s="64" t="s">
        <v>408</v>
      </c>
    </row>
    <row r="43" spans="1:1" x14ac:dyDescent="0.55000000000000004">
      <c r="A43" t="s">
        <v>472</v>
      </c>
    </row>
    <row r="44" spans="1:1" x14ac:dyDescent="0.55000000000000004">
      <c r="A44" t="s">
        <v>473</v>
      </c>
    </row>
    <row r="45" spans="1:1" x14ac:dyDescent="0.55000000000000004">
      <c r="A45" t="s">
        <v>474</v>
      </c>
    </row>
    <row r="46" spans="1:1" x14ac:dyDescent="0.55000000000000004">
      <c r="A46" t="s">
        <v>477</v>
      </c>
    </row>
    <row r="47" spans="1:1" x14ac:dyDescent="0.55000000000000004">
      <c r="A47" t="s">
        <v>482</v>
      </c>
    </row>
    <row r="48" spans="1:1" x14ac:dyDescent="0.55000000000000004">
      <c r="A48" t="s">
        <v>483</v>
      </c>
    </row>
    <row r="49" spans="1:1" x14ac:dyDescent="0.55000000000000004">
      <c r="A49" s="64" t="s">
        <v>463</v>
      </c>
    </row>
    <row r="50" spans="1:1" x14ac:dyDescent="0.55000000000000004">
      <c r="A50" t="s">
        <v>495</v>
      </c>
    </row>
    <row r="51" spans="1:1" x14ac:dyDescent="0.55000000000000004">
      <c r="A51" t="s">
        <v>497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입력란</vt:lpstr>
      <vt:lpstr>DPS표</vt:lpstr>
      <vt:lpstr>트라이포드</vt:lpstr>
      <vt:lpstr>스킬 계수</vt:lpstr>
      <vt:lpstr>업데이트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Colorful</dc:creator>
  <cp:lastModifiedBy>RANGER</cp:lastModifiedBy>
  <dcterms:created xsi:type="dcterms:W3CDTF">2020-08-30T11:42:54Z</dcterms:created>
  <dcterms:modified xsi:type="dcterms:W3CDTF">2023-05-13T07:56:10Z</dcterms:modified>
</cp:coreProperties>
</file>