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기타\멮\6차 분석\"/>
    </mc:Choice>
  </mc:AlternateContent>
  <xr:revisionPtr revIDLastSave="0" documentId="13_ncr:1_{0A828AB6-BD6D-47C1-BD09-2155BA602221}" xr6:coauthVersionLast="47" xr6:coauthVersionMax="47" xr10:uidLastSave="{00000000-0000-0000-0000-000000000000}"/>
  <bookViews>
    <workbookView xWindow="-28920" yWindow="-120" windowWidth="29040" windowHeight="15720" activeTab="2" xr2:uid="{1CA61BD5-08CB-4F99-986A-C8AFC043AE13}"/>
  </bookViews>
  <sheets>
    <sheet name="40초(실측정)" sheetId="3" r:id="rId1"/>
    <sheet name="2분(실측정)" sheetId="8" r:id="rId2"/>
    <sheet name="정리" sheetId="5" r:id="rId3"/>
    <sheet name="강화코어 수치, 재료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3" i="5" l="1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D36" i="5"/>
  <c r="T36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35" i="5" s="1"/>
  <c r="Y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35" i="5" s="1"/>
  <c r="X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35" i="5" s="1"/>
  <c r="W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35" i="5" s="1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35" i="5" s="1"/>
  <c r="U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35" i="5" s="1"/>
  <c r="T4" i="5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AS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AO9" i="8"/>
  <c r="AO8" i="8"/>
  <c r="AO7" i="8"/>
  <c r="AO6" i="8"/>
  <c r="AN35" i="8"/>
  <c r="AN34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8" i="8"/>
  <c r="AN7" i="8"/>
  <c r="AN6" i="8"/>
  <c r="AJ6" i="8"/>
  <c r="AI35" i="8"/>
  <c r="AI34" i="8"/>
  <c r="AI33" i="8"/>
  <c r="AI32" i="8"/>
  <c r="AJ33" i="8" s="1"/>
  <c r="AI31" i="8"/>
  <c r="AI30" i="8"/>
  <c r="AJ31" i="8" s="1"/>
  <c r="AI29" i="8"/>
  <c r="AJ29" i="8" s="1"/>
  <c r="AI28" i="8"/>
  <c r="AI27" i="8"/>
  <c r="AJ28" i="8" s="1"/>
  <c r="AI26" i="8"/>
  <c r="AJ27" i="8" s="1"/>
  <c r="AI25" i="8"/>
  <c r="AJ25" i="8" s="1"/>
  <c r="AI24" i="8"/>
  <c r="AJ24" i="8" s="1"/>
  <c r="AI23" i="8"/>
  <c r="AJ23" i="8" s="1"/>
  <c r="AI22" i="8"/>
  <c r="AI21" i="8"/>
  <c r="AJ22" i="8" s="1"/>
  <c r="AI20" i="8"/>
  <c r="AJ21" i="8" s="1"/>
  <c r="AI19" i="8"/>
  <c r="AI18" i="8"/>
  <c r="AI17" i="8"/>
  <c r="AI16" i="8"/>
  <c r="AJ17" i="8" s="1"/>
  <c r="AI15" i="8"/>
  <c r="AI14" i="8"/>
  <c r="AJ15" i="8" s="1"/>
  <c r="AI13" i="8"/>
  <c r="AJ13" i="8" s="1"/>
  <c r="AI12" i="8"/>
  <c r="AI11" i="8"/>
  <c r="AJ12" i="8" s="1"/>
  <c r="AI10" i="8"/>
  <c r="AJ11" i="8" s="1"/>
  <c r="AI9" i="8"/>
  <c r="AJ9" i="8" s="1"/>
  <c r="AI8" i="8"/>
  <c r="AJ8" i="8" s="1"/>
  <c r="AI7" i="8"/>
  <c r="AJ7" i="8" s="1"/>
  <c r="AI6" i="8"/>
  <c r="AD6" i="8"/>
  <c r="AE6" i="8"/>
  <c r="AJ35" i="8"/>
  <c r="AJ34" i="8"/>
  <c r="AJ30" i="8"/>
  <c r="AJ19" i="8"/>
  <c r="AJ18" i="8"/>
  <c r="AJ14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Z35" i="8"/>
  <c r="Z34" i="8"/>
  <c r="Z33" i="8"/>
  <c r="Z32" i="8"/>
  <c r="Z31" i="8"/>
  <c r="AA31" i="8" s="1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I35" i="5"/>
  <c r="H35" i="5"/>
  <c r="G35" i="5"/>
  <c r="E35" i="5"/>
  <c r="D35" i="5"/>
  <c r="F35" i="5"/>
  <c r="AD15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F21" i="8" s="1"/>
  <c r="AD20" i="8"/>
  <c r="AD19" i="8"/>
  <c r="AD18" i="8"/>
  <c r="AD17" i="8"/>
  <c r="AD16" i="8"/>
  <c r="AD14" i="8"/>
  <c r="AD13" i="8"/>
  <c r="AD12" i="8"/>
  <c r="AD11" i="8"/>
  <c r="AD10" i="8"/>
  <c r="AD9" i="8"/>
  <c r="AD8" i="8"/>
  <c r="AD7" i="8"/>
  <c r="Z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U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I12" i="8"/>
  <c r="M18" i="8"/>
  <c r="Q3" i="8"/>
  <c r="J10" i="8"/>
  <c r="J12" i="8" s="1"/>
  <c r="G12" i="8"/>
  <c r="C12" i="8"/>
  <c r="J35" i="8"/>
  <c r="I35" i="8"/>
  <c r="H35" i="8"/>
  <c r="G35" i="8"/>
  <c r="F35" i="8"/>
  <c r="E35" i="8"/>
  <c r="D35" i="8"/>
  <c r="C35" i="8"/>
  <c r="B35" i="8"/>
  <c r="M34" i="8"/>
  <c r="J41" i="8"/>
  <c r="I41" i="8"/>
  <c r="H41" i="8"/>
  <c r="G41" i="8"/>
  <c r="F41" i="8"/>
  <c r="E41" i="8"/>
  <c r="D41" i="8"/>
  <c r="C41" i="8"/>
  <c r="B41" i="8"/>
  <c r="M40" i="8"/>
  <c r="AR35" i="8"/>
  <c r="AM35" i="8"/>
  <c r="AH35" i="8"/>
  <c r="AC35" i="8"/>
  <c r="X35" i="8"/>
  <c r="S35" i="8"/>
  <c r="AR34" i="8"/>
  <c r="AM34" i="8"/>
  <c r="AH34" i="8"/>
  <c r="AC34" i="8"/>
  <c r="X34" i="8"/>
  <c r="S34" i="8"/>
  <c r="AR33" i="8"/>
  <c r="AM33" i="8"/>
  <c r="AH33" i="8"/>
  <c r="AC33" i="8"/>
  <c r="X33" i="8"/>
  <c r="S33" i="8"/>
  <c r="AR32" i="8"/>
  <c r="AM32" i="8"/>
  <c r="AH32" i="8"/>
  <c r="AC32" i="8"/>
  <c r="X32" i="8"/>
  <c r="S32" i="8"/>
  <c r="AR31" i="8"/>
  <c r="AM31" i="8"/>
  <c r="AH31" i="8"/>
  <c r="AC31" i="8"/>
  <c r="X31" i="8"/>
  <c r="S31" i="8"/>
  <c r="AR30" i="8"/>
  <c r="AM30" i="8"/>
  <c r="AH30" i="8"/>
  <c r="AC30" i="8"/>
  <c r="X30" i="8"/>
  <c r="S30" i="8"/>
  <c r="AR29" i="8"/>
  <c r="AM29" i="8"/>
  <c r="AH29" i="8"/>
  <c r="AC29" i="8"/>
  <c r="X29" i="8"/>
  <c r="S29" i="8"/>
  <c r="H29" i="8"/>
  <c r="G29" i="8"/>
  <c r="F29" i="8"/>
  <c r="E29" i="8"/>
  <c r="D29" i="8"/>
  <c r="C29" i="8"/>
  <c r="B29" i="8"/>
  <c r="AR28" i="8"/>
  <c r="AM28" i="8"/>
  <c r="AH28" i="8"/>
  <c r="AC28" i="8"/>
  <c r="X28" i="8"/>
  <c r="S28" i="8"/>
  <c r="M28" i="8"/>
  <c r="M17" i="8" s="1"/>
  <c r="AR27" i="8"/>
  <c r="AM27" i="8"/>
  <c r="AH27" i="8"/>
  <c r="AC27" i="8"/>
  <c r="X27" i="8"/>
  <c r="S27" i="8"/>
  <c r="AR26" i="8"/>
  <c r="AM26" i="8"/>
  <c r="AH26" i="8"/>
  <c r="AC26" i="8"/>
  <c r="X26" i="8"/>
  <c r="S26" i="8"/>
  <c r="AR25" i="8"/>
  <c r="AM25" i="8"/>
  <c r="AH25" i="8"/>
  <c r="AC25" i="8"/>
  <c r="X25" i="8"/>
  <c r="S25" i="8"/>
  <c r="AR24" i="8"/>
  <c r="AM24" i="8"/>
  <c r="AH24" i="8"/>
  <c r="AC24" i="8"/>
  <c r="X24" i="8"/>
  <c r="S24" i="8"/>
  <c r="AR23" i="8"/>
  <c r="AM23" i="8"/>
  <c r="AH23" i="8"/>
  <c r="AC23" i="8"/>
  <c r="X23" i="8"/>
  <c r="S23" i="8"/>
  <c r="H23" i="8"/>
  <c r="G23" i="8"/>
  <c r="F23" i="8"/>
  <c r="E23" i="8"/>
  <c r="D23" i="8"/>
  <c r="C23" i="8"/>
  <c r="B23" i="8"/>
  <c r="AR22" i="8"/>
  <c r="AM22" i="8"/>
  <c r="AH22" i="8"/>
  <c r="AC22" i="8"/>
  <c r="X22" i="8"/>
  <c r="S22" i="8"/>
  <c r="M22" i="8"/>
  <c r="AR21" i="8"/>
  <c r="AM21" i="8"/>
  <c r="AH21" i="8"/>
  <c r="AC21" i="8"/>
  <c r="X21" i="8"/>
  <c r="S21" i="8"/>
  <c r="AR20" i="8"/>
  <c r="AM20" i="8"/>
  <c r="AH20" i="8"/>
  <c r="AC20" i="8"/>
  <c r="X20" i="8"/>
  <c r="S20" i="8"/>
  <c r="AR19" i="8"/>
  <c r="AM19" i="8"/>
  <c r="AH19" i="8"/>
  <c r="AC19" i="8"/>
  <c r="X19" i="8"/>
  <c r="S19" i="8"/>
  <c r="AR18" i="8"/>
  <c r="AM18" i="8"/>
  <c r="AH18" i="8"/>
  <c r="AC18" i="8"/>
  <c r="X18" i="8"/>
  <c r="S18" i="8"/>
  <c r="AR17" i="8"/>
  <c r="AM17" i="8"/>
  <c r="AH17" i="8"/>
  <c r="AC17" i="8"/>
  <c r="X17" i="8"/>
  <c r="S17" i="8"/>
  <c r="AR16" i="8"/>
  <c r="AM16" i="8"/>
  <c r="AH16" i="8"/>
  <c r="AC16" i="8"/>
  <c r="X16" i="8"/>
  <c r="S16" i="8"/>
  <c r="AR15" i="8"/>
  <c r="AM15" i="8"/>
  <c r="AH15" i="8"/>
  <c r="AC15" i="8"/>
  <c r="X15" i="8"/>
  <c r="S15" i="8"/>
  <c r="AR14" i="8"/>
  <c r="AM14" i="8"/>
  <c r="AH14" i="8"/>
  <c r="AC14" i="8"/>
  <c r="X14" i="8"/>
  <c r="S14" i="8"/>
  <c r="AR13" i="8"/>
  <c r="AM13" i="8"/>
  <c r="AH13" i="8"/>
  <c r="AC13" i="8"/>
  <c r="X13" i="8"/>
  <c r="S13" i="8"/>
  <c r="AR12" i="8"/>
  <c r="AM12" i="8"/>
  <c r="AH12" i="8"/>
  <c r="AC12" i="8"/>
  <c r="X12" i="8"/>
  <c r="S12" i="8"/>
  <c r="AR11" i="8"/>
  <c r="AM11" i="8"/>
  <c r="AH11" i="8"/>
  <c r="AC11" i="8"/>
  <c r="X11" i="8"/>
  <c r="S11" i="8"/>
  <c r="AR10" i="8"/>
  <c r="AM10" i="8"/>
  <c r="AH10" i="8"/>
  <c r="AC10" i="8"/>
  <c r="X10" i="8"/>
  <c r="S10" i="8"/>
  <c r="AR9" i="8"/>
  <c r="AM9" i="8"/>
  <c r="AH9" i="8"/>
  <c r="AC9" i="8"/>
  <c r="X9" i="8"/>
  <c r="S9" i="8"/>
  <c r="I10" i="8"/>
  <c r="H10" i="8"/>
  <c r="H12" i="8" s="1"/>
  <c r="F10" i="8"/>
  <c r="F12" i="8" s="1"/>
  <c r="E10" i="8"/>
  <c r="E12" i="8" s="1"/>
  <c r="D10" i="8"/>
  <c r="D12" i="8" s="1"/>
  <c r="B10" i="8"/>
  <c r="B12" i="8" s="1"/>
  <c r="AR8" i="8"/>
  <c r="AM8" i="8"/>
  <c r="AH8" i="8"/>
  <c r="AC8" i="8"/>
  <c r="X8" i="8"/>
  <c r="S8" i="8"/>
  <c r="J9" i="8"/>
  <c r="AR7" i="8"/>
  <c r="AM7" i="8"/>
  <c r="AH7" i="8"/>
  <c r="AC7" i="8"/>
  <c r="X7" i="8"/>
  <c r="S7" i="8"/>
  <c r="AR6" i="8"/>
  <c r="AM6" i="8"/>
  <c r="AH6" i="8"/>
  <c r="AC6" i="8"/>
  <c r="X6" i="8"/>
  <c r="S6" i="8"/>
  <c r="J45" i="3"/>
  <c r="I45" i="3"/>
  <c r="H45" i="3"/>
  <c r="G45" i="3"/>
  <c r="F45" i="3"/>
  <c r="E45" i="3"/>
  <c r="D45" i="3"/>
  <c r="C45" i="3"/>
  <c r="B45" i="3"/>
  <c r="H48" i="3"/>
  <c r="G48" i="3"/>
  <c r="F48" i="3"/>
  <c r="E48" i="3"/>
  <c r="D48" i="3"/>
  <c r="B48" i="3"/>
  <c r="M44" i="3"/>
  <c r="J37" i="3"/>
  <c r="I37" i="3"/>
  <c r="H37" i="3"/>
  <c r="G37" i="3"/>
  <c r="F37" i="3"/>
  <c r="E37" i="3"/>
  <c r="D37" i="3"/>
  <c r="C37" i="3"/>
  <c r="B37" i="3"/>
  <c r="H40" i="3"/>
  <c r="G40" i="3"/>
  <c r="F40" i="3"/>
  <c r="E40" i="3"/>
  <c r="D40" i="3"/>
  <c r="B40" i="3"/>
  <c r="H32" i="3"/>
  <c r="G32" i="3"/>
  <c r="F32" i="3"/>
  <c r="E32" i="3"/>
  <c r="D32" i="3"/>
  <c r="B32" i="3"/>
  <c r="M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N7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E32" i="4"/>
  <c r="J9" i="3" s="1"/>
  <c r="E22" i="4"/>
  <c r="E23" i="4" s="1"/>
  <c r="E24" i="4" s="1"/>
  <c r="E25" i="4" s="1"/>
  <c r="E26" i="4" s="1"/>
  <c r="E27" i="4" s="1"/>
  <c r="E28" i="4" s="1"/>
  <c r="E29" i="4" s="1"/>
  <c r="E30" i="4" s="1"/>
  <c r="E31" i="4" s="1"/>
  <c r="I9" i="3"/>
  <c r="I11" i="3" s="1"/>
  <c r="G11" i="3"/>
  <c r="H9" i="3"/>
  <c r="H11" i="3" s="1"/>
  <c r="F9" i="3"/>
  <c r="F11" i="3" s="1"/>
  <c r="E9" i="3"/>
  <c r="E11" i="3" s="1"/>
  <c r="D9" i="3"/>
  <c r="D11" i="3" s="1"/>
  <c r="J8" i="3"/>
  <c r="T15" i="3" s="1"/>
  <c r="B9" i="3"/>
  <c r="B11" i="3" s="1"/>
  <c r="D29" i="3"/>
  <c r="H23" i="3"/>
  <c r="G23" i="3"/>
  <c r="AU12" i="8" l="1"/>
  <c r="AU28" i="8"/>
  <c r="AJ20" i="8"/>
  <c r="AJ10" i="8"/>
  <c r="AJ26" i="8"/>
  <c r="AJ16" i="8"/>
  <c r="AJ32" i="8"/>
  <c r="AK32" i="8" s="1"/>
  <c r="AK22" i="8"/>
  <c r="AK31" i="8"/>
  <c r="AF18" i="8"/>
  <c r="AP12" i="8"/>
  <c r="AF14" i="8"/>
  <c r="AP15" i="8"/>
  <c r="AF7" i="8"/>
  <c r="AF11" i="8"/>
  <c r="AU33" i="8"/>
  <c r="AF34" i="8"/>
  <c r="AF26" i="8"/>
  <c r="AP21" i="8"/>
  <c r="AF17" i="8"/>
  <c r="AK26" i="8"/>
  <c r="AP11" i="8"/>
  <c r="AP18" i="8"/>
  <c r="AF15" i="8"/>
  <c r="C13" i="8"/>
  <c r="M12" i="8"/>
  <c r="N12" i="8" s="1"/>
  <c r="AK16" i="8"/>
  <c r="AK10" i="8"/>
  <c r="AU30" i="8"/>
  <c r="AP27" i="8"/>
  <c r="AP35" i="8"/>
  <c r="AF20" i="8"/>
  <c r="AP26" i="8"/>
  <c r="AU22" i="8"/>
  <c r="AU35" i="8"/>
  <c r="AF13" i="8"/>
  <c r="AF30" i="8"/>
  <c r="AK33" i="8"/>
  <c r="AU25" i="8"/>
  <c r="AP19" i="8"/>
  <c r="AK29" i="8"/>
  <c r="AF32" i="8"/>
  <c r="AP33" i="8"/>
  <c r="AF16" i="8"/>
  <c r="AU11" i="8"/>
  <c r="AA7" i="8"/>
  <c r="AU9" i="8"/>
  <c r="AU29" i="8"/>
  <c r="AU8" i="8"/>
  <c r="AU26" i="8"/>
  <c r="AU15" i="8"/>
  <c r="AK23" i="8"/>
  <c r="AK35" i="8"/>
  <c r="AK18" i="8"/>
  <c r="AK8" i="8"/>
  <c r="AP23" i="8"/>
  <c r="AP17" i="8"/>
  <c r="AP10" i="8"/>
  <c r="AP8" i="8"/>
  <c r="AP13" i="8"/>
  <c r="AF31" i="8"/>
  <c r="AF8" i="8"/>
  <c r="AF19" i="8"/>
  <c r="AF12" i="8"/>
  <c r="AA11" i="8"/>
  <c r="AA35" i="8"/>
  <c r="M23" i="8"/>
  <c r="AP20" i="8"/>
  <c r="AK25" i="8"/>
  <c r="AK30" i="8"/>
  <c r="AU31" i="8"/>
  <c r="AP16" i="8"/>
  <c r="AF24" i="8"/>
  <c r="AP25" i="8"/>
  <c r="AA29" i="8"/>
  <c r="AF9" i="8"/>
  <c r="AU23" i="8"/>
  <c r="AU10" i="8"/>
  <c r="AK20" i="8"/>
  <c r="AP29" i="8"/>
  <c r="AF25" i="8"/>
  <c r="AF35" i="8"/>
  <c r="AK7" i="8"/>
  <c r="AK9" i="8"/>
  <c r="AA30" i="8"/>
  <c r="AP32" i="8"/>
  <c r="AK14" i="8"/>
  <c r="AP14" i="8"/>
  <c r="AU21" i="8"/>
  <c r="AA24" i="8"/>
  <c r="AA19" i="8"/>
  <c r="AP7" i="8"/>
  <c r="AP9" i="8"/>
  <c r="AF28" i="8"/>
  <c r="AU32" i="8"/>
  <c r="AA22" i="8"/>
  <c r="AF22" i="8"/>
  <c r="AK24" i="8"/>
  <c r="AK34" i="8"/>
  <c r="AU17" i="8"/>
  <c r="AF27" i="8"/>
  <c r="AA33" i="8"/>
  <c r="AA10" i="8"/>
  <c r="AU19" i="8"/>
  <c r="AP24" i="8"/>
  <c r="AP31" i="8"/>
  <c r="AP34" i="8"/>
  <c r="AK12" i="8"/>
  <c r="AF23" i="8"/>
  <c r="AA26" i="8"/>
  <c r="AK27" i="8"/>
  <c r="AF33" i="8"/>
  <c r="AF10" i="8"/>
  <c r="AU13" i="8"/>
  <c r="AK21" i="8"/>
  <c r="AP22" i="8"/>
  <c r="AU24" i="8"/>
  <c r="AU34" i="8"/>
  <c r="M29" i="8"/>
  <c r="M41" i="8"/>
  <c r="V23" i="8"/>
  <c r="AA23" i="8"/>
  <c r="AA17" i="8"/>
  <c r="AA21" i="8"/>
  <c r="AA15" i="8"/>
  <c r="AA32" i="8"/>
  <c r="AA9" i="8"/>
  <c r="AA34" i="8"/>
  <c r="AA28" i="8"/>
  <c r="AA25" i="8"/>
  <c r="AA13" i="8"/>
  <c r="AF6" i="8"/>
  <c r="AP6" i="8"/>
  <c r="AU6" i="8"/>
  <c r="AK6" i="8"/>
  <c r="AA6" i="8"/>
  <c r="AA16" i="8"/>
  <c r="AA14" i="8"/>
  <c r="AK15" i="8"/>
  <c r="AK17" i="8"/>
  <c r="AA18" i="8"/>
  <c r="AA20" i="8"/>
  <c r="AF29" i="8"/>
  <c r="AP30" i="8"/>
  <c r="AA27" i="8"/>
  <c r="AU27" i="8"/>
  <c r="AK19" i="8"/>
  <c r="AK28" i="8"/>
  <c r="AA12" i="8"/>
  <c r="AK13" i="8"/>
  <c r="AU14" i="8"/>
  <c r="AU16" i="8"/>
  <c r="AU18" i="8"/>
  <c r="AU20" i="8"/>
  <c r="V20" i="8"/>
  <c r="V21" i="8"/>
  <c r="V24" i="8"/>
  <c r="V26" i="8"/>
  <c r="V28" i="8"/>
  <c r="V34" i="8"/>
  <c r="AU7" i="8"/>
  <c r="AK11" i="8"/>
  <c r="AA8" i="8"/>
  <c r="J13" i="8"/>
  <c r="AP28" i="8"/>
  <c r="T35" i="3"/>
  <c r="T34" i="3"/>
  <c r="T16" i="3"/>
  <c r="T17" i="3"/>
  <c r="T19" i="3"/>
  <c r="M45" i="3"/>
  <c r="M37" i="3"/>
  <c r="T18" i="3"/>
  <c r="T20" i="3"/>
  <c r="T21" i="3"/>
  <c r="T6" i="3"/>
  <c r="T22" i="3"/>
  <c r="T7" i="3"/>
  <c r="T23" i="3"/>
  <c r="T8" i="3"/>
  <c r="T24" i="3"/>
  <c r="T9" i="3"/>
  <c r="T10" i="3"/>
  <c r="T11" i="3"/>
  <c r="T12" i="3"/>
  <c r="T13" i="3"/>
  <c r="T14" i="3"/>
  <c r="T25" i="3"/>
  <c r="T27" i="3"/>
  <c r="T29" i="3"/>
  <c r="T26" i="3"/>
  <c r="T28" i="3"/>
  <c r="T30" i="3"/>
  <c r="T31" i="3"/>
  <c r="T32" i="3"/>
  <c r="T33" i="3"/>
  <c r="J11" i="3"/>
  <c r="H29" i="3"/>
  <c r="E29" i="3"/>
  <c r="M22" i="3"/>
  <c r="AO21" i="3" s="1"/>
  <c r="AP21" i="3" s="1"/>
  <c r="B23" i="3"/>
  <c r="I29" i="3"/>
  <c r="D23" i="3"/>
  <c r="J29" i="3"/>
  <c r="F29" i="3"/>
  <c r="G29" i="3"/>
  <c r="C23" i="3"/>
  <c r="F23" i="3"/>
  <c r="M28" i="3"/>
  <c r="B29" i="3"/>
  <c r="C29" i="3"/>
  <c r="E23" i="3"/>
  <c r="V10" i="8" l="1"/>
  <c r="AJ37" i="8"/>
  <c r="V31" i="8"/>
  <c r="V29" i="8"/>
  <c r="V7" i="8"/>
  <c r="V9" i="8"/>
  <c r="V22" i="8"/>
  <c r="V13" i="8"/>
  <c r="V25" i="8"/>
  <c r="V15" i="8"/>
  <c r="V18" i="8"/>
  <c r="G13" i="8"/>
  <c r="I13" i="8"/>
  <c r="AO37" i="8"/>
  <c r="E13" i="8"/>
  <c r="V14" i="8"/>
  <c r="F13" i="8"/>
  <c r="Z37" i="8"/>
  <c r="V35" i="8"/>
  <c r="AT37" i="8"/>
  <c r="V12" i="8"/>
  <c r="H13" i="8"/>
  <c r="B13" i="8"/>
  <c r="AE37" i="8"/>
  <c r="V32" i="8"/>
  <c r="V30" i="8"/>
  <c r="D13" i="8"/>
  <c r="V19" i="8"/>
  <c r="V8" i="8"/>
  <c r="V33" i="8"/>
  <c r="V16" i="8"/>
  <c r="V11" i="8"/>
  <c r="V17" i="8"/>
  <c r="V27" i="8"/>
  <c r="Z13" i="3"/>
  <c r="AA13" i="3" s="1"/>
  <c r="AO18" i="3"/>
  <c r="AP18" i="3" s="1"/>
  <c r="AT13" i="3"/>
  <c r="AU13" i="3" s="1"/>
  <c r="Z29" i="3"/>
  <c r="AA29" i="3" s="1"/>
  <c r="AJ22" i="3"/>
  <c r="AK22" i="3" s="1"/>
  <c r="AE29" i="3"/>
  <c r="AF29" i="3" s="1"/>
  <c r="Z27" i="3"/>
  <c r="AA27" i="3" s="1"/>
  <c r="Z12" i="3"/>
  <c r="AA12" i="3" s="1"/>
  <c r="U16" i="3"/>
  <c r="V16" i="3" s="1"/>
  <c r="AE13" i="3"/>
  <c r="AF13" i="3" s="1"/>
  <c r="Z11" i="3"/>
  <c r="AA11" i="3" s="1"/>
  <c r="AJ16" i="3"/>
  <c r="AK16" i="3" s="1"/>
  <c r="AT9" i="3"/>
  <c r="AU9" i="3" s="1"/>
  <c r="AO22" i="3"/>
  <c r="AP22" i="3" s="1"/>
  <c r="AO14" i="3"/>
  <c r="AP14" i="3" s="1"/>
  <c r="AE24" i="3"/>
  <c r="AF24" i="3" s="1"/>
  <c r="AT12" i="3"/>
  <c r="AU12" i="3" s="1"/>
  <c r="Z20" i="3"/>
  <c r="AA20" i="3" s="1"/>
  <c r="AJ13" i="3"/>
  <c r="AK13" i="3" s="1"/>
  <c r="AJ29" i="3"/>
  <c r="AK29" i="3" s="1"/>
  <c r="AO9" i="3"/>
  <c r="AP9" i="3" s="1"/>
  <c r="AT30" i="3"/>
  <c r="AU30" i="3" s="1"/>
  <c r="AJ14" i="3"/>
  <c r="AK14" i="3" s="1"/>
  <c r="AJ17" i="3"/>
  <c r="AK17" i="3" s="1"/>
  <c r="AO23" i="3"/>
  <c r="AP23" i="3" s="1"/>
  <c r="AJ33" i="3"/>
  <c r="AK33" i="3" s="1"/>
  <c r="AJ19" i="3"/>
  <c r="AK19" i="3" s="1"/>
  <c r="AE32" i="3"/>
  <c r="AF32" i="3" s="1"/>
  <c r="U12" i="3"/>
  <c r="V12" i="3" s="1"/>
  <c r="U7" i="3"/>
  <c r="V7" i="3" s="1"/>
  <c r="AE22" i="3"/>
  <c r="AF22" i="3" s="1"/>
  <c r="AE26" i="3"/>
  <c r="AF26" i="3" s="1"/>
  <c r="AE16" i="3"/>
  <c r="AF16" i="3" s="1"/>
  <c r="AJ21" i="3"/>
  <c r="AK21" i="3" s="1"/>
  <c r="AT32" i="3"/>
  <c r="AU32" i="3" s="1"/>
  <c r="AJ28" i="3"/>
  <c r="AK28" i="3" s="1"/>
  <c r="Z26" i="3"/>
  <c r="AA26" i="3" s="1"/>
  <c r="AE10" i="3"/>
  <c r="AF10" i="3" s="1"/>
  <c r="AT8" i="3"/>
  <c r="AU8" i="3" s="1"/>
  <c r="AJ12" i="3"/>
  <c r="AK12" i="3" s="1"/>
  <c r="Z10" i="3"/>
  <c r="AA10" i="3" s="1"/>
  <c r="AT26" i="3"/>
  <c r="AU26" i="3" s="1"/>
  <c r="Z14" i="3"/>
  <c r="AA14" i="3" s="1"/>
  <c r="AJ11" i="3"/>
  <c r="AK11" i="3" s="1"/>
  <c r="Z19" i="3"/>
  <c r="AA19" i="3" s="1"/>
  <c r="AO32" i="3"/>
  <c r="AP32" i="3" s="1"/>
  <c r="AO8" i="3"/>
  <c r="AP8" i="3" s="1"/>
  <c r="U20" i="3"/>
  <c r="V20" i="3" s="1"/>
  <c r="AO16" i="3"/>
  <c r="AP16" i="3" s="1"/>
  <c r="AE35" i="3"/>
  <c r="AF35" i="3" s="1"/>
  <c r="AT22" i="3"/>
  <c r="AU22" i="3" s="1"/>
  <c r="AJ24" i="3"/>
  <c r="AK24" i="3" s="1"/>
  <c r="AT24" i="3"/>
  <c r="AU24" i="3" s="1"/>
  <c r="Z25" i="3"/>
  <c r="AA25" i="3" s="1"/>
  <c r="Z33" i="3"/>
  <c r="AA33" i="3" s="1"/>
  <c r="U17" i="3"/>
  <c r="V17" i="3" s="1"/>
  <c r="U9" i="3"/>
  <c r="V9" i="3" s="1"/>
  <c r="AT7" i="3"/>
  <c r="AU7" i="3" s="1"/>
  <c r="Z9" i="3"/>
  <c r="AA9" i="3" s="1"/>
  <c r="AT25" i="3"/>
  <c r="AU25" i="3" s="1"/>
  <c r="U13" i="3"/>
  <c r="V13" i="3" s="1"/>
  <c r="U18" i="3"/>
  <c r="V18" i="3" s="1"/>
  <c r="Z8" i="3"/>
  <c r="AA8" i="3" s="1"/>
  <c r="AE34" i="3"/>
  <c r="AF34" i="3" s="1"/>
  <c r="U35" i="3"/>
  <c r="V35" i="3" s="1"/>
  <c r="AJ25" i="3"/>
  <c r="AK25" i="3" s="1"/>
  <c r="AO27" i="3"/>
  <c r="AP27" i="3" s="1"/>
  <c r="AO13" i="3"/>
  <c r="AP13" i="3" s="1"/>
  <c r="AT20" i="3"/>
  <c r="AU20" i="3" s="1"/>
  <c r="AJ15" i="3"/>
  <c r="AK15" i="3" s="1"/>
  <c r="AO34" i="3"/>
  <c r="AP34" i="3" s="1"/>
  <c r="Z17" i="3"/>
  <c r="AA17" i="3" s="1"/>
  <c r="AE15" i="3"/>
  <c r="AF15" i="3" s="1"/>
  <c r="U23" i="3"/>
  <c r="V23" i="3" s="1"/>
  <c r="U14" i="3"/>
  <c r="V14" i="3" s="1"/>
  <c r="U11" i="3"/>
  <c r="V11" i="3" s="1"/>
  <c r="U30" i="3"/>
  <c r="V30" i="3" s="1"/>
  <c r="U25" i="3"/>
  <c r="V25" i="3" s="1"/>
  <c r="U19" i="3"/>
  <c r="V19" i="3" s="1"/>
  <c r="U28" i="3"/>
  <c r="V28" i="3" s="1"/>
  <c r="U22" i="3"/>
  <c r="V22" i="3" s="1"/>
  <c r="U10" i="3"/>
  <c r="V10" i="3" s="1"/>
  <c r="U15" i="3"/>
  <c r="V15" i="3" s="1"/>
  <c r="U21" i="3"/>
  <c r="V21" i="3" s="1"/>
  <c r="AE14" i="3"/>
  <c r="AF14" i="3" s="1"/>
  <c r="U8" i="3"/>
  <c r="V8" i="3" s="1"/>
  <c r="AJ26" i="3"/>
  <c r="AK26" i="3" s="1"/>
  <c r="AE33" i="3"/>
  <c r="AF33" i="3" s="1"/>
  <c r="AO26" i="3"/>
  <c r="AP26" i="3" s="1"/>
  <c r="AO29" i="3"/>
  <c r="AP29" i="3" s="1"/>
  <c r="AT14" i="3"/>
  <c r="AU14" i="3" s="1"/>
  <c r="AE31" i="3"/>
  <c r="AF31" i="3" s="1"/>
  <c r="AJ20" i="3"/>
  <c r="AK20" i="3" s="1"/>
  <c r="AJ27" i="3"/>
  <c r="AK27" i="3" s="1"/>
  <c r="AJ10" i="3"/>
  <c r="AK10" i="3" s="1"/>
  <c r="AT6" i="3"/>
  <c r="AO25" i="3"/>
  <c r="AP25" i="3" s="1"/>
  <c r="AE8" i="3"/>
  <c r="AF8" i="3" s="1"/>
  <c r="AO28" i="3"/>
  <c r="AP28" i="3" s="1"/>
  <c r="AT10" i="3"/>
  <c r="AU10" i="3" s="1"/>
  <c r="AT21" i="3"/>
  <c r="AU21" i="3" s="1"/>
  <c r="AJ6" i="3"/>
  <c r="AO7" i="3"/>
  <c r="AP7" i="3" s="1"/>
  <c r="AE30" i="3"/>
  <c r="AF30" i="3" s="1"/>
  <c r="AO11" i="3"/>
  <c r="AP11" i="3" s="1"/>
  <c r="AO12" i="3"/>
  <c r="AP12" i="3" s="1"/>
  <c r="AE19" i="3"/>
  <c r="AF19" i="3" s="1"/>
  <c r="Z28" i="3"/>
  <c r="AA28" i="3" s="1"/>
  <c r="AO31" i="3"/>
  <c r="AP31" i="3" s="1"/>
  <c r="AJ8" i="3"/>
  <c r="AK8" i="3" s="1"/>
  <c r="AJ9" i="3"/>
  <c r="AK9" i="3" s="1"/>
  <c r="AE18" i="3"/>
  <c r="AF18" i="3" s="1"/>
  <c r="U26" i="3"/>
  <c r="V26" i="3" s="1"/>
  <c r="AT17" i="3"/>
  <c r="AU17" i="3" s="1"/>
  <c r="AT23" i="3"/>
  <c r="AU23" i="3" s="1"/>
  <c r="AO33" i="3"/>
  <c r="AP33" i="3" s="1"/>
  <c r="AO15" i="3"/>
  <c r="AP15" i="3" s="1"/>
  <c r="AO10" i="3"/>
  <c r="AP10" i="3" s="1"/>
  <c r="Z22" i="3"/>
  <c r="AA22" i="3" s="1"/>
  <c r="Z15" i="3"/>
  <c r="AA15" i="3" s="1"/>
  <c r="AT35" i="3"/>
  <c r="AU35" i="3" s="1"/>
  <c r="AT34" i="3"/>
  <c r="AU34" i="3" s="1"/>
  <c r="AE7" i="3"/>
  <c r="AF7" i="3" s="1"/>
  <c r="AT33" i="3"/>
  <c r="AU33" i="3" s="1"/>
  <c r="AE23" i="3"/>
  <c r="AF23" i="3" s="1"/>
  <c r="Z34" i="3"/>
  <c r="AA34" i="3" s="1"/>
  <c r="AE20" i="3"/>
  <c r="AF20" i="3" s="1"/>
  <c r="AT31" i="3"/>
  <c r="AU31" i="3" s="1"/>
  <c r="AJ18" i="3"/>
  <c r="AK18" i="3" s="1"/>
  <c r="AT29" i="3"/>
  <c r="AU29" i="3" s="1"/>
  <c r="AJ23" i="3"/>
  <c r="AK23" i="3" s="1"/>
  <c r="AE28" i="3"/>
  <c r="AF28" i="3" s="1"/>
  <c r="AE12" i="3"/>
  <c r="AF12" i="3" s="1"/>
  <c r="Z23" i="3"/>
  <c r="AA23" i="3" s="1"/>
  <c r="Z7" i="3"/>
  <c r="AA7" i="3" s="1"/>
  <c r="Z18" i="3"/>
  <c r="AA18" i="3" s="1"/>
  <c r="AT28" i="3"/>
  <c r="AU28" i="3" s="1"/>
  <c r="AE27" i="3"/>
  <c r="AF27" i="3" s="1"/>
  <c r="AE11" i="3"/>
  <c r="AF11" i="3" s="1"/>
  <c r="Z6" i="3"/>
  <c r="Z31" i="3"/>
  <c r="AA31" i="3" s="1"/>
  <c r="AT27" i="3"/>
  <c r="AU27" i="3" s="1"/>
  <c r="AJ31" i="3"/>
  <c r="AK31" i="3" s="1"/>
  <c r="Z21" i="3"/>
  <c r="AA21" i="3" s="1"/>
  <c r="AT15" i="3"/>
  <c r="AU15" i="3" s="1"/>
  <c r="AJ32" i="3"/>
  <c r="AK32" i="3" s="1"/>
  <c r="AE25" i="3"/>
  <c r="AF25" i="3" s="1"/>
  <c r="AE9" i="3"/>
  <c r="AF9" i="3" s="1"/>
  <c r="AJ34" i="3"/>
  <c r="AK34" i="3" s="1"/>
  <c r="AJ35" i="3"/>
  <c r="AK35" i="3" s="1"/>
  <c r="AT19" i="3"/>
  <c r="AU19" i="3" s="1"/>
  <c r="AO6" i="3"/>
  <c r="AT18" i="3"/>
  <c r="AU18" i="3" s="1"/>
  <c r="AE21" i="3"/>
  <c r="AF21" i="3" s="1"/>
  <c r="Z32" i="3"/>
  <c r="AA32" i="3" s="1"/>
  <c r="Z16" i="3"/>
  <c r="AA16" i="3" s="1"/>
  <c r="AE6" i="3"/>
  <c r="AT11" i="3"/>
  <c r="AU11" i="3" s="1"/>
  <c r="AO30" i="3"/>
  <c r="AP30" i="3" s="1"/>
  <c r="AO20" i="3"/>
  <c r="AP20" i="3" s="1"/>
  <c r="AO17" i="3"/>
  <c r="AP17" i="3" s="1"/>
  <c r="Z24" i="3"/>
  <c r="AA24" i="3" s="1"/>
  <c r="Z35" i="3"/>
  <c r="AA35" i="3" s="1"/>
  <c r="AE17" i="3"/>
  <c r="AF17" i="3" s="1"/>
  <c r="AO19" i="3"/>
  <c r="AP19" i="3" s="1"/>
  <c r="U24" i="3"/>
  <c r="V24" i="3" s="1"/>
  <c r="AT16" i="3"/>
  <c r="AU16" i="3" s="1"/>
  <c r="U6" i="3"/>
  <c r="AJ30" i="3"/>
  <c r="AK30" i="3" s="1"/>
  <c r="AO24" i="3"/>
  <c r="AP24" i="3" s="1"/>
  <c r="AJ7" i="3"/>
  <c r="AK7" i="3" s="1"/>
  <c r="Z30" i="3"/>
  <c r="AA30" i="3" s="1"/>
  <c r="AO35" i="3"/>
  <c r="AP35" i="3" s="1"/>
  <c r="U32" i="3"/>
  <c r="V32" i="3" s="1"/>
  <c r="U31" i="3"/>
  <c r="V31" i="3" s="1"/>
  <c r="U29" i="3"/>
  <c r="V29" i="3" s="1"/>
  <c r="U27" i="3"/>
  <c r="V27" i="3" s="1"/>
  <c r="U33" i="3"/>
  <c r="V33" i="3" s="1"/>
  <c r="U34" i="3"/>
  <c r="V34" i="3" s="1"/>
  <c r="M29" i="3"/>
  <c r="M23" i="3"/>
  <c r="M13" i="8" l="1"/>
  <c r="U37" i="8"/>
  <c r="AF6" i="3"/>
  <c r="AE37" i="3"/>
  <c r="AP6" i="3"/>
  <c r="AO37" i="3"/>
  <c r="AK6" i="3"/>
  <c r="AJ37" i="3"/>
  <c r="AU6" i="3"/>
  <c r="AT37" i="3"/>
  <c r="AA6" i="3"/>
  <c r="Z37" i="3"/>
  <c r="U37" i="3"/>
  <c r="I12" i="3"/>
  <c r="E12" i="3"/>
  <c r="B12" i="3"/>
  <c r="M11" i="3"/>
  <c r="N11" i="3" s="1"/>
  <c r="J12" i="3"/>
  <c r="F12" i="3"/>
  <c r="D12" i="3" l="1"/>
  <c r="H12" i="3"/>
  <c r="G12" i="3"/>
  <c r="M12" i="3" l="1"/>
  <c r="M35" i="8"/>
</calcChain>
</file>

<file path=xl/sharedStrings.xml><?xml version="1.0" encoding="utf-8"?>
<sst xmlns="http://schemas.openxmlformats.org/spreadsheetml/2006/main" count="424" uniqueCount="114">
  <si>
    <t>트리니티</t>
    <phoneticPr fontId="1" type="noConversion"/>
  </si>
  <si>
    <t>소시엑</t>
    <phoneticPr fontId="1" type="noConversion"/>
  </si>
  <si>
    <t>스포트라이트</t>
    <phoneticPr fontId="1" type="noConversion"/>
  </si>
  <si>
    <t>마스코트</t>
    <phoneticPr fontId="1" type="noConversion"/>
  </si>
  <si>
    <t>트퓨</t>
    <phoneticPr fontId="1" type="noConversion"/>
  </si>
  <si>
    <t>노바</t>
    <phoneticPr fontId="1" type="noConversion"/>
  </si>
  <si>
    <t>에버</t>
    <phoneticPr fontId="1" type="noConversion"/>
  </si>
  <si>
    <t>데미지</t>
    <phoneticPr fontId="1" type="noConversion"/>
  </si>
  <si>
    <t>점유율</t>
    <phoneticPr fontId="1" type="noConversion"/>
  </si>
  <si>
    <t>타수</t>
    <phoneticPr fontId="1" type="noConversion"/>
  </si>
  <si>
    <t>합</t>
    <phoneticPr fontId="1" type="noConversion"/>
  </si>
  <si>
    <t>그피:풍선</t>
    <phoneticPr fontId="1" type="noConversion"/>
  </si>
  <si>
    <t>그피</t>
    <phoneticPr fontId="1" type="noConversion"/>
  </si>
  <si>
    <t>트리6</t>
    <phoneticPr fontId="1" type="noConversion"/>
  </si>
  <si>
    <t>-</t>
    <phoneticPr fontId="1" type="noConversion"/>
  </si>
  <si>
    <t>증가량(%)</t>
    <phoneticPr fontId="1" type="noConversion"/>
  </si>
  <si>
    <t>강화수치</t>
    <phoneticPr fontId="1" type="noConversion"/>
  </si>
  <si>
    <t>해당 강화 데미지</t>
    <phoneticPr fontId="1" type="noConversion"/>
  </si>
  <si>
    <t>-</t>
  </si>
  <si>
    <t>6차 x</t>
    <phoneticPr fontId="1" type="noConversion"/>
  </si>
  <si>
    <t>6차 x 대비 비율</t>
  </si>
  <si>
    <t>6차 x 대비 비율</t>
    <phoneticPr fontId="1" type="noConversion"/>
  </si>
  <si>
    <t>현재 데미지</t>
    <phoneticPr fontId="1" type="noConversion"/>
  </si>
  <si>
    <t>그피:풍선 (소시엑)</t>
    <phoneticPr fontId="1" type="noConversion"/>
  </si>
  <si>
    <t>강화코어랩</t>
    <phoneticPr fontId="1" type="noConversion"/>
  </si>
  <si>
    <t>최종뎀</t>
    <phoneticPr fontId="1" type="noConversion"/>
  </si>
  <si>
    <t>그피 보총</t>
    <phoneticPr fontId="1" type="noConversion"/>
  </si>
  <si>
    <t>그피 최종뎀 보정</t>
    <phoneticPr fontId="1" type="noConversion"/>
  </si>
  <si>
    <t>오리진</t>
  </si>
  <si>
    <t>오리진</t>
    <phoneticPr fontId="1" type="noConversion"/>
  </si>
  <si>
    <t>필요조각수</t>
    <phoneticPr fontId="1" type="noConversion"/>
  </si>
  <si>
    <t>오리진 랩</t>
    <phoneticPr fontId="1" type="noConversion"/>
  </si>
  <si>
    <t>마스터리 랩</t>
    <phoneticPr fontId="1" type="noConversion"/>
  </si>
  <si>
    <t>코어 강화 효율</t>
    <phoneticPr fontId="1" type="noConversion"/>
  </si>
  <si>
    <t>딜</t>
    <phoneticPr fontId="1" type="noConversion"/>
  </si>
  <si>
    <t>0&gt;1</t>
  </si>
  <si>
    <t>1&gt;2</t>
  </si>
  <si>
    <t>2&gt;3</t>
  </si>
  <si>
    <t>3&gt;4</t>
  </si>
  <si>
    <t>에버</t>
  </si>
  <si>
    <t>스포트</t>
  </si>
  <si>
    <t>스포트</t>
    <phoneticPr fontId="1" type="noConversion"/>
  </si>
  <si>
    <t>트퓨</t>
  </si>
  <si>
    <t>트리6</t>
  </si>
  <si>
    <t>마스코트</t>
  </si>
  <si>
    <t>딜상승량(%)</t>
    <phoneticPr fontId="1" type="noConversion"/>
  </si>
  <si>
    <t>누적상승량(%)</t>
    <phoneticPr fontId="1" type="noConversion"/>
  </si>
  <si>
    <t>*상승량 기준 : 6차 패치전 기준</t>
    <phoneticPr fontId="1" type="noConversion"/>
  </si>
  <si>
    <t>딜상승량(%)/100조각</t>
    <phoneticPr fontId="1" type="noConversion"/>
  </si>
  <si>
    <t>코어랩</t>
  </si>
  <si>
    <t>코어랩</t>
    <phoneticPr fontId="1" type="noConversion"/>
  </si>
  <si>
    <t>4&gt;5</t>
  </si>
  <si>
    <t>5&gt;6</t>
  </si>
  <si>
    <t>6&gt;7</t>
  </si>
  <si>
    <t>7&gt;8</t>
  </si>
  <si>
    <t>8&gt;9</t>
  </si>
  <si>
    <t>9&gt;10</t>
  </si>
  <si>
    <t>10&gt;11</t>
  </si>
  <si>
    <t>11&gt;12</t>
  </si>
  <si>
    <t>12&gt;13</t>
  </si>
  <si>
    <t>13&gt;14</t>
  </si>
  <si>
    <t>14&gt;15</t>
  </si>
  <si>
    <t>15&gt;16</t>
  </si>
  <si>
    <t>16&gt;17</t>
  </si>
  <si>
    <t>17&gt;18</t>
  </si>
  <si>
    <t>18&gt;19</t>
  </si>
  <si>
    <t>19&gt;20</t>
  </si>
  <si>
    <t>20&gt;21</t>
  </si>
  <si>
    <t>21&gt;22</t>
  </si>
  <si>
    <t>22&gt;23</t>
  </si>
  <si>
    <t>23&gt;24</t>
  </si>
  <si>
    <t>24&gt;25</t>
  </si>
  <si>
    <t>25&gt;26</t>
  </si>
  <si>
    <t>26&gt;27</t>
  </si>
  <si>
    <t>27&gt;28</t>
  </si>
  <si>
    <t>28&gt;29</t>
  </si>
  <si>
    <t>29&gt;30</t>
  </si>
  <si>
    <t>딜상승량(%) / 100개 조각 - 40초딜</t>
    <phoneticPr fontId="1" type="noConversion"/>
  </si>
  <si>
    <t>딜상승량(%) - 40초딜</t>
    <phoneticPr fontId="1" type="noConversion"/>
  </si>
  <si>
    <t xml:space="preserve"> </t>
    <phoneticPr fontId="1" type="noConversion"/>
  </si>
  <si>
    <t>소시엑</t>
  </si>
  <si>
    <t>스포트라이트</t>
  </si>
  <si>
    <t>노바</t>
  </si>
  <si>
    <t>그피:풍선</t>
  </si>
  <si>
    <t>그피</t>
  </si>
  <si>
    <t>합</t>
  </si>
  <si>
    <t>데미지</t>
  </si>
  <si>
    <t>점유율</t>
  </si>
  <si>
    <t>타수</t>
  </si>
  <si>
    <t>오리진 1랩 *리테4(풀유지)</t>
    <phoneticPr fontId="1" type="noConversion"/>
  </si>
  <si>
    <t>오리진 1랩 *리레3(리레전, 공퍼 60% 기준)</t>
    <phoneticPr fontId="1" type="noConversion"/>
  </si>
  <si>
    <r>
      <t>딜사이클 : 하이퍼-옵드-(전분)-스포트-엔링</t>
    </r>
    <r>
      <rPr>
        <b/>
        <sz val="11"/>
        <color rgb="FFFF0000"/>
        <rFont val="맑은 고딕"/>
        <family val="3"/>
        <charset val="129"/>
        <scheme val="minor"/>
      </rPr>
      <t>-리레-브레스-</t>
    </r>
    <r>
      <rPr>
        <b/>
        <sz val="11"/>
        <color theme="1"/>
        <rFont val="맑은 고딕"/>
        <family val="3"/>
        <charset val="129"/>
        <scheme val="minor"/>
      </rPr>
      <t>그피-(6차 딜레이)-노바-에버</t>
    </r>
    <phoneticPr fontId="1" type="noConversion"/>
  </si>
  <si>
    <r>
      <t>딜사이클 : 하이퍼-옵드-(전분)-스포트-엔링-그피-(6차 딜레이)</t>
    </r>
    <r>
      <rPr>
        <b/>
        <sz val="11"/>
        <color rgb="FFFF0000"/>
        <rFont val="맑은 고딕"/>
        <family val="3"/>
        <charset val="129"/>
        <scheme val="minor"/>
      </rPr>
      <t>-리레-브레스-</t>
    </r>
    <r>
      <rPr>
        <b/>
        <sz val="11"/>
        <color theme="1"/>
        <rFont val="맑은 고딕"/>
        <family val="3"/>
        <charset val="129"/>
        <scheme val="minor"/>
      </rPr>
      <t>노바-에버</t>
    </r>
    <phoneticPr fontId="1" type="noConversion"/>
  </si>
  <si>
    <r>
      <t>딜사이클 : 하이퍼-옵드-(전분)-스포트-엔링-</t>
    </r>
    <r>
      <rPr>
        <b/>
        <sz val="11"/>
        <color rgb="FF0070C0"/>
        <rFont val="맑은 고딕"/>
        <family val="3"/>
        <charset val="129"/>
        <scheme val="minor"/>
      </rPr>
      <t>리테-</t>
    </r>
    <r>
      <rPr>
        <b/>
        <sz val="11"/>
        <color theme="1"/>
        <rFont val="맑은 고딕"/>
        <family val="3"/>
        <charset val="129"/>
        <scheme val="minor"/>
      </rPr>
      <t>그피-(6차 딜레이)</t>
    </r>
    <r>
      <rPr>
        <b/>
        <sz val="11"/>
        <color rgb="FFFF0000"/>
        <rFont val="맑은 고딕"/>
        <family val="3"/>
        <charset val="129"/>
        <scheme val="minor"/>
      </rPr>
      <t>-에버-브레스-</t>
    </r>
    <r>
      <rPr>
        <b/>
        <sz val="11"/>
        <color theme="1"/>
        <rFont val="맑은 고딕"/>
        <family val="3"/>
        <charset val="129"/>
        <scheme val="minor"/>
      </rPr>
      <t>노바-해방무적</t>
    </r>
    <phoneticPr fontId="1" type="noConversion"/>
  </si>
  <si>
    <t>오리진 1랩 *리레3(리레후, 공퍼 60% 기준)</t>
    <phoneticPr fontId="1" type="noConversion"/>
  </si>
  <si>
    <t>6차 강화상태별 계산 *리레(전) 기준</t>
    <phoneticPr fontId="1" type="noConversion"/>
  </si>
  <si>
    <t>40초딜</t>
    <phoneticPr fontId="1" type="noConversion"/>
  </si>
  <si>
    <t>수정가능칸</t>
    <phoneticPr fontId="1" type="noConversion"/>
  </si>
  <si>
    <t>2분딜 : 스인미/크오솔/그여축 미고려 : 비슷할듯</t>
    <phoneticPr fontId="1" type="noConversion"/>
  </si>
  <si>
    <t>6차 강화상태별 계산 *6차 사이클 : 리레(전)-리테 기준</t>
    <phoneticPr fontId="1" type="noConversion"/>
  </si>
  <si>
    <r>
      <t>리레 딜사이클 : 하이퍼-옵드-(전분)-스포트-엔링</t>
    </r>
    <r>
      <rPr>
        <b/>
        <sz val="11"/>
        <color rgb="FFFF0000"/>
        <rFont val="맑은 고딕"/>
        <family val="3"/>
        <charset val="129"/>
        <scheme val="minor"/>
      </rPr>
      <t>-리레-브레스-</t>
    </r>
    <r>
      <rPr>
        <b/>
        <sz val="11"/>
        <color theme="1"/>
        <rFont val="맑은 고딕"/>
        <family val="3"/>
        <charset val="129"/>
        <scheme val="minor"/>
      </rPr>
      <t>그피-(6차 딜레이)-노바-에버</t>
    </r>
    <phoneticPr fontId="1" type="noConversion"/>
  </si>
  <si>
    <r>
      <t>리테 딜사이클 : 하이퍼-옵드-(전분)-스포트-엔링-</t>
    </r>
    <r>
      <rPr>
        <b/>
        <sz val="11"/>
        <color rgb="FF0070C0"/>
        <rFont val="맑은 고딕"/>
        <family val="3"/>
        <charset val="129"/>
        <scheme val="minor"/>
      </rPr>
      <t>리테-</t>
    </r>
    <r>
      <rPr>
        <b/>
        <sz val="11"/>
        <color theme="1"/>
        <rFont val="맑은 고딕"/>
        <family val="3"/>
        <charset val="129"/>
        <scheme val="minor"/>
      </rPr>
      <t>그피-(6차 딜레이)</t>
    </r>
    <r>
      <rPr>
        <b/>
        <sz val="11"/>
        <color rgb="FFFF0000"/>
        <rFont val="맑은 고딕"/>
        <family val="3"/>
        <charset val="129"/>
        <scheme val="minor"/>
      </rPr>
      <t>-에버-브레스-</t>
    </r>
    <r>
      <rPr>
        <b/>
        <sz val="11"/>
        <color theme="1"/>
        <rFont val="맑은 고딕"/>
        <family val="3"/>
        <charset val="129"/>
        <scheme val="minor"/>
      </rPr>
      <t>노바-해방무적 (풀유지)</t>
    </r>
    <phoneticPr fontId="1" type="noConversion"/>
  </si>
  <si>
    <t>6차 x *리레3(공퍼 60% 기준)</t>
    <phoneticPr fontId="1" type="noConversion"/>
  </si>
  <si>
    <t>* 전분 모음(114초)</t>
    <phoneticPr fontId="1" type="noConversion"/>
  </si>
  <si>
    <t>*페투 미표기</t>
    <phoneticPr fontId="1" type="noConversion"/>
  </si>
  <si>
    <t>6차 x(평균)</t>
    <phoneticPr fontId="1" type="noConversion"/>
  </si>
  <si>
    <t>6차 x *리테4(공퍼 60% 기준 /20초 유지)</t>
    <phoneticPr fontId="1" type="noConversion"/>
  </si>
  <si>
    <t>오리진 1랩</t>
    <phoneticPr fontId="1" type="noConversion"/>
  </si>
  <si>
    <t>*40초 시트값 바꿀것</t>
    <phoneticPr fontId="1" type="noConversion"/>
  </si>
  <si>
    <t>딜상승량(%) / 100개 조각 - dpm(리레/리테 사이클)</t>
    <phoneticPr fontId="1" type="noConversion"/>
  </si>
  <si>
    <t>딜상승량(%) - dpm(리레/리테 사이클)</t>
    <phoneticPr fontId="1" type="noConversion"/>
  </si>
  <si>
    <t>DPM 증가(%)</t>
    <phoneticPr fontId="1" type="noConversion"/>
  </si>
  <si>
    <t>40초딜 증가(%)</t>
    <phoneticPr fontId="1" type="noConversion"/>
  </si>
  <si>
    <t>* 전분 모음 (40초)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</si>
</sst>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10" xfId="0" applyBorder="1">
      <alignment vertical="center"/>
    </xf>
    <xf numFmtId="0" fontId="0" fillId="2" borderId="9" xfId="0" applyFill="1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176" fontId="0" fillId="0" borderId="12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3" fillId="0" borderId="10" xfId="0" applyNumberFormat="1" applyFont="1" applyBorder="1">
      <alignment vertical="center"/>
    </xf>
    <xf numFmtId="176" fontId="0" fillId="0" borderId="26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2" fillId="2" borderId="9" xfId="0" applyFont="1" applyFill="1" applyBorder="1">
      <alignment vertical="center"/>
    </xf>
    <xf numFmtId="0" fontId="0" fillId="3" borderId="9" xfId="0" applyFill="1" applyBorder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F226-9996-4C8D-BD90-D18795661BA0}">
  <dimension ref="A1:AU48"/>
  <sheetViews>
    <sheetView zoomScale="55" zoomScaleNormal="55" workbookViewId="0">
      <selection activeCell="P26" sqref="P26"/>
    </sheetView>
  </sheetViews>
  <sheetFormatPr defaultRowHeight="16.5" x14ac:dyDescent="0.3"/>
  <cols>
    <col min="1" max="1" width="26" customWidth="1"/>
    <col min="2" max="2" width="10.375" customWidth="1"/>
    <col min="4" max="4" width="13" bestFit="1" customWidth="1"/>
    <col min="9" max="9" width="15.875" customWidth="1"/>
    <col min="13" max="13" width="12.5" bestFit="1" customWidth="1"/>
    <col min="18" max="18" width="9" hidden="1" customWidth="1"/>
    <col min="19" max="19" width="14.375" customWidth="1"/>
    <col min="20" max="20" width="14.375" hidden="1" customWidth="1"/>
    <col min="21" max="21" width="11.5" customWidth="1"/>
    <col min="22" max="22" width="18.875" customWidth="1"/>
    <col min="24" max="24" width="14.125" hidden="1" customWidth="1"/>
    <col min="25" max="25" width="0" hidden="1" customWidth="1"/>
    <col min="26" max="26" width="12.125" bestFit="1" customWidth="1"/>
    <col min="27" max="27" width="19.5" customWidth="1"/>
    <col min="29" max="30" width="0" hidden="1" customWidth="1"/>
    <col min="31" max="31" width="12.125" bestFit="1" customWidth="1"/>
    <col min="32" max="32" width="18.125" customWidth="1"/>
    <col min="34" max="35" width="0" hidden="1" customWidth="1"/>
    <col min="36" max="36" width="12.125" bestFit="1" customWidth="1"/>
    <col min="37" max="37" width="19" customWidth="1"/>
    <col min="39" max="40" width="0" hidden="1" customWidth="1"/>
    <col min="41" max="41" width="12.125" bestFit="1" customWidth="1"/>
    <col min="42" max="42" width="18.5" customWidth="1"/>
    <col min="44" max="45" width="0" hidden="1" customWidth="1"/>
    <col min="46" max="46" width="12.125" bestFit="1" customWidth="1"/>
    <col min="47" max="47" width="19" customWidth="1"/>
  </cols>
  <sheetData>
    <row r="1" spans="1:47" ht="27" thickBot="1" x14ac:dyDescent="0.35">
      <c r="A1" s="35" t="s">
        <v>96</v>
      </c>
      <c r="S1" s="35" t="s">
        <v>33</v>
      </c>
    </row>
    <row r="2" spans="1:47" ht="17.25" thickBot="1" x14ac:dyDescent="0.35">
      <c r="B2" s="44" t="s">
        <v>97</v>
      </c>
      <c r="U2" t="s">
        <v>47</v>
      </c>
    </row>
    <row r="3" spans="1:47" ht="17.25" thickBot="1" x14ac:dyDescent="0.35">
      <c r="P3" s="11" t="s">
        <v>26</v>
      </c>
      <c r="Q3" s="12">
        <v>550</v>
      </c>
    </row>
    <row r="4" spans="1:47" ht="17.25" x14ac:dyDescent="0.3">
      <c r="S4" s="36"/>
      <c r="T4" s="1"/>
      <c r="U4" s="37" t="s">
        <v>29</v>
      </c>
      <c r="V4" s="37" t="s">
        <v>29</v>
      </c>
      <c r="W4" s="37"/>
      <c r="X4" s="37"/>
      <c r="Y4" s="37"/>
      <c r="Z4" s="37" t="s">
        <v>13</v>
      </c>
      <c r="AA4" s="37" t="s">
        <v>13</v>
      </c>
      <c r="AB4" s="37"/>
      <c r="AC4" s="37"/>
      <c r="AD4" s="37"/>
      <c r="AE4" s="37" t="s">
        <v>41</v>
      </c>
      <c r="AF4" s="37" t="s">
        <v>41</v>
      </c>
      <c r="AG4" s="37"/>
      <c r="AH4" s="37"/>
      <c r="AI4" s="37"/>
      <c r="AJ4" s="37" t="s">
        <v>6</v>
      </c>
      <c r="AK4" s="37" t="s">
        <v>6</v>
      </c>
      <c r="AL4" s="37"/>
      <c r="AM4" s="37"/>
      <c r="AN4" s="37"/>
      <c r="AO4" s="37" t="s">
        <v>4</v>
      </c>
      <c r="AP4" s="37" t="s">
        <v>4</v>
      </c>
      <c r="AQ4" s="37"/>
      <c r="AR4" s="37"/>
      <c r="AS4" s="37"/>
      <c r="AT4" s="37" t="s">
        <v>3</v>
      </c>
      <c r="AU4" s="38" t="s">
        <v>3</v>
      </c>
    </row>
    <row r="5" spans="1:47" ht="17.25" thickBot="1" x14ac:dyDescent="0.35">
      <c r="S5" s="39" t="s">
        <v>50</v>
      </c>
      <c r="T5" s="13" t="s">
        <v>34</v>
      </c>
      <c r="U5" s="13" t="s">
        <v>45</v>
      </c>
      <c r="V5" s="13" t="s">
        <v>48</v>
      </c>
      <c r="W5" s="13"/>
      <c r="X5" s="13" t="s">
        <v>13</v>
      </c>
      <c r="Y5" s="13" t="s">
        <v>34</v>
      </c>
      <c r="Z5" s="13" t="s">
        <v>45</v>
      </c>
      <c r="AA5" s="13" t="s">
        <v>48</v>
      </c>
      <c r="AB5" s="13"/>
      <c r="AC5" s="13" t="s">
        <v>41</v>
      </c>
      <c r="AD5" s="13" t="s">
        <v>34</v>
      </c>
      <c r="AE5" s="13" t="s">
        <v>45</v>
      </c>
      <c r="AF5" s="13" t="s">
        <v>48</v>
      </c>
      <c r="AG5" s="13"/>
      <c r="AH5" s="13" t="s">
        <v>6</v>
      </c>
      <c r="AI5" s="13" t="s">
        <v>34</v>
      </c>
      <c r="AJ5" s="13" t="s">
        <v>45</v>
      </c>
      <c r="AK5" s="13" t="s">
        <v>48</v>
      </c>
      <c r="AL5" s="13"/>
      <c r="AM5" s="13" t="s">
        <v>4</v>
      </c>
      <c r="AN5" s="13" t="s">
        <v>34</v>
      </c>
      <c r="AO5" s="13" t="s">
        <v>45</v>
      </c>
      <c r="AP5" s="13" t="s">
        <v>48</v>
      </c>
      <c r="AQ5" s="13"/>
      <c r="AR5" s="13" t="s">
        <v>3</v>
      </c>
      <c r="AS5" s="13" t="s">
        <v>34</v>
      </c>
      <c r="AT5" s="13" t="s">
        <v>45</v>
      </c>
      <c r="AU5" s="40" t="s">
        <v>48</v>
      </c>
    </row>
    <row r="6" spans="1:47" x14ac:dyDescent="0.3">
      <c r="A6" s="8" t="s">
        <v>95</v>
      </c>
      <c r="B6" s="10"/>
      <c r="C6" s="10"/>
      <c r="D6" s="10" t="s">
        <v>91</v>
      </c>
      <c r="E6" s="10"/>
      <c r="F6" s="1"/>
      <c r="G6" s="10"/>
      <c r="H6" s="10"/>
      <c r="I6" s="1"/>
      <c r="J6" s="1"/>
      <c r="K6" s="1"/>
      <c r="L6" s="1"/>
      <c r="M6" s="1"/>
      <c r="N6" s="2"/>
      <c r="R6">
        <v>0</v>
      </c>
      <c r="S6" s="39" t="str">
        <f>TEXT($R6,"@")&amp;"&gt;"&amp;TEXT($R6+1,"@")</f>
        <v>0&gt;1</v>
      </c>
      <c r="T6" s="13">
        <f>$I$28/$I$8*(500+6*($R6+1))+$J$28/$J$8*(((2400+80*($R6+1)))*8*3 + (3600+120*($R6+1))*14*7)*VLOOKUP($R6+1,'강화코어 수치, 재료'!$D$1:$E$32,2,FALSE)</f>
        <v>23.119999999999997</v>
      </c>
      <c r="U6" s="13">
        <f>(T6-$T$6+$M$28-$M$22)/$M$22*100</f>
        <v>41.692695214105804</v>
      </c>
      <c r="V6" s="13" t="s">
        <v>14</v>
      </c>
      <c r="W6" s="13"/>
      <c r="X6" s="13" t="str">
        <f>TEXT($R6,"@")&amp;"&gt;"&amp;TEXT($R6+1,"@")</f>
        <v>0&gt;1</v>
      </c>
      <c r="Y6" s="13">
        <f t="shared" ref="Y6:Y35" si="0">$B$28/$B$8*(630+13*($R6+1))</f>
        <v>5.9675616224648982</v>
      </c>
      <c r="Z6" s="13">
        <f>(Y6-$B$28)/$M$22*100</f>
        <v>6.2339622048357149E-2</v>
      </c>
      <c r="AA6" s="13">
        <f>Z6/'강화코어 수치, 재료'!L3*100</f>
        <v>0.1246792440967143</v>
      </c>
      <c r="AB6" s="13"/>
      <c r="AC6" s="13" t="str">
        <f>TEXT($R6,"@")&amp;"&gt;"&amp;TEXT($R6+1,"@")</f>
        <v>0&gt;1</v>
      </c>
      <c r="AD6" s="13">
        <f>$D$28*VLOOKUP($R6+1,'강화코어 수치, 재료'!$A$1:$B$32,2,FALSE)</f>
        <v>6.0051000000000005</v>
      </c>
      <c r="AE6" s="13">
        <f>(AD6-$D$28)/$M$22*100</f>
        <v>1.9986565910999172</v>
      </c>
      <c r="AF6" s="13">
        <f>AE6/'강화코어 수치, 재료'!$O3*100</f>
        <v>2.6648754547998896</v>
      </c>
      <c r="AG6" s="13"/>
      <c r="AH6" s="13" t="str">
        <f>TEXT($R6,"@")&amp;"&gt;"&amp;TEXT($R6+1,"@")</f>
        <v>0&gt;1</v>
      </c>
      <c r="AI6" s="13">
        <f>$H$28*VLOOKUP($R6+1,'강화코어 수치, 재료'!$A$1:$B$32,2,FALSE)</f>
        <v>3.33</v>
      </c>
      <c r="AJ6" s="13">
        <f>(AI6-$H$28)/$M$22*100</f>
        <v>1.1083123425692696</v>
      </c>
      <c r="AK6" s="13">
        <f>AJ6/'강화코어 수치, 재료'!$O3*100</f>
        <v>1.4777497900923595</v>
      </c>
      <c r="AL6" s="13"/>
      <c r="AM6" s="13" t="str">
        <f>TEXT($R6,"@")&amp;"&gt;"&amp;TEXT($R6+1,"@")</f>
        <v>0&gt;1</v>
      </c>
      <c r="AN6" s="13">
        <f>$F$28*VLOOKUP($R6+1,'강화코어 수치, 재료'!$A$1:$B$32,2,FALSE)</f>
        <v>1.1655000000000002</v>
      </c>
      <c r="AO6" s="13">
        <f>(AN6-$F$28)/$M$22*100</f>
        <v>0.38790931989924488</v>
      </c>
      <c r="AP6" s="13">
        <f>AO6/'강화코어 수치, 재료'!$O3*100</f>
        <v>0.51721242653232657</v>
      </c>
      <c r="AQ6" s="13"/>
      <c r="AR6" s="13" t="str">
        <f>TEXT($R6,"@")&amp;"&gt;"&amp;TEXT($R6+1,"@")</f>
        <v>0&gt;1</v>
      </c>
      <c r="AS6" s="13">
        <f>$E$28*VLOOKUP($R6+1,'강화코어 수치, 재료'!$A$1:$B$32,2,FALSE)</f>
        <v>3.0414000000000003</v>
      </c>
      <c r="AT6" s="13">
        <f>(AS6-$E$28)/$M$22*100</f>
        <v>1.0122586062132666</v>
      </c>
      <c r="AU6" s="40">
        <f>AT6/'강화코어 수치, 재료'!$O3*100</f>
        <v>1.3496781416176888</v>
      </c>
    </row>
    <row r="7" spans="1:47" x14ac:dyDescent="0.3">
      <c r="A7" s="3" t="s">
        <v>16</v>
      </c>
      <c r="B7" s="33">
        <v>0</v>
      </c>
      <c r="D7" s="33">
        <v>0</v>
      </c>
      <c r="E7" s="33">
        <v>0</v>
      </c>
      <c r="F7" s="33">
        <v>0</v>
      </c>
      <c r="G7" t="s">
        <v>14</v>
      </c>
      <c r="H7" s="33">
        <v>0</v>
      </c>
      <c r="I7" s="33">
        <v>30</v>
      </c>
      <c r="J7" s="33">
        <v>30</v>
      </c>
      <c r="N7" s="4"/>
      <c r="R7">
        <v>1</v>
      </c>
      <c r="S7" s="39" t="str">
        <f t="shared" ref="S7:S35" si="1">TEXT($R7,"@")&amp;"&gt;"&amp;TEXT($R7+1,"@")</f>
        <v>1&gt;2</v>
      </c>
      <c r="T7" s="13">
        <f>$I$28/$I$8*(500+6*($R7+1))+$J$28/$J$8*(((2400+80*($R7+1)))*8*3 + (3600+120*($R7+1))*14*7)*VLOOKUP($R7+1,'강화코어 수치, 재료'!$D$1:$E$32,2,FALSE)</f>
        <v>23.588361596327935</v>
      </c>
      <c r="U7" s="13">
        <f t="shared" ref="U7:U35" si="2">(T7-T6)/$M$22*100</f>
        <v>1.5730028424112104</v>
      </c>
      <c r="V7" s="13">
        <f>U7/'강화코어 수치, 재료'!I4*100</f>
        <v>5.2433428080373679</v>
      </c>
      <c r="W7" s="13"/>
      <c r="X7" s="13" t="str">
        <f t="shared" ref="X7:X35" si="3">TEXT($R7,"@")&amp;"&gt;"&amp;TEXT($R7+1,"@")</f>
        <v>1&gt;2</v>
      </c>
      <c r="Y7" s="13">
        <f t="shared" si="0"/>
        <v>6.0882121684867396</v>
      </c>
      <c r="Z7" s="13">
        <f t="shared" ref="Z7:Z35" si="4">(Y7-Y6)/$M$22*100</f>
        <v>0.4052075433143289</v>
      </c>
      <c r="AA7" s="13">
        <f>Z7/'강화코어 수치, 재료'!L4*100</f>
        <v>2.7013836220955261</v>
      </c>
      <c r="AB7" s="13"/>
      <c r="AC7" s="13" t="str">
        <f t="shared" ref="AC7:AC35" si="5">TEXT($R7,"@")&amp;"&gt;"&amp;TEXT($R7+1,"@")</f>
        <v>1&gt;2</v>
      </c>
      <c r="AD7" s="13">
        <f>$D$28*VLOOKUP($R7+1,'강화코어 수치, 재료'!$A$1:$B$32,2,FALSE)</f>
        <v>6.0592000000000006</v>
      </c>
      <c r="AE7" s="13">
        <f t="shared" ref="AE7:AE35" si="6">(AD7-AD6)/$M$22*100</f>
        <v>0.18169605373635611</v>
      </c>
      <c r="AF7" s="13">
        <f>AE7/'강화코어 수치, 재료'!$O4*100</f>
        <v>0.78998284233198313</v>
      </c>
      <c r="AG7" s="13"/>
      <c r="AH7" s="13" t="str">
        <f t="shared" ref="AH7:AH35" si="7">TEXT($R7,"@")&amp;"&gt;"&amp;TEXT($R7+1,"@")</f>
        <v>1&gt;2</v>
      </c>
      <c r="AI7" s="13">
        <f>$H$28*VLOOKUP($R7+1,'강화코어 수치, 재료'!$A$1:$B$32,2,FALSE)</f>
        <v>3.3600000000000003</v>
      </c>
      <c r="AJ7" s="13">
        <f t="shared" ref="AJ7:AJ35" si="8">(AI7-AI6)/$M$22*100</f>
        <v>0.10075566750629805</v>
      </c>
      <c r="AK7" s="13">
        <f>AJ7/'강화코어 수치, 재료'!$O4*100</f>
        <v>0.43806811959260017</v>
      </c>
      <c r="AL7" s="13"/>
      <c r="AM7" s="13" t="str">
        <f t="shared" ref="AM7:AM35" si="9">TEXT($R7,"@")&amp;"&gt;"&amp;TEXT($R7+1,"@")</f>
        <v>1&gt;2</v>
      </c>
      <c r="AN7" s="13">
        <f>$F$28*VLOOKUP($R7+1,'강화코어 수치, 재료'!$A$1:$B$32,2,FALSE)</f>
        <v>1.1760000000000002</v>
      </c>
      <c r="AO7" s="13">
        <f t="shared" ref="AO7:AO35" si="10">(AN7-AN6)/$M$22*100</f>
        <v>3.5264483627203871E-2</v>
      </c>
      <c r="AP7" s="13">
        <f>AO7/'강화코어 수치, 재료'!$O4*100</f>
        <v>0.15332384185740813</v>
      </c>
      <c r="AQ7" s="13"/>
      <c r="AR7" s="13" t="str">
        <f t="shared" ref="AR7:AR35" si="11">TEXT($R7,"@")&amp;"&gt;"&amp;TEXT($R7+1,"@")</f>
        <v>1&gt;2</v>
      </c>
      <c r="AS7" s="13">
        <f>$E$28*VLOOKUP($R7+1,'강화코어 수치, 재료'!$A$1:$B$32,2,FALSE)</f>
        <v>3.0688000000000004</v>
      </c>
      <c r="AT7" s="13">
        <f t="shared" ref="AT7:AT35" si="12">(AS7-AS6)/$M$22*100</f>
        <v>9.2023509655751762E-2</v>
      </c>
      <c r="AU7" s="40">
        <f>AT7/'강화코어 수치, 재료'!$O4*100</f>
        <v>0.4001022158945729</v>
      </c>
    </row>
    <row r="8" spans="1:47" x14ac:dyDescent="0.3">
      <c r="A8" s="3" t="s">
        <v>22</v>
      </c>
      <c r="B8">
        <v>641</v>
      </c>
      <c r="D8">
        <v>1</v>
      </c>
      <c r="E8">
        <v>1</v>
      </c>
      <c r="F8">
        <v>1</v>
      </c>
      <c r="G8">
        <v>1</v>
      </c>
      <c r="H8">
        <v>1</v>
      </c>
      <c r="I8">
        <v>506</v>
      </c>
      <c r="J8">
        <f>(2400+80*1)*8*3 + (3600+120*1)*14*7</f>
        <v>424080</v>
      </c>
      <c r="M8" t="s">
        <v>79</v>
      </c>
      <c r="N8" s="4"/>
      <c r="R8">
        <v>2</v>
      </c>
      <c r="S8" s="39" t="str">
        <f t="shared" si="1"/>
        <v>2&gt;3</v>
      </c>
      <c r="T8" s="13">
        <f>$I$28/$I$8*(500+6*($R8+1))+$J$28/$J$8*(((2400+80*($R8+1)))*8*3 + (3600+120*($R8+1))*14*7)*VLOOKUP($R8+1,'강화코어 수치, 재료'!$D$1:$E$32,2,FALSE)</f>
        <v>24.056723192655873</v>
      </c>
      <c r="U8" s="13">
        <f t="shared" si="2"/>
        <v>1.5730028424112104</v>
      </c>
      <c r="V8" s="13">
        <f>U8/'강화코어 수치, 재료'!I5*100</f>
        <v>4.494293835460601</v>
      </c>
      <c r="W8" s="13"/>
      <c r="X8" s="13" t="str">
        <f t="shared" si="3"/>
        <v>2&gt;3</v>
      </c>
      <c r="Y8" s="13">
        <f t="shared" si="0"/>
        <v>6.2088627145085802</v>
      </c>
      <c r="Z8" s="13">
        <f t="shared" si="4"/>
        <v>0.40520754331432596</v>
      </c>
      <c r="AA8" s="13">
        <f>Z8/'강화코어 수치, 재료'!L5*100</f>
        <v>2.2511530184129223</v>
      </c>
      <c r="AB8" s="13"/>
      <c r="AC8" s="13" t="str">
        <f t="shared" si="5"/>
        <v>2&gt;3</v>
      </c>
      <c r="AD8" s="13">
        <f>$D$28*VLOOKUP($R8+1,'강화코어 수치, 재료'!$A$1:$B$32,2,FALSE)</f>
        <v>6.1132999999999997</v>
      </c>
      <c r="AE8" s="13">
        <f t="shared" si="6"/>
        <v>0.18169605373635314</v>
      </c>
      <c r="AF8" s="13">
        <f>AE8/'강화코어 수치, 재료'!$O5*100</f>
        <v>0.67294834717167828</v>
      </c>
      <c r="AG8" s="13"/>
      <c r="AH8" s="13" t="str">
        <f t="shared" si="7"/>
        <v>2&gt;3</v>
      </c>
      <c r="AI8" s="13">
        <f>$H$28*VLOOKUP($R8+1,'강화코어 수치, 재료'!$A$1:$B$32,2,FALSE)</f>
        <v>3.3899999999999997</v>
      </c>
      <c r="AJ8" s="13">
        <f t="shared" si="8"/>
        <v>0.10075566750629508</v>
      </c>
      <c r="AK8" s="13">
        <f>AJ8/'강화코어 수치, 재료'!$O5*100</f>
        <v>0.37316913891220405</v>
      </c>
      <c r="AL8" s="13"/>
      <c r="AM8" s="13" t="str">
        <f t="shared" si="9"/>
        <v>2&gt;3</v>
      </c>
      <c r="AN8" s="13">
        <f>$F$28*VLOOKUP($R8+1,'강화코어 수치, 재료'!$A$1:$B$32,2,FALSE)</f>
        <v>1.1864999999999999</v>
      </c>
      <c r="AO8" s="13">
        <f t="shared" si="10"/>
        <v>3.5264483627203129E-2</v>
      </c>
      <c r="AP8" s="13">
        <f>AO8/'강화코어 수치, 재료'!$O5*100</f>
        <v>0.13060919861927087</v>
      </c>
      <c r="AQ8" s="13"/>
      <c r="AR8" s="13" t="str">
        <f t="shared" si="11"/>
        <v>2&gt;3</v>
      </c>
      <c r="AS8" s="13">
        <f>$E$28*VLOOKUP($R8+1,'강화코어 수치, 재료'!$A$1:$B$32,2,FALSE)</f>
        <v>3.0962000000000001</v>
      </c>
      <c r="AT8" s="13">
        <f t="shared" si="12"/>
        <v>9.2023509655750277E-2</v>
      </c>
      <c r="AU8" s="40">
        <f>AT8/'강화코어 수치, 재료'!$O5*100</f>
        <v>0.34082781353981584</v>
      </c>
    </row>
    <row r="9" spans="1:47" x14ac:dyDescent="0.3">
      <c r="A9" s="3" t="s">
        <v>17</v>
      </c>
      <c r="B9">
        <f>IF(B7=0,641,630+13*B7)</f>
        <v>641</v>
      </c>
      <c r="D9">
        <f>VLOOKUP(D7,'강화코어 수치, 재료'!$A$1:$B$32,2,FALSE)</f>
        <v>1</v>
      </c>
      <c r="E9">
        <f>VLOOKUP(E7,'강화코어 수치, 재료'!$A$1:$B$32,2,FALSE)</f>
        <v>1</v>
      </c>
      <c r="F9">
        <f>VLOOKUP(F7,'강화코어 수치, 재료'!$A$1:$B$32,2,FALSE)</f>
        <v>1</v>
      </c>
      <c r="G9">
        <v>1</v>
      </c>
      <c r="H9">
        <f>VLOOKUP(H7,'강화코어 수치, 재료'!$A$1:$B$32,2,FALSE)</f>
        <v>1</v>
      </c>
      <c r="I9">
        <f>500+6*I7</f>
        <v>680</v>
      </c>
      <c r="J9">
        <f>((2400+80*J7)*8*3 + (3600+120*J7)*14*7)*VLOOKUP(J7,'강화코어 수치, 재료'!$D$1:$E$32,2,FALSE)</f>
        <v>883938.4615384615</v>
      </c>
      <c r="N9" s="4"/>
      <c r="R9">
        <v>3</v>
      </c>
      <c r="S9" s="39" t="str">
        <f t="shared" si="1"/>
        <v>3&gt;4</v>
      </c>
      <c r="T9" s="13">
        <f>$I$28/$I$8*(500+6*($R9+1))+$J$28/$J$8*(((2400+80*($R9+1)))*8*3 + (3600+120*($R9+1))*14*7)*VLOOKUP($R9+1,'강화코어 수치, 재료'!$D$1:$E$32,2,FALSE)</f>
        <v>24.525084788983808</v>
      </c>
      <c r="U9" s="13">
        <f t="shared" si="2"/>
        <v>1.5730028424111986</v>
      </c>
      <c r="V9" s="13">
        <f>U9/'강화코어 수치, 재료'!I6*100</f>
        <v>3.9325071060279964</v>
      </c>
      <c r="W9" s="13"/>
      <c r="X9" s="13" t="str">
        <f t="shared" si="3"/>
        <v>3&gt;4</v>
      </c>
      <c r="Y9" s="13">
        <f t="shared" si="0"/>
        <v>6.3295132605304207</v>
      </c>
      <c r="Z9" s="13">
        <f t="shared" si="4"/>
        <v>0.40520754331432596</v>
      </c>
      <c r="AA9" s="13">
        <f>Z9/'강화코어 수치, 재료'!L6*100</f>
        <v>2.0260377165716297</v>
      </c>
      <c r="AB9" s="13"/>
      <c r="AC9" s="13" t="str">
        <f t="shared" si="5"/>
        <v>3&gt;4</v>
      </c>
      <c r="AD9" s="13">
        <f>$D$28*VLOOKUP($R9+1,'강화코어 수치, 재료'!$A$1:$B$32,2,FALSE)</f>
        <v>6.1673999999999998</v>
      </c>
      <c r="AE9" s="13">
        <f t="shared" si="6"/>
        <v>0.18169605373635611</v>
      </c>
      <c r="AF9" s="13">
        <f>AE9/'강화코어 수치, 재료'!$O6*100</f>
        <v>0.60565351245452037</v>
      </c>
      <c r="AG9" s="13"/>
      <c r="AH9" s="13" t="str">
        <f t="shared" si="7"/>
        <v>3&gt;4</v>
      </c>
      <c r="AI9" s="13">
        <f>$H$28*VLOOKUP($R9+1,'강화코어 수치, 재료'!$A$1:$B$32,2,FALSE)</f>
        <v>3.42</v>
      </c>
      <c r="AJ9" s="13">
        <f t="shared" si="8"/>
        <v>0.10075566750629805</v>
      </c>
      <c r="AK9" s="13">
        <f>AJ9/'강화코어 수치, 재료'!$O6*100</f>
        <v>0.33585222502099349</v>
      </c>
      <c r="AL9" s="13"/>
      <c r="AM9" s="13" t="str">
        <f t="shared" si="9"/>
        <v>3&gt;4</v>
      </c>
      <c r="AN9" s="13">
        <f>$F$28*VLOOKUP($R9+1,'강화코어 수치, 재료'!$A$1:$B$32,2,FALSE)</f>
        <v>1.1969999999999998</v>
      </c>
      <c r="AO9" s="13">
        <f t="shared" si="10"/>
        <v>3.5264483627203871E-2</v>
      </c>
      <c r="AP9" s="13">
        <f>AO9/'강화코어 수치, 재료'!$O6*100</f>
        <v>0.11754827875734625</v>
      </c>
      <c r="AQ9" s="13"/>
      <c r="AR9" s="13" t="str">
        <f t="shared" si="11"/>
        <v>3&gt;4</v>
      </c>
      <c r="AS9" s="13">
        <f>$E$28*VLOOKUP($R9+1,'강화코어 수치, 재료'!$A$1:$B$32,2,FALSE)</f>
        <v>3.1236000000000002</v>
      </c>
      <c r="AT9" s="13">
        <f t="shared" si="12"/>
        <v>9.2023509655751762E-2</v>
      </c>
      <c r="AU9" s="40">
        <f>AT9/'강화코어 수치, 재료'!$O6*100</f>
        <v>0.30674503218583921</v>
      </c>
    </row>
    <row r="10" spans="1:47" x14ac:dyDescent="0.3">
      <c r="A10" s="3"/>
      <c r="B10" t="s">
        <v>13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23</v>
      </c>
      <c r="J10" t="s">
        <v>12</v>
      </c>
      <c r="M10" t="s">
        <v>10</v>
      </c>
      <c r="N10" s="9" t="s">
        <v>15</v>
      </c>
      <c r="R10">
        <v>4</v>
      </c>
      <c r="S10" s="39" t="str">
        <f t="shared" si="1"/>
        <v>4&gt;5</v>
      </c>
      <c r="T10" s="13">
        <f>$I$28/$I$8*(500+6*($R10+1))+$J$28/$J$8*(((2400+80*($R10+1)))*8*3 + (3600+120*($R10+1))*14*7)*VLOOKUP($R10+1,'강화코어 수치, 재료'!$D$1:$E$32,2,FALSE)</f>
        <v>24.993446385311742</v>
      </c>
      <c r="U10" s="13">
        <f t="shared" si="2"/>
        <v>1.5730028424111986</v>
      </c>
      <c r="V10" s="13">
        <f>U10/'강화코어 수치, 재료'!I7*100</f>
        <v>3.4955618720248856</v>
      </c>
      <c r="W10" s="13"/>
      <c r="X10" s="13" t="str">
        <f t="shared" si="3"/>
        <v>4&gt;5</v>
      </c>
      <c r="Y10" s="13">
        <f t="shared" si="0"/>
        <v>6.4501638065522622</v>
      </c>
      <c r="Z10" s="13">
        <f t="shared" si="4"/>
        <v>0.4052075433143289</v>
      </c>
      <c r="AA10" s="13">
        <f>Z10/'강화코어 수치, 재료'!L7*100</f>
        <v>1.7617719274536041</v>
      </c>
      <c r="AB10" s="13"/>
      <c r="AC10" s="13" t="str">
        <f t="shared" si="5"/>
        <v>4&gt;5</v>
      </c>
      <c r="AD10" s="13">
        <f>$D$28*VLOOKUP($R10+1,'강화코어 수치, 재료'!$A$1:$B$32,2,FALSE)</f>
        <v>6.2214999999999998</v>
      </c>
      <c r="AE10" s="13">
        <f t="shared" si="6"/>
        <v>0.18169605373635611</v>
      </c>
      <c r="AF10" s="13">
        <f>AE10/'강화코어 수치, 재료'!$O7*100</f>
        <v>0.53440015804810614</v>
      </c>
      <c r="AG10" s="13"/>
      <c r="AH10" s="13" t="str">
        <f t="shared" si="7"/>
        <v>4&gt;5</v>
      </c>
      <c r="AI10" s="13">
        <f>$H$28*VLOOKUP($R10+1,'강화코어 수치, 재료'!$A$1:$B$32,2,FALSE)</f>
        <v>3.4499999999999997</v>
      </c>
      <c r="AJ10" s="13">
        <f t="shared" si="8"/>
        <v>0.10075566750629658</v>
      </c>
      <c r="AK10" s="13">
        <f>AJ10/'강화코어 수치, 재료'!$O7*100</f>
        <v>0.29634019854793109</v>
      </c>
      <c r="AL10" s="13"/>
      <c r="AM10" s="13" t="str">
        <f t="shared" si="9"/>
        <v>4&gt;5</v>
      </c>
      <c r="AN10" s="13">
        <f>$F$28*VLOOKUP($R10+1,'강화코어 수치, 재료'!$A$1:$B$32,2,FALSE)</f>
        <v>1.2075</v>
      </c>
      <c r="AO10" s="13">
        <f t="shared" si="10"/>
        <v>3.5264483627204621E-2</v>
      </c>
      <c r="AP10" s="13">
        <f>AO10/'강화코어 수치, 재료'!$O7*100</f>
        <v>0.1037190694917783</v>
      </c>
      <c r="AQ10" s="13"/>
      <c r="AR10" s="13" t="str">
        <f t="shared" si="11"/>
        <v>4&gt;5</v>
      </c>
      <c r="AS10" s="13">
        <f>$E$28*VLOOKUP($R10+1,'강화코어 수치, 재료'!$A$1:$B$32,2,FALSE)</f>
        <v>3.1509999999999998</v>
      </c>
      <c r="AT10" s="13">
        <f t="shared" si="12"/>
        <v>9.2023509655750277E-2</v>
      </c>
      <c r="AU10" s="40">
        <f>AT10/'강화코어 수치, 재료'!$O7*100</f>
        <v>0.27065738134044198</v>
      </c>
    </row>
    <row r="11" spans="1:47" x14ac:dyDescent="0.3">
      <c r="A11" s="3" t="s">
        <v>7</v>
      </c>
      <c r="B11">
        <f>IF($I$7=0,B22/B8*B9,B28/B8*B9)</f>
        <v>5.9489999999999998</v>
      </c>
      <c r="D11">
        <f>IF($I$7=0,D22/D8*D9,D28/D8*D9)</f>
        <v>5.41</v>
      </c>
      <c r="E11">
        <f>IF($I$7=0,E22/E8*E9,E28/E8*E9)</f>
        <v>2.74</v>
      </c>
      <c r="F11">
        <f>IF($I$7=0,F22/F8*F9,F28/F8*F9)</f>
        <v>1.05</v>
      </c>
      <c r="G11">
        <f>IF($I$7=0,G22/G8*G9,G28/G8*G9)</f>
        <v>0.92</v>
      </c>
      <c r="H11">
        <f>IF($I$7=0,H22/H8*H9,H28/H8*H9)</f>
        <v>3</v>
      </c>
      <c r="I11">
        <f>IF(I7=0,$C$22-C11,I28/I8*I9)</f>
        <v>18.276679841897234</v>
      </c>
      <c r="J11">
        <f>IF(J7=0,0,J28/J8*J9)</f>
        <v>19.843176178660048</v>
      </c>
      <c r="M11">
        <f>SUM(B11:J11)</f>
        <v>57.188856020557282</v>
      </c>
      <c r="N11" s="9">
        <f>(M11-$M$22)/$M$22*100</f>
        <v>92.070045409092444</v>
      </c>
      <c r="R11">
        <v>5</v>
      </c>
      <c r="S11" s="39" t="str">
        <f t="shared" si="1"/>
        <v>5&gt;6</v>
      </c>
      <c r="T11" s="13">
        <f>$I$28/$I$8*(500+6*($R11+1))+$J$28/$J$8*(((2400+80*($R11+1)))*8*3 + (3600+120*($R11+1))*14*7)*VLOOKUP($R11+1,'강화코어 수치, 재료'!$D$1:$E$32,2,FALSE)</f>
        <v>25.46180798163968</v>
      </c>
      <c r="U11" s="13">
        <f t="shared" si="2"/>
        <v>1.5730028424112104</v>
      </c>
      <c r="V11" s="13">
        <f>U11/'강화코어 수치, 재료'!I8*100</f>
        <v>3.1460056848224207</v>
      </c>
      <c r="W11" s="13"/>
      <c r="X11" s="13" t="str">
        <f t="shared" si="3"/>
        <v>5&gt;6</v>
      </c>
      <c r="Y11" s="13">
        <f t="shared" si="0"/>
        <v>6.5708143525741027</v>
      </c>
      <c r="Z11" s="13">
        <f t="shared" si="4"/>
        <v>0.40520754331432596</v>
      </c>
      <c r="AA11" s="13">
        <f>Z11/'강화코어 수치, 재료'!L8*100</f>
        <v>1.6208301732573038</v>
      </c>
      <c r="AB11" s="13"/>
      <c r="AC11" s="13" t="str">
        <f t="shared" si="5"/>
        <v>5&gt;6</v>
      </c>
      <c r="AD11" s="13">
        <f>$D$28*VLOOKUP($R11+1,'강화코어 수치, 재료'!$A$1:$B$32,2,FALSE)</f>
        <v>6.2755999999999998</v>
      </c>
      <c r="AE11" s="13">
        <f t="shared" si="6"/>
        <v>0.18169605373635611</v>
      </c>
      <c r="AF11" s="13">
        <f>AE11/'강화코어 수치, 재료'!$O8*100</f>
        <v>0.47814750983251608</v>
      </c>
      <c r="AG11" s="13"/>
      <c r="AH11" s="13" t="str">
        <f t="shared" si="7"/>
        <v>5&gt;6</v>
      </c>
      <c r="AI11" s="13">
        <f>$H$28*VLOOKUP($R11+1,'강화코어 수치, 재료'!$A$1:$B$32,2,FALSE)</f>
        <v>3.4799999999999995</v>
      </c>
      <c r="AJ11" s="13">
        <f t="shared" si="8"/>
        <v>0.10075566750629658</v>
      </c>
      <c r="AK11" s="13">
        <f>AJ11/'강화코어 수치, 재료'!$O8*100</f>
        <v>0.26514649343762259</v>
      </c>
      <c r="AL11" s="13"/>
      <c r="AM11" s="13" t="str">
        <f t="shared" si="9"/>
        <v>5&gt;6</v>
      </c>
      <c r="AN11" s="13">
        <f>$F$28*VLOOKUP($R11+1,'강화코어 수치, 재료'!$A$1:$B$32,2,FALSE)</f>
        <v>1.218</v>
      </c>
      <c r="AO11" s="13">
        <f t="shared" si="10"/>
        <v>3.5264483627203871E-2</v>
      </c>
      <c r="AP11" s="13">
        <f>AO11/'강화코어 수치, 재료'!$O8*100</f>
        <v>9.2801272703168083E-2</v>
      </c>
      <c r="AQ11" s="13"/>
      <c r="AR11" s="13" t="str">
        <f t="shared" si="11"/>
        <v>5&gt;6</v>
      </c>
      <c r="AS11" s="13">
        <f>$E$28*VLOOKUP($R11+1,'강화코어 수치, 재료'!$A$1:$B$32,2,FALSE)</f>
        <v>3.1783999999999999</v>
      </c>
      <c r="AT11" s="13">
        <f t="shared" si="12"/>
        <v>9.2023509655751762E-2</v>
      </c>
      <c r="AU11" s="40">
        <f>AT11/'강화코어 수치, 재료'!$O8*100</f>
        <v>0.24216713067303094</v>
      </c>
    </row>
    <row r="12" spans="1:47" ht="17.25" thickBot="1" x14ac:dyDescent="0.35">
      <c r="A12" s="5" t="s">
        <v>8</v>
      </c>
      <c r="B12" s="6">
        <f>B11/SUM($B$11:$J$11)*100</f>
        <v>10.402376291390675</v>
      </c>
      <c r="C12" s="6"/>
      <c r="D12" s="6">
        <f t="shared" ref="D12:J12" si="13">D11/SUM($B$11:$J$11)*100</f>
        <v>9.4598849783868815</v>
      </c>
      <c r="E12" s="6">
        <f t="shared" si="13"/>
        <v>4.7911432238040774</v>
      </c>
      <c r="F12" s="6">
        <f t="shared" si="13"/>
        <v>1.8360220383190806</v>
      </c>
      <c r="G12" s="6">
        <f t="shared" si="13"/>
        <v>1.6087050240510041</v>
      </c>
      <c r="H12" s="6">
        <f t="shared" si="13"/>
        <v>5.24577725234023</v>
      </c>
      <c r="I12" s="6">
        <f t="shared" si="13"/>
        <v>31.95846378764325</v>
      </c>
      <c r="J12" s="6">
        <f t="shared" si="13"/>
        <v>34.697627404064804</v>
      </c>
      <c r="K12" s="6"/>
      <c r="L12" s="6"/>
      <c r="M12" s="6">
        <f>SUM(B12:J12)</f>
        <v>100</v>
      </c>
      <c r="N12" s="7"/>
      <c r="R12">
        <v>6</v>
      </c>
      <c r="S12" s="39" t="str">
        <f t="shared" si="1"/>
        <v>6&gt;7</v>
      </c>
      <c r="T12" s="13">
        <f>$I$28/$I$8*(500+6*($R12+1))+$J$28/$J$8*(((2400+80*($R12+1)))*8*3 + (3600+120*($R12+1))*14*7)*VLOOKUP($R12+1,'강화코어 수치, 재료'!$D$1:$E$32,2,FALSE)</f>
        <v>25.930169577967614</v>
      </c>
      <c r="U12" s="13">
        <f t="shared" si="2"/>
        <v>1.5730028424111986</v>
      </c>
      <c r="V12" s="13">
        <f>U12/'강화코어 수치, 재료'!I9*100</f>
        <v>2.8600051680203609</v>
      </c>
      <c r="W12" s="13"/>
      <c r="X12" s="13" t="str">
        <f t="shared" si="3"/>
        <v>6&gt;7</v>
      </c>
      <c r="Y12" s="13">
        <f t="shared" si="0"/>
        <v>6.6914648985959433</v>
      </c>
      <c r="Z12" s="13">
        <f t="shared" si="4"/>
        <v>0.40520754331432596</v>
      </c>
      <c r="AA12" s="13">
        <f>Z12/'강화코어 수치, 재료'!L9*100</f>
        <v>1.4471697975511641</v>
      </c>
      <c r="AB12" s="13"/>
      <c r="AC12" s="13" t="str">
        <f t="shared" si="5"/>
        <v>6&gt;7</v>
      </c>
      <c r="AD12" s="13">
        <f>$D$28*VLOOKUP($R12+1,'강화코어 수치, 재료'!$A$1:$B$32,2,FALSE)</f>
        <v>6.3296999999999999</v>
      </c>
      <c r="AE12" s="13">
        <f t="shared" si="6"/>
        <v>0.18169605373635611</v>
      </c>
      <c r="AF12" s="13">
        <f>AE12/'강화코어 수치, 재료'!$O9*100</f>
        <v>0.43260965175322885</v>
      </c>
      <c r="AG12" s="13"/>
      <c r="AH12" s="13" t="str">
        <f t="shared" si="7"/>
        <v>6&gt;7</v>
      </c>
      <c r="AI12" s="13">
        <f>$H$28*VLOOKUP($R12+1,'강화코어 수치, 재료'!$A$1:$B$32,2,FALSE)</f>
        <v>3.51</v>
      </c>
      <c r="AJ12" s="13">
        <f t="shared" si="8"/>
        <v>0.10075566750629805</v>
      </c>
      <c r="AK12" s="13">
        <f>AJ12/'강화코어 수치, 재료'!$O9*100</f>
        <v>0.23989444644356681</v>
      </c>
      <c r="AL12" s="13"/>
      <c r="AM12" s="13" t="str">
        <f t="shared" si="9"/>
        <v>6&gt;7</v>
      </c>
      <c r="AN12" s="13">
        <f>$F$28*VLOOKUP($R12+1,'강화코어 수치, 재료'!$A$1:$B$32,2,FALSE)</f>
        <v>1.2284999999999999</v>
      </c>
      <c r="AO12" s="13">
        <f t="shared" si="10"/>
        <v>3.5264483627203871E-2</v>
      </c>
      <c r="AP12" s="13">
        <f>AO12/'강화코어 수치, 재료'!$O9*100</f>
        <v>8.3963056255247304E-2</v>
      </c>
      <c r="AQ12" s="13"/>
      <c r="AR12" s="13" t="str">
        <f t="shared" si="11"/>
        <v>6&gt;7</v>
      </c>
      <c r="AS12" s="13">
        <f>$E$28*VLOOKUP($R12+1,'강화코어 수치, 재료'!$A$1:$B$32,2,FALSE)</f>
        <v>3.2058</v>
      </c>
      <c r="AT12" s="13">
        <f t="shared" si="12"/>
        <v>9.2023509655751762E-2</v>
      </c>
      <c r="AU12" s="40">
        <f>AT12/'강화코어 수치, 재료'!$O9*100</f>
        <v>0.21910359441845656</v>
      </c>
    </row>
    <row r="13" spans="1:47" x14ac:dyDescent="0.3">
      <c r="R13">
        <v>7</v>
      </c>
      <c r="S13" s="39" t="str">
        <f t="shared" si="1"/>
        <v>7&gt;8</v>
      </c>
      <c r="T13" s="13">
        <f>$I$28/$I$8*(500+6*($R13+1))+$J$28/$J$8*(((2400+80*($R13+1)))*8*3 + (3600+120*($R13+1))*14*7)*VLOOKUP($R13+1,'강화코어 수치, 재료'!$D$1:$E$32,2,FALSE)</f>
        <v>26.398531174295549</v>
      </c>
      <c r="U13" s="13">
        <f t="shared" si="2"/>
        <v>1.5730028424111986</v>
      </c>
      <c r="V13" s="13">
        <f>U13/'강화코어 수치, 재료'!I10*100</f>
        <v>2.6216714040186644</v>
      </c>
      <c r="W13" s="13"/>
      <c r="X13" s="13" t="str">
        <f t="shared" si="3"/>
        <v>7&gt;8</v>
      </c>
      <c r="Y13" s="13">
        <f t="shared" si="0"/>
        <v>6.8121154446177847</v>
      </c>
      <c r="Z13" s="13">
        <f t="shared" si="4"/>
        <v>0.4052075433143289</v>
      </c>
      <c r="AA13" s="13">
        <f>Z13/'강화코어 수치, 재료'!L10*100</f>
        <v>1.350691811047763</v>
      </c>
      <c r="AB13" s="13"/>
      <c r="AC13" s="13" t="str">
        <f t="shared" si="5"/>
        <v>7&gt;8</v>
      </c>
      <c r="AD13" s="13">
        <f>$D$28*VLOOKUP($R13+1,'강화코어 수치, 재료'!$A$1:$B$32,2,FALSE)</f>
        <v>6.3837999999999999</v>
      </c>
      <c r="AE13" s="13">
        <f t="shared" si="6"/>
        <v>0.18169605373635611</v>
      </c>
      <c r="AF13" s="13">
        <f>AE13/'강화코어 수치, 재료'!$O10*100</f>
        <v>0.4037690083030136</v>
      </c>
      <c r="AG13" s="13"/>
      <c r="AH13" s="13" t="str">
        <f t="shared" si="7"/>
        <v>7&gt;8</v>
      </c>
      <c r="AI13" s="13">
        <f>$H$28*VLOOKUP($R13+1,'강화코어 수치, 재료'!$A$1:$B$32,2,FALSE)</f>
        <v>3.54</v>
      </c>
      <c r="AJ13" s="13">
        <f t="shared" si="8"/>
        <v>0.10075566750629805</v>
      </c>
      <c r="AK13" s="13">
        <f>AJ13/'강화코어 수치, 재료'!$O10*100</f>
        <v>0.22390148334732901</v>
      </c>
      <c r="AL13" s="13"/>
      <c r="AM13" s="13" t="str">
        <f t="shared" si="9"/>
        <v>7&gt;8</v>
      </c>
      <c r="AN13" s="13">
        <f>$F$28*VLOOKUP($R13+1,'강화코어 수치, 재료'!$A$1:$B$32,2,FALSE)</f>
        <v>1.2389999999999999</v>
      </c>
      <c r="AO13" s="13">
        <f t="shared" si="10"/>
        <v>3.5264483627203871E-2</v>
      </c>
      <c r="AP13" s="13">
        <f>AO13/'강화코어 수치, 재료'!$O10*100</f>
        <v>7.836551917156416E-2</v>
      </c>
      <c r="AQ13" s="13"/>
      <c r="AR13" s="13" t="str">
        <f t="shared" si="11"/>
        <v>7&gt;8</v>
      </c>
      <c r="AS13" s="13">
        <f>$E$28*VLOOKUP($R13+1,'강화코어 수치, 재료'!$A$1:$B$32,2,FALSE)</f>
        <v>3.2332000000000001</v>
      </c>
      <c r="AT13" s="13">
        <f t="shared" si="12"/>
        <v>9.2023509655751762E-2</v>
      </c>
      <c r="AU13" s="40">
        <f>AT13/'강화코어 수치, 재료'!$O10*100</f>
        <v>0.20449668812389282</v>
      </c>
    </row>
    <row r="14" spans="1:47" x14ac:dyDescent="0.3">
      <c r="R14">
        <v>8</v>
      </c>
      <c r="S14" s="39" t="str">
        <f t="shared" si="1"/>
        <v>8&gt;9</v>
      </c>
      <c r="T14" s="13">
        <f>$I$28/$I$8*(500+6*($R14+1))+$J$28/$J$8*(((2400+80*($R14+1)))*8*3 + (3600+120*($R14+1))*14*7)*VLOOKUP($R14+1,'강화코어 수치, 재료'!$D$1:$E$32,2,FALSE)</f>
        <v>26.866892770623487</v>
      </c>
      <c r="U14" s="13">
        <f t="shared" si="2"/>
        <v>1.5730028424112104</v>
      </c>
      <c r="V14" s="13">
        <f>U14/'강화코어 수치, 재료'!I11*100</f>
        <v>2.4200043729403236</v>
      </c>
      <c r="W14" s="13"/>
      <c r="X14" s="13" t="str">
        <f t="shared" si="3"/>
        <v>8&gt;9</v>
      </c>
      <c r="Y14" s="13">
        <f t="shared" si="0"/>
        <v>6.9327659906396253</v>
      </c>
      <c r="Z14" s="13">
        <f t="shared" si="4"/>
        <v>0.40520754331432596</v>
      </c>
      <c r="AA14" s="13">
        <f>Z14/'강화코어 수치, 재료'!L11*100</f>
        <v>1.2279016464070485</v>
      </c>
      <c r="AB14" s="13"/>
      <c r="AC14" s="13" t="str">
        <f t="shared" si="5"/>
        <v>8&gt;9</v>
      </c>
      <c r="AD14" s="13">
        <f>$D$28*VLOOKUP($R14+1,'강화코어 수치, 재료'!$A$1:$B$32,2,FALSE)</f>
        <v>6.4379</v>
      </c>
      <c r="AE14" s="13">
        <f t="shared" si="6"/>
        <v>0.18169605373635611</v>
      </c>
      <c r="AF14" s="13">
        <f>AE14/'강화코어 수치, 재료'!$O11*100</f>
        <v>0.370808272931339</v>
      </c>
      <c r="AG14" s="13"/>
      <c r="AH14" s="13" t="str">
        <f t="shared" si="7"/>
        <v>8&gt;9</v>
      </c>
      <c r="AI14" s="13">
        <f>$H$28*VLOOKUP($R14+1,'강화코어 수치, 재료'!$A$1:$B$32,2,FALSE)</f>
        <v>3.57</v>
      </c>
      <c r="AJ14" s="13">
        <f t="shared" si="8"/>
        <v>0.10075566750629658</v>
      </c>
      <c r="AK14" s="13">
        <f>AJ14/'강화코어 수치, 재료'!$O11*100</f>
        <v>0.20562381123733997</v>
      </c>
      <c r="AL14" s="13"/>
      <c r="AM14" s="13" t="str">
        <f t="shared" si="9"/>
        <v>8&gt;9</v>
      </c>
      <c r="AN14" s="13">
        <f>$F$28*VLOOKUP($R14+1,'강화코어 수치, 재료'!$A$1:$B$32,2,FALSE)</f>
        <v>1.2495000000000001</v>
      </c>
      <c r="AO14" s="13">
        <f t="shared" si="10"/>
        <v>3.5264483627204621E-2</v>
      </c>
      <c r="AP14" s="13">
        <f>AO14/'강화코어 수치, 재료'!$O11*100</f>
        <v>7.1968333933070658E-2</v>
      </c>
      <c r="AQ14" s="13"/>
      <c r="AR14" s="13" t="str">
        <f t="shared" si="11"/>
        <v>8&gt;9</v>
      </c>
      <c r="AS14" s="13">
        <f>$E$28*VLOOKUP($R14+1,'강화코어 수치, 재료'!$A$1:$B$32,2,FALSE)</f>
        <v>3.2606000000000002</v>
      </c>
      <c r="AT14" s="13">
        <f t="shared" si="12"/>
        <v>9.2023509655751762E-2</v>
      </c>
      <c r="AU14" s="40">
        <f>AT14/'강화코어 수치, 재료'!$O11*100</f>
        <v>0.18780308093010564</v>
      </c>
    </row>
    <row r="15" spans="1:47" x14ac:dyDescent="0.3">
      <c r="R15">
        <v>9</v>
      </c>
      <c r="S15" s="39" t="str">
        <f t="shared" si="1"/>
        <v>9&gt;10</v>
      </c>
      <c r="T15" s="13">
        <f>$I$28/$I$8*(500+6*($R15+1))+$J$28/$J$8*(((2400+80*($R15+1)))*8*3 + (3600+120*($R15+1))*14*7)*VLOOKUP($R15+1,'강화코어 수치, 재료'!$D$1:$E$32,2,FALSE)</f>
        <v>27.335254366951421</v>
      </c>
      <c r="U15" s="13">
        <f t="shared" si="2"/>
        <v>1.5730028424111986</v>
      </c>
      <c r="V15" s="13">
        <f>U15/'강화코어 수치, 재료'!I12*100</f>
        <v>0.78650142120559929</v>
      </c>
      <c r="W15" s="13"/>
      <c r="X15" s="13" t="str">
        <f t="shared" si="3"/>
        <v>9&gt;10</v>
      </c>
      <c r="Y15" s="13">
        <f t="shared" si="0"/>
        <v>7.0534165366614658</v>
      </c>
      <c r="Z15" s="13">
        <f t="shared" si="4"/>
        <v>0.40520754331432596</v>
      </c>
      <c r="AA15" s="13">
        <f>Z15/'강화코어 수치, 재료'!L12*100</f>
        <v>0.40520754331432596</v>
      </c>
      <c r="AB15" s="13"/>
      <c r="AC15" s="13" t="str">
        <f t="shared" si="5"/>
        <v>9&gt;10</v>
      </c>
      <c r="AD15" s="13">
        <f>$D$28*VLOOKUP($R15+1,'강화코어 수치, 재료'!$A$1:$B$32,2,FALSE)</f>
        <v>6.7625000000000002</v>
      </c>
      <c r="AE15" s="13">
        <f t="shared" si="6"/>
        <v>1.0901763224181367</v>
      </c>
      <c r="AF15" s="13">
        <f>AE15/'강화코어 수치, 재료'!$O12*100</f>
        <v>0.72678421494542444</v>
      </c>
      <c r="AG15" s="13"/>
      <c r="AH15" s="13" t="str">
        <f t="shared" si="7"/>
        <v>9&gt;10</v>
      </c>
      <c r="AI15" s="13">
        <f>$H$28*VLOOKUP($R15+1,'강화코어 수치, 재료'!$A$1:$B$32,2,FALSE)</f>
        <v>3.75</v>
      </c>
      <c r="AJ15" s="13">
        <f t="shared" si="8"/>
        <v>0.60453400503778387</v>
      </c>
      <c r="AK15" s="13">
        <f>AJ15/'강화코어 수치, 재료'!$O12*100</f>
        <v>0.40302267002518927</v>
      </c>
      <c r="AL15" s="13"/>
      <c r="AM15" s="13" t="str">
        <f t="shared" si="9"/>
        <v>9&gt;10</v>
      </c>
      <c r="AN15" s="13">
        <f>$F$28*VLOOKUP($R15+1,'강화코어 수치, 재료'!$A$1:$B$32,2,FALSE)</f>
        <v>1.3125</v>
      </c>
      <c r="AO15" s="13">
        <f t="shared" si="10"/>
        <v>0.21158690176322398</v>
      </c>
      <c r="AP15" s="13">
        <f>AO15/'강화코어 수치, 재료'!$O12*100</f>
        <v>0.14105793450881599</v>
      </c>
      <c r="AQ15" s="13"/>
      <c r="AR15" s="13" t="str">
        <f t="shared" si="11"/>
        <v>9&gt;10</v>
      </c>
      <c r="AS15" s="13">
        <f>$E$28*VLOOKUP($R15+1,'강화코어 수치, 재료'!$A$1:$B$32,2,FALSE)</f>
        <v>3.4250000000000003</v>
      </c>
      <c r="AT15" s="13">
        <f t="shared" si="12"/>
        <v>0.55214105793450907</v>
      </c>
      <c r="AU15" s="40">
        <f>AT15/'강화코어 수치, 재료'!$O12*100</f>
        <v>0.36809403862300605</v>
      </c>
    </row>
    <row r="16" spans="1:47" x14ac:dyDescent="0.3">
      <c r="R16">
        <v>10</v>
      </c>
      <c r="S16" s="39" t="str">
        <f t="shared" si="1"/>
        <v>10&gt;11</v>
      </c>
      <c r="T16" s="13">
        <f>$I$28/$I$8*(500+6*($R16+1))+$J$28/$J$8*(((2400+80*($R16+1)))*8*3 + (3600+120*($R16+1))*14*7)*VLOOKUP($R16+1,'강화코어 수치, 재료'!$D$1:$E$32,2,FALSE)</f>
        <v>27.803615963279356</v>
      </c>
      <c r="U16" s="13">
        <f t="shared" si="2"/>
        <v>1.5730028424111986</v>
      </c>
      <c r="V16" s="13">
        <f>U16/'강화코어 수치, 재료'!I13*100</f>
        <v>1.9662535530139982</v>
      </c>
      <c r="W16" s="13"/>
      <c r="X16" s="13" t="str">
        <f t="shared" si="3"/>
        <v>10&gt;11</v>
      </c>
      <c r="Y16" s="13">
        <f t="shared" si="0"/>
        <v>7.1740670826833073</v>
      </c>
      <c r="Z16" s="13">
        <f t="shared" si="4"/>
        <v>0.4052075433143289</v>
      </c>
      <c r="AA16" s="13">
        <f>Z16/'강화코어 수치, 재료'!L13*100</f>
        <v>1.0130188582858222</v>
      </c>
      <c r="AB16" s="13"/>
      <c r="AC16" s="13" t="str">
        <f t="shared" si="5"/>
        <v>10&gt;11</v>
      </c>
      <c r="AD16" s="13">
        <f>$D$28*VLOOKUP($R16+1,'강화코어 수치, 재료'!$A$1:$B$32,2,FALSE)</f>
        <v>6.8166000000000002</v>
      </c>
      <c r="AE16" s="13">
        <f t="shared" si="6"/>
        <v>0.18169605373635611</v>
      </c>
      <c r="AF16" s="13">
        <f>AE16/'강화코어 수치, 재료'!$O13*100</f>
        <v>0.30282675622726019</v>
      </c>
      <c r="AG16" s="13"/>
      <c r="AH16" s="13" t="str">
        <f t="shared" si="7"/>
        <v>10&gt;11</v>
      </c>
      <c r="AI16" s="13">
        <f>$H$28*VLOOKUP($R16+1,'강화코어 수치, 재료'!$A$1:$B$32,2,FALSE)</f>
        <v>3.7800000000000002</v>
      </c>
      <c r="AJ16" s="13">
        <f t="shared" si="8"/>
        <v>0.10075566750629805</v>
      </c>
      <c r="AK16" s="13">
        <f>AJ16/'강화코어 수치, 재료'!$O13*100</f>
        <v>0.16792611251049674</v>
      </c>
      <c r="AL16" s="13"/>
      <c r="AM16" s="13" t="str">
        <f t="shared" si="9"/>
        <v>10&gt;11</v>
      </c>
      <c r="AN16" s="13">
        <f>$F$28*VLOOKUP($R16+1,'강화코어 수치, 재료'!$A$1:$B$32,2,FALSE)</f>
        <v>1.3230000000000002</v>
      </c>
      <c r="AO16" s="13">
        <f t="shared" si="10"/>
        <v>3.5264483627204621E-2</v>
      </c>
      <c r="AP16" s="13">
        <f>AO16/'강화코어 수치, 재료'!$O13*100</f>
        <v>5.8774139378674366E-2</v>
      </c>
      <c r="AQ16" s="13"/>
      <c r="AR16" s="13" t="str">
        <f t="shared" si="11"/>
        <v>10&gt;11</v>
      </c>
      <c r="AS16" s="13">
        <f>$E$28*VLOOKUP($R16+1,'강화코어 수치, 재료'!$A$1:$B$32,2,FALSE)</f>
        <v>3.4524000000000004</v>
      </c>
      <c r="AT16" s="13">
        <f t="shared" si="12"/>
        <v>9.2023509655751762E-2</v>
      </c>
      <c r="AU16" s="40">
        <f>AT16/'강화코어 수치, 재료'!$O13*100</f>
        <v>0.1533725160929196</v>
      </c>
    </row>
    <row r="17" spans="1:47" x14ac:dyDescent="0.3">
      <c r="R17">
        <v>11</v>
      </c>
      <c r="S17" s="39" t="str">
        <f t="shared" si="1"/>
        <v>11&gt;12</v>
      </c>
      <c r="T17" s="13">
        <f>$I$28/$I$8*(500+6*($R17+1))+$J$28/$J$8*(((2400+80*($R17+1)))*8*3 + (3600+120*($R17+1))*14*7)*VLOOKUP($R17+1,'강화코어 수치, 재료'!$D$1:$E$32,2,FALSE)</f>
        <v>28.271977559607294</v>
      </c>
      <c r="U17" s="13">
        <f t="shared" si="2"/>
        <v>1.5730028424112104</v>
      </c>
      <c r="V17" s="13">
        <f>U17/'강화코어 수치, 재료'!I14*100</f>
        <v>1.7477809360124559</v>
      </c>
      <c r="W17" s="13"/>
      <c r="X17" s="13" t="str">
        <f t="shared" si="3"/>
        <v>11&gt;12</v>
      </c>
      <c r="Y17" s="13">
        <f t="shared" si="0"/>
        <v>7.2947176287051478</v>
      </c>
      <c r="Z17" s="13">
        <f t="shared" si="4"/>
        <v>0.40520754331432596</v>
      </c>
      <c r="AA17" s="13">
        <f>Z17/'강화코어 수치, 재료'!L14*100</f>
        <v>0.90046120736516877</v>
      </c>
      <c r="AB17" s="13"/>
      <c r="AC17" s="13" t="str">
        <f t="shared" si="5"/>
        <v>11&gt;12</v>
      </c>
      <c r="AD17" s="13">
        <f>$D$28*VLOOKUP($R17+1,'강화코어 수치, 재료'!$A$1:$B$32,2,FALSE)</f>
        <v>6.8707000000000003</v>
      </c>
      <c r="AE17" s="13">
        <f t="shared" si="6"/>
        <v>0.18169605373635611</v>
      </c>
      <c r="AF17" s="13">
        <f>AE17/'강화코어 수치, 재료'!$O14*100</f>
        <v>0.26720007902405307</v>
      </c>
      <c r="AG17" s="13"/>
      <c r="AH17" s="13" t="str">
        <f t="shared" si="7"/>
        <v>11&gt;12</v>
      </c>
      <c r="AI17" s="13">
        <f>$H$28*VLOOKUP($R17+1,'강화코어 수치, 재료'!$A$1:$B$32,2,FALSE)</f>
        <v>3.81</v>
      </c>
      <c r="AJ17" s="13">
        <f t="shared" si="8"/>
        <v>0.10075566750629658</v>
      </c>
      <c r="AK17" s="13">
        <f>AJ17/'강화코어 수치, 재료'!$O14*100</f>
        <v>0.14817009927396554</v>
      </c>
      <c r="AL17" s="13"/>
      <c r="AM17" s="13" t="str">
        <f t="shared" si="9"/>
        <v>11&gt;12</v>
      </c>
      <c r="AN17" s="13">
        <f>$F$28*VLOOKUP($R17+1,'강화코어 수치, 재료'!$A$1:$B$32,2,FALSE)</f>
        <v>1.3335000000000001</v>
      </c>
      <c r="AO17" s="13">
        <f t="shared" si="10"/>
        <v>3.5264483627203871E-2</v>
      </c>
      <c r="AP17" s="13">
        <f>AO17/'강화코어 수치, 재료'!$O14*100</f>
        <v>5.1859534745888045E-2</v>
      </c>
      <c r="AQ17" s="13"/>
      <c r="AR17" s="13" t="str">
        <f t="shared" si="11"/>
        <v>11&gt;12</v>
      </c>
      <c r="AS17" s="13">
        <f>$E$28*VLOOKUP($R17+1,'강화코어 수치, 재료'!$A$1:$B$32,2,FALSE)</f>
        <v>3.4798000000000004</v>
      </c>
      <c r="AT17" s="13">
        <f t="shared" si="12"/>
        <v>9.2023509655751762E-2</v>
      </c>
      <c r="AU17" s="40">
        <f>AT17/'강화코어 수치, 재료'!$O14*100</f>
        <v>0.13532869067022318</v>
      </c>
    </row>
    <row r="18" spans="1:47" ht="20.25" x14ac:dyDescent="0.3">
      <c r="A18" s="34" t="s">
        <v>113</v>
      </c>
      <c r="R18">
        <v>12</v>
      </c>
      <c r="S18" s="39" t="str">
        <f t="shared" si="1"/>
        <v>12&gt;13</v>
      </c>
      <c r="T18" s="13">
        <f>$I$28/$I$8*(500+6*($R18+1))+$J$28/$J$8*(((2400+80*($R18+1)))*8*3 + (3600+120*($R18+1))*14*7)*VLOOKUP($R18+1,'강화코어 수치, 재료'!$D$1:$E$32,2,FALSE)</f>
        <v>28.740339155935231</v>
      </c>
      <c r="U18" s="13">
        <f t="shared" si="2"/>
        <v>1.5730028424112104</v>
      </c>
      <c r="V18" s="13">
        <f>U18/'강화코어 수치, 재료'!I15*100</f>
        <v>1.5730028424112104</v>
      </c>
      <c r="W18" s="13"/>
      <c r="X18" s="13" t="str">
        <f t="shared" si="3"/>
        <v>12&gt;13</v>
      </c>
      <c r="Y18" s="13">
        <f t="shared" si="0"/>
        <v>7.4153681747269884</v>
      </c>
      <c r="Z18" s="13">
        <f t="shared" si="4"/>
        <v>0.40520754331432596</v>
      </c>
      <c r="AA18" s="13">
        <f>Z18/'강화코어 수치, 재료'!L15*100</f>
        <v>0.81041508662865192</v>
      </c>
      <c r="AB18" s="13"/>
      <c r="AC18" s="13" t="str">
        <f t="shared" si="5"/>
        <v>12&gt;13</v>
      </c>
      <c r="AD18" s="13">
        <f>$D$28*VLOOKUP($R18+1,'강화코어 수치, 재료'!$A$1:$B$32,2,FALSE)</f>
        <v>6.9248000000000003</v>
      </c>
      <c r="AE18" s="13">
        <f t="shared" si="6"/>
        <v>0.18169605373635611</v>
      </c>
      <c r="AF18" s="13">
        <f>AE18/'강화코어 수치, 재료'!$O15*100</f>
        <v>0.24226140498180815</v>
      </c>
      <c r="AG18" s="13"/>
      <c r="AH18" s="13" t="str">
        <f t="shared" si="7"/>
        <v>12&gt;13</v>
      </c>
      <c r="AI18" s="13">
        <f>$H$28*VLOOKUP($R18+1,'강화코어 수치, 재료'!$A$1:$B$32,2,FALSE)</f>
        <v>3.84</v>
      </c>
      <c r="AJ18" s="13">
        <f t="shared" si="8"/>
        <v>0.10075566750629658</v>
      </c>
      <c r="AK18" s="13">
        <f>AJ18/'강화코어 수치, 재료'!$O15*100</f>
        <v>0.13434089000839544</v>
      </c>
      <c r="AL18" s="13"/>
      <c r="AM18" s="13" t="str">
        <f t="shared" si="9"/>
        <v>12&gt;13</v>
      </c>
      <c r="AN18" s="13">
        <f>$F$28*VLOOKUP($R18+1,'강화코어 수치, 재료'!$A$1:$B$32,2,FALSE)</f>
        <v>1.3440000000000001</v>
      </c>
      <c r="AO18" s="13">
        <f t="shared" si="10"/>
        <v>3.5264483627203871E-2</v>
      </c>
      <c r="AP18" s="13">
        <f>AO18/'강화코어 수치, 재료'!$O15*100</f>
        <v>4.7019311502938491E-2</v>
      </c>
      <c r="AQ18" s="13"/>
      <c r="AR18" s="13" t="str">
        <f t="shared" si="11"/>
        <v>12&gt;13</v>
      </c>
      <c r="AS18" s="13">
        <f>$E$28*VLOOKUP($R18+1,'강화코어 수치, 재료'!$A$1:$B$32,2,FALSE)</f>
        <v>3.5072000000000005</v>
      </c>
      <c r="AT18" s="13">
        <f t="shared" si="12"/>
        <v>9.2023509655751762E-2</v>
      </c>
      <c r="AU18" s="40">
        <f>AT18/'강화코어 수치, 재료'!$O15*100</f>
        <v>0.12269801287433568</v>
      </c>
    </row>
    <row r="19" spans="1:47" ht="17.25" thickBot="1" x14ac:dyDescent="0.35">
      <c r="R19">
        <v>13</v>
      </c>
      <c r="S19" s="39" t="str">
        <f t="shared" si="1"/>
        <v>13&gt;14</v>
      </c>
      <c r="T19" s="13">
        <f>$I$28/$I$8*(500+6*($R19+1))+$J$28/$J$8*(((2400+80*($R19+1)))*8*3 + (3600+120*($R19+1))*14*7)*VLOOKUP($R19+1,'강화코어 수치, 재료'!$D$1:$E$32,2,FALSE)</f>
        <v>29.208700752263162</v>
      </c>
      <c r="U19" s="13">
        <f t="shared" si="2"/>
        <v>1.5730028424111868</v>
      </c>
      <c r="V19" s="13">
        <f>U19/'강화코어 수치, 재료'!I16*100</f>
        <v>1.43000258401017</v>
      </c>
      <c r="W19" s="13"/>
      <c r="X19" s="13" t="str">
        <f t="shared" si="3"/>
        <v>13&gt;14</v>
      </c>
      <c r="Y19" s="13">
        <f t="shared" si="0"/>
        <v>7.5360187207488298</v>
      </c>
      <c r="Z19" s="13">
        <f t="shared" si="4"/>
        <v>0.4052075433143289</v>
      </c>
      <c r="AA19" s="13">
        <f>Z19/'강화코어 수치, 재료'!L16*100</f>
        <v>0.73674098784423436</v>
      </c>
      <c r="AB19" s="13"/>
      <c r="AC19" s="13" t="str">
        <f t="shared" si="5"/>
        <v>13&gt;14</v>
      </c>
      <c r="AD19" s="13">
        <f>$D$28*VLOOKUP($R19+1,'강화코어 수치, 재료'!$A$1:$B$32,2,FALSE)</f>
        <v>6.9789000000000003</v>
      </c>
      <c r="AE19" s="13">
        <f t="shared" si="6"/>
        <v>0.18169605373635611</v>
      </c>
      <c r="AF19" s="13">
        <f>AE19/'강화코어 수치, 재료'!$O16*100</f>
        <v>0.21891090811609168</v>
      </c>
      <c r="AG19" s="13"/>
      <c r="AH19" s="13" t="str">
        <f t="shared" si="7"/>
        <v>13&gt;14</v>
      </c>
      <c r="AI19" s="13">
        <f>$H$28*VLOOKUP($R19+1,'강화코어 수치, 재료'!$A$1:$B$32,2,FALSE)</f>
        <v>3.87</v>
      </c>
      <c r="AJ19" s="13">
        <f t="shared" si="8"/>
        <v>0.10075566750629805</v>
      </c>
      <c r="AK19" s="13">
        <f>AJ19/'강화코어 수치, 재료'!$O16*100</f>
        <v>0.12139237048951572</v>
      </c>
      <c r="AL19" s="13"/>
      <c r="AM19" s="13" t="str">
        <f t="shared" si="9"/>
        <v>13&gt;14</v>
      </c>
      <c r="AN19" s="13">
        <f>$F$28*VLOOKUP($R19+1,'강화코어 수치, 재료'!$A$1:$B$32,2,FALSE)</f>
        <v>1.3545</v>
      </c>
      <c r="AO19" s="13">
        <f t="shared" si="10"/>
        <v>3.5264483627203871E-2</v>
      </c>
      <c r="AP19" s="13">
        <f>AO19/'강화코어 수치, 재료'!$O16*100</f>
        <v>4.2487329671329961E-2</v>
      </c>
      <c r="AQ19" s="13"/>
      <c r="AR19" s="13" t="str">
        <f t="shared" si="11"/>
        <v>13&gt;14</v>
      </c>
      <c r="AS19" s="13">
        <f>$E$28*VLOOKUP($R19+1,'강화코어 수치, 재료'!$A$1:$B$32,2,FALSE)</f>
        <v>3.5346000000000002</v>
      </c>
      <c r="AT19" s="13">
        <f t="shared" si="12"/>
        <v>9.2023509655750277E-2</v>
      </c>
      <c r="AU19" s="40">
        <f>AT19/'강화코어 수치, 재료'!$O16*100</f>
        <v>0.11087169838042202</v>
      </c>
    </row>
    <row r="20" spans="1:47" x14ac:dyDescent="0.3">
      <c r="A20" s="8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R20">
        <v>14</v>
      </c>
      <c r="S20" s="39" t="str">
        <f t="shared" si="1"/>
        <v>14&gt;15</v>
      </c>
      <c r="T20" s="13">
        <f>$I$28/$I$8*(500+6*($R20+1))+$J$28/$J$8*(((2400+80*($R20+1)))*8*3 + (3600+120*($R20+1))*14*7)*VLOOKUP($R20+1,'강화코어 수치, 재료'!$D$1:$E$32,2,FALSE)</f>
        <v>29.6770623485911</v>
      </c>
      <c r="U20" s="13">
        <f t="shared" si="2"/>
        <v>1.5730028424112104</v>
      </c>
      <c r="V20" s="13">
        <f>U20/'강화코어 수치, 재료'!I17*100</f>
        <v>1.310835702009342</v>
      </c>
      <c r="W20" s="13"/>
      <c r="X20" s="13" t="str">
        <f t="shared" si="3"/>
        <v>14&gt;15</v>
      </c>
      <c r="Y20" s="13">
        <f t="shared" si="0"/>
        <v>7.6566692667706704</v>
      </c>
      <c r="Z20" s="13">
        <f t="shared" si="4"/>
        <v>0.40520754331432596</v>
      </c>
      <c r="AA20" s="13">
        <f>Z20/'강화코어 수치, 재료'!L17*100</f>
        <v>0.67534590552387652</v>
      </c>
      <c r="AB20" s="13"/>
      <c r="AC20" s="13" t="str">
        <f t="shared" si="5"/>
        <v>14&gt;15</v>
      </c>
      <c r="AD20" s="13">
        <f>$D$28*VLOOKUP($R20+1,'강화코어 수치, 재료'!$A$1:$B$32,2,FALSE)</f>
        <v>7.0330000000000004</v>
      </c>
      <c r="AE20" s="13">
        <f t="shared" si="6"/>
        <v>0.18169605373635611</v>
      </c>
      <c r="AF20" s="13">
        <f>AE20/'강화코어 수치, 재료'!$O17*100</f>
        <v>0.2018845041515068</v>
      </c>
      <c r="AG20" s="13"/>
      <c r="AH20" s="13" t="str">
        <f t="shared" si="7"/>
        <v>14&gt;15</v>
      </c>
      <c r="AI20" s="13">
        <f>$H$28*VLOOKUP($R20+1,'강화코어 수치, 재료'!$A$1:$B$32,2,FALSE)</f>
        <v>3.9000000000000004</v>
      </c>
      <c r="AJ20" s="13">
        <f t="shared" si="8"/>
        <v>0.10075566750629805</v>
      </c>
      <c r="AK20" s="13">
        <f>AJ20/'강화코어 수치, 재료'!$O17*100</f>
        <v>0.11195074167366451</v>
      </c>
      <c r="AL20" s="13"/>
      <c r="AM20" s="13" t="str">
        <f t="shared" si="9"/>
        <v>14&gt;15</v>
      </c>
      <c r="AN20" s="13">
        <f>$F$28*VLOOKUP($R20+1,'강화코어 수치, 재료'!$A$1:$B$32,2,FALSE)</f>
        <v>1.3650000000000002</v>
      </c>
      <c r="AO20" s="13">
        <f t="shared" si="10"/>
        <v>3.5264483627204621E-2</v>
      </c>
      <c r="AP20" s="13">
        <f>AO20/'강화코어 수치, 재료'!$O17*100</f>
        <v>3.9182759585782913E-2</v>
      </c>
      <c r="AQ20" s="13"/>
      <c r="AR20" s="13" t="str">
        <f t="shared" si="11"/>
        <v>14&gt;15</v>
      </c>
      <c r="AS20" s="13">
        <f>$E$28*VLOOKUP($R20+1,'강화코어 수치, 재료'!$A$1:$B$32,2,FALSE)</f>
        <v>3.5620000000000003</v>
      </c>
      <c r="AT20" s="13">
        <f t="shared" si="12"/>
        <v>9.2023509655751762E-2</v>
      </c>
      <c r="AU20" s="40">
        <f>AT20/'강화코어 수치, 재료'!$O17*100</f>
        <v>0.10224834406194641</v>
      </c>
    </row>
    <row r="21" spans="1:47" x14ac:dyDescent="0.3">
      <c r="A21" s="3"/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M21" s="4" t="s">
        <v>10</v>
      </c>
      <c r="R21">
        <v>15</v>
      </c>
      <c r="S21" s="39" t="str">
        <f t="shared" si="1"/>
        <v>15&gt;16</v>
      </c>
      <c r="T21" s="13">
        <f>$I$28/$I$8*(500+6*($R21+1))+$J$28/$J$8*(((2400+80*($R21+1)))*8*3 + (3600+120*($R21+1))*14*7)*VLOOKUP($R21+1,'강화코어 수치, 재료'!$D$1:$E$32,2,FALSE)</f>
        <v>30.145423944919035</v>
      </c>
      <c r="U21" s="13">
        <f t="shared" si="2"/>
        <v>1.5730028424111986</v>
      </c>
      <c r="V21" s="13">
        <f>U21/'강화코어 수치, 재료'!I18*100</f>
        <v>1.2100021864701529</v>
      </c>
      <c r="W21" s="13"/>
      <c r="X21" s="13" t="str">
        <f t="shared" si="3"/>
        <v>15&gt;16</v>
      </c>
      <c r="Y21" s="13">
        <f t="shared" si="0"/>
        <v>7.7773198127925109</v>
      </c>
      <c r="Z21" s="13">
        <f t="shared" si="4"/>
        <v>0.40520754331432596</v>
      </c>
      <c r="AA21" s="13">
        <f>Z21/'강화코어 수치, 재료'!L18*100</f>
        <v>0.62339622048357834</v>
      </c>
      <c r="AB21" s="13"/>
      <c r="AC21" s="13" t="str">
        <f t="shared" si="5"/>
        <v>15&gt;16</v>
      </c>
      <c r="AD21" s="13">
        <f>$D$28*VLOOKUP($R21+1,'강화코어 수치, 재료'!$A$1:$B$32,2,FALSE)</f>
        <v>7.0871000000000004</v>
      </c>
      <c r="AE21" s="13">
        <f t="shared" si="6"/>
        <v>0.18169605373635611</v>
      </c>
      <c r="AF21" s="13">
        <f>AE21/'강화코어 수치, 재료'!$O18*100</f>
        <v>0.1854041364656695</v>
      </c>
      <c r="AG21" s="13"/>
      <c r="AH21" s="13" t="str">
        <f t="shared" si="7"/>
        <v>15&gt;16</v>
      </c>
      <c r="AI21" s="13">
        <f>$H$28*VLOOKUP($R21+1,'강화코어 수치, 재료'!$A$1:$B$32,2,FALSE)</f>
        <v>3.93</v>
      </c>
      <c r="AJ21" s="13">
        <f t="shared" si="8"/>
        <v>0.10075566750629658</v>
      </c>
      <c r="AK21" s="13">
        <f>AJ21/'강화코어 수치, 재료'!$O18*100</f>
        <v>0.10281190561866999</v>
      </c>
      <c r="AL21" s="13"/>
      <c r="AM21" s="13" t="str">
        <f t="shared" si="9"/>
        <v>15&gt;16</v>
      </c>
      <c r="AN21" s="13">
        <f>$F$28*VLOOKUP($R21+1,'강화코어 수치, 재료'!$A$1:$B$32,2,FALSE)</f>
        <v>1.3755000000000002</v>
      </c>
      <c r="AO21" s="13">
        <f t="shared" si="10"/>
        <v>3.5264483627203871E-2</v>
      </c>
      <c r="AP21" s="13">
        <f>AO21/'강화코어 수치, 재료'!$O18*100</f>
        <v>3.5984166966534566E-2</v>
      </c>
      <c r="AQ21" s="13"/>
      <c r="AR21" s="13" t="str">
        <f t="shared" si="11"/>
        <v>15&gt;16</v>
      </c>
      <c r="AS21" s="13">
        <f>$E$28*VLOOKUP($R21+1,'강화코어 수치, 재료'!$A$1:$B$32,2,FALSE)</f>
        <v>3.5894000000000004</v>
      </c>
      <c r="AT21" s="13">
        <f t="shared" si="12"/>
        <v>9.2023509655751762E-2</v>
      </c>
      <c r="AU21" s="40">
        <f>AT21/'강화코어 수치, 재료'!$O18*100</f>
        <v>9.3901540465052821E-2</v>
      </c>
    </row>
    <row r="22" spans="1:47" x14ac:dyDescent="0.3">
      <c r="A22" s="3" t="s">
        <v>7</v>
      </c>
      <c r="B22">
        <v>8.9649999999999999</v>
      </c>
      <c r="C22">
        <v>6.77</v>
      </c>
      <c r="D22">
        <v>5.4</v>
      </c>
      <c r="E22">
        <v>3.03</v>
      </c>
      <c r="F22">
        <v>1.35</v>
      </c>
      <c r="G22">
        <v>1.1599999999999999</v>
      </c>
      <c r="H22">
        <v>3.1</v>
      </c>
      <c r="M22" s="4">
        <f>SUM(B22:H22)</f>
        <v>29.775000000000002</v>
      </c>
      <c r="R22">
        <v>16</v>
      </c>
      <c r="S22" s="39" t="str">
        <f t="shared" si="1"/>
        <v>16&gt;17</v>
      </c>
      <c r="T22" s="13">
        <f>$I$28/$I$8*(500+6*($R22+1))+$J$28/$J$8*(((2400+80*($R22+1)))*8*3 + (3600+120*($R22+1))*14*7)*VLOOKUP($R22+1,'강화코어 수치, 재료'!$D$1:$E$32,2,FALSE)</f>
        <v>30.613785541246969</v>
      </c>
      <c r="U22" s="13">
        <f t="shared" si="2"/>
        <v>1.5730028424111986</v>
      </c>
      <c r="V22" s="13">
        <f>U22/'강화코어 수치, 재료'!I19*100</f>
        <v>1.1235734588651418</v>
      </c>
      <c r="W22" s="13"/>
      <c r="X22" s="13" t="str">
        <f t="shared" si="3"/>
        <v>16&gt;17</v>
      </c>
      <c r="Y22" s="13">
        <f t="shared" si="0"/>
        <v>7.8979703588143524</v>
      </c>
      <c r="Z22" s="13">
        <f t="shared" si="4"/>
        <v>0.4052075433143289</v>
      </c>
      <c r="AA22" s="13">
        <f>Z22/'강화코어 수치, 재료'!L19*100</f>
        <v>0.57886791902046986</v>
      </c>
      <c r="AB22" s="13"/>
      <c r="AC22" s="13" t="str">
        <f t="shared" si="5"/>
        <v>16&gt;17</v>
      </c>
      <c r="AD22" s="13">
        <f>$D$28*VLOOKUP($R22+1,'강화코어 수치, 재료'!$A$1:$B$32,2,FALSE)</f>
        <v>7.1412000000000004</v>
      </c>
      <c r="AE22" s="13">
        <f t="shared" si="6"/>
        <v>0.18169605373635611</v>
      </c>
      <c r="AF22" s="13">
        <f>AE22/'강화코어 수치, 재료'!$O19*100</f>
        <v>0.17304386070129155</v>
      </c>
      <c r="AG22" s="13"/>
      <c r="AH22" s="13" t="str">
        <f t="shared" si="7"/>
        <v>16&gt;17</v>
      </c>
      <c r="AI22" s="13">
        <f>$H$28*VLOOKUP($R22+1,'강화코어 수치, 재료'!$A$1:$B$32,2,FALSE)</f>
        <v>3.96</v>
      </c>
      <c r="AJ22" s="13">
        <f t="shared" si="8"/>
        <v>0.10075566750629658</v>
      </c>
      <c r="AK22" s="13">
        <f>AJ22/'강화코어 수치, 재료'!$O19*100</f>
        <v>9.5957778577425309E-2</v>
      </c>
      <c r="AL22" s="13"/>
      <c r="AM22" s="13" t="str">
        <f t="shared" si="9"/>
        <v>16&gt;17</v>
      </c>
      <c r="AN22" s="13">
        <f>$F$28*VLOOKUP($R22+1,'강화코어 수치, 재료'!$A$1:$B$32,2,FALSE)</f>
        <v>1.3860000000000001</v>
      </c>
      <c r="AO22" s="13">
        <f t="shared" si="10"/>
        <v>3.5264483627203871E-2</v>
      </c>
      <c r="AP22" s="13">
        <f>AO22/'강화코어 수치, 재료'!$O19*100</f>
        <v>3.3585222502098923E-2</v>
      </c>
      <c r="AQ22" s="13"/>
      <c r="AR22" s="13" t="str">
        <f t="shared" si="11"/>
        <v>16&gt;17</v>
      </c>
      <c r="AS22" s="13">
        <f>$E$28*VLOOKUP($R22+1,'강화코어 수치, 재료'!$A$1:$B$32,2,FALSE)</f>
        <v>3.6168000000000005</v>
      </c>
      <c r="AT22" s="13">
        <f t="shared" si="12"/>
        <v>9.2023509655751762E-2</v>
      </c>
      <c r="AU22" s="40">
        <f>AT22/'강화코어 수치, 재료'!$O19*100</f>
        <v>8.7641437767382632E-2</v>
      </c>
    </row>
    <row r="23" spans="1:47" x14ac:dyDescent="0.3">
      <c r="A23" s="3" t="s">
        <v>8</v>
      </c>
      <c r="B23">
        <f t="shared" ref="B23:H23" si="14">B22/SUM($B$22:$H$22)*100</f>
        <v>30.109151973131819</v>
      </c>
      <c r="C23">
        <f t="shared" si="14"/>
        <v>22.737195633921072</v>
      </c>
      <c r="D23">
        <f t="shared" si="14"/>
        <v>18.136020151133501</v>
      </c>
      <c r="E23">
        <f t="shared" si="14"/>
        <v>10.176322418136019</v>
      </c>
      <c r="F23">
        <f t="shared" si="14"/>
        <v>4.5340050377833752</v>
      </c>
      <c r="G23">
        <f t="shared" si="14"/>
        <v>3.8958858102434921</v>
      </c>
      <c r="H23">
        <f t="shared" si="14"/>
        <v>10.411418975650713</v>
      </c>
      <c r="M23" s="4">
        <f>SUM(B23:H23)</f>
        <v>100.00000000000001</v>
      </c>
      <c r="R23">
        <v>17</v>
      </c>
      <c r="S23" s="39" t="str">
        <f t="shared" si="1"/>
        <v>17&gt;18</v>
      </c>
      <c r="T23" s="13">
        <f>$I$28/$I$8*(500+6*($R23+1))+$J$28/$J$8*(((2400+80*($R23+1)))*8*3 + (3600+120*($R23+1))*14*7)*VLOOKUP($R23+1,'강화코어 수치, 재료'!$D$1:$E$32,2,FALSE)</f>
        <v>31.082147137574907</v>
      </c>
      <c r="U23" s="13">
        <f t="shared" si="2"/>
        <v>1.5730028424112104</v>
      </c>
      <c r="V23" s="13">
        <f>U23/'강화코어 수치, 재료'!I20*100</f>
        <v>1.0486685616074736</v>
      </c>
      <c r="W23" s="13"/>
      <c r="X23" s="13" t="str">
        <f t="shared" si="3"/>
        <v>17&gt;18</v>
      </c>
      <c r="Y23" s="13">
        <f t="shared" si="0"/>
        <v>8.0186209048361938</v>
      </c>
      <c r="Z23" s="13">
        <f t="shared" si="4"/>
        <v>0.4052075433143289</v>
      </c>
      <c r="AA23" s="13">
        <f>Z23/'강화코어 수치, 재료'!L20*100</f>
        <v>0.54027672441910524</v>
      </c>
      <c r="AB23" s="13"/>
      <c r="AC23" s="13" t="str">
        <f t="shared" si="5"/>
        <v>17&gt;18</v>
      </c>
      <c r="AD23" s="13">
        <f>$D$28*VLOOKUP($R23+1,'강화코어 수치, 재료'!$A$1:$B$32,2,FALSE)</f>
        <v>7.1953000000000005</v>
      </c>
      <c r="AE23" s="13">
        <f t="shared" si="6"/>
        <v>0.18169605373635611</v>
      </c>
      <c r="AF23" s="13">
        <f>AE23/'강화코어 수치, 재료'!$O20*100</f>
        <v>0.16079296790827974</v>
      </c>
      <c r="AG23" s="13"/>
      <c r="AH23" s="13" t="str">
        <f t="shared" si="7"/>
        <v>17&gt;18</v>
      </c>
      <c r="AI23" s="13">
        <f>$H$28*VLOOKUP($R23+1,'강화코어 수치, 재료'!$A$1:$B$32,2,FALSE)</f>
        <v>3.99</v>
      </c>
      <c r="AJ23" s="13">
        <f t="shared" si="8"/>
        <v>0.10075566750629805</v>
      </c>
      <c r="AK23" s="13">
        <f>AJ23/'강화코어 수치, 재료'!$O20*100</f>
        <v>8.9164307527697384E-2</v>
      </c>
      <c r="AL23" s="13"/>
      <c r="AM23" s="13" t="str">
        <f t="shared" si="9"/>
        <v>17&gt;18</v>
      </c>
      <c r="AN23" s="13">
        <f>$F$28*VLOOKUP($R23+1,'강화코어 수치, 재료'!$A$1:$B$32,2,FALSE)</f>
        <v>1.3965000000000001</v>
      </c>
      <c r="AO23" s="13">
        <f t="shared" si="10"/>
        <v>3.5264483627203871E-2</v>
      </c>
      <c r="AP23" s="13">
        <f>AO23/'강화코어 수치, 재료'!$O20*100</f>
        <v>3.1207507634693689E-2</v>
      </c>
      <c r="AQ23" s="13"/>
      <c r="AR23" s="13" t="str">
        <f t="shared" si="11"/>
        <v>17&gt;18</v>
      </c>
      <c r="AS23" s="13">
        <f>$E$28*VLOOKUP($R23+1,'강화코어 수치, 재료'!$A$1:$B$32,2,FALSE)</f>
        <v>3.6442000000000005</v>
      </c>
      <c r="AT23" s="13">
        <f t="shared" si="12"/>
        <v>9.2023509655751762E-2</v>
      </c>
      <c r="AU23" s="40">
        <f>AT23/'강화코어 수치, 재료'!$O20*100</f>
        <v>8.1436734208629888E-2</v>
      </c>
    </row>
    <row r="24" spans="1:47" ht="17.25" thickBot="1" x14ac:dyDescent="0.35">
      <c r="A24" s="5" t="s">
        <v>9</v>
      </c>
      <c r="B24" s="6">
        <v>378</v>
      </c>
      <c r="C24" s="6">
        <v>768</v>
      </c>
      <c r="D24" s="6">
        <v>345</v>
      </c>
      <c r="E24" s="6">
        <v>228</v>
      </c>
      <c r="F24" s="6">
        <v>108</v>
      </c>
      <c r="G24" s="6">
        <v>42</v>
      </c>
      <c r="H24" s="6">
        <v>45</v>
      </c>
      <c r="I24" s="6"/>
      <c r="J24" s="6"/>
      <c r="K24" s="6"/>
      <c r="L24" s="6"/>
      <c r="M24" s="7"/>
      <c r="R24">
        <v>18</v>
      </c>
      <c r="S24" s="39" t="str">
        <f t="shared" si="1"/>
        <v>18&gt;19</v>
      </c>
      <c r="T24" s="13">
        <f>$I$28/$I$8*(500+6*($R24+1))+$J$28/$J$8*(((2400+80*($R24+1)))*8*3 + (3600+120*($R24+1))*14*7)*VLOOKUP($R24+1,'강화코어 수치, 재료'!$D$1:$E$32,2,FALSE)</f>
        <v>31.550508733902841</v>
      </c>
      <c r="U24" s="13">
        <f t="shared" si="2"/>
        <v>1.5730028424111986</v>
      </c>
      <c r="V24" s="13">
        <f>U24/'강화코어 수치, 재료'!I21*100</f>
        <v>0.98312677650699909</v>
      </c>
      <c r="W24" s="13"/>
      <c r="X24" s="13" t="str">
        <f t="shared" si="3"/>
        <v>18&gt;19</v>
      </c>
      <c r="Y24" s="13">
        <f t="shared" si="0"/>
        <v>8.1392714508580344</v>
      </c>
      <c r="Z24" s="13">
        <f t="shared" si="4"/>
        <v>0.40520754331432596</v>
      </c>
      <c r="AA24" s="13">
        <f>Z24/'강화코어 수치, 재료'!L21*100</f>
        <v>0.50650942914290742</v>
      </c>
      <c r="AB24" s="13"/>
      <c r="AC24" s="13" t="str">
        <f t="shared" si="5"/>
        <v>18&gt;19</v>
      </c>
      <c r="AD24" s="13">
        <f>$D$28*VLOOKUP($R24+1,'강화코어 수치, 재료'!$A$1:$B$32,2,FALSE)</f>
        <v>7.2494000000000005</v>
      </c>
      <c r="AE24" s="13">
        <f t="shared" si="6"/>
        <v>0.18169605373635611</v>
      </c>
      <c r="AF24" s="13">
        <f>AE24/'강화코어 수치, 재료'!$O21*100</f>
        <v>0.15141337811363009</v>
      </c>
      <c r="AG24" s="13"/>
      <c r="AH24" s="13" t="str">
        <f t="shared" si="7"/>
        <v>18&gt;19</v>
      </c>
      <c r="AI24" s="13">
        <f>$H$28*VLOOKUP($R24+1,'강화코어 수치, 재료'!$A$1:$B$32,2,FALSE)</f>
        <v>4.0200000000000005</v>
      </c>
      <c r="AJ24" s="13">
        <f t="shared" si="8"/>
        <v>0.10075566750629805</v>
      </c>
      <c r="AK24" s="13">
        <f>AJ24/'강화코어 수치, 재료'!$O21*100</f>
        <v>8.3963056255248372E-2</v>
      </c>
      <c r="AL24" s="13"/>
      <c r="AM24" s="13" t="str">
        <f t="shared" si="9"/>
        <v>18&gt;19</v>
      </c>
      <c r="AN24" s="13">
        <f>$F$28*VLOOKUP($R24+1,'강화코어 수치, 재료'!$A$1:$B$32,2,FALSE)</f>
        <v>1.4070000000000003</v>
      </c>
      <c r="AO24" s="13">
        <f t="shared" si="10"/>
        <v>3.5264483627204621E-2</v>
      </c>
      <c r="AP24" s="13">
        <f>AO24/'강화코어 수치, 재료'!$O21*100</f>
        <v>2.9387069689337183E-2</v>
      </c>
      <c r="AQ24" s="13"/>
      <c r="AR24" s="13" t="str">
        <f t="shared" si="11"/>
        <v>18&gt;19</v>
      </c>
      <c r="AS24" s="13">
        <f>$E$28*VLOOKUP($R24+1,'강화코어 수치, 재료'!$A$1:$B$32,2,FALSE)</f>
        <v>3.6716000000000006</v>
      </c>
      <c r="AT24" s="13">
        <f t="shared" si="12"/>
        <v>9.2023509655751762E-2</v>
      </c>
      <c r="AU24" s="40">
        <f>AT24/'강화코어 수치, 재료'!$O21*100</f>
        <v>7.6686258046459801E-2</v>
      </c>
    </row>
    <row r="25" spans="1:47" ht="17.25" thickBot="1" x14ac:dyDescent="0.35">
      <c r="R25">
        <v>19</v>
      </c>
      <c r="S25" s="39" t="str">
        <f t="shared" si="1"/>
        <v>19&gt;20</v>
      </c>
      <c r="T25" s="13">
        <f>$I$28/$I$8*(500+6*($R25+1))+$J$28/$J$8*(((2400+80*($R25+1)))*8*3 + (3600+120*($R25+1))*14*7)*VLOOKUP($R25+1,'강화코어 수치, 재료'!$D$1:$E$32,2,FALSE)</f>
        <v>32.491326905913155</v>
      </c>
      <c r="U25" s="13">
        <f t="shared" si="2"/>
        <v>3.1597587640984504</v>
      </c>
      <c r="V25" s="13">
        <f>U25/'강화코어 수치, 재료'!I22*100</f>
        <v>0.90278821831384293</v>
      </c>
      <c r="W25" s="13"/>
      <c r="X25" s="13" t="str">
        <f t="shared" si="3"/>
        <v>19&gt;20</v>
      </c>
      <c r="Y25" s="13">
        <f t="shared" si="0"/>
        <v>8.2599219968798749</v>
      </c>
      <c r="Z25" s="13">
        <f t="shared" si="4"/>
        <v>0.40520754331432596</v>
      </c>
      <c r="AA25" s="13">
        <f>Z25/'강화코어 수치, 재료'!L22*100</f>
        <v>0.23154716760818628</v>
      </c>
      <c r="AB25" s="13"/>
      <c r="AC25" s="13" t="str">
        <f t="shared" si="5"/>
        <v>19&gt;20</v>
      </c>
      <c r="AD25" s="13">
        <f>$D$28*VLOOKUP($R25+1,'강화코어 수치, 재료'!$A$1:$B$32,2,FALSE)</f>
        <v>7.5739999999999998</v>
      </c>
      <c r="AE25" s="13">
        <f t="shared" si="6"/>
        <v>1.0901763224181338</v>
      </c>
      <c r="AF25" s="13">
        <f>AE25/'강화코어 수치, 재료'!$O22*100</f>
        <v>0.41451571194605846</v>
      </c>
      <c r="AG25" s="13"/>
      <c r="AH25" s="13" t="str">
        <f t="shared" si="7"/>
        <v>19&gt;20</v>
      </c>
      <c r="AI25" s="13">
        <f>$H$28*VLOOKUP($R25+1,'강화코어 수치, 재료'!$A$1:$B$32,2,FALSE)</f>
        <v>4.1999999999999993</v>
      </c>
      <c r="AJ25" s="13">
        <f t="shared" si="8"/>
        <v>0.60453400503777932</v>
      </c>
      <c r="AK25" s="13">
        <f>AJ25/'강화코어 수치, 재료'!$O22*100</f>
        <v>0.22986083841740659</v>
      </c>
      <c r="AL25" s="13"/>
      <c r="AM25" s="13" t="str">
        <f t="shared" si="9"/>
        <v>19&gt;20</v>
      </c>
      <c r="AN25" s="13">
        <f>$F$28*VLOOKUP($R25+1,'강화코어 수치, 재료'!$A$1:$B$32,2,FALSE)</f>
        <v>1.47</v>
      </c>
      <c r="AO25" s="13">
        <f t="shared" si="10"/>
        <v>0.21158690176322323</v>
      </c>
      <c r="AP25" s="13">
        <f>AO25/'강화코어 수치, 재료'!$O22*100</f>
        <v>8.0451293446092489E-2</v>
      </c>
      <c r="AQ25" s="13"/>
      <c r="AR25" s="13" t="str">
        <f t="shared" si="11"/>
        <v>19&gt;20</v>
      </c>
      <c r="AS25" s="13">
        <f>$E$28*VLOOKUP($R25+1,'강화코어 수치, 재료'!$A$1:$B$32,2,FALSE)</f>
        <v>3.8359999999999999</v>
      </c>
      <c r="AT25" s="13">
        <f t="shared" si="12"/>
        <v>0.55214105793450619</v>
      </c>
      <c r="AU25" s="40">
        <f>AT25/'강화코어 수치, 재료'!$O22*100</f>
        <v>0.20993956575456507</v>
      </c>
    </row>
    <row r="26" spans="1:47" x14ac:dyDescent="0.3">
      <c r="A26" s="8" t="s">
        <v>90</v>
      </c>
      <c r="B26" s="1"/>
      <c r="C26" s="1"/>
      <c r="D26" s="10" t="s">
        <v>91</v>
      </c>
      <c r="E26" s="1"/>
      <c r="F26" s="1"/>
      <c r="G26" s="1"/>
      <c r="H26" s="1"/>
      <c r="I26" s="1"/>
      <c r="J26" s="1"/>
      <c r="K26" s="1"/>
      <c r="L26" s="1"/>
      <c r="M26" s="1"/>
      <c r="N26" s="2"/>
      <c r="R26">
        <v>20</v>
      </c>
      <c r="S26" s="39" t="str">
        <f t="shared" si="1"/>
        <v>20&gt;21</v>
      </c>
      <c r="T26" s="13">
        <f>$I$28/$I$8*(500+6*($R26+1))+$J$28/$J$8*(((2400+80*($R26+1)))*8*3 + (3600+120*($R26+1))*14*7)*VLOOKUP($R26+1,'강화코어 수치, 재료'!$D$1:$E$32,2,FALSE)</f>
        <v>32.969137633754741</v>
      </c>
      <c r="U26" s="13">
        <f t="shared" si="2"/>
        <v>1.604737960844957</v>
      </c>
      <c r="V26" s="13">
        <f>U26/'강화코어 수치, 재료'!I23*100</f>
        <v>0.94396350637938642</v>
      </c>
      <c r="W26" s="13"/>
      <c r="X26" s="13" t="str">
        <f t="shared" si="3"/>
        <v>20&gt;21</v>
      </c>
      <c r="Y26" s="13">
        <f t="shared" si="0"/>
        <v>8.3805725429017155</v>
      </c>
      <c r="Z26" s="13">
        <f t="shared" si="4"/>
        <v>0.40520754331432596</v>
      </c>
      <c r="AA26" s="13">
        <f>Z26/'강화코어 수치, 재료'!L23*100</f>
        <v>0.47671475684038345</v>
      </c>
      <c r="AB26" s="13"/>
      <c r="AC26" s="13" t="str">
        <f t="shared" si="5"/>
        <v>20&gt;21</v>
      </c>
      <c r="AD26" s="13">
        <f>$D$28*VLOOKUP($R26+1,'강화코어 수치, 재료'!$A$1:$B$32,2,FALSE)</f>
        <v>7.6280999999999999</v>
      </c>
      <c r="AE26" s="13">
        <f t="shared" si="6"/>
        <v>0.18169605373635611</v>
      </c>
      <c r="AF26" s="13">
        <f>AE26/'강화코어 수치, 재료'!$O23*100</f>
        <v>0.14195004198152822</v>
      </c>
      <c r="AG26" s="13"/>
      <c r="AH26" s="13" t="str">
        <f t="shared" si="7"/>
        <v>20&gt;21</v>
      </c>
      <c r="AI26" s="13">
        <f>$H$28*VLOOKUP($R26+1,'강화코어 수치, 재료'!$A$1:$B$32,2,FALSE)</f>
        <v>4.2299999999999995</v>
      </c>
      <c r="AJ26" s="13">
        <f t="shared" si="8"/>
        <v>0.10075566750629805</v>
      </c>
      <c r="AK26" s="13">
        <f>AJ26/'강화코어 수치, 재료'!$O23*100</f>
        <v>7.8715365239295357E-2</v>
      </c>
      <c r="AL26" s="13"/>
      <c r="AM26" s="13" t="str">
        <f t="shared" si="9"/>
        <v>20&gt;21</v>
      </c>
      <c r="AN26" s="13">
        <f>$F$28*VLOOKUP($R26+1,'강화코어 수치, 재료'!$A$1:$B$32,2,FALSE)</f>
        <v>1.4804999999999999</v>
      </c>
      <c r="AO26" s="13">
        <f t="shared" si="10"/>
        <v>3.5264483627203871E-2</v>
      </c>
      <c r="AP26" s="13">
        <f>AO26/'강화코어 수치, 재료'!$O23*100</f>
        <v>2.7550377833753026E-2</v>
      </c>
      <c r="AQ26" s="13"/>
      <c r="AR26" s="13" t="str">
        <f t="shared" si="11"/>
        <v>20&gt;21</v>
      </c>
      <c r="AS26" s="13">
        <f>$E$28*VLOOKUP($R26+1,'강화코어 수치, 재료'!$A$1:$B$32,2,FALSE)</f>
        <v>3.8633999999999999</v>
      </c>
      <c r="AT26" s="13">
        <f t="shared" si="12"/>
        <v>9.2023509655751762E-2</v>
      </c>
      <c r="AU26" s="40">
        <f>AT26/'강화코어 수치, 재료'!$O23*100</f>
        <v>7.1893366918556065E-2</v>
      </c>
    </row>
    <row r="27" spans="1:47" x14ac:dyDescent="0.3">
      <c r="A27" s="3"/>
      <c r="B27" t="s">
        <v>13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11</v>
      </c>
      <c r="J27" t="s">
        <v>12</v>
      </c>
      <c r="M27" t="s">
        <v>10</v>
      </c>
      <c r="N27" s="4"/>
      <c r="R27">
        <v>21</v>
      </c>
      <c r="S27" s="39" t="str">
        <f t="shared" si="1"/>
        <v>21&gt;22</v>
      </c>
      <c r="T27" s="13">
        <f>$I$28/$I$8*(500+6*($R27+1))+$J$28/$J$8*(((2400+80*($R27+1)))*8*3 + (3600+120*($R27+1))*14*7)*VLOOKUP($R27+1,'강화코어 수치, 재료'!$D$1:$E$32,2,FALSE)</f>
        <v>33.446948361596327</v>
      </c>
      <c r="U27" s="13">
        <f t="shared" si="2"/>
        <v>1.604737960844957</v>
      </c>
      <c r="V27" s="13">
        <f>U27/'강화코어 수치, 재료'!I24*100</f>
        <v>0.89152108935830943</v>
      </c>
      <c r="W27" s="13"/>
      <c r="X27" s="13" t="str">
        <f t="shared" si="3"/>
        <v>21&gt;22</v>
      </c>
      <c r="Y27" s="13">
        <f t="shared" si="0"/>
        <v>8.501223088923556</v>
      </c>
      <c r="Z27" s="13">
        <f t="shared" si="4"/>
        <v>0.40520754331432596</v>
      </c>
      <c r="AA27" s="13">
        <f>Z27/'강화코어 수치, 재료'!L24*100</f>
        <v>0.45023060368258438</v>
      </c>
      <c r="AB27" s="13"/>
      <c r="AC27" s="13" t="str">
        <f t="shared" si="5"/>
        <v>21&gt;22</v>
      </c>
      <c r="AD27" s="13">
        <f>$D$28*VLOOKUP($R27+1,'강화코어 수치, 재료'!$A$1:$B$32,2,FALSE)</f>
        <v>7.6821999999999999</v>
      </c>
      <c r="AE27" s="13">
        <f t="shared" si="6"/>
        <v>0.18169605373635611</v>
      </c>
      <c r="AF27" s="13">
        <f>AE27/'강화코어 수치, 재료'!$O24*100</f>
        <v>0.13458966943433787</v>
      </c>
      <c r="AG27" s="13"/>
      <c r="AH27" s="13" t="str">
        <f t="shared" si="7"/>
        <v>21&gt;22</v>
      </c>
      <c r="AI27" s="13">
        <f>$H$28*VLOOKUP($R27+1,'강화코어 수치, 재료'!$A$1:$B$32,2,FALSE)</f>
        <v>4.26</v>
      </c>
      <c r="AJ27" s="13">
        <f t="shared" si="8"/>
        <v>0.10075566750629805</v>
      </c>
      <c r="AK27" s="13">
        <f>AJ27/'강화코어 수치, 재료'!$O24*100</f>
        <v>7.4633827782442999E-2</v>
      </c>
      <c r="AL27" s="13"/>
      <c r="AM27" s="13" t="str">
        <f t="shared" si="9"/>
        <v>21&gt;22</v>
      </c>
      <c r="AN27" s="13">
        <f>$F$28*VLOOKUP($R27+1,'강화코어 수치, 재료'!$A$1:$B$32,2,FALSE)</f>
        <v>1.4909999999999999</v>
      </c>
      <c r="AO27" s="13">
        <f t="shared" si="10"/>
        <v>3.5264483627203871E-2</v>
      </c>
      <c r="AP27" s="13">
        <f>AO27/'강화코어 수치, 재료'!$O24*100</f>
        <v>2.612183972385472E-2</v>
      </c>
      <c r="AQ27" s="13"/>
      <c r="AR27" s="13" t="str">
        <f t="shared" si="11"/>
        <v>21&gt;22</v>
      </c>
      <c r="AS27" s="13">
        <f>$E$28*VLOOKUP($R27+1,'강화코어 수치, 재료'!$A$1:$B$32,2,FALSE)</f>
        <v>3.8908</v>
      </c>
      <c r="AT27" s="13">
        <f t="shared" si="12"/>
        <v>9.2023509655751762E-2</v>
      </c>
      <c r="AU27" s="40">
        <f>AT27/'강화코어 수치, 재료'!$O24*100</f>
        <v>6.816556270796427E-2</v>
      </c>
    </row>
    <row r="28" spans="1:47" x14ac:dyDescent="0.3">
      <c r="A28" s="3" t="s">
        <v>7</v>
      </c>
      <c r="B28">
        <v>5.9489999999999998</v>
      </c>
      <c r="C28">
        <v>0</v>
      </c>
      <c r="D28">
        <v>5.41</v>
      </c>
      <c r="E28">
        <v>2.74</v>
      </c>
      <c r="F28">
        <v>1.05</v>
      </c>
      <c r="G28">
        <v>0.92</v>
      </c>
      <c r="H28">
        <v>3</v>
      </c>
      <c r="I28">
        <v>13.6</v>
      </c>
      <c r="J28">
        <v>9.52</v>
      </c>
      <c r="M28">
        <f>SUM(B28:J28)</f>
        <v>42.189000000000007</v>
      </c>
      <c r="N28" s="4"/>
      <c r="R28">
        <v>22</v>
      </c>
      <c r="S28" s="39" t="str">
        <f t="shared" si="1"/>
        <v>22&gt;23</v>
      </c>
      <c r="T28" s="13">
        <f>$I$28/$I$8*(500+6*($R28+1))+$J$28/$J$8*(((2400+80*($R28+1)))*8*3 + (3600+120*($R28+1))*14*7)*VLOOKUP($R28+1,'강화코어 수치, 재료'!$D$1:$E$32,2,FALSE)</f>
        <v>33.924759089437913</v>
      </c>
      <c r="U28" s="13">
        <f t="shared" si="2"/>
        <v>1.604737960844957</v>
      </c>
      <c r="V28" s="13">
        <f>U28/'강화코어 수치, 재료'!I25*100</f>
        <v>0.84459892676050363</v>
      </c>
      <c r="W28" s="13"/>
      <c r="X28" s="13" t="str">
        <f t="shared" si="3"/>
        <v>22&gt;23</v>
      </c>
      <c r="Y28" s="13">
        <f t="shared" si="0"/>
        <v>8.6218736349453966</v>
      </c>
      <c r="Z28" s="13">
        <f t="shared" si="4"/>
        <v>0.40520754331432596</v>
      </c>
      <c r="AA28" s="13">
        <f>Z28/'강화코어 수치, 재료'!L25*100</f>
        <v>0.42653425612034312</v>
      </c>
      <c r="AB28" s="13"/>
      <c r="AC28" s="13" t="str">
        <f t="shared" si="5"/>
        <v>22&gt;23</v>
      </c>
      <c r="AD28" s="13">
        <f>$D$28*VLOOKUP($R28+1,'강화코어 수치, 재료'!$A$1:$B$32,2,FALSE)</f>
        <v>7.7363</v>
      </c>
      <c r="AE28" s="13">
        <f t="shared" si="6"/>
        <v>0.18169605373635611</v>
      </c>
      <c r="AF28" s="13">
        <f>AE28/'강화코어 수치, 재료'!$O25*100</f>
        <v>0.12706017743801126</v>
      </c>
      <c r="AG28" s="13"/>
      <c r="AH28" s="13" t="str">
        <f t="shared" si="7"/>
        <v>22&gt;23</v>
      </c>
      <c r="AI28" s="13">
        <f>$H$28*VLOOKUP($R28+1,'강화코어 수치, 재료'!$A$1:$B$32,2,FALSE)</f>
        <v>4.29</v>
      </c>
      <c r="AJ28" s="13">
        <f t="shared" si="8"/>
        <v>0.10075566750629805</v>
      </c>
      <c r="AK28" s="13">
        <f>AJ28/'강화코어 수치, 재료'!$O25*100</f>
        <v>7.0458508745662965E-2</v>
      </c>
      <c r="AL28" s="13"/>
      <c r="AM28" s="13" t="str">
        <f t="shared" si="9"/>
        <v>22&gt;23</v>
      </c>
      <c r="AN28" s="13">
        <f>$F$28*VLOOKUP($R28+1,'강화코어 수치, 재료'!$A$1:$B$32,2,FALSE)</f>
        <v>1.5015000000000001</v>
      </c>
      <c r="AO28" s="13">
        <f t="shared" si="10"/>
        <v>3.5264483627204621E-2</v>
      </c>
      <c r="AP28" s="13">
        <f>AO28/'강화코어 수치, 재료'!$O25*100</f>
        <v>2.4660478060982254E-2</v>
      </c>
      <c r="AQ28" s="13"/>
      <c r="AR28" s="13" t="str">
        <f t="shared" si="11"/>
        <v>22&gt;23</v>
      </c>
      <c r="AS28" s="13">
        <f>$E$28*VLOOKUP($R28+1,'강화코어 수치, 재료'!$A$1:$B$32,2,FALSE)</f>
        <v>3.9182000000000001</v>
      </c>
      <c r="AT28" s="13">
        <f t="shared" si="12"/>
        <v>9.2023509655751762E-2</v>
      </c>
      <c r="AU28" s="40">
        <f>AT28/'강화코어 수치, 재료'!$O25*100</f>
        <v>6.4352104654371856E-2</v>
      </c>
    </row>
    <row r="29" spans="1:47" x14ac:dyDescent="0.3">
      <c r="A29" s="3" t="s">
        <v>8</v>
      </c>
      <c r="B29">
        <f t="shared" ref="B29:J29" si="15">B28/SUM($B$28:$J$28)*100</f>
        <v>14.100831970418826</v>
      </c>
      <c r="C29">
        <f t="shared" si="15"/>
        <v>0</v>
      </c>
      <c r="D29">
        <f t="shared" si="15"/>
        <v>12.823247766005355</v>
      </c>
      <c r="E29">
        <f t="shared" si="15"/>
        <v>6.4945838962762803</v>
      </c>
      <c r="F29">
        <f t="shared" si="15"/>
        <v>2.4888003982080633</v>
      </c>
      <c r="G29">
        <f t="shared" si="15"/>
        <v>2.1806632060489699</v>
      </c>
      <c r="H29">
        <f t="shared" si="15"/>
        <v>7.1108582805944662</v>
      </c>
      <c r="I29">
        <f t="shared" si="15"/>
        <v>32.23589087202825</v>
      </c>
      <c r="J29">
        <f t="shared" si="15"/>
        <v>22.565123610419775</v>
      </c>
      <c r="M29">
        <f>SUM(B29:J29)</f>
        <v>99.999999999999986</v>
      </c>
      <c r="N29" s="4"/>
      <c r="R29">
        <v>23</v>
      </c>
      <c r="S29" s="39" t="str">
        <f t="shared" si="1"/>
        <v>23&gt;24</v>
      </c>
      <c r="T29" s="13">
        <f>$I$28/$I$8*(500+6*($R29+1))+$J$28/$J$8*(((2400+80*($R29+1)))*8*3 + (3600+120*($R29+1))*14*7)*VLOOKUP($R29+1,'강화코어 수치, 재료'!$D$1:$E$32,2,FALSE)</f>
        <v>34.402569817279492</v>
      </c>
      <c r="U29" s="13">
        <f t="shared" si="2"/>
        <v>1.604737960844933</v>
      </c>
      <c r="V29" s="13">
        <f>U29/'강화코어 수치, 재료'!I26*100</f>
        <v>0.80236898042246652</v>
      </c>
      <c r="W29" s="13"/>
      <c r="X29" s="13" t="str">
        <f t="shared" si="3"/>
        <v>23&gt;24</v>
      </c>
      <c r="Y29" s="13">
        <f t="shared" si="0"/>
        <v>8.7425241809672389</v>
      </c>
      <c r="Z29" s="13">
        <f t="shared" si="4"/>
        <v>0.40520754331433184</v>
      </c>
      <c r="AA29" s="13">
        <f>Z29/'강화코어 수치, 재료'!L26*100</f>
        <v>0.40520754331433184</v>
      </c>
      <c r="AB29" s="13"/>
      <c r="AC29" s="13" t="str">
        <f t="shared" si="5"/>
        <v>23&gt;24</v>
      </c>
      <c r="AD29" s="13">
        <f>$D$28*VLOOKUP($R29+1,'강화코어 수치, 재료'!$A$1:$B$32,2,FALSE)</f>
        <v>7.7904</v>
      </c>
      <c r="AE29" s="13">
        <f t="shared" si="6"/>
        <v>0.18169605373635611</v>
      </c>
      <c r="AF29" s="13">
        <f>AE29/'강화코어 수치, 재료'!$O26*100</f>
        <v>0.12113070249090407</v>
      </c>
      <c r="AG29" s="13"/>
      <c r="AH29" s="13" t="str">
        <f t="shared" si="7"/>
        <v>23&gt;24</v>
      </c>
      <c r="AI29" s="13">
        <f>$H$28*VLOOKUP($R29+1,'강화코어 수치, 재료'!$A$1:$B$32,2,FALSE)</f>
        <v>4.32</v>
      </c>
      <c r="AJ29" s="13">
        <f t="shared" si="8"/>
        <v>0.10075566750629805</v>
      </c>
      <c r="AK29" s="13">
        <f>AJ29/'강화코어 수치, 재료'!$O26*100</f>
        <v>6.7170445004198706E-2</v>
      </c>
      <c r="AL29" s="13"/>
      <c r="AM29" s="13" t="str">
        <f t="shared" si="9"/>
        <v>23&gt;24</v>
      </c>
      <c r="AN29" s="13">
        <f>$F$28*VLOOKUP($R29+1,'강화코어 수치, 재료'!$A$1:$B$32,2,FALSE)</f>
        <v>1.512</v>
      </c>
      <c r="AO29" s="13">
        <f t="shared" si="10"/>
        <v>3.5264483627203871E-2</v>
      </c>
      <c r="AP29" s="13">
        <f>AO29/'강화코어 수치, 재료'!$O26*100</f>
        <v>2.3509655751469245E-2</v>
      </c>
      <c r="AQ29" s="13"/>
      <c r="AR29" s="13" t="str">
        <f t="shared" si="11"/>
        <v>23&gt;24</v>
      </c>
      <c r="AS29" s="13">
        <f>$E$28*VLOOKUP($R29+1,'강화코어 수치, 재료'!$A$1:$B$32,2,FALSE)</f>
        <v>3.9456000000000002</v>
      </c>
      <c r="AT29" s="13">
        <f t="shared" si="12"/>
        <v>9.2023509655751762E-2</v>
      </c>
      <c r="AU29" s="40">
        <f>AT29/'강화코어 수치, 재료'!$O26*100</f>
        <v>6.1349006437167841E-2</v>
      </c>
    </row>
    <row r="30" spans="1:47" x14ac:dyDescent="0.3">
      <c r="A30" s="3" t="s">
        <v>9</v>
      </c>
      <c r="B30">
        <v>287</v>
      </c>
      <c r="C30">
        <v>0</v>
      </c>
      <c r="D30">
        <v>345</v>
      </c>
      <c r="E30">
        <v>213</v>
      </c>
      <c r="F30">
        <v>81</v>
      </c>
      <c r="G30">
        <v>42</v>
      </c>
      <c r="H30">
        <v>45</v>
      </c>
      <c r="I30">
        <v>745</v>
      </c>
      <c r="J30">
        <v>122</v>
      </c>
      <c r="N30" s="4"/>
      <c r="R30">
        <v>24</v>
      </c>
      <c r="S30" s="39" t="str">
        <f t="shared" si="1"/>
        <v>24&gt;25</v>
      </c>
      <c r="T30" s="13">
        <f>$I$28/$I$8*(500+6*($R30+1))+$J$28/$J$8*(((2400+80*($R30+1)))*8*3 + (3600+120*($R30+1))*14*7)*VLOOKUP($R30+1,'강화코어 수치, 재료'!$D$1:$E$32,2,FALSE)</f>
        <v>34.880380545121078</v>
      </c>
      <c r="U30" s="13">
        <f t="shared" si="2"/>
        <v>1.604737960844957</v>
      </c>
      <c r="V30" s="13">
        <f>U30/'강화코어 수치, 재료'!I27*100</f>
        <v>0.76416093373569383</v>
      </c>
      <c r="W30" s="13"/>
      <c r="X30" s="13" t="str">
        <f t="shared" si="3"/>
        <v>24&gt;25</v>
      </c>
      <c r="Y30" s="13">
        <f t="shared" si="0"/>
        <v>8.8631747269890795</v>
      </c>
      <c r="Z30" s="13">
        <f t="shared" si="4"/>
        <v>0.40520754331432596</v>
      </c>
      <c r="AA30" s="13">
        <f>Z30/'강화코어 수치, 재료'!L27*100</f>
        <v>0.38591194601364381</v>
      </c>
      <c r="AB30" s="13"/>
      <c r="AC30" s="13" t="str">
        <f t="shared" si="5"/>
        <v>24&gt;25</v>
      </c>
      <c r="AD30" s="13">
        <f>$D$28*VLOOKUP($R30+1,'강화코어 수치, 재료'!$A$1:$B$32,2,FALSE)</f>
        <v>7.8445</v>
      </c>
      <c r="AE30" s="13">
        <f t="shared" si="6"/>
        <v>0.18169605373635611</v>
      </c>
      <c r="AF30" s="13">
        <f>AE30/'강화코어 수치, 재료'!$O27*100</f>
        <v>0.11499750236478234</v>
      </c>
      <c r="AG30" s="13"/>
      <c r="AH30" s="13" t="str">
        <f t="shared" si="7"/>
        <v>24&gt;25</v>
      </c>
      <c r="AI30" s="13">
        <f>$H$28*VLOOKUP($R30+1,'강화코어 수치, 재료'!$A$1:$B$32,2,FALSE)</f>
        <v>4.3499999999999996</v>
      </c>
      <c r="AJ30" s="13">
        <f t="shared" si="8"/>
        <v>0.10075566750629508</v>
      </c>
      <c r="AK30" s="13">
        <f>AJ30/'강화코어 수치, 재료'!$O27*100</f>
        <v>6.376940981411082E-2</v>
      </c>
      <c r="AL30" s="13"/>
      <c r="AM30" s="13" t="str">
        <f t="shared" si="9"/>
        <v>24&gt;25</v>
      </c>
      <c r="AN30" s="13">
        <f>$F$28*VLOOKUP($R30+1,'강화코어 수치, 재료'!$A$1:$B$32,2,FALSE)</f>
        <v>1.5225</v>
      </c>
      <c r="AO30" s="13">
        <f t="shared" si="10"/>
        <v>3.5264483627203871E-2</v>
      </c>
      <c r="AP30" s="13">
        <f>AO30/'강화코어 수치, 재료'!$O27*100</f>
        <v>2.2319293434939162E-2</v>
      </c>
      <c r="AQ30" s="13"/>
      <c r="AR30" s="13" t="str">
        <f t="shared" si="11"/>
        <v>24&gt;25</v>
      </c>
      <c r="AS30" s="13">
        <f>$E$28*VLOOKUP($R30+1,'강화코어 수치, 재료'!$A$1:$B$32,2,FALSE)</f>
        <v>3.9730000000000003</v>
      </c>
      <c r="AT30" s="13">
        <f t="shared" si="12"/>
        <v>9.2023509655751762E-2</v>
      </c>
      <c r="AU30" s="40">
        <f>AT30/'강화코어 수치, 재료'!$O27*100</f>
        <v>5.8242727630222639E-2</v>
      </c>
    </row>
    <row r="31" spans="1:47" x14ac:dyDescent="0.3">
      <c r="A31" s="3"/>
      <c r="N31" s="4"/>
      <c r="R31">
        <v>25</v>
      </c>
      <c r="S31" s="39" t="str">
        <f t="shared" si="1"/>
        <v>25&gt;26</v>
      </c>
      <c r="T31" s="13">
        <f>$I$28/$I$8*(500+6*($R31+1))+$J$28/$J$8*(((2400+80*($R31+1)))*8*3 + (3600+120*($R31+1))*14*7)*VLOOKUP($R31+1,'강화코어 수치, 재료'!$D$1:$E$32,2,FALSE)</f>
        <v>35.358191272962657</v>
      </c>
      <c r="U31" s="13">
        <f t="shared" si="2"/>
        <v>1.604737960844933</v>
      </c>
      <c r="V31" s="13">
        <f>U31/'강화코어 수치, 재료'!I28*100</f>
        <v>0.72942634583860599</v>
      </c>
      <c r="W31" s="13"/>
      <c r="X31" s="13" t="str">
        <f t="shared" si="3"/>
        <v>25&gt;26</v>
      </c>
      <c r="Y31" s="13">
        <f t="shared" si="0"/>
        <v>8.98382527301092</v>
      </c>
      <c r="Z31" s="13">
        <f t="shared" si="4"/>
        <v>0.40520754331432596</v>
      </c>
      <c r="AA31" s="13">
        <f>Z31/'강화코어 수치, 재료'!L28*100</f>
        <v>0.36837049392211452</v>
      </c>
      <c r="AB31" s="13"/>
      <c r="AC31" s="13" t="str">
        <f t="shared" si="5"/>
        <v>25&gt;26</v>
      </c>
      <c r="AD31" s="13">
        <f>$D$28*VLOOKUP($R31+1,'강화코어 수치, 재료'!$A$1:$B$32,2,FALSE)</f>
        <v>7.8986000000000001</v>
      </c>
      <c r="AE31" s="13">
        <f t="shared" si="6"/>
        <v>0.18169605373635611</v>
      </c>
      <c r="AF31" s="13">
        <f>AE31/'강화코어 수치, 재료'!$O28*100</f>
        <v>0.11011882044627644</v>
      </c>
      <c r="AG31" s="13"/>
      <c r="AH31" s="13" t="str">
        <f t="shared" si="7"/>
        <v>25&gt;26</v>
      </c>
      <c r="AI31" s="13">
        <f>$H$28*VLOOKUP($R31+1,'강화코어 수치, 재료'!$A$1:$B$32,2,FALSE)</f>
        <v>4.38</v>
      </c>
      <c r="AJ31" s="13">
        <f t="shared" si="8"/>
        <v>0.10075566750629805</v>
      </c>
      <c r="AK31" s="13">
        <f>AJ31/'강화코어 수치, 재료'!$O28*100</f>
        <v>6.1064040912907909E-2</v>
      </c>
      <c r="AL31" s="13"/>
      <c r="AM31" s="13" t="str">
        <f t="shared" si="9"/>
        <v>25&gt;26</v>
      </c>
      <c r="AN31" s="13">
        <f>$F$28*VLOOKUP($R31+1,'강화코어 수치, 재료'!$A$1:$B$32,2,FALSE)</f>
        <v>1.5329999999999999</v>
      </c>
      <c r="AO31" s="13">
        <f t="shared" si="10"/>
        <v>3.5264483627203871E-2</v>
      </c>
      <c r="AP31" s="13">
        <f>AO31/'강화코어 수치, 재료'!$O28*100</f>
        <v>2.1372414319517499E-2</v>
      </c>
      <c r="AQ31" s="13"/>
      <c r="AR31" s="13" t="str">
        <f t="shared" si="11"/>
        <v>25&gt;26</v>
      </c>
      <c r="AS31" s="13">
        <f>$E$28*VLOOKUP($R31+1,'강화코어 수치, 재료'!$A$1:$B$32,2,FALSE)</f>
        <v>4.0004</v>
      </c>
      <c r="AT31" s="13">
        <f t="shared" si="12"/>
        <v>9.2023509655750277E-2</v>
      </c>
      <c r="AU31" s="40">
        <f>AT31/'강화코어 수치, 재료'!$O28*100</f>
        <v>5.5771824033788046E-2</v>
      </c>
    </row>
    <row r="32" spans="1:47" ht="17.25" thickBot="1" x14ac:dyDescent="0.35">
      <c r="A32" s="5" t="s">
        <v>21</v>
      </c>
      <c r="B32" s="6">
        <f>(B28/B30)/($B$22/$B$24)</f>
        <v>0.87398419327193833</v>
      </c>
      <c r="C32" s="6" t="s">
        <v>14</v>
      </c>
      <c r="D32" s="6">
        <f>(D28/D30)/($D$22/$D$24)</f>
        <v>1.0018518518518518</v>
      </c>
      <c r="E32" s="6">
        <f>(E28/E30)/($E$22/$E$24)</f>
        <v>0.96797285362339069</v>
      </c>
      <c r="F32" s="6">
        <f>(F28/F30)/($F$22/$F$24)</f>
        <v>1.037037037037037</v>
      </c>
      <c r="G32" s="6">
        <f>(G28/G30)/($G$22/$G$24)</f>
        <v>0.79310344827586221</v>
      </c>
      <c r="H32" s="6">
        <f>(H28/H30)/($H$22/$H$24)</f>
        <v>0.967741935483871</v>
      </c>
      <c r="I32" s="6" t="s">
        <v>14</v>
      </c>
      <c r="J32" s="6" t="s">
        <v>14</v>
      </c>
      <c r="K32" s="6"/>
      <c r="L32" s="6"/>
      <c r="M32" s="6"/>
      <c r="N32" s="7"/>
      <c r="R32">
        <v>26</v>
      </c>
      <c r="S32" s="39" t="str">
        <f t="shared" si="1"/>
        <v>26&gt;27</v>
      </c>
      <c r="T32" s="13">
        <f>$I$28/$I$8*(500+6*($R32+1))+$J$28/$J$8*(((2400+80*($R32+1)))*8*3 + (3600+120*($R32+1))*14*7)*VLOOKUP($R32+1,'강화코어 수치, 재료'!$D$1:$E$32,2,FALSE)</f>
        <v>35.836002000804243</v>
      </c>
      <c r="U32" s="13">
        <f t="shared" si="2"/>
        <v>1.604737960844957</v>
      </c>
      <c r="V32" s="13">
        <f>U32/'강화코어 수치, 재료'!I29*100</f>
        <v>0.69771215688911181</v>
      </c>
      <c r="W32" s="13"/>
      <c r="X32" s="13" t="str">
        <f t="shared" si="3"/>
        <v>26&gt;27</v>
      </c>
      <c r="Y32" s="13">
        <f t="shared" si="0"/>
        <v>9.1044758190327606</v>
      </c>
      <c r="Z32" s="13">
        <f t="shared" si="4"/>
        <v>0.40520754331432596</v>
      </c>
      <c r="AA32" s="13">
        <f>Z32/'강화코어 수치, 재료'!L29*100</f>
        <v>0.35235438549071824</v>
      </c>
      <c r="AB32" s="13"/>
      <c r="AC32" s="13" t="str">
        <f t="shared" si="5"/>
        <v>26&gt;27</v>
      </c>
      <c r="AD32" s="13">
        <f>$D$28*VLOOKUP($R32+1,'강화코어 수치, 재료'!$A$1:$B$32,2,FALSE)</f>
        <v>7.9527000000000001</v>
      </c>
      <c r="AE32" s="13">
        <f t="shared" si="6"/>
        <v>0.18169605373635611</v>
      </c>
      <c r="AF32" s="13">
        <f>AE32/'강화코어 수치, 재료'!$O29*100</f>
        <v>0.10502662065685325</v>
      </c>
      <c r="AG32" s="13"/>
      <c r="AH32" s="13" t="str">
        <f t="shared" si="7"/>
        <v>26&gt;27</v>
      </c>
      <c r="AI32" s="13">
        <f>$H$28*VLOOKUP($R32+1,'강화코어 수치, 재료'!$A$1:$B$32,2,FALSE)</f>
        <v>4.41</v>
      </c>
      <c r="AJ32" s="13">
        <f t="shared" si="8"/>
        <v>0.10075566750629805</v>
      </c>
      <c r="AK32" s="13">
        <f>AJ32/'강화코어 수치, 재료'!$O29*100</f>
        <v>5.8240270234854369E-2</v>
      </c>
      <c r="AL32" s="13"/>
      <c r="AM32" s="13" t="str">
        <f t="shared" si="9"/>
        <v>26&gt;27</v>
      </c>
      <c r="AN32" s="13">
        <f>$F$28*VLOOKUP($R32+1,'강화코어 수치, 재료'!$A$1:$B$32,2,FALSE)</f>
        <v>1.5435000000000001</v>
      </c>
      <c r="AO32" s="13">
        <f t="shared" si="10"/>
        <v>3.5264483627204621E-2</v>
      </c>
      <c r="AP32" s="13">
        <f>AO32/'강화코어 수치, 재료'!$O29*100</f>
        <v>2.03840945821992E-2</v>
      </c>
      <c r="AQ32" s="13"/>
      <c r="AR32" s="13" t="str">
        <f t="shared" si="11"/>
        <v>26&gt;27</v>
      </c>
      <c r="AS32" s="13">
        <f>$E$28*VLOOKUP($R32+1,'강화코어 수치, 재료'!$A$1:$B$32,2,FALSE)</f>
        <v>4.0278</v>
      </c>
      <c r="AT32" s="13">
        <f t="shared" si="12"/>
        <v>9.2023509655751762E-2</v>
      </c>
      <c r="AU32" s="40">
        <f>AT32/'강화코어 수치, 재료'!$O29*100</f>
        <v>5.3192780147833386E-2</v>
      </c>
    </row>
    <row r="33" spans="1:47" ht="17.25" thickBot="1" x14ac:dyDescent="0.35">
      <c r="A33" s="30"/>
      <c r="B33" s="29"/>
      <c r="C33" s="29"/>
      <c r="E33" s="29"/>
      <c r="G33" s="29"/>
      <c r="H33" s="29"/>
      <c r="M33" s="29"/>
      <c r="N33" s="29"/>
      <c r="R33">
        <v>27</v>
      </c>
      <c r="S33" s="39" t="str">
        <f t="shared" si="1"/>
        <v>27&gt;28</v>
      </c>
      <c r="T33" s="13">
        <f>$I$28/$I$8*(500+6*($R33+1))+$J$28/$J$8*(((2400+80*($R33+1)))*8*3 + (3600+120*($R33+1))*14*7)*VLOOKUP($R33+1,'강화코어 수치, 재료'!$D$1:$E$32,2,FALSE)</f>
        <v>36.313812728645821</v>
      </c>
      <c r="U33" s="13">
        <f t="shared" si="2"/>
        <v>1.604737960844933</v>
      </c>
      <c r="V33" s="13">
        <f>U33/'강화코어 수치, 재료'!I30*100</f>
        <v>0.66864081701872202</v>
      </c>
      <c r="W33" s="13"/>
      <c r="X33" s="13" t="str">
        <f t="shared" si="3"/>
        <v>27&gt;28</v>
      </c>
      <c r="Y33" s="13">
        <f t="shared" si="0"/>
        <v>9.2251263650546012</v>
      </c>
      <c r="Z33" s="13">
        <f t="shared" si="4"/>
        <v>0.40520754331432596</v>
      </c>
      <c r="AA33" s="13">
        <f>Z33/'강화코어 수치, 재료'!L30*100</f>
        <v>0.33767295276193826</v>
      </c>
      <c r="AB33" s="13"/>
      <c r="AC33" s="13" t="str">
        <f t="shared" si="5"/>
        <v>27&gt;28</v>
      </c>
      <c r="AD33" s="13">
        <f>$D$28*VLOOKUP($R33+1,'강화코어 수치, 재료'!$A$1:$B$32,2,FALSE)</f>
        <v>8.0068000000000001</v>
      </c>
      <c r="AE33" s="13">
        <f t="shared" si="6"/>
        <v>0.18169605373635611</v>
      </c>
      <c r="AF33" s="13">
        <f>AE33/'강화코어 수치, 재료'!$O30*100</f>
        <v>0.1009422520757534</v>
      </c>
      <c r="AG33" s="13"/>
      <c r="AH33" s="13" t="str">
        <f t="shared" si="7"/>
        <v>27&gt;28</v>
      </c>
      <c r="AI33" s="13">
        <f>$H$28*VLOOKUP($R33+1,'강화코어 수치, 재료'!$A$1:$B$32,2,FALSE)</f>
        <v>4.4399999999999995</v>
      </c>
      <c r="AJ33" s="13">
        <f t="shared" si="8"/>
        <v>0.10075566750629508</v>
      </c>
      <c r="AK33" s="13">
        <f>AJ33/'강화코어 수치, 재료'!$O30*100</f>
        <v>5.5975370836830601E-2</v>
      </c>
      <c r="AL33" s="13"/>
      <c r="AM33" s="13" t="str">
        <f t="shared" si="9"/>
        <v>27&gt;28</v>
      </c>
      <c r="AN33" s="13">
        <f>$F$28*VLOOKUP($R33+1,'강화코어 수치, 재료'!$A$1:$B$32,2,FALSE)</f>
        <v>1.554</v>
      </c>
      <c r="AO33" s="13">
        <f t="shared" si="10"/>
        <v>3.5264483627203871E-2</v>
      </c>
      <c r="AP33" s="13">
        <f>AO33/'강화코어 수치, 재료'!$O30*100</f>
        <v>1.959137979289104E-2</v>
      </c>
      <c r="AQ33" s="13"/>
      <c r="AR33" s="13" t="str">
        <f t="shared" si="11"/>
        <v>27&gt;28</v>
      </c>
      <c r="AS33" s="13">
        <f>$E$28*VLOOKUP($R33+1,'강화코어 수치, 재료'!$A$1:$B$32,2,FALSE)</f>
        <v>4.0552000000000001</v>
      </c>
      <c r="AT33" s="13">
        <f t="shared" si="12"/>
        <v>9.2023509655751762E-2</v>
      </c>
      <c r="AU33" s="40">
        <f>AT33/'강화코어 수치, 재료'!$O30*100</f>
        <v>5.1124172030973206E-2</v>
      </c>
    </row>
    <row r="34" spans="1:47" x14ac:dyDescent="0.3">
      <c r="A34" s="8" t="s">
        <v>94</v>
      </c>
      <c r="B34" s="1"/>
      <c r="C34" s="1"/>
      <c r="D34" s="10" t="s">
        <v>92</v>
      </c>
      <c r="E34" s="1"/>
      <c r="F34" s="1"/>
      <c r="G34" s="1"/>
      <c r="H34" s="1"/>
      <c r="I34" s="1"/>
      <c r="J34" s="1"/>
      <c r="K34" s="1"/>
      <c r="L34" s="1"/>
      <c r="M34" s="1"/>
      <c r="N34" s="2"/>
      <c r="R34">
        <v>28</v>
      </c>
      <c r="S34" s="39" t="str">
        <f t="shared" si="1"/>
        <v>28&gt;29</v>
      </c>
      <c r="T34" s="13">
        <f>$I$28/$I$8*(500+6*($R34+1))+$J$28/$J$8*(((2400+80*($R34+1)))*8*3 + (3600+120*($R34+1))*14*7)*VLOOKUP($R34+1,'강화코어 수치, 재료'!$D$1:$E$32,2,FALSE)</f>
        <v>36.791623456487407</v>
      </c>
      <c r="U34" s="13">
        <f t="shared" si="2"/>
        <v>1.604737960844957</v>
      </c>
      <c r="V34" s="13">
        <f>U34/'강화코어 수치, 재료'!I31*100</f>
        <v>0.64189518433798276</v>
      </c>
      <c r="W34" s="13"/>
      <c r="X34" s="13" t="str">
        <f t="shared" si="3"/>
        <v>28&gt;29</v>
      </c>
      <c r="Y34" s="13">
        <f t="shared" si="0"/>
        <v>9.3457769110764435</v>
      </c>
      <c r="Z34" s="13">
        <f t="shared" si="4"/>
        <v>0.40520754331433184</v>
      </c>
      <c r="AA34" s="13">
        <f>Z34/'강화코어 수치, 재료'!L31*100</f>
        <v>0.32416603465146548</v>
      </c>
      <c r="AB34" s="13"/>
      <c r="AC34" s="13" t="str">
        <f t="shared" si="5"/>
        <v>28&gt;29</v>
      </c>
      <c r="AD34" s="13">
        <f>$D$28*VLOOKUP($R34+1,'강화코어 수치, 재료'!$A$1:$B$32,2,FALSE)</f>
        <v>8.0609000000000002</v>
      </c>
      <c r="AE34" s="13">
        <f t="shared" si="6"/>
        <v>0.18169605373635611</v>
      </c>
      <c r="AF34" s="13">
        <f>AE34/'강화코어 수치, 재료'!$O31*100</f>
        <v>9.6646837093806434E-2</v>
      </c>
      <c r="AG34" s="13"/>
      <c r="AH34" s="13" t="str">
        <f t="shared" si="7"/>
        <v>28&gt;29</v>
      </c>
      <c r="AI34" s="13">
        <f>$H$28*VLOOKUP($R34+1,'강화코어 수치, 재료'!$A$1:$B$32,2,FALSE)</f>
        <v>4.47</v>
      </c>
      <c r="AJ34" s="13">
        <f t="shared" si="8"/>
        <v>0.10075566750629805</v>
      </c>
      <c r="AK34" s="13">
        <f>AJ34/'강화코어 수치, 재료'!$O31*100</f>
        <v>5.3593440162924499E-2</v>
      </c>
      <c r="AL34" s="13"/>
      <c r="AM34" s="13" t="str">
        <f t="shared" si="9"/>
        <v>28&gt;29</v>
      </c>
      <c r="AN34" s="13">
        <f>$F$28*VLOOKUP($R34+1,'강화코어 수치, 재료'!$A$1:$B$32,2,FALSE)</f>
        <v>1.5645</v>
      </c>
      <c r="AO34" s="13">
        <f t="shared" si="10"/>
        <v>3.5264483627203871E-2</v>
      </c>
      <c r="AP34" s="13">
        <f>AO34/'강화코어 수치, 재료'!$O31*100</f>
        <v>1.8757704057023337E-2</v>
      </c>
      <c r="AQ34" s="13"/>
      <c r="AR34" s="13" t="str">
        <f t="shared" si="11"/>
        <v>28&gt;29</v>
      </c>
      <c r="AS34" s="13">
        <f>$E$28*VLOOKUP($R34+1,'강화코어 수치, 재료'!$A$1:$B$32,2,FALSE)</f>
        <v>4.0826000000000002</v>
      </c>
      <c r="AT34" s="13">
        <f t="shared" si="12"/>
        <v>9.2023509655751762E-2</v>
      </c>
      <c r="AU34" s="40">
        <f>AT34/'강화코어 수치, 재료'!$O31*100</f>
        <v>4.8948675348804128E-2</v>
      </c>
    </row>
    <row r="35" spans="1:47" x14ac:dyDescent="0.3">
      <c r="A35" s="3"/>
      <c r="B35" t="s">
        <v>43</v>
      </c>
      <c r="C35" t="s">
        <v>80</v>
      </c>
      <c r="D35" t="s">
        <v>81</v>
      </c>
      <c r="E35" t="s">
        <v>44</v>
      </c>
      <c r="F35" t="s">
        <v>42</v>
      </c>
      <c r="G35" t="s">
        <v>82</v>
      </c>
      <c r="H35" t="s">
        <v>39</v>
      </c>
      <c r="I35" t="s">
        <v>83</v>
      </c>
      <c r="J35" t="s">
        <v>84</v>
      </c>
      <c r="M35" t="s">
        <v>85</v>
      </c>
      <c r="N35" s="4"/>
      <c r="R35">
        <v>29</v>
      </c>
      <c r="S35" s="39" t="str">
        <f t="shared" si="1"/>
        <v>29&gt;30</v>
      </c>
      <c r="T35" s="13">
        <f>$I$28/$I$8*(500+6*($R35+1))+$J$28/$J$8*(((2400+80*($R35+1)))*8*3 + (3600+120*($R35+1))*14*7)*VLOOKUP($R35+1,'강화코어 수치, 재료'!$D$1:$E$32,2,FALSE)</f>
        <v>38.119856020557279</v>
      </c>
      <c r="U35" s="13">
        <f t="shared" si="2"/>
        <v>4.4608986198820197</v>
      </c>
      <c r="V35" s="13">
        <f>U35/'강화코어 수치, 재료'!I32*100</f>
        <v>0.89217972397640388</v>
      </c>
      <c r="W35" s="13"/>
      <c r="X35" s="13" t="str">
        <f t="shared" si="3"/>
        <v>29&gt;30</v>
      </c>
      <c r="Y35" s="13">
        <f t="shared" si="0"/>
        <v>9.466427457098284</v>
      </c>
      <c r="Z35" s="13">
        <f t="shared" si="4"/>
        <v>0.40520754331432596</v>
      </c>
      <c r="AA35" s="13">
        <f>Z35/'강화코어 수치, 재료'!L32*100</f>
        <v>0.16208301732573038</v>
      </c>
      <c r="AB35" s="13"/>
      <c r="AC35" s="13" t="str">
        <f t="shared" si="5"/>
        <v>29&gt;30</v>
      </c>
      <c r="AD35" s="13">
        <f>$D$28*VLOOKUP($R35+1,'강화코어 수치, 재료'!$A$1:$B$32,2,FALSE)</f>
        <v>8.6560000000000006</v>
      </c>
      <c r="AE35" s="13">
        <f t="shared" si="6"/>
        <v>1.9986565910999172</v>
      </c>
      <c r="AF35" s="13">
        <f>AE35/'강화코어 수치, 재료'!$O32*100</f>
        <v>0.53297509095997797</v>
      </c>
      <c r="AG35" s="13"/>
      <c r="AH35" s="13" t="str">
        <f t="shared" si="7"/>
        <v>29&gt;30</v>
      </c>
      <c r="AI35" s="13">
        <f>$H$28*VLOOKUP($R35+1,'강화코어 수치, 재료'!$A$1:$B$32,2,FALSE)</f>
        <v>4.8000000000000007</v>
      </c>
      <c r="AJ35" s="13">
        <f t="shared" si="8"/>
        <v>1.1083123425692727</v>
      </c>
      <c r="AK35" s="13">
        <f>AJ35/'강화코어 수치, 재료'!$O32*100</f>
        <v>0.29554995801847272</v>
      </c>
      <c r="AL35" s="13"/>
      <c r="AM35" s="13" t="str">
        <f t="shared" si="9"/>
        <v>29&gt;30</v>
      </c>
      <c r="AN35" s="13">
        <f>$F$28*VLOOKUP($R35+1,'강화코어 수치, 재료'!$A$1:$B$32,2,FALSE)</f>
        <v>1.6800000000000002</v>
      </c>
      <c r="AO35" s="13">
        <f t="shared" si="10"/>
        <v>0.38790931989924488</v>
      </c>
      <c r="AP35" s="13">
        <f>AO35/'강화코어 수치, 재료'!$O32*100</f>
        <v>0.1034424853064653</v>
      </c>
      <c r="AQ35" s="13"/>
      <c r="AR35" s="13" t="str">
        <f t="shared" si="11"/>
        <v>29&gt;30</v>
      </c>
      <c r="AS35" s="13">
        <f>$E$28*VLOOKUP($R35+1,'강화코어 수치, 재료'!$A$1:$B$32,2,FALSE)</f>
        <v>4.3840000000000003</v>
      </c>
      <c r="AT35" s="13">
        <f t="shared" si="12"/>
        <v>1.0122586062132666</v>
      </c>
      <c r="AU35" s="40">
        <f>AT35/'강화코어 수치, 재료'!$O32*100</f>
        <v>0.26993562832353774</v>
      </c>
    </row>
    <row r="36" spans="1:47" x14ac:dyDescent="0.3">
      <c r="A36" s="3" t="s">
        <v>86</v>
      </c>
      <c r="B36">
        <v>6.32</v>
      </c>
      <c r="C36">
        <v>0</v>
      </c>
      <c r="D36">
        <v>5.23</v>
      </c>
      <c r="E36">
        <v>2.72</v>
      </c>
      <c r="F36">
        <v>1</v>
      </c>
      <c r="G36">
        <v>1.03</v>
      </c>
      <c r="H36">
        <v>2.64</v>
      </c>
      <c r="I36">
        <v>12.63</v>
      </c>
      <c r="J36">
        <v>6.63</v>
      </c>
      <c r="M36">
        <f>SUM(B36:J36)</f>
        <v>38.200000000000003</v>
      </c>
      <c r="N36" s="4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0"/>
    </row>
    <row r="37" spans="1:47" ht="17.25" thickBot="1" x14ac:dyDescent="0.35">
      <c r="A37" s="3" t="s">
        <v>87</v>
      </c>
      <c r="B37">
        <f t="shared" ref="B37:J37" si="16">B36/SUM($B$36:$J$36)*100</f>
        <v>16.544502617801047</v>
      </c>
      <c r="C37">
        <f t="shared" si="16"/>
        <v>0</v>
      </c>
      <c r="D37">
        <f t="shared" si="16"/>
        <v>13.691099476439792</v>
      </c>
      <c r="E37">
        <f t="shared" si="16"/>
        <v>7.1204188481675397</v>
      </c>
      <c r="F37">
        <f t="shared" si="16"/>
        <v>2.6178010471204183</v>
      </c>
      <c r="G37">
        <f t="shared" si="16"/>
        <v>2.6963350785340312</v>
      </c>
      <c r="H37">
        <f t="shared" si="16"/>
        <v>6.9109947643979055</v>
      </c>
      <c r="I37">
        <f t="shared" si="16"/>
        <v>33.062827225130889</v>
      </c>
      <c r="J37">
        <f t="shared" si="16"/>
        <v>17.356020942408374</v>
      </c>
      <c r="M37">
        <f>SUM(B37:J37)</f>
        <v>100</v>
      </c>
      <c r="N37" s="4"/>
      <c r="S37" s="41" t="s">
        <v>46</v>
      </c>
      <c r="T37" s="42"/>
      <c r="U37" s="42">
        <f>SUM(U6:U35)</f>
        <v>92.070045409092486</v>
      </c>
      <c r="V37" s="42"/>
      <c r="W37" s="42"/>
      <c r="X37" s="42" t="s">
        <v>46</v>
      </c>
      <c r="Y37" s="42"/>
      <c r="Z37" s="42">
        <f>SUM(Z6:Z35)</f>
        <v>11.813358378163839</v>
      </c>
      <c r="AA37" s="6"/>
      <c r="AB37" s="42"/>
      <c r="AC37" s="42"/>
      <c r="AD37" s="42"/>
      <c r="AE37" s="42">
        <f>SUM(AE6:AE35)</f>
        <v>10.901763224181366</v>
      </c>
      <c r="AF37" s="42"/>
      <c r="AG37" s="42"/>
      <c r="AH37" s="42"/>
      <c r="AI37" s="42"/>
      <c r="AJ37" s="42">
        <f>SUM(AJ6:AJ35)</f>
        <v>6.045340050377833</v>
      </c>
      <c r="AK37" s="42"/>
      <c r="AL37" s="42"/>
      <c r="AM37" s="42"/>
      <c r="AN37" s="42"/>
      <c r="AO37" s="42">
        <f>SUM(AO6:AO35)</f>
        <v>2.1158690176322419</v>
      </c>
      <c r="AP37" s="42"/>
      <c r="AQ37" s="42"/>
      <c r="AR37" s="42"/>
      <c r="AS37" s="42"/>
      <c r="AT37" s="42">
        <f>SUM(AT6:AT35)</f>
        <v>5.5214105793450861</v>
      </c>
      <c r="AU37" s="43"/>
    </row>
    <row r="38" spans="1:47" x14ac:dyDescent="0.3">
      <c r="A38" s="3" t="s">
        <v>88</v>
      </c>
      <c r="B38">
        <v>273</v>
      </c>
      <c r="C38">
        <v>0</v>
      </c>
      <c r="D38">
        <v>345</v>
      </c>
      <c r="E38">
        <v>223</v>
      </c>
      <c r="F38">
        <v>81</v>
      </c>
      <c r="G38">
        <v>42</v>
      </c>
      <c r="H38">
        <v>45</v>
      </c>
      <c r="I38">
        <v>685</v>
      </c>
      <c r="J38">
        <v>122</v>
      </c>
      <c r="N38" s="4"/>
    </row>
    <row r="39" spans="1:47" x14ac:dyDescent="0.3">
      <c r="A39" s="3"/>
      <c r="N39" s="4"/>
    </row>
    <row r="40" spans="1:47" ht="17.25" thickBot="1" x14ac:dyDescent="0.35">
      <c r="A40" s="5" t="s">
        <v>20</v>
      </c>
      <c r="B40" s="6">
        <f>(B36/B38)/($B$22/$B$24)</f>
        <v>0.97610365095027685</v>
      </c>
      <c r="C40" s="6" t="s">
        <v>14</v>
      </c>
      <c r="D40" s="6">
        <f>(D36/D38)/($D$22/$D$24)</f>
        <v>0.96851851851851856</v>
      </c>
      <c r="E40" s="6">
        <f>(E36/E38)/($E$22/$E$24)</f>
        <v>0.91781734227234391</v>
      </c>
      <c r="F40" s="6">
        <f>(F36/F38)/($F$22/$F$24)</f>
        <v>0.98765432098765427</v>
      </c>
      <c r="G40" s="6">
        <f>(G36/G38)/($G$22/$G$24)</f>
        <v>0.88793103448275879</v>
      </c>
      <c r="H40" s="6">
        <f>(H36/H38)/($H$22/$H$24)</f>
        <v>0.85161290322580652</v>
      </c>
      <c r="I40" s="6" t="s">
        <v>14</v>
      </c>
      <c r="J40" s="6" t="s">
        <v>14</v>
      </c>
      <c r="K40" s="6"/>
      <c r="L40" s="6"/>
      <c r="M40" s="6"/>
      <c r="N40" s="7"/>
    </row>
    <row r="41" spans="1:47" ht="17.25" thickBot="1" x14ac:dyDescent="0.35"/>
    <row r="42" spans="1:47" x14ac:dyDescent="0.3">
      <c r="A42" s="8" t="s">
        <v>89</v>
      </c>
      <c r="B42" s="1"/>
      <c r="C42" s="1"/>
      <c r="D42" s="10" t="s">
        <v>93</v>
      </c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47" x14ac:dyDescent="0.3">
      <c r="A43" s="3"/>
      <c r="B43" t="s">
        <v>43</v>
      </c>
      <c r="C43" t="s">
        <v>80</v>
      </c>
      <c r="D43" t="s">
        <v>81</v>
      </c>
      <c r="E43" t="s">
        <v>44</v>
      </c>
      <c r="F43" t="s">
        <v>42</v>
      </c>
      <c r="G43" t="s">
        <v>82</v>
      </c>
      <c r="H43" t="s">
        <v>39</v>
      </c>
      <c r="I43" t="s">
        <v>83</v>
      </c>
      <c r="J43" t="s">
        <v>84</v>
      </c>
      <c r="M43" t="s">
        <v>85</v>
      </c>
      <c r="N43" s="4"/>
    </row>
    <row r="44" spans="1:47" x14ac:dyDescent="0.3">
      <c r="A44" s="3" t="s">
        <v>86</v>
      </c>
      <c r="B44">
        <v>6.93</v>
      </c>
      <c r="C44">
        <v>0</v>
      </c>
      <c r="D44">
        <v>5.6150000000000002</v>
      </c>
      <c r="E44">
        <v>2.5099999999999998</v>
      </c>
      <c r="F44">
        <v>1.097</v>
      </c>
      <c r="G44">
        <v>1.04</v>
      </c>
      <c r="H44">
        <v>2.77</v>
      </c>
      <c r="I44">
        <v>14.16</v>
      </c>
      <c r="J44">
        <v>8.7080000000000002</v>
      </c>
      <c r="M44">
        <f>SUM(B44:J44)</f>
        <v>42.83</v>
      </c>
      <c r="N44" s="4"/>
    </row>
    <row r="45" spans="1:47" x14ac:dyDescent="0.3">
      <c r="A45" s="3" t="s">
        <v>87</v>
      </c>
      <c r="B45">
        <f t="shared" ref="B45:J45" si="17">B44/SUM($B$44:$J$44)*100</f>
        <v>16.180247490077051</v>
      </c>
      <c r="C45">
        <f t="shared" si="17"/>
        <v>0</v>
      </c>
      <c r="D45">
        <f t="shared" si="17"/>
        <v>13.109969647443382</v>
      </c>
      <c r="E45">
        <f t="shared" si="17"/>
        <v>5.8603782395517161</v>
      </c>
      <c r="F45">
        <f t="shared" si="17"/>
        <v>2.5612888162502916</v>
      </c>
      <c r="G45">
        <f t="shared" si="17"/>
        <v>2.4282045295353725</v>
      </c>
      <c r="H45">
        <f t="shared" si="17"/>
        <v>6.4674293719355598</v>
      </c>
      <c r="I45">
        <f t="shared" si="17"/>
        <v>33.060938594443151</v>
      </c>
      <c r="J45">
        <f t="shared" si="17"/>
        <v>20.331543310763482</v>
      </c>
      <c r="M45">
        <f>SUM(B45:J45)</f>
        <v>100</v>
      </c>
      <c r="N45" s="4"/>
    </row>
    <row r="46" spans="1:47" x14ac:dyDescent="0.3">
      <c r="A46" s="3" t="s">
        <v>88</v>
      </c>
      <c r="B46">
        <v>301</v>
      </c>
      <c r="C46">
        <v>0</v>
      </c>
      <c r="D46">
        <v>345</v>
      </c>
      <c r="E46">
        <v>218</v>
      </c>
      <c r="F46">
        <v>81</v>
      </c>
      <c r="G46">
        <v>42</v>
      </c>
      <c r="H46">
        <v>45</v>
      </c>
      <c r="I46">
        <v>745</v>
      </c>
      <c r="J46">
        <v>122</v>
      </c>
      <c r="N46" s="4"/>
    </row>
    <row r="47" spans="1:47" x14ac:dyDescent="0.3">
      <c r="A47" s="3"/>
      <c r="N47" s="4"/>
    </row>
    <row r="48" spans="1:47" ht="17.25" thickBot="1" x14ac:dyDescent="0.35">
      <c r="A48" s="5" t="s">
        <v>20</v>
      </c>
      <c r="B48" s="6">
        <f>(B44/B46)/($B$22/$B$24)</f>
        <v>0.97075189042659438</v>
      </c>
      <c r="C48" s="6" t="s">
        <v>14</v>
      </c>
      <c r="D48" s="6">
        <f>(D44/D46)/($D$22/$D$24)</f>
        <v>1.0398148148148147</v>
      </c>
      <c r="E48" s="6">
        <f>(E44/E46)/($E$22/$E$24)</f>
        <v>0.86638205104914157</v>
      </c>
      <c r="F48" s="6">
        <f>(F44/F46)/($F$22/$F$24)</f>
        <v>1.0834567901234566</v>
      </c>
      <c r="G48" s="6">
        <f>(G44/G46)/($G$22/$G$24)</f>
        <v>0.89655172413793116</v>
      </c>
      <c r="H48" s="6">
        <f>(H44/H46)/($H$22/$H$24)</f>
        <v>0.8935483870967742</v>
      </c>
      <c r="I48" s="6" t="s">
        <v>14</v>
      </c>
      <c r="J48" s="6" t="s">
        <v>14</v>
      </c>
      <c r="K48" s="6"/>
      <c r="L48" s="6"/>
      <c r="M48" s="6"/>
      <c r="N48" s="7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495E-E46B-4A58-8950-728F07CC7962}">
  <dimension ref="A1:AU42"/>
  <sheetViews>
    <sheetView zoomScale="70" zoomScaleNormal="70" workbookViewId="0">
      <selection activeCell="O20" sqref="O20"/>
    </sheetView>
  </sheetViews>
  <sheetFormatPr defaultRowHeight="16.5" x14ac:dyDescent="0.3"/>
  <cols>
    <col min="1" max="1" width="26" customWidth="1"/>
    <col min="2" max="2" width="10.375" customWidth="1"/>
    <col min="4" max="4" width="13" bestFit="1" customWidth="1"/>
    <col min="9" max="9" width="15.875" customWidth="1"/>
    <col min="12" max="12" width="10.375" customWidth="1"/>
    <col min="13" max="13" width="12.5" bestFit="1" customWidth="1"/>
    <col min="18" max="18" width="9" hidden="1" customWidth="1"/>
    <col min="19" max="19" width="14.375" customWidth="1"/>
    <col min="20" max="20" width="14.375" hidden="1" customWidth="1"/>
    <col min="21" max="21" width="11.5" customWidth="1"/>
    <col min="22" max="22" width="18.875" customWidth="1"/>
    <col min="24" max="24" width="14.125" hidden="1" customWidth="1"/>
    <col min="25" max="25" width="9" hidden="1" customWidth="1"/>
    <col min="26" max="26" width="12.125" bestFit="1" customWidth="1"/>
    <col min="27" max="27" width="19.5" customWidth="1"/>
    <col min="28" max="28" width="9" customWidth="1"/>
    <col min="29" max="30" width="9" hidden="1" customWidth="1"/>
    <col min="31" max="31" width="12.125" bestFit="1" customWidth="1"/>
    <col min="32" max="32" width="18.125" customWidth="1"/>
    <col min="34" max="35" width="9" hidden="1" customWidth="1"/>
    <col min="36" max="36" width="12.125" bestFit="1" customWidth="1"/>
    <col min="37" max="37" width="19" customWidth="1"/>
    <col min="39" max="40" width="9" hidden="1" customWidth="1"/>
    <col min="41" max="41" width="12.125" bestFit="1" customWidth="1"/>
    <col min="42" max="42" width="18.5" customWidth="1"/>
    <col min="44" max="45" width="9" hidden="1" customWidth="1"/>
    <col min="46" max="46" width="12.125" bestFit="1" customWidth="1"/>
    <col min="47" max="47" width="19" customWidth="1"/>
  </cols>
  <sheetData>
    <row r="1" spans="1:47" ht="27" thickBot="1" x14ac:dyDescent="0.35">
      <c r="A1" s="35" t="s">
        <v>98</v>
      </c>
      <c r="F1" s="34" t="s">
        <v>104</v>
      </c>
      <c r="S1" s="35" t="s">
        <v>33</v>
      </c>
    </row>
    <row r="2" spans="1:47" ht="17.25" thickBot="1" x14ac:dyDescent="0.35">
      <c r="B2" s="44" t="s">
        <v>97</v>
      </c>
      <c r="U2" t="s">
        <v>47</v>
      </c>
    </row>
    <row r="3" spans="1:47" ht="17.25" thickBot="1" x14ac:dyDescent="0.35">
      <c r="P3" s="11" t="s">
        <v>26</v>
      </c>
      <c r="Q3" s="45">
        <f>'40초(실측정)'!Q3</f>
        <v>550</v>
      </c>
    </row>
    <row r="4" spans="1:47" ht="17.25" x14ac:dyDescent="0.3">
      <c r="P4" s="29" t="s">
        <v>108</v>
      </c>
      <c r="S4" s="36"/>
      <c r="T4" s="1"/>
      <c r="U4" s="37" t="s">
        <v>29</v>
      </c>
      <c r="V4" s="37" t="s">
        <v>29</v>
      </c>
      <c r="W4" s="37"/>
      <c r="X4" s="37"/>
      <c r="Y4" s="37"/>
      <c r="Z4" s="37" t="s">
        <v>13</v>
      </c>
      <c r="AA4" s="37" t="s">
        <v>13</v>
      </c>
      <c r="AB4" s="37"/>
      <c r="AC4" s="37"/>
      <c r="AD4" s="37"/>
      <c r="AE4" s="37" t="s">
        <v>41</v>
      </c>
      <c r="AF4" s="37" t="s">
        <v>41</v>
      </c>
      <c r="AG4" s="37"/>
      <c r="AH4" s="37"/>
      <c r="AI4" s="37"/>
      <c r="AJ4" s="37" t="s">
        <v>6</v>
      </c>
      <c r="AK4" s="37" t="s">
        <v>6</v>
      </c>
      <c r="AL4" s="37"/>
      <c r="AM4" s="37"/>
      <c r="AN4" s="37"/>
      <c r="AO4" s="37" t="s">
        <v>4</v>
      </c>
      <c r="AP4" s="37" t="s">
        <v>4</v>
      </c>
      <c r="AQ4" s="37"/>
      <c r="AR4" s="37"/>
      <c r="AS4" s="37"/>
      <c r="AT4" s="37" t="s">
        <v>3</v>
      </c>
      <c r="AU4" s="38" t="s">
        <v>3</v>
      </c>
    </row>
    <row r="5" spans="1:47" ht="17.25" thickBot="1" x14ac:dyDescent="0.35">
      <c r="S5" s="39" t="s">
        <v>50</v>
      </c>
      <c r="T5" s="13" t="s">
        <v>34</v>
      </c>
      <c r="U5" s="13" t="s">
        <v>45</v>
      </c>
      <c r="V5" s="13" t="s">
        <v>48</v>
      </c>
      <c r="W5" s="13"/>
      <c r="X5" s="13" t="s">
        <v>13</v>
      </c>
      <c r="Y5" s="13" t="s">
        <v>34</v>
      </c>
      <c r="Z5" s="13" t="s">
        <v>45</v>
      </c>
      <c r="AA5" s="13" t="s">
        <v>48</v>
      </c>
      <c r="AB5" s="13"/>
      <c r="AC5" s="13" t="s">
        <v>41</v>
      </c>
      <c r="AD5" s="13" t="s">
        <v>34</v>
      </c>
      <c r="AE5" s="13" t="s">
        <v>45</v>
      </c>
      <c r="AF5" s="13" t="s">
        <v>48</v>
      </c>
      <c r="AG5" s="13"/>
      <c r="AH5" s="13" t="s">
        <v>6</v>
      </c>
      <c r="AI5" s="13" t="s">
        <v>34</v>
      </c>
      <c r="AJ5" s="13" t="s">
        <v>45</v>
      </c>
      <c r="AK5" s="13" t="s">
        <v>48</v>
      </c>
      <c r="AL5" s="13"/>
      <c r="AM5" s="13" t="s">
        <v>4</v>
      </c>
      <c r="AN5" s="13" t="s">
        <v>34</v>
      </c>
      <c r="AO5" s="13" t="s">
        <v>45</v>
      </c>
      <c r="AP5" s="13" t="s">
        <v>48</v>
      </c>
      <c r="AQ5" s="13"/>
      <c r="AR5" s="13" t="s">
        <v>3</v>
      </c>
      <c r="AS5" s="13" t="s">
        <v>34</v>
      </c>
      <c r="AT5" s="13" t="s">
        <v>45</v>
      </c>
      <c r="AU5" s="40" t="s">
        <v>48</v>
      </c>
    </row>
    <row r="6" spans="1:47" x14ac:dyDescent="0.3">
      <c r="A6" s="8" t="s">
        <v>99</v>
      </c>
      <c r="B6" s="10"/>
      <c r="C6" s="10"/>
      <c r="D6" s="10" t="s">
        <v>100</v>
      </c>
      <c r="E6" s="10"/>
      <c r="F6" s="1"/>
      <c r="G6" s="10"/>
      <c r="H6" s="10"/>
      <c r="I6" s="1"/>
      <c r="J6" s="1"/>
      <c r="K6" s="1"/>
      <c r="L6" s="1"/>
      <c r="M6" s="1"/>
      <c r="N6" s="2"/>
      <c r="R6">
        <v>0</v>
      </c>
      <c r="S6" s="39" t="str">
        <f>TEXT($R6,"@")&amp;"&gt;"&amp;TEXT($R6+1,"@")</f>
        <v>0&gt;1</v>
      </c>
      <c r="T6" s="13">
        <f>($I$34+$I$40)/6/$I$9*(500+6*($R6+1))+($J$34+$J$40)/6/$J$9*(((2400+80*($R6+1)))*8*3 + (3600+120*($R6+1))*14*7)*VLOOKUP($R6+1,'강화코어 수치, 재료'!$D$1:$E$32,2,FALSE)</f>
        <v>7.9966666666666661</v>
      </c>
      <c r="U6" s="13">
        <f>($M$18-$M$17)/$M$17*100</f>
        <v>8.449634205872762</v>
      </c>
      <c r="V6" s="13" t="s">
        <v>14</v>
      </c>
      <c r="W6" s="13"/>
      <c r="X6" s="13" t="str">
        <f>TEXT($R6,"@")&amp;"&gt;"&amp;TEXT($R6+1,"@")</f>
        <v>0&gt;1</v>
      </c>
      <c r="Y6" s="13">
        <f>(2*$B$22+2*$B$28+$B$34+$B$40)/6/$B$9*(630+13*($R6+1))</f>
        <v>20.102527301092046</v>
      </c>
      <c r="Z6" s="13">
        <f>(Y6-(2*B22+2*B28+B34+B40)/6)/$M$17*100</f>
        <v>0.12128388616327007</v>
      </c>
      <c r="AA6" s="13">
        <f>Z6/'강화코어 수치, 재료'!L3*100</f>
        <v>0.24256777232654014</v>
      </c>
      <c r="AB6" s="13"/>
      <c r="AC6" s="13" t="str">
        <f>TEXT($R6,"@")&amp;"&gt;"&amp;TEXT($R6+1,"@")</f>
        <v>0&gt;1</v>
      </c>
      <c r="AD6" s="13">
        <f>(2*$D$22+2*$D$28+$D$34+$D$40)/6*VLOOKUP($R6+1,'강화코어 수치, 재료'!$A$1:$B$32,2,FALSE)</f>
        <v>6.0106500000000009</v>
      </c>
      <c r="AE6" s="13">
        <f>(AD6-(2*D22+2*D28+D34+D40)/6)/$M$17*100</f>
        <v>1.1553792588425857</v>
      </c>
      <c r="AF6" s="13">
        <f>AE6/'강화코어 수치, 재료'!$O3*100</f>
        <v>1.540505678456781</v>
      </c>
      <c r="AG6" s="13"/>
      <c r="AH6" s="13" t="str">
        <f>TEXT($R6,"@")&amp;"&gt;"&amp;TEXT($R6+1,"@")</f>
        <v>0&gt;1</v>
      </c>
      <c r="AI6" s="13">
        <f>(2*$H$22+2*$H$28+$H$34+$H$40)/6*VLOOKUP($R6+1,'강화코어 수치, 재료'!$A$1:$B$32,2,FALSE)</f>
        <v>3.1897699999999998</v>
      </c>
      <c r="AJ6" s="13">
        <f>(AI6-(2*H22+2*H28+H34+H40)/6)/$M$17*100</f>
        <v>0.6131440191124603</v>
      </c>
      <c r="AK6" s="13">
        <f>AJ6/'강화코어 수치, 재료'!$O3*100</f>
        <v>0.81752535881661381</v>
      </c>
      <c r="AL6" s="13"/>
      <c r="AM6" s="13" t="str">
        <f>TEXT($R6,"@")&amp;"&gt;"&amp;TEXT($R6+1,"@")</f>
        <v>0&gt;1</v>
      </c>
      <c r="AN6" s="13">
        <f>(2*$F$22+2*$F$28+$F$34+$F$40)/6*VLOOKUP($R6+1,'강화코어 수치, 재료'!$A$1:$B$32,2,FALSE)</f>
        <v>3.6400600000000005</v>
      </c>
      <c r="AO6" s="13">
        <f>(AN6-(2*F22+2*F28+F34+F40)/6)/$M$17*100</f>
        <v>0.69969967057515214</v>
      </c>
      <c r="AP6" s="13">
        <f>AO6/'강화코어 수치, 재료'!$O3*100</f>
        <v>0.93293289410020297</v>
      </c>
      <c r="AQ6" s="13"/>
      <c r="AR6" s="13" t="str">
        <f>TEXT($R6,"@")&amp;"&gt;"&amp;TEXT($R6+1,"@")</f>
        <v>0&gt;1</v>
      </c>
      <c r="AS6" s="13">
        <f>(2*$E$22+2*$E$28+$E$34+$E$40)/6*VLOOKUP($R6+1,'강화코어 수치, 재료'!$A$1:$B$32,2,FALSE)</f>
        <v>3.2441599999999999</v>
      </c>
      <c r="AT6" s="13">
        <f>(AS6-(2*E22+2*E28+E34+E40)/6)/$M$17*100</f>
        <v>0.62359897454797086</v>
      </c>
      <c r="AU6" s="40">
        <f>AT6/'강화코어 수치, 재료'!$O3*100</f>
        <v>0.83146529939729441</v>
      </c>
    </row>
    <row r="7" spans="1:47" x14ac:dyDescent="0.3">
      <c r="A7" s="3"/>
      <c r="D7" s="29" t="s">
        <v>101</v>
      </c>
      <c r="N7" s="4"/>
      <c r="R7">
        <v>1</v>
      </c>
      <c r="S7" s="39" t="str">
        <f t="shared" ref="S7:S35" si="0">TEXT($R7,"@")&amp;"&gt;"&amp;TEXT($R7+1,"@")</f>
        <v>1&gt;2</v>
      </c>
      <c r="T7" s="13">
        <f>($I$34+$I$40)/6/$I$9*(500+6*($R7+1))+($J$34+$J$40)/6/$J$9*(((2400+80*($R7+1)))*8*3 + (3600+120*($R7+1))*14*7)*VLOOKUP($R7+1,'강화코어 수치, 재료'!$D$1:$E$32,2,FALSE)</f>
        <v>8.1535398869480211</v>
      </c>
      <c r="U7" s="13">
        <f>(T7-T6)/$M$17*100</f>
        <v>0.3042861831292224</v>
      </c>
      <c r="V7" s="13">
        <f>U7/'강화코어 수치, 재료'!I4*100</f>
        <v>1.0142872770974081</v>
      </c>
      <c r="W7" s="13"/>
      <c r="X7" s="13" t="str">
        <f t="shared" ref="X7:X35" si="1">TEXT($R7,"@")&amp;"&gt;"&amp;TEXT($R7+1,"@")</f>
        <v>1&gt;2</v>
      </c>
      <c r="Y7" s="13">
        <f t="shared" ref="Y7:Y35" si="2">(2*$B$22+2*$B$28+$B$34+$B$40)/6/$B$9*(630+13*($R7+1))</f>
        <v>20.508954758190328</v>
      </c>
      <c r="Z7" s="13">
        <f>(Y7-Y6)/$M$17*100</f>
        <v>0.78834526006125905</v>
      </c>
      <c r="AA7" s="13">
        <f>Z7/'강화코어 수치, 재료'!L4*100</f>
        <v>5.25563506707506</v>
      </c>
      <c r="AB7" s="13"/>
      <c r="AC7" s="13" t="str">
        <f t="shared" ref="AC7:AC35" si="3">TEXT($R7,"@")&amp;"&gt;"&amp;TEXT($R7+1,"@")</f>
        <v>1&gt;2</v>
      </c>
      <c r="AD7" s="13">
        <f>(2*$D$22+2*$D$28+$D$34+$D$40)/6*VLOOKUP($R7+1,'강화코어 수치, 재료'!$A$1:$B$32,2,FALSE)</f>
        <v>6.0648000000000009</v>
      </c>
      <c r="AE7" s="13">
        <f>(AD7-AD6)/$M$17*100</f>
        <v>0.10503447807659839</v>
      </c>
      <c r="AF7" s="13">
        <f>AE7/'강화코어 수치, 재료'!$O4*100</f>
        <v>0.45667164381129738</v>
      </c>
      <c r="AG7" s="13"/>
      <c r="AH7" s="13" t="str">
        <f t="shared" ref="AH7:AH35" si="4">TEXT($R7,"@")&amp;"&gt;"&amp;TEXT($R7+1,"@")</f>
        <v>1&gt;2</v>
      </c>
      <c r="AI7" s="13">
        <f>(2*$H$22+2*$H$28+$H$34+$H$40)/6*VLOOKUP($R7+1,'강화코어 수치, 재료'!$A$1:$B$32,2,FALSE)</f>
        <v>3.2185066666666668</v>
      </c>
      <c r="AJ7" s="13">
        <f t="shared" ref="AJ7:AJ35" si="5">(AI7-AI6)/$M$17*100</f>
        <v>5.574036537386081E-2</v>
      </c>
      <c r="AK7" s="13">
        <f>AJ7/'강화코어 수치, 재료'!$O4*100</f>
        <v>0.24234941466896007</v>
      </c>
      <c r="AL7" s="13"/>
      <c r="AM7" s="13" t="str">
        <f t="shared" ref="AM7:AM35" si="6">TEXT($R7,"@")&amp;"&gt;"&amp;TEXT($R7+1,"@")</f>
        <v>1&gt;2</v>
      </c>
      <c r="AN7" s="13">
        <f>(2*$F$22+2*$F$28+$F$34+$F$40)/6*VLOOKUP($R7+1,'강화코어 수치, 재료'!$A$1:$B$32,2,FALSE)</f>
        <v>3.6728533333333342</v>
      </c>
      <c r="AO7" s="13">
        <f t="shared" ref="AO7:AO35" si="7">(AN7-AN6)/$M$17*100</f>
        <v>6.3609060961378097E-2</v>
      </c>
      <c r="AP7" s="13">
        <f>AO7/'강화코어 수치, 재료'!$O4*100</f>
        <v>0.27656113461468734</v>
      </c>
      <c r="AQ7" s="13"/>
      <c r="AR7" s="13" t="str">
        <f t="shared" ref="AR7:AR35" si="8">TEXT($R7,"@")&amp;"&gt;"&amp;TEXT($R7+1,"@")</f>
        <v>1&gt;2</v>
      </c>
      <c r="AS7" s="13">
        <f>(2*$E$22+2*$E$28+$E$34+$E$40)/6*VLOOKUP($R7+1,'강화코어 수치, 재료'!$A$1:$B$32,2,FALSE)</f>
        <v>3.2733866666666667</v>
      </c>
      <c r="AT7" s="13">
        <f t="shared" ref="AT7:AT35" si="9">(AS7-AS6)/$M$17*100</f>
        <v>5.6690815867997416E-2</v>
      </c>
      <c r="AU7" s="40">
        <f>AT7/'강화코어 수치, 재료'!$O4*100</f>
        <v>0.2464818081217279</v>
      </c>
    </row>
    <row r="8" spans="1:47" x14ac:dyDescent="0.3">
      <c r="A8" s="3" t="s">
        <v>16</v>
      </c>
      <c r="B8" s="33">
        <v>30</v>
      </c>
      <c r="D8" s="33">
        <v>30</v>
      </c>
      <c r="E8" s="33">
        <v>30</v>
      </c>
      <c r="F8" s="33">
        <v>30</v>
      </c>
      <c r="G8" t="s">
        <v>14</v>
      </c>
      <c r="H8" s="33">
        <v>30</v>
      </c>
      <c r="I8" s="33">
        <v>30</v>
      </c>
      <c r="J8" s="33">
        <v>30</v>
      </c>
      <c r="N8" s="4"/>
      <c r="R8">
        <v>2</v>
      </c>
      <c r="S8" s="39" t="str">
        <f t="shared" si="0"/>
        <v>2&gt;3</v>
      </c>
      <c r="T8" s="13">
        <f>($I$34+$I$40)/6/$I$9*(500+6*($R8+1))+($J$34+$J$40)/6/$J$9*(((2400+80*($R8+1)))*8*3 + (3600+120*($R8+1))*14*7)*VLOOKUP($R8+1,'강화코어 수치, 재료'!$D$1:$E$32,2,FALSE)</f>
        <v>8.3104131072293761</v>
      </c>
      <c r="U8" s="13">
        <f t="shared" ref="U8:U35" si="10">(T8-T7)/$M$17*100</f>
        <v>0.3042861831292224</v>
      </c>
      <c r="V8" s="13">
        <f>U8/'강화코어 수치, 재료'!I5*100</f>
        <v>0.8693890946549212</v>
      </c>
      <c r="W8" s="13"/>
      <c r="X8" s="13" t="str">
        <f t="shared" si="1"/>
        <v>2&gt;3</v>
      </c>
      <c r="Y8" s="13">
        <f t="shared" si="2"/>
        <v>20.915382215288613</v>
      </c>
      <c r="Z8" s="13">
        <f t="shared" ref="Z8:Z35" si="11">(Y8-Y7)/$M$17*100</f>
        <v>0.78834526006126582</v>
      </c>
      <c r="AA8" s="13">
        <f>Z8/'강화코어 수치, 재료'!L5*100</f>
        <v>4.3796958892292546</v>
      </c>
      <c r="AB8" s="13"/>
      <c r="AC8" s="13" t="str">
        <f t="shared" si="3"/>
        <v>2&gt;3</v>
      </c>
      <c r="AD8" s="13">
        <f>(2*$D$22+2*$D$28+$D$34+$D$40)/6*VLOOKUP($R8+1,'강화코어 수치, 재료'!$A$1:$B$32,2,FALSE)</f>
        <v>6.1189499999999999</v>
      </c>
      <c r="AE8" s="13">
        <f t="shared" ref="AE8:AE35" si="12">(AD8-AD7)/$M$17*100</f>
        <v>0.10503447807659666</v>
      </c>
      <c r="AF8" s="13">
        <f>AE8/'강화코어 수치, 재료'!$O5*100</f>
        <v>0.38901658546887652</v>
      </c>
      <c r="AG8" s="13"/>
      <c r="AH8" s="13" t="str">
        <f t="shared" si="4"/>
        <v>2&gt;3</v>
      </c>
      <c r="AI8" s="13">
        <f>(2*$H$22+2*$H$28+$H$34+$H$40)/6*VLOOKUP($R8+1,'강화코어 수치, 재료'!$A$1:$B$32,2,FALSE)</f>
        <v>3.2472433333333326</v>
      </c>
      <c r="AJ8" s="13">
        <f t="shared" si="5"/>
        <v>5.5740365373858229E-2</v>
      </c>
      <c r="AK8" s="13">
        <f>AJ8/'강화코어 수치, 재료'!$O5*100</f>
        <v>0.20644579768095642</v>
      </c>
      <c r="AL8" s="13"/>
      <c r="AM8" s="13" t="str">
        <f t="shared" si="6"/>
        <v>2&gt;3</v>
      </c>
      <c r="AN8" s="13">
        <f>(2*$F$22+2*$F$28+$F$34+$F$40)/6*VLOOKUP($R8+1,'강화코어 수치, 재료'!$A$1:$B$32,2,FALSE)</f>
        <v>3.7056466666666665</v>
      </c>
      <c r="AO8" s="13">
        <f t="shared" si="7"/>
        <v>6.3609060961375516E-2</v>
      </c>
      <c r="AP8" s="13">
        <f>AO8/'강화코어 수치, 재료'!$O5*100</f>
        <v>0.23558911467176116</v>
      </c>
      <c r="AQ8" s="13"/>
      <c r="AR8" s="13" t="str">
        <f t="shared" si="8"/>
        <v>2&gt;3</v>
      </c>
      <c r="AS8" s="13">
        <f>(2*$E$22+2*$E$28+$E$34+$E$40)/6*VLOOKUP($R8+1,'강화코어 수치, 재료'!$A$1:$B$32,2,FALSE)</f>
        <v>3.3026133333333325</v>
      </c>
      <c r="AT8" s="13">
        <f t="shared" si="9"/>
        <v>5.6690815867995695E-2</v>
      </c>
      <c r="AU8" s="40">
        <f>AT8/'강화코어 수치, 재료'!$O5*100</f>
        <v>0.20996598469628036</v>
      </c>
    </row>
    <row r="9" spans="1:47" x14ac:dyDescent="0.3">
      <c r="A9" s="3" t="s">
        <v>22</v>
      </c>
      <c r="B9">
        <v>641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506</v>
      </c>
      <c r="J9">
        <f>(2400+80*1)*8*3 + (3600+120*1)*14*7</f>
        <v>424080</v>
      </c>
      <c r="M9" t="s">
        <v>79</v>
      </c>
      <c r="N9" s="4"/>
      <c r="R9">
        <v>3</v>
      </c>
      <c r="S9" s="39" t="str">
        <f t="shared" si="0"/>
        <v>3&gt;4</v>
      </c>
      <c r="T9" s="13">
        <f>($I$34+$I$40)/6/$I$9*(500+6*($R9+1))+($J$34+$J$40)/6/$J$9*(((2400+80*($R9+1)))*8*3 + (3600+120*($R9+1))*14*7)*VLOOKUP($R9+1,'강화코어 수치, 재료'!$D$1:$E$32,2,FALSE)</f>
        <v>8.4672863275107311</v>
      </c>
      <c r="U9" s="13">
        <f t="shared" si="10"/>
        <v>0.3042861831292224</v>
      </c>
      <c r="V9" s="13">
        <f>U9/'강화코어 수치, 재료'!I6*100</f>
        <v>0.76071545782305605</v>
      </c>
      <c r="W9" s="13"/>
      <c r="X9" s="13" t="str">
        <f t="shared" si="1"/>
        <v>3&gt;4</v>
      </c>
      <c r="Y9" s="13">
        <f t="shared" si="2"/>
        <v>21.321809672386898</v>
      </c>
      <c r="Z9" s="13">
        <f t="shared" si="11"/>
        <v>0.78834526006126582</v>
      </c>
      <c r="AA9" s="13">
        <f>Z9/'강화코어 수치, 재료'!L6*100</f>
        <v>3.9417263003063292</v>
      </c>
      <c r="AB9" s="13"/>
      <c r="AC9" s="13" t="str">
        <f t="shared" si="3"/>
        <v>3&gt;4</v>
      </c>
      <c r="AD9" s="13">
        <f>(2*$D$22+2*$D$28+$D$34+$D$40)/6*VLOOKUP($R9+1,'강화코어 수치, 재료'!$A$1:$B$32,2,FALSE)</f>
        <v>6.1730999999999998</v>
      </c>
      <c r="AE9" s="13">
        <f t="shared" si="12"/>
        <v>0.10503447807659839</v>
      </c>
      <c r="AF9" s="13">
        <f>AE9/'강화코어 수치, 재료'!$O6*100</f>
        <v>0.35011492692199464</v>
      </c>
      <c r="AG9" s="13"/>
      <c r="AH9" s="13" t="str">
        <f t="shared" si="4"/>
        <v>3&gt;4</v>
      </c>
      <c r="AI9" s="13">
        <f>(2*$H$22+2*$H$28+$H$34+$H$40)/6*VLOOKUP($R9+1,'강화코어 수치, 재료'!$A$1:$B$32,2,FALSE)</f>
        <v>3.2759799999999992</v>
      </c>
      <c r="AJ9" s="13">
        <f t="shared" si="5"/>
        <v>5.5740365373859957E-2</v>
      </c>
      <c r="AK9" s="13">
        <f>AJ9/'강화코어 수치, 재료'!$O6*100</f>
        <v>0.18580121791286652</v>
      </c>
      <c r="AL9" s="13"/>
      <c r="AM9" s="13" t="str">
        <f t="shared" si="6"/>
        <v>3&gt;4</v>
      </c>
      <c r="AN9" s="13">
        <f>(2*$F$22+2*$F$28+$F$34+$F$40)/6*VLOOKUP($R9+1,'강화코어 수치, 재료'!$A$1:$B$32,2,FALSE)</f>
        <v>3.7384400000000002</v>
      </c>
      <c r="AO9" s="13">
        <f t="shared" si="7"/>
        <v>6.3609060961378097E-2</v>
      </c>
      <c r="AP9" s="13">
        <f>AO9/'강화코어 수치, 재료'!$O6*100</f>
        <v>0.21203020320459368</v>
      </c>
      <c r="AQ9" s="13"/>
      <c r="AR9" s="13" t="str">
        <f t="shared" si="8"/>
        <v>3&gt;4</v>
      </c>
      <c r="AS9" s="13">
        <f>(2*$E$22+2*$E$28+$E$34+$E$40)/6*VLOOKUP($R9+1,'강화코어 수치, 재료'!$A$1:$B$32,2,FALSE)</f>
        <v>3.3318399999999992</v>
      </c>
      <c r="AT9" s="13">
        <f t="shared" si="9"/>
        <v>5.6690815867997416E-2</v>
      </c>
      <c r="AU9" s="40">
        <f>AT9/'강화코어 수치, 재료'!$O6*100</f>
        <v>0.18896938622665804</v>
      </c>
    </row>
    <row r="10" spans="1:47" x14ac:dyDescent="0.3">
      <c r="A10" s="3" t="s">
        <v>17</v>
      </c>
      <c r="B10">
        <f>IF(B8=0,641,630+13*B8)</f>
        <v>1020</v>
      </c>
      <c r="C10">
        <v>1</v>
      </c>
      <c r="D10">
        <f>VLOOKUP(D8,'강화코어 수치, 재료'!$A$1:$B$32,2,FALSE)</f>
        <v>1.6</v>
      </c>
      <c r="E10">
        <f>VLOOKUP(E8,'강화코어 수치, 재료'!$A$1:$B$32,2,FALSE)</f>
        <v>1.6</v>
      </c>
      <c r="F10">
        <f>VLOOKUP(F8,'강화코어 수치, 재료'!$A$1:$B$32,2,FALSE)</f>
        <v>1.6</v>
      </c>
      <c r="G10">
        <v>1</v>
      </c>
      <c r="H10">
        <f>VLOOKUP(H8,'강화코어 수치, 재료'!$A$1:$B$32,2,FALSE)</f>
        <v>1.6</v>
      </c>
      <c r="I10">
        <f>500+6*I8</f>
        <v>680</v>
      </c>
      <c r="J10">
        <f>((2400+80*J8)*8*3 + (3600+120*J8)*14*7)*VLOOKUP(J8,'강화코어 수치, 재료'!$D$1:$E$32,2,FALSE)</f>
        <v>883938.4615384615</v>
      </c>
      <c r="N10" s="4"/>
      <c r="R10">
        <v>4</v>
      </c>
      <c r="S10" s="39" t="str">
        <f t="shared" si="0"/>
        <v>4&gt;5</v>
      </c>
      <c r="T10" s="13">
        <f>($I$34+$I$40)/6/$I$9*(500+6*($R10+1))+($J$34+$J$40)/6/$J$9*(((2400+80*($R10+1)))*8*3 + (3600+120*($R10+1))*14*7)*VLOOKUP($R10+1,'강화코어 수치, 재료'!$D$1:$E$32,2,FALSE)</f>
        <v>8.624159547792086</v>
      </c>
      <c r="U10" s="13">
        <f t="shared" si="10"/>
        <v>0.3042861831292224</v>
      </c>
      <c r="V10" s="13">
        <f>U10/'강화코어 수치, 재료'!I7*100</f>
        <v>0.6761915180649386</v>
      </c>
      <c r="W10" s="13"/>
      <c r="X10" s="13" t="str">
        <f t="shared" si="1"/>
        <v>4&gt;5</v>
      </c>
      <c r="Y10" s="13">
        <f t="shared" si="2"/>
        <v>21.72823712948518</v>
      </c>
      <c r="Z10" s="13">
        <f t="shared" si="11"/>
        <v>0.78834526006125905</v>
      </c>
      <c r="AA10" s="13">
        <f>Z10/'강화코어 수치, 재료'!L7*100</f>
        <v>3.427588087222865</v>
      </c>
      <c r="AB10" s="13"/>
      <c r="AC10" s="13" t="str">
        <f t="shared" si="3"/>
        <v>4&gt;5</v>
      </c>
      <c r="AD10" s="13">
        <f>(2*$D$22+2*$D$28+$D$34+$D$40)/6*VLOOKUP($R10+1,'강화코어 수치, 재료'!$A$1:$B$32,2,FALSE)</f>
        <v>6.2272499999999997</v>
      </c>
      <c r="AE10" s="13">
        <f t="shared" si="12"/>
        <v>0.10503447807659839</v>
      </c>
      <c r="AF10" s="13">
        <f>AE10/'강화코어 수치, 재료'!$O7*100</f>
        <v>0.30892493551940703</v>
      </c>
      <c r="AG10" s="13"/>
      <c r="AH10" s="13" t="str">
        <f t="shared" si="4"/>
        <v>4&gt;5</v>
      </c>
      <c r="AI10" s="13">
        <f>(2*$H$22+2*$H$28+$H$34+$H$40)/6*VLOOKUP($R10+1,'강화코어 수치, 재료'!$A$1:$B$32,2,FALSE)</f>
        <v>3.3047166666666659</v>
      </c>
      <c r="AJ10" s="13">
        <f t="shared" si="5"/>
        <v>5.5740365373859957E-2</v>
      </c>
      <c r="AK10" s="13">
        <f>AJ10/'강화코어 수치, 재료'!$O7*100</f>
        <v>0.1639422510995881</v>
      </c>
      <c r="AL10" s="13"/>
      <c r="AM10" s="13" t="str">
        <f t="shared" si="6"/>
        <v>4&gt;5</v>
      </c>
      <c r="AN10" s="13">
        <f>(2*$F$22+2*$F$28+$F$34+$F$40)/6*VLOOKUP($R10+1,'강화코어 수치, 재료'!$A$1:$B$32,2,FALSE)</f>
        <v>3.7712333333333334</v>
      </c>
      <c r="AO10" s="13">
        <f t="shared" si="7"/>
        <v>6.3609060961377237E-2</v>
      </c>
      <c r="AP10" s="13">
        <f>AO10/'강화코어 수치, 재료'!$O7*100</f>
        <v>0.18708547341581541</v>
      </c>
      <c r="AQ10" s="13"/>
      <c r="AR10" s="13" t="str">
        <f t="shared" si="8"/>
        <v>4&gt;5</v>
      </c>
      <c r="AS10" s="13">
        <f>(2*$E$22+2*$E$28+$E$34+$E$40)/6*VLOOKUP($R10+1,'강화코어 수치, 재료'!$A$1:$B$32,2,FALSE)</f>
        <v>3.361066666666666</v>
      </c>
      <c r="AT10" s="13">
        <f t="shared" si="9"/>
        <v>5.6690815867997416E-2</v>
      </c>
      <c r="AU10" s="40">
        <f>AT10/'강화코어 수치, 재료'!$O7*100</f>
        <v>0.16673769372940417</v>
      </c>
    </row>
    <row r="11" spans="1:47" x14ac:dyDescent="0.3">
      <c r="A11" s="3"/>
      <c r="B11" t="s">
        <v>13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23</v>
      </c>
      <c r="J11" t="s">
        <v>12</v>
      </c>
      <c r="M11" t="s">
        <v>10</v>
      </c>
      <c r="N11" s="9" t="s">
        <v>15</v>
      </c>
      <c r="R11">
        <v>5</v>
      </c>
      <c r="S11" s="39" t="str">
        <f t="shared" si="0"/>
        <v>5&gt;6</v>
      </c>
      <c r="T11" s="13">
        <f>($I$34+$I$40)/6/$I$9*(500+6*($R11+1))+($J$34+$J$40)/6/$J$9*(((2400+80*($R11+1)))*8*3 + (3600+120*($R11+1))*14*7)*VLOOKUP($R11+1,'강화코어 수치, 재료'!$D$1:$E$32,2,FALSE)</f>
        <v>8.781032768073441</v>
      </c>
      <c r="U11" s="13">
        <f t="shared" si="10"/>
        <v>0.3042861831292224</v>
      </c>
      <c r="V11" s="13">
        <f>U11/'강화코어 수치, 재료'!I8*100</f>
        <v>0.6085723662584448</v>
      </c>
      <c r="W11" s="13"/>
      <c r="X11" s="13" t="str">
        <f t="shared" si="1"/>
        <v>5&gt;6</v>
      </c>
      <c r="Y11" s="13">
        <f t="shared" si="2"/>
        <v>22.134664586583465</v>
      </c>
      <c r="Z11" s="13">
        <f t="shared" si="11"/>
        <v>0.78834526006126582</v>
      </c>
      <c r="AA11" s="13">
        <f>Z11/'강화코어 수치, 재료'!L8*100</f>
        <v>3.1533810402450633</v>
      </c>
      <c r="AB11" s="13"/>
      <c r="AC11" s="13" t="str">
        <f t="shared" si="3"/>
        <v>5&gt;6</v>
      </c>
      <c r="AD11" s="13">
        <f>(2*$D$22+2*$D$28+$D$34+$D$40)/6*VLOOKUP($R11+1,'강화코어 수치, 재료'!$A$1:$B$32,2,FALSE)</f>
        <v>6.2813999999999997</v>
      </c>
      <c r="AE11" s="13">
        <f t="shared" si="12"/>
        <v>0.10503447807659839</v>
      </c>
      <c r="AF11" s="13">
        <f>AE11/'강화코어 수치, 재료'!$O8*100</f>
        <v>0.27640652125420628</v>
      </c>
      <c r="AG11" s="13"/>
      <c r="AH11" s="13" t="str">
        <f t="shared" si="4"/>
        <v>5&gt;6</v>
      </c>
      <c r="AI11" s="13">
        <f>(2*$H$22+2*$H$28+$H$34+$H$40)/6*VLOOKUP($R11+1,'강화코어 수치, 재료'!$A$1:$B$32,2,FALSE)</f>
        <v>3.3334533333333329</v>
      </c>
      <c r="AJ11" s="13">
        <f t="shared" si="5"/>
        <v>5.574036537386081E-2</v>
      </c>
      <c r="AK11" s="13">
        <f>AJ11/'강화코어 수치, 재료'!$O8*100</f>
        <v>0.14668517203647582</v>
      </c>
      <c r="AL11" s="13"/>
      <c r="AM11" s="13" t="str">
        <f t="shared" si="6"/>
        <v>5&gt;6</v>
      </c>
      <c r="AN11" s="13">
        <f>(2*$F$22+2*$F$28+$F$34+$F$40)/6*VLOOKUP($R11+1,'강화코어 수치, 재료'!$A$1:$B$32,2,FALSE)</f>
        <v>3.8040266666666667</v>
      </c>
      <c r="AO11" s="13">
        <f t="shared" si="7"/>
        <v>6.3609060961377237E-2</v>
      </c>
      <c r="AP11" s="13">
        <f>AO11/'강화코어 수치, 재료'!$O8*100</f>
        <v>0.16739226568783483</v>
      </c>
      <c r="AQ11" s="13"/>
      <c r="AR11" s="13" t="str">
        <f t="shared" si="8"/>
        <v>5&gt;6</v>
      </c>
      <c r="AS11" s="13">
        <f>(2*$E$22+2*$E$28+$E$34+$E$40)/6*VLOOKUP($R11+1,'강화코어 수치, 재료'!$A$1:$B$32,2,FALSE)</f>
        <v>3.3902933333333327</v>
      </c>
      <c r="AT11" s="13">
        <f t="shared" si="9"/>
        <v>5.6690815867997416E-2</v>
      </c>
      <c r="AU11" s="40">
        <f>AT11/'강화코어 수치, 재료'!$O8*100</f>
        <v>0.14918635754736162</v>
      </c>
    </row>
    <row r="12" spans="1:47" x14ac:dyDescent="0.3">
      <c r="A12" s="3" t="s">
        <v>7</v>
      </c>
      <c r="B12">
        <f t="shared" ref="B12:H12" si="13">IF($I$8=0,(B22+B28)/2/B9*B10,(2*B22+2*B28+B34+B40)/6/B9*B10)</f>
        <v>31.888923556942281</v>
      </c>
      <c r="C12">
        <f t="shared" si="13"/>
        <v>11.695</v>
      </c>
      <c r="D12">
        <f t="shared" si="13"/>
        <v>8.6639999999999997</v>
      </c>
      <c r="E12">
        <f t="shared" si="13"/>
        <v>4.6762666666666659</v>
      </c>
      <c r="F12">
        <f t="shared" si="13"/>
        <v>5.2469333333333346</v>
      </c>
      <c r="G12">
        <f t="shared" si="13"/>
        <v>1.6883333333333332</v>
      </c>
      <c r="H12">
        <f t="shared" si="13"/>
        <v>4.5978666666666665</v>
      </c>
      <c r="I12">
        <f>IF($I$8=0,0,(I34+I40)/6/I9*I10)</f>
        <v>6.6588932806324106</v>
      </c>
      <c r="J12">
        <f>IF($I$8=0,0,(J34+J40)/6/J9*J10)</f>
        <v>6.3399503722084365</v>
      </c>
      <c r="M12">
        <f>SUM(B12:J12)</f>
        <v>81.456167209783118</v>
      </c>
      <c r="N12" s="9">
        <f>(M12-$M$17)/$M$17*100</f>
        <v>58.000110969523732</v>
      </c>
      <c r="R12">
        <v>6</v>
      </c>
      <c r="S12" s="39" t="str">
        <f t="shared" si="0"/>
        <v>6&gt;7</v>
      </c>
      <c r="T12" s="13">
        <f>($I$34+$I$40)/6/$I$9*(500+6*($R12+1))+($J$34+$J$40)/6/$J$9*(((2400+80*($R12+1)))*8*3 + (3600+120*($R12+1))*14*7)*VLOOKUP($R12+1,'강화코어 수치, 재료'!$D$1:$E$32,2,FALSE)</f>
        <v>8.937905988354796</v>
      </c>
      <c r="U12" s="13">
        <f t="shared" si="10"/>
        <v>0.3042861831292224</v>
      </c>
      <c r="V12" s="13">
        <f>U12/'강화코어 수치, 재료'!I9*100</f>
        <v>0.55324760568949527</v>
      </c>
      <c r="W12" s="13"/>
      <c r="X12" s="13" t="str">
        <f t="shared" si="1"/>
        <v>6&gt;7</v>
      </c>
      <c r="Y12" s="13">
        <f t="shared" si="2"/>
        <v>22.541092043681747</v>
      </c>
      <c r="Z12" s="13">
        <f t="shared" si="11"/>
        <v>0.78834526006125905</v>
      </c>
      <c r="AA12" s="13">
        <f>Z12/'강화코어 수치, 재료'!L9*100</f>
        <v>2.8155187859330679</v>
      </c>
      <c r="AB12" s="13"/>
      <c r="AC12" s="13" t="str">
        <f t="shared" si="3"/>
        <v>6&gt;7</v>
      </c>
      <c r="AD12" s="13">
        <f>(2*$D$22+2*$D$28+$D$34+$D$40)/6*VLOOKUP($R12+1,'강화코어 수치, 재료'!$A$1:$B$32,2,FALSE)</f>
        <v>6.3355499999999996</v>
      </c>
      <c r="AE12" s="13">
        <f t="shared" si="12"/>
        <v>0.10503447807659839</v>
      </c>
      <c r="AF12" s="13">
        <f>AE12/'강화코어 수치, 재료'!$O9*100</f>
        <v>0.25008209065856762</v>
      </c>
      <c r="AG12" s="13"/>
      <c r="AH12" s="13" t="str">
        <f t="shared" si="4"/>
        <v>6&gt;7</v>
      </c>
      <c r="AI12" s="13">
        <f>(2*$H$22+2*$H$28+$H$34+$H$40)/6*VLOOKUP($R12+1,'강화코어 수치, 재료'!$A$1:$B$32,2,FALSE)</f>
        <v>3.3621899999999996</v>
      </c>
      <c r="AJ12" s="13">
        <f t="shared" si="5"/>
        <v>5.5740365373859957E-2</v>
      </c>
      <c r="AK12" s="13">
        <f>AJ12/'강화코어 수치, 재료'!$O9*100</f>
        <v>0.13271515565204753</v>
      </c>
      <c r="AL12" s="13"/>
      <c r="AM12" s="13" t="str">
        <f t="shared" si="6"/>
        <v>6&gt;7</v>
      </c>
      <c r="AN12" s="13">
        <f>(2*$F$22+2*$F$28+$F$34+$F$40)/6*VLOOKUP($R12+1,'강화코어 수치, 재료'!$A$1:$B$32,2,FALSE)</f>
        <v>3.8368200000000003</v>
      </c>
      <c r="AO12" s="13">
        <f t="shared" si="7"/>
        <v>6.3609060961378097E-2</v>
      </c>
      <c r="AP12" s="13">
        <f>AO12/'강화코어 수치, 재료'!$O9*100</f>
        <v>0.1514501451461383</v>
      </c>
      <c r="AQ12" s="13"/>
      <c r="AR12" s="13" t="str">
        <f t="shared" si="8"/>
        <v>6&gt;7</v>
      </c>
      <c r="AS12" s="13">
        <f>(2*$E$22+2*$E$28+$E$34+$E$40)/6*VLOOKUP($R12+1,'강화코어 수치, 재료'!$A$1:$B$32,2,FALSE)</f>
        <v>3.4195199999999994</v>
      </c>
      <c r="AT12" s="13">
        <f t="shared" si="9"/>
        <v>5.6690815867997416E-2</v>
      </c>
      <c r="AU12" s="40">
        <f>AT12/'강화코어 수치, 재료'!$O9*100</f>
        <v>0.13497813301904146</v>
      </c>
    </row>
    <row r="13" spans="1:47" ht="17.25" thickBot="1" x14ac:dyDescent="0.35">
      <c r="A13" s="5" t="s">
        <v>8</v>
      </c>
      <c r="B13" s="6">
        <f t="shared" ref="B13:J13" si="14">B12/SUM($B$12:$J$12)*100</f>
        <v>39.148568671068446</v>
      </c>
      <c r="C13" s="6">
        <f t="shared" si="14"/>
        <v>14.357415037563168</v>
      </c>
      <c r="D13" s="6">
        <f t="shared" si="14"/>
        <v>10.636395372847138</v>
      </c>
      <c r="E13" s="6">
        <f t="shared" si="14"/>
        <v>5.7408380812018285</v>
      </c>
      <c r="F13" s="6">
        <f t="shared" si="14"/>
        <v>6.4414193707645531</v>
      </c>
      <c r="G13" s="6">
        <f t="shared" si="14"/>
        <v>2.0726893876373791</v>
      </c>
      <c r="H13" s="6">
        <f t="shared" si="14"/>
        <v>5.6445899974955482</v>
      </c>
      <c r="I13" s="6">
        <f t="shared" si="14"/>
        <v>8.1748178299170675</v>
      </c>
      <c r="J13" s="6">
        <f t="shared" si="14"/>
        <v>7.7832662515048838</v>
      </c>
      <c r="K13" s="6"/>
      <c r="L13" s="6"/>
      <c r="M13" s="6">
        <f>SUM(B13:J13)</f>
        <v>100.00000000000001</v>
      </c>
      <c r="N13" s="7"/>
      <c r="R13">
        <v>7</v>
      </c>
      <c r="S13" s="39" t="str">
        <f t="shared" si="0"/>
        <v>7&gt;8</v>
      </c>
      <c r="T13" s="13">
        <f>($I$34+$I$40)/6/$I$9*(500+6*($R13+1))+($J$34+$J$40)/6/$J$9*(((2400+80*($R13+1)))*8*3 + (3600+120*($R13+1))*14*7)*VLOOKUP($R13+1,'강화코어 수치, 재료'!$D$1:$E$32,2,FALSE)</f>
        <v>9.094779208636151</v>
      </c>
      <c r="U13" s="13">
        <f t="shared" si="10"/>
        <v>0.3042861831292224</v>
      </c>
      <c r="V13" s="13">
        <f>U13/'강화코어 수치, 재료'!I10*100</f>
        <v>0.50714363854870403</v>
      </c>
      <c r="W13" s="13"/>
      <c r="X13" s="13" t="str">
        <f t="shared" si="1"/>
        <v>7&gt;8</v>
      </c>
      <c r="Y13" s="13">
        <f t="shared" si="2"/>
        <v>22.947519500780032</v>
      </c>
      <c r="Z13" s="13">
        <f t="shared" si="11"/>
        <v>0.78834526006126582</v>
      </c>
      <c r="AA13" s="13">
        <f>Z13/'강화코어 수치, 재료'!L10*100</f>
        <v>2.6278175335375527</v>
      </c>
      <c r="AB13" s="13"/>
      <c r="AC13" s="13" t="str">
        <f t="shared" si="3"/>
        <v>7&gt;8</v>
      </c>
      <c r="AD13" s="13">
        <f>(2*$D$22+2*$D$28+$D$34+$D$40)/6*VLOOKUP($R13+1,'강화코어 수치, 재료'!$A$1:$B$32,2,FALSE)</f>
        <v>6.3896999999999995</v>
      </c>
      <c r="AE13" s="13">
        <f t="shared" si="12"/>
        <v>0.10503447807659839</v>
      </c>
      <c r="AF13" s="13">
        <f>AE13/'강화코어 수치, 재료'!$O10*100</f>
        <v>0.23340995128132974</v>
      </c>
      <c r="AG13" s="13"/>
      <c r="AH13" s="13" t="str">
        <f t="shared" si="4"/>
        <v>7&gt;8</v>
      </c>
      <c r="AI13" s="13">
        <f>(2*$H$22+2*$H$28+$H$34+$H$40)/6*VLOOKUP($R13+1,'강화코어 수치, 재료'!$A$1:$B$32,2,FALSE)</f>
        <v>3.3909266666666662</v>
      </c>
      <c r="AJ13" s="13">
        <f t="shared" si="5"/>
        <v>5.5740365373859957E-2</v>
      </c>
      <c r="AK13" s="13">
        <f>AJ13/'강화코어 수치, 재료'!$O10*100</f>
        <v>0.12386747860857769</v>
      </c>
      <c r="AL13" s="13"/>
      <c r="AM13" s="13" t="str">
        <f t="shared" si="6"/>
        <v>7&gt;8</v>
      </c>
      <c r="AN13" s="13">
        <f>(2*$F$22+2*$F$28+$F$34+$F$40)/6*VLOOKUP($R13+1,'강화코어 수치, 재료'!$A$1:$B$32,2,FALSE)</f>
        <v>3.8696133333333336</v>
      </c>
      <c r="AO13" s="13">
        <f t="shared" si="7"/>
        <v>6.3609060961377237E-2</v>
      </c>
      <c r="AP13" s="13">
        <f>AO13/'강화코어 수치, 재료'!$O10*100</f>
        <v>0.14135346880306052</v>
      </c>
      <c r="AQ13" s="13"/>
      <c r="AR13" s="13" t="str">
        <f t="shared" si="8"/>
        <v>7&gt;8</v>
      </c>
      <c r="AS13" s="13">
        <f>(2*$E$22+2*$E$28+$E$34+$E$40)/6*VLOOKUP($R13+1,'강화코어 수치, 재료'!$A$1:$B$32,2,FALSE)</f>
        <v>3.4487466666666662</v>
      </c>
      <c r="AT13" s="13">
        <f t="shared" si="9"/>
        <v>5.6690815867997416E-2</v>
      </c>
      <c r="AU13" s="40">
        <f>AT13/'강화코어 수치, 재료'!$O10*100</f>
        <v>0.12597959081777202</v>
      </c>
    </row>
    <row r="14" spans="1:47" x14ac:dyDescent="0.3">
      <c r="R14">
        <v>8</v>
      </c>
      <c r="S14" s="39" t="str">
        <f t="shared" si="0"/>
        <v>8&gt;9</v>
      </c>
      <c r="T14" s="13">
        <f>($I$34+$I$40)/6/$I$9*(500+6*($R14+1))+($J$34+$J$40)/6/$J$9*(((2400+80*($R14+1)))*8*3 + (3600+120*($R14+1))*14*7)*VLOOKUP($R14+1,'강화코어 수치, 재료'!$D$1:$E$32,2,FALSE)</f>
        <v>9.2516524289175059</v>
      </c>
      <c r="U14" s="13">
        <f t="shared" si="10"/>
        <v>0.3042861831292224</v>
      </c>
      <c r="V14" s="13">
        <f>U14/'강화코어 수치, 재료'!I11*100</f>
        <v>0.46813258942957298</v>
      </c>
      <c r="W14" s="13"/>
      <c r="X14" s="13" t="str">
        <f t="shared" si="1"/>
        <v>8&gt;9</v>
      </c>
      <c r="Y14" s="13">
        <f t="shared" si="2"/>
        <v>23.353946957878318</v>
      </c>
      <c r="Z14" s="13">
        <f t="shared" si="11"/>
        <v>0.78834526006126582</v>
      </c>
      <c r="AA14" s="13">
        <f>Z14/'강화코어 수치, 재료'!L11*100</f>
        <v>2.3889250304886844</v>
      </c>
      <c r="AB14" s="13"/>
      <c r="AC14" s="13" t="str">
        <f t="shared" si="3"/>
        <v>8&gt;9</v>
      </c>
      <c r="AD14" s="13">
        <f>(2*$D$22+2*$D$28+$D$34+$D$40)/6*VLOOKUP($R14+1,'강화코어 수치, 재료'!$A$1:$B$32,2,FALSE)</f>
        <v>6.4438499999999994</v>
      </c>
      <c r="AE14" s="13">
        <f t="shared" si="12"/>
        <v>0.10503447807659839</v>
      </c>
      <c r="AF14" s="13">
        <f>AE14/'강화코어 수치, 재료'!$O11*100</f>
        <v>0.21435607770734366</v>
      </c>
      <c r="AG14" s="13"/>
      <c r="AH14" s="13" t="str">
        <f t="shared" si="4"/>
        <v>8&gt;9</v>
      </c>
      <c r="AI14" s="13">
        <f>(2*$H$22+2*$H$28+$H$34+$H$40)/6*VLOOKUP($R14+1,'강화코어 수치, 재료'!$A$1:$B$32,2,FALSE)</f>
        <v>3.4196633333333328</v>
      </c>
      <c r="AJ14" s="13">
        <f t="shared" si="5"/>
        <v>5.5740365373859957E-2</v>
      </c>
      <c r="AK14" s="13">
        <f>AJ14/'강화코어 수치, 재료'!$O11*100</f>
        <v>0.11375584770175501</v>
      </c>
      <c r="AL14" s="13"/>
      <c r="AM14" s="13" t="str">
        <f t="shared" si="6"/>
        <v>8&gt;9</v>
      </c>
      <c r="AN14" s="13">
        <f>(2*$F$22+2*$F$28+$F$34+$F$40)/6*VLOOKUP($R14+1,'강화코어 수치, 재료'!$A$1:$B$32,2,FALSE)</f>
        <v>3.9024066666666668</v>
      </c>
      <c r="AO14" s="13">
        <f t="shared" si="7"/>
        <v>6.3609060961377237E-2</v>
      </c>
      <c r="AP14" s="13">
        <f>AO14/'강화코어 수치, 재료'!$O11*100</f>
        <v>0.12981441012525965</v>
      </c>
      <c r="AQ14" s="13"/>
      <c r="AR14" s="13" t="str">
        <f t="shared" si="8"/>
        <v>8&gt;9</v>
      </c>
      <c r="AS14" s="13">
        <f>(2*$E$22+2*$E$28+$E$34+$E$40)/6*VLOOKUP($R14+1,'강화코어 수치, 재료'!$A$1:$B$32,2,FALSE)</f>
        <v>3.4779733333333329</v>
      </c>
      <c r="AT14" s="13">
        <f t="shared" si="9"/>
        <v>5.6690815867997416E-2</v>
      </c>
      <c r="AU14" s="40">
        <f>AT14/'강화코어 수치, 재료'!$O11*100</f>
        <v>0.11569554258774983</v>
      </c>
    </row>
    <row r="15" spans="1:47" x14ac:dyDescent="0.3">
      <c r="R15">
        <v>9</v>
      </c>
      <c r="S15" s="39" t="str">
        <f t="shared" si="0"/>
        <v>9&gt;10</v>
      </c>
      <c r="T15" s="13">
        <f>($I$34+$I$40)/6/$I$9*(500+6*($R15+1))+($J$34+$J$40)/6/$J$9*(((2400+80*($R15+1)))*8*3 + (3600+120*($R15+1))*14*7)*VLOOKUP($R15+1,'강화코어 수치, 재료'!$D$1:$E$32,2,FALSE)</f>
        <v>9.4085256491988609</v>
      </c>
      <c r="U15" s="13">
        <f t="shared" si="10"/>
        <v>0.3042861831292224</v>
      </c>
      <c r="V15" s="13">
        <f>U15/'강화코어 수치, 재료'!I12*100</f>
        <v>0.1521430915646112</v>
      </c>
      <c r="W15" s="13"/>
      <c r="X15" s="13" t="str">
        <f t="shared" si="1"/>
        <v>9&gt;10</v>
      </c>
      <c r="Y15" s="13">
        <f t="shared" si="2"/>
        <v>23.760374414976599</v>
      </c>
      <c r="Z15" s="13">
        <f t="shared" si="11"/>
        <v>0.78834526006125905</v>
      </c>
      <c r="AA15" s="13">
        <f>Z15/'강화코어 수치, 재료'!L12*100</f>
        <v>0.78834526006125905</v>
      </c>
      <c r="AB15" s="13"/>
      <c r="AC15" s="13" t="str">
        <f t="shared" si="3"/>
        <v>9&gt;10</v>
      </c>
      <c r="AD15" s="13">
        <f>(2*$D$22+2*$D$28+$D$34+$D$40)/6*VLOOKUP($R15+1,'강화코어 수치, 재료'!$A$1:$B$32,2,FALSE)</f>
        <v>6.7687499999999998</v>
      </c>
      <c r="AE15" s="13">
        <f t="shared" si="12"/>
        <v>0.63020686845959206</v>
      </c>
      <c r="AF15" s="13">
        <f>AE15/'강화코어 수치, 재료'!$O12*100</f>
        <v>0.42013791230639469</v>
      </c>
      <c r="AG15" s="13"/>
      <c r="AH15" s="13" t="str">
        <f t="shared" si="4"/>
        <v>9&gt;10</v>
      </c>
      <c r="AI15" s="13">
        <f>(2*$H$22+2*$H$28+$H$34+$H$40)/6*VLOOKUP($R15+1,'강화코어 수치, 재료'!$A$1:$B$32,2,FALSE)</f>
        <v>3.5920833333333331</v>
      </c>
      <c r="AJ15" s="13">
        <f t="shared" si="5"/>
        <v>0.33444219224316057</v>
      </c>
      <c r="AK15" s="13">
        <f>AJ15/'강화코어 수치, 재료'!$O12*100</f>
        <v>0.22296146149544038</v>
      </c>
      <c r="AL15" s="13"/>
      <c r="AM15" s="13" t="str">
        <f t="shared" si="6"/>
        <v>9&gt;10</v>
      </c>
      <c r="AN15" s="13">
        <f>(2*$F$22+2*$F$28+$F$34+$F$40)/6*VLOOKUP($R15+1,'강화코어 수치, 재료'!$A$1:$B$32,2,FALSE)</f>
        <v>4.0991666666666671</v>
      </c>
      <c r="AO15" s="13">
        <f t="shared" si="7"/>
        <v>0.38165436576826511</v>
      </c>
      <c r="AP15" s="13">
        <f>AO15/'강화코어 수치, 재료'!$O12*100</f>
        <v>0.25443624384551011</v>
      </c>
      <c r="AQ15" s="13"/>
      <c r="AR15" s="13" t="str">
        <f t="shared" si="8"/>
        <v>9&gt;10</v>
      </c>
      <c r="AS15" s="13">
        <f>(2*$E$22+2*$E$28+$E$34+$E$40)/6*VLOOKUP($R15+1,'강화코어 수치, 재료'!$A$1:$B$32,2,FALSE)</f>
        <v>3.6533333333333329</v>
      </c>
      <c r="AT15" s="13">
        <f t="shared" si="9"/>
        <v>0.34014489520798369</v>
      </c>
      <c r="AU15" s="40">
        <f>AT15/'강화코어 수치, 재료'!$O12*100</f>
        <v>0.22676326347198911</v>
      </c>
    </row>
    <row r="16" spans="1:47" x14ac:dyDescent="0.3">
      <c r="R16">
        <v>10</v>
      </c>
      <c r="S16" s="39" t="str">
        <f t="shared" si="0"/>
        <v>10&gt;11</v>
      </c>
      <c r="T16" s="13">
        <f>($I$34+$I$40)/6/$I$9*(500+6*($R16+1))+($J$34+$J$40)/6/$J$9*(((2400+80*($R16+1)))*8*3 + (3600+120*($R16+1))*14*7)*VLOOKUP($R16+1,'강화코어 수치, 재료'!$D$1:$E$32,2,FALSE)</f>
        <v>9.5653988694802159</v>
      </c>
      <c r="U16" s="13">
        <f t="shared" si="10"/>
        <v>0.3042861831292224</v>
      </c>
      <c r="V16" s="13">
        <f>U16/'강화코어 수치, 재료'!I13*100</f>
        <v>0.38035772891152803</v>
      </c>
      <c r="W16" s="13"/>
      <c r="X16" s="13" t="str">
        <f t="shared" si="1"/>
        <v>10&gt;11</v>
      </c>
      <c r="Y16" s="13">
        <f t="shared" si="2"/>
        <v>24.166801872074885</v>
      </c>
      <c r="Z16" s="13">
        <f t="shared" si="11"/>
        <v>0.78834526006126582</v>
      </c>
      <c r="AA16" s="13">
        <f>Z16/'강화코어 수치, 재료'!L13*100</f>
        <v>1.9708631501531646</v>
      </c>
      <c r="AB16" s="13"/>
      <c r="AC16" s="13" t="str">
        <f t="shared" si="3"/>
        <v>10&gt;11</v>
      </c>
      <c r="AD16" s="13">
        <f>(2*$D$22+2*$D$28+$D$34+$D$40)/6*VLOOKUP($R16+1,'강화코어 수치, 재료'!$A$1:$B$32,2,FALSE)</f>
        <v>6.8228999999999997</v>
      </c>
      <c r="AE16" s="13">
        <f t="shared" si="12"/>
        <v>0.10503447807659839</v>
      </c>
      <c r="AF16" s="13">
        <f>AE16/'강화코어 수치, 재료'!$O13*100</f>
        <v>0.17505746346099732</v>
      </c>
      <c r="AG16" s="13"/>
      <c r="AH16" s="13" t="str">
        <f t="shared" si="4"/>
        <v>10&gt;11</v>
      </c>
      <c r="AI16" s="13">
        <f>(2*$H$22+2*$H$28+$H$34+$H$40)/6*VLOOKUP($R16+1,'강화코어 수치, 재료'!$A$1:$B$32,2,FALSE)</f>
        <v>3.6208199999999997</v>
      </c>
      <c r="AJ16" s="13">
        <f t="shared" si="5"/>
        <v>5.5740365373859957E-2</v>
      </c>
      <c r="AK16" s="13">
        <f>AJ16/'강화코어 수치, 재료'!$O13*100</f>
        <v>9.2900608956433262E-2</v>
      </c>
      <c r="AL16" s="13"/>
      <c r="AM16" s="13" t="str">
        <f t="shared" si="6"/>
        <v>10&gt;11</v>
      </c>
      <c r="AN16" s="13">
        <f>(2*$F$22+2*$F$28+$F$34+$F$40)/6*VLOOKUP($R16+1,'강화코어 수치, 재료'!$A$1:$B$32,2,FALSE)</f>
        <v>4.1319600000000003</v>
      </c>
      <c r="AO16" s="13">
        <f t="shared" si="7"/>
        <v>6.3609060961377237E-2</v>
      </c>
      <c r="AP16" s="13">
        <f>AO16/'강화코어 수치, 재료'!$O13*100</f>
        <v>0.10601510160229538</v>
      </c>
      <c r="AQ16" s="13"/>
      <c r="AR16" s="13" t="str">
        <f t="shared" si="8"/>
        <v>10&gt;11</v>
      </c>
      <c r="AS16" s="13">
        <f>(2*$E$22+2*$E$28+$E$34+$E$40)/6*VLOOKUP($R16+1,'강화코어 수치, 재료'!$A$1:$B$32,2,FALSE)</f>
        <v>3.6825599999999996</v>
      </c>
      <c r="AT16" s="13">
        <f t="shared" si="9"/>
        <v>5.6690815867997416E-2</v>
      </c>
      <c r="AU16" s="40">
        <f>AT16/'강화코어 수치, 재료'!$O13*100</f>
        <v>9.4484693113329021E-2</v>
      </c>
    </row>
    <row r="17" spans="1:47" x14ac:dyDescent="0.3">
      <c r="L17" t="s">
        <v>105</v>
      </c>
      <c r="M17">
        <f>(M22+M28)/2</f>
        <v>51.554500000000004</v>
      </c>
      <c r="R17">
        <v>11</v>
      </c>
      <c r="S17" s="39" t="str">
        <f t="shared" si="0"/>
        <v>11&gt;12</v>
      </c>
      <c r="T17" s="13">
        <f>($I$34+$I$40)/6/$I$9*(500+6*($R17+1))+($J$34+$J$40)/6/$J$9*(((2400+80*($R17+1)))*8*3 + (3600+120*($R17+1))*14*7)*VLOOKUP($R17+1,'강화코어 수치, 재료'!$D$1:$E$32,2,FALSE)</f>
        <v>9.7222720897615709</v>
      </c>
      <c r="U17" s="13">
        <f t="shared" si="10"/>
        <v>0.3042861831292224</v>
      </c>
      <c r="V17" s="13">
        <f>U17/'강화코어 수치, 재료'!I14*100</f>
        <v>0.3380957590324693</v>
      </c>
      <c r="W17" s="13"/>
      <c r="X17" s="13" t="str">
        <f t="shared" si="1"/>
        <v>11&gt;12</v>
      </c>
      <c r="Y17" s="13">
        <f t="shared" si="2"/>
        <v>24.57322932917317</v>
      </c>
      <c r="Z17" s="13">
        <f t="shared" si="11"/>
        <v>0.78834526006126582</v>
      </c>
      <c r="AA17" s="13">
        <f>Z17/'강화코어 수치, 재료'!L14*100</f>
        <v>1.7518783556917019</v>
      </c>
      <c r="AB17" s="13"/>
      <c r="AC17" s="13" t="str">
        <f t="shared" si="3"/>
        <v>11&gt;12</v>
      </c>
      <c r="AD17" s="13">
        <f>(2*$D$22+2*$D$28+$D$34+$D$40)/6*VLOOKUP($R17+1,'강화코어 수치, 재료'!$A$1:$B$32,2,FALSE)</f>
        <v>6.8770500000000006</v>
      </c>
      <c r="AE17" s="13">
        <f t="shared" si="12"/>
        <v>0.1050344780766001</v>
      </c>
      <c r="AF17" s="13">
        <f>AE17/'강화코어 수치, 재료'!$O14*100</f>
        <v>0.15446246775970604</v>
      </c>
      <c r="AG17" s="13"/>
      <c r="AH17" s="13" t="str">
        <f t="shared" si="4"/>
        <v>11&gt;12</v>
      </c>
      <c r="AI17" s="13">
        <f>(2*$H$22+2*$H$28+$H$34+$H$40)/6*VLOOKUP($R17+1,'강화코어 수치, 재료'!$A$1:$B$32,2,FALSE)</f>
        <v>3.6495566666666663</v>
      </c>
      <c r="AJ17" s="13">
        <f t="shared" si="5"/>
        <v>5.5740365373859957E-2</v>
      </c>
      <c r="AK17" s="13">
        <f>AJ17/'강화코어 수치, 재료'!$O14*100</f>
        <v>8.1971125549794049E-2</v>
      </c>
      <c r="AL17" s="13"/>
      <c r="AM17" s="13" t="str">
        <f t="shared" si="6"/>
        <v>11&gt;12</v>
      </c>
      <c r="AN17" s="13">
        <f>(2*$F$22+2*$F$28+$F$34+$F$40)/6*VLOOKUP($R17+1,'강화코어 수치, 재료'!$A$1:$B$32,2,FALSE)</f>
        <v>4.1647533333333335</v>
      </c>
      <c r="AO17" s="13">
        <f t="shared" si="7"/>
        <v>6.3609060961377237E-2</v>
      </c>
      <c r="AP17" s="13">
        <f>AO17/'강화코어 수치, 재료'!$O14*100</f>
        <v>9.3542736707907706E-2</v>
      </c>
      <c r="AQ17" s="13"/>
      <c r="AR17" s="13" t="str">
        <f t="shared" si="8"/>
        <v>11&gt;12</v>
      </c>
      <c r="AS17" s="13">
        <f>(2*$E$22+2*$E$28+$E$34+$E$40)/6*VLOOKUP($R17+1,'강화코어 수치, 재료'!$A$1:$B$32,2,FALSE)</f>
        <v>3.7117866666666663</v>
      </c>
      <c r="AT17" s="13">
        <f t="shared" si="9"/>
        <v>5.6690815867997416E-2</v>
      </c>
      <c r="AU17" s="40">
        <f>AT17/'강화코어 수치, 재료'!$O14*100</f>
        <v>8.3368846864702084E-2</v>
      </c>
    </row>
    <row r="18" spans="1:47" ht="20.25" x14ac:dyDescent="0.3">
      <c r="A18" s="34" t="s">
        <v>103</v>
      </c>
      <c r="L18" t="s">
        <v>107</v>
      </c>
      <c r="M18">
        <f>(M22*2+M28*2+M34+M40)/6</f>
        <v>55.910666666666678</v>
      </c>
      <c r="R18">
        <v>12</v>
      </c>
      <c r="S18" s="39" t="str">
        <f t="shared" si="0"/>
        <v>12&gt;13</v>
      </c>
      <c r="T18" s="13">
        <f>($I$34+$I$40)/6/$I$9*(500+6*($R18+1))+($J$34+$J$40)/6/$J$9*(((2400+80*($R18+1)))*8*3 + (3600+120*($R18+1))*14*7)*VLOOKUP($R18+1,'강화코어 수치, 재료'!$D$1:$E$32,2,FALSE)</f>
        <v>9.8791453100429258</v>
      </c>
      <c r="U18" s="13">
        <f t="shared" si="10"/>
        <v>0.3042861831292224</v>
      </c>
      <c r="V18" s="13">
        <f>U18/'강화코어 수치, 재료'!I15*100</f>
        <v>0.3042861831292224</v>
      </c>
      <c r="W18" s="13"/>
      <c r="X18" s="13" t="str">
        <f t="shared" si="1"/>
        <v>12&gt;13</v>
      </c>
      <c r="Y18" s="13">
        <f t="shared" si="2"/>
        <v>24.979656786271452</v>
      </c>
      <c r="Z18" s="13">
        <f t="shared" si="11"/>
        <v>0.78834526006125905</v>
      </c>
      <c r="AA18" s="13">
        <f>Z18/'강화코어 수치, 재료'!L15*100</f>
        <v>1.5766905201225181</v>
      </c>
      <c r="AB18" s="13"/>
      <c r="AC18" s="13" t="str">
        <f t="shared" si="3"/>
        <v>12&gt;13</v>
      </c>
      <c r="AD18" s="13">
        <f>(2*$D$22+2*$D$28+$D$34+$D$40)/6*VLOOKUP($R18+1,'강화코어 수치, 재료'!$A$1:$B$32,2,FALSE)</f>
        <v>6.9312000000000005</v>
      </c>
      <c r="AE18" s="13">
        <f t="shared" si="12"/>
        <v>0.10503447807659839</v>
      </c>
      <c r="AF18" s="13">
        <f>AE18/'강화코어 수치, 재료'!$O15*100</f>
        <v>0.14004597076879788</v>
      </c>
      <c r="AG18" s="13"/>
      <c r="AH18" s="13" t="str">
        <f t="shared" si="4"/>
        <v>12&gt;13</v>
      </c>
      <c r="AI18" s="13">
        <f>(2*$H$22+2*$H$28+$H$34+$H$40)/6*VLOOKUP($R18+1,'강화코어 수치, 재료'!$A$1:$B$32,2,FALSE)</f>
        <v>3.678293333333333</v>
      </c>
      <c r="AJ18" s="13">
        <f t="shared" si="5"/>
        <v>5.5740365373859957E-2</v>
      </c>
      <c r="AK18" s="13">
        <f>AJ18/'강화코어 수치, 재료'!$O15*100</f>
        <v>7.4320487165146609E-2</v>
      </c>
      <c r="AL18" s="13"/>
      <c r="AM18" s="13" t="str">
        <f t="shared" si="6"/>
        <v>12&gt;13</v>
      </c>
      <c r="AN18" s="13">
        <f>(2*$F$22+2*$F$28+$F$34+$F$40)/6*VLOOKUP($R18+1,'강화코어 수치, 재료'!$A$1:$B$32,2,FALSE)</f>
        <v>4.1975466666666668</v>
      </c>
      <c r="AO18" s="13">
        <f t="shared" si="7"/>
        <v>6.3609060961377237E-2</v>
      </c>
      <c r="AP18" s="13">
        <f>AO18/'강화코어 수치, 재료'!$O15*100</f>
        <v>8.4812081281836316E-2</v>
      </c>
      <c r="AQ18" s="13"/>
      <c r="AR18" s="13" t="str">
        <f t="shared" si="8"/>
        <v>12&gt;13</v>
      </c>
      <c r="AS18" s="13">
        <f>(2*$E$22+2*$E$28+$E$34+$E$40)/6*VLOOKUP($R18+1,'강화코어 수치, 재료'!$A$1:$B$32,2,FALSE)</f>
        <v>3.7410133333333331</v>
      </c>
      <c r="AT18" s="13">
        <f t="shared" si="9"/>
        <v>5.6690815867997416E-2</v>
      </c>
      <c r="AU18" s="40">
        <f>AT18/'강화코어 수치, 재료'!$O15*100</f>
        <v>7.5587754490663225E-2</v>
      </c>
    </row>
    <row r="19" spans="1:47" ht="17.25" thickBot="1" x14ac:dyDescent="0.35">
      <c r="R19">
        <v>13</v>
      </c>
      <c r="S19" s="39" t="str">
        <f t="shared" si="0"/>
        <v>13&gt;14</v>
      </c>
      <c r="T19" s="13">
        <f>($I$34+$I$40)/6/$I$9*(500+6*($R19+1))+($J$34+$J$40)/6/$J$9*(((2400+80*($R19+1)))*8*3 + (3600+120*($R19+1))*14*7)*VLOOKUP($R19+1,'강화코어 수치, 재료'!$D$1:$E$32,2,FALSE)</f>
        <v>10.036018530324281</v>
      </c>
      <c r="U19" s="13">
        <f t="shared" si="10"/>
        <v>0.3042861831292224</v>
      </c>
      <c r="V19" s="13">
        <f>U19/'강화코어 수치, 재료'!I16*100</f>
        <v>0.27662380284474763</v>
      </c>
      <c r="W19" s="13"/>
      <c r="X19" s="13" t="str">
        <f t="shared" si="1"/>
        <v>13&gt;14</v>
      </c>
      <c r="Y19" s="13">
        <f t="shared" si="2"/>
        <v>25.386084243369737</v>
      </c>
      <c r="Z19" s="13">
        <f t="shared" si="11"/>
        <v>0.78834526006126582</v>
      </c>
      <c r="AA19" s="13">
        <f>Z19/'강화코어 수치, 재료'!L16*100</f>
        <v>1.4333550182932107</v>
      </c>
      <c r="AB19" s="13"/>
      <c r="AC19" s="13" t="str">
        <f t="shared" si="3"/>
        <v>13&gt;14</v>
      </c>
      <c r="AD19" s="13">
        <f>(2*$D$22+2*$D$28+$D$34+$D$40)/6*VLOOKUP($R19+1,'강화코어 수치, 재료'!$A$1:$B$32,2,FALSE)</f>
        <v>6.9853500000000004</v>
      </c>
      <c r="AE19" s="13">
        <f t="shared" si="12"/>
        <v>0.10503447807659839</v>
      </c>
      <c r="AF19" s="13">
        <f>AE19/'강화코어 수치, 재료'!$O16*100</f>
        <v>0.12654756394770891</v>
      </c>
      <c r="AG19" s="13"/>
      <c r="AH19" s="13" t="str">
        <f t="shared" si="4"/>
        <v>13&gt;14</v>
      </c>
      <c r="AI19" s="13">
        <f>(2*$H$22+2*$H$28+$H$34+$H$40)/6*VLOOKUP($R19+1,'강화코어 수치, 재료'!$A$1:$B$32,2,FALSE)</f>
        <v>3.7070299999999996</v>
      </c>
      <c r="AJ19" s="13">
        <f t="shared" si="5"/>
        <v>5.5740365373859957E-2</v>
      </c>
      <c r="AK19" s="13">
        <f>AJ19/'강화코어 수치, 재료'!$O16*100</f>
        <v>6.7157066715493929E-2</v>
      </c>
      <c r="AL19" s="13"/>
      <c r="AM19" s="13" t="str">
        <f t="shared" si="6"/>
        <v>13&gt;14</v>
      </c>
      <c r="AN19" s="13">
        <f>(2*$F$22+2*$F$28+$F$34+$F$40)/6*VLOOKUP($R19+1,'강화코어 수치, 재료'!$A$1:$B$32,2,FALSE)</f>
        <v>4.2303400000000009</v>
      </c>
      <c r="AO19" s="13">
        <f t="shared" si="7"/>
        <v>6.3609060961378958E-2</v>
      </c>
      <c r="AP19" s="13">
        <f>AO19/'강화코어 수치, 재료'!$O16*100</f>
        <v>7.6637422845034886E-2</v>
      </c>
      <c r="AQ19" s="13"/>
      <c r="AR19" s="13" t="str">
        <f t="shared" si="8"/>
        <v>13&gt;14</v>
      </c>
      <c r="AS19" s="13">
        <f>(2*$E$22+2*$E$28+$E$34+$E$40)/6*VLOOKUP($R19+1,'강화코어 수치, 재료'!$A$1:$B$32,2,FALSE)</f>
        <v>3.7702399999999998</v>
      </c>
      <c r="AT19" s="13">
        <f t="shared" si="9"/>
        <v>5.6690815867997416E-2</v>
      </c>
      <c r="AU19" s="40">
        <f>AT19/'강화코어 수치, 재료'!$O16*100</f>
        <v>6.8302187792767963E-2</v>
      </c>
    </row>
    <row r="20" spans="1:47" x14ac:dyDescent="0.3">
      <c r="A20" s="8" t="s">
        <v>102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R20">
        <v>14</v>
      </c>
      <c r="S20" s="39" t="str">
        <f t="shared" si="0"/>
        <v>14&gt;15</v>
      </c>
      <c r="T20" s="13">
        <f>($I$34+$I$40)/6/$I$9*(500+6*($R20+1))+($J$34+$J$40)/6/$J$9*(((2400+80*($R20+1)))*8*3 + (3600+120*($R20+1))*14*7)*VLOOKUP($R20+1,'강화코어 수치, 재료'!$D$1:$E$32,2,FALSE)</f>
        <v>10.192891750605636</v>
      </c>
      <c r="U20" s="13">
        <f t="shared" si="10"/>
        <v>0.3042861831292224</v>
      </c>
      <c r="V20" s="13">
        <f>U20/'강화코어 수치, 재료'!I17*100</f>
        <v>0.25357181927435202</v>
      </c>
      <c r="W20" s="13"/>
      <c r="X20" s="13" t="str">
        <f t="shared" si="1"/>
        <v>14&gt;15</v>
      </c>
      <c r="Y20" s="13">
        <f t="shared" si="2"/>
        <v>25.792511700468019</v>
      </c>
      <c r="Z20" s="13">
        <f t="shared" si="11"/>
        <v>0.78834526006125905</v>
      </c>
      <c r="AA20" s="13">
        <f>Z20/'강화코어 수치, 재료'!L17*100</f>
        <v>1.313908766768765</v>
      </c>
      <c r="AB20" s="13"/>
      <c r="AC20" s="13" t="str">
        <f t="shared" si="3"/>
        <v>14&gt;15</v>
      </c>
      <c r="AD20" s="13">
        <f>(2*$D$22+2*$D$28+$D$34+$D$40)/6*VLOOKUP($R20+1,'강화코어 수치, 재료'!$A$1:$B$32,2,FALSE)</f>
        <v>7.0395000000000003</v>
      </c>
      <c r="AE20" s="13">
        <f t="shared" si="12"/>
        <v>0.10503447807659839</v>
      </c>
      <c r="AF20" s="13">
        <f>AE20/'강화코어 수치, 재료'!$O17*100</f>
        <v>0.11670497564066487</v>
      </c>
      <c r="AG20" s="13"/>
      <c r="AH20" s="13" t="str">
        <f t="shared" si="4"/>
        <v>14&gt;15</v>
      </c>
      <c r="AI20" s="13">
        <f>(2*$H$22+2*$H$28+$H$34+$H$40)/6*VLOOKUP($R20+1,'강화코어 수치, 재료'!$A$1:$B$32,2,FALSE)</f>
        <v>3.7357666666666662</v>
      </c>
      <c r="AJ20" s="13">
        <f t="shared" si="5"/>
        <v>5.5740365373859957E-2</v>
      </c>
      <c r="AK20" s="13">
        <f>AJ20/'강화코어 수치, 재료'!$O17*100</f>
        <v>6.1933739304288846E-2</v>
      </c>
      <c r="AL20" s="13"/>
      <c r="AM20" s="13" t="str">
        <f t="shared" si="6"/>
        <v>14&gt;15</v>
      </c>
      <c r="AN20" s="13">
        <f>(2*$F$22+2*$F$28+$F$34+$F$40)/6*VLOOKUP($R20+1,'강화코어 수치, 재료'!$A$1:$B$32,2,FALSE)</f>
        <v>4.2631333333333341</v>
      </c>
      <c r="AO20" s="13">
        <f t="shared" si="7"/>
        <v>6.3609060961377237E-2</v>
      </c>
      <c r="AP20" s="13">
        <f>AO20/'강화코어 수치, 재료'!$O17*100</f>
        <v>7.0676734401530258E-2</v>
      </c>
      <c r="AQ20" s="13"/>
      <c r="AR20" s="13" t="str">
        <f t="shared" si="8"/>
        <v>14&gt;15</v>
      </c>
      <c r="AS20" s="13">
        <f>(2*$E$22+2*$E$28+$E$34+$E$40)/6*VLOOKUP($R20+1,'강화코어 수치, 재료'!$A$1:$B$32,2,FALSE)</f>
        <v>3.7994666666666661</v>
      </c>
      <c r="AT20" s="13">
        <f t="shared" si="9"/>
        <v>5.6690815867996562E-2</v>
      </c>
      <c r="AU20" s="40">
        <f>AT20/'강화코어 수치, 재료'!$O17*100</f>
        <v>6.2989795408885066E-2</v>
      </c>
    </row>
    <row r="21" spans="1:47" x14ac:dyDescent="0.3">
      <c r="A21" s="3"/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M21" s="4" t="s">
        <v>10</v>
      </c>
      <c r="R21">
        <v>15</v>
      </c>
      <c r="S21" s="39" t="str">
        <f t="shared" si="0"/>
        <v>15&gt;16</v>
      </c>
      <c r="T21" s="13">
        <f>($I$34+$I$40)/6/$I$9*(500+6*($R21+1))+($J$34+$J$40)/6/$J$9*(((2400+80*($R21+1)))*8*3 + (3600+120*($R21+1))*14*7)*VLOOKUP($R21+1,'강화코어 수치, 재료'!$D$1:$E$32,2,FALSE)</f>
        <v>10.349764970886991</v>
      </c>
      <c r="U21" s="13">
        <f t="shared" si="10"/>
        <v>0.3042861831292224</v>
      </c>
      <c r="V21" s="13">
        <f>U21/'강화코어 수치, 재료'!I18*100</f>
        <v>0.23406629471478649</v>
      </c>
      <c r="W21" s="13"/>
      <c r="X21" s="13" t="str">
        <f t="shared" si="1"/>
        <v>15&gt;16</v>
      </c>
      <c r="Y21" s="13">
        <f t="shared" si="2"/>
        <v>26.198939157566304</v>
      </c>
      <c r="Z21" s="13">
        <f t="shared" si="11"/>
        <v>0.78834526006126582</v>
      </c>
      <c r="AA21" s="13">
        <f>Z21/'강화코어 수치, 재료'!L18*100</f>
        <v>1.2128388616327166</v>
      </c>
      <c r="AB21" s="13"/>
      <c r="AC21" s="13" t="str">
        <f t="shared" si="3"/>
        <v>15&gt;16</v>
      </c>
      <c r="AD21" s="13">
        <f>(2*$D$22+2*$D$28+$D$34+$D$40)/6*VLOOKUP($R21+1,'강화코어 수치, 재료'!$A$1:$B$32,2,FALSE)</f>
        <v>7.0936500000000002</v>
      </c>
      <c r="AE21" s="13">
        <f t="shared" si="12"/>
        <v>0.10503447807659839</v>
      </c>
      <c r="AF21" s="13">
        <f>AE21/'강화코어 수치, 재료'!$O18*100</f>
        <v>0.10717803885367183</v>
      </c>
      <c r="AG21" s="13"/>
      <c r="AH21" s="13" t="str">
        <f t="shared" si="4"/>
        <v>15&gt;16</v>
      </c>
      <c r="AI21" s="13">
        <f>(2*$H$22+2*$H$28+$H$34+$H$40)/6*VLOOKUP($R21+1,'강화코어 수치, 재료'!$A$1:$B$32,2,FALSE)</f>
        <v>3.7645033333333333</v>
      </c>
      <c r="AJ21" s="13">
        <f t="shared" si="5"/>
        <v>5.574036537386081E-2</v>
      </c>
      <c r="AK21" s="13">
        <f>AJ21/'강화코어 수치, 재료'!$O18*100</f>
        <v>5.6877923850878372E-2</v>
      </c>
      <c r="AL21" s="13"/>
      <c r="AM21" s="13" t="str">
        <f t="shared" si="6"/>
        <v>15&gt;16</v>
      </c>
      <c r="AN21" s="13">
        <f>(2*$F$22+2*$F$28+$F$34+$F$40)/6*VLOOKUP($R21+1,'강화코어 수치, 재료'!$A$1:$B$32,2,FALSE)</f>
        <v>4.2959266666666673</v>
      </c>
      <c r="AO21" s="13">
        <f t="shared" si="7"/>
        <v>6.3609060961377237E-2</v>
      </c>
      <c r="AP21" s="13">
        <f>AO21/'강화코어 수치, 재료'!$O18*100</f>
        <v>6.4907205062629827E-2</v>
      </c>
      <c r="AQ21" s="13"/>
      <c r="AR21" s="13" t="str">
        <f t="shared" si="8"/>
        <v>15&gt;16</v>
      </c>
      <c r="AS21" s="13">
        <f>(2*$E$22+2*$E$28+$E$34+$E$40)/6*VLOOKUP($R21+1,'강화코어 수치, 재료'!$A$1:$B$32,2,FALSE)</f>
        <v>3.8286933333333328</v>
      </c>
      <c r="AT21" s="13">
        <f t="shared" si="9"/>
        <v>5.6690815867997416E-2</v>
      </c>
      <c r="AU21" s="40">
        <f>AT21/'강화코어 수치, 재료'!$O18*100</f>
        <v>5.7847771293874917E-2</v>
      </c>
    </row>
    <row r="22" spans="1:47" x14ac:dyDescent="0.3">
      <c r="A22" s="3" t="s">
        <v>7</v>
      </c>
      <c r="B22">
        <v>20.78</v>
      </c>
      <c r="C22">
        <v>14.78</v>
      </c>
      <c r="D22">
        <v>5.39</v>
      </c>
      <c r="E22">
        <v>3.323</v>
      </c>
      <c r="F22">
        <v>3.46</v>
      </c>
      <c r="G22">
        <v>1.83</v>
      </c>
      <c r="H22">
        <v>3.0859999999999999</v>
      </c>
      <c r="M22" s="4">
        <f>SUM(B22:H22)</f>
        <v>52.649000000000001</v>
      </c>
      <c r="R22">
        <v>16</v>
      </c>
      <c r="S22" s="39" t="str">
        <f t="shared" si="0"/>
        <v>16&gt;17</v>
      </c>
      <c r="T22" s="13">
        <f>($I$34+$I$40)/6/$I$9*(500+6*($R22+1))+($J$34+$J$40)/6/$J$9*(((2400+80*($R22+1)))*8*3 + (3600+120*($R22+1))*14*7)*VLOOKUP($R22+1,'강화코어 수치, 재료'!$D$1:$E$32,2,FALSE)</f>
        <v>10.506638191168346</v>
      </c>
      <c r="U22" s="13">
        <f t="shared" si="10"/>
        <v>0.3042861831292224</v>
      </c>
      <c r="V22" s="13">
        <f>U22/'강화코어 수치, 재료'!I19*100</f>
        <v>0.2173472736637303</v>
      </c>
      <c r="W22" s="13"/>
      <c r="X22" s="13" t="str">
        <f t="shared" si="1"/>
        <v>16&gt;17</v>
      </c>
      <c r="Y22" s="13">
        <f t="shared" si="2"/>
        <v>26.60536661466459</v>
      </c>
      <c r="Z22" s="13">
        <f t="shared" si="11"/>
        <v>0.78834526006126582</v>
      </c>
      <c r="AA22" s="13">
        <f>Z22/'강화코어 수치, 재료'!L19*100</f>
        <v>1.1262075143732369</v>
      </c>
      <c r="AB22" s="13"/>
      <c r="AC22" s="13" t="str">
        <f t="shared" si="3"/>
        <v>16&gt;17</v>
      </c>
      <c r="AD22" s="13">
        <f>(2*$D$22+2*$D$28+$D$34+$D$40)/6*VLOOKUP($R22+1,'강화코어 수치, 재료'!$A$1:$B$32,2,FALSE)</f>
        <v>7.1478000000000002</v>
      </c>
      <c r="AE22" s="13">
        <f t="shared" si="12"/>
        <v>0.10503447807659839</v>
      </c>
      <c r="AF22" s="13">
        <f>AE22/'강화코어 수치, 재료'!$O19*100</f>
        <v>0.10003283626342704</v>
      </c>
      <c r="AG22" s="13"/>
      <c r="AH22" s="13" t="str">
        <f t="shared" si="4"/>
        <v>16&gt;17</v>
      </c>
      <c r="AI22" s="13">
        <f>(2*$H$22+2*$H$28+$H$34+$H$40)/6*VLOOKUP($R22+1,'강화코어 수치, 재료'!$A$1:$B$32,2,FALSE)</f>
        <v>3.7932399999999999</v>
      </c>
      <c r="AJ22" s="13">
        <f t="shared" si="5"/>
        <v>5.5740365373859957E-2</v>
      </c>
      <c r="AK22" s="13">
        <f>AJ22/'강화코어 수치, 재료'!$O19*100</f>
        <v>5.3086062260819002E-2</v>
      </c>
      <c r="AL22" s="13"/>
      <c r="AM22" s="13" t="str">
        <f t="shared" si="6"/>
        <v>16&gt;17</v>
      </c>
      <c r="AN22" s="13">
        <f>(2*$F$22+2*$F$28+$F$34+$F$40)/6*VLOOKUP($R22+1,'강화코어 수치, 재료'!$A$1:$B$32,2,FALSE)</f>
        <v>4.3287200000000006</v>
      </c>
      <c r="AO22" s="13">
        <f t="shared" si="7"/>
        <v>6.3609060961377237E-2</v>
      </c>
      <c r="AP22" s="13">
        <f>AO22/'강화코어 수치, 재료'!$O19*100</f>
        <v>6.0580058058454518E-2</v>
      </c>
      <c r="AQ22" s="13"/>
      <c r="AR22" s="13" t="str">
        <f t="shared" si="8"/>
        <v>16&gt;17</v>
      </c>
      <c r="AS22" s="13">
        <f>(2*$E$22+2*$E$28+$E$34+$E$40)/6*VLOOKUP($R22+1,'강화코어 수치, 재료'!$A$1:$B$32,2,FALSE)</f>
        <v>3.8579199999999996</v>
      </c>
      <c r="AT22" s="13">
        <f t="shared" si="9"/>
        <v>5.6690815867997416E-2</v>
      </c>
      <c r="AU22" s="40">
        <f>AT22/'강화코어 수치, 재료'!$O19*100</f>
        <v>5.399125320761658E-2</v>
      </c>
    </row>
    <row r="23" spans="1:47" x14ac:dyDescent="0.3">
      <c r="A23" s="3" t="s">
        <v>8</v>
      </c>
      <c r="B23">
        <f t="shared" ref="B23:H23" si="15">B22/SUM($B$22:$H$22)*100</f>
        <v>39.468935782256075</v>
      </c>
      <c r="C23">
        <f t="shared" si="15"/>
        <v>28.07270793367395</v>
      </c>
      <c r="D23">
        <f t="shared" si="15"/>
        <v>10.237611350642936</v>
      </c>
      <c r="E23">
        <f t="shared" si="15"/>
        <v>6.3116108568063973</v>
      </c>
      <c r="F23">
        <f t="shared" si="15"/>
        <v>6.5718247260156888</v>
      </c>
      <c r="G23">
        <f t="shared" si="15"/>
        <v>3.4758494938175462</v>
      </c>
      <c r="H23">
        <f t="shared" si="15"/>
        <v>5.8614598567874028</v>
      </c>
      <c r="M23" s="4">
        <f>SUM(B23:H23)</f>
        <v>100</v>
      </c>
      <c r="R23">
        <v>17</v>
      </c>
      <c r="S23" s="39" t="str">
        <f t="shared" si="0"/>
        <v>17&gt;18</v>
      </c>
      <c r="T23" s="13">
        <f>($I$34+$I$40)/6/$I$9*(500+6*($R23+1))+($J$34+$J$40)/6/$J$9*(((2400+80*($R23+1)))*8*3 + (3600+120*($R23+1))*14*7)*VLOOKUP($R23+1,'강화코어 수치, 재료'!$D$1:$E$32,2,FALSE)</f>
        <v>10.663511411449701</v>
      </c>
      <c r="U23" s="13">
        <f t="shared" si="10"/>
        <v>0.3042861831292224</v>
      </c>
      <c r="V23" s="13">
        <f>U23/'강화코어 수치, 재료'!I20*100</f>
        <v>0.20285745541948158</v>
      </c>
      <c r="W23" s="13"/>
      <c r="X23" s="13" t="str">
        <f t="shared" si="1"/>
        <v>17&gt;18</v>
      </c>
      <c r="Y23" s="13">
        <f t="shared" si="2"/>
        <v>27.011794071762871</v>
      </c>
      <c r="Z23" s="13">
        <f t="shared" si="11"/>
        <v>0.78834526006125905</v>
      </c>
      <c r="AA23" s="13">
        <f>Z23/'강화코어 수치, 재료'!L20*100</f>
        <v>1.0511270134150121</v>
      </c>
      <c r="AB23" s="13"/>
      <c r="AC23" s="13" t="str">
        <f t="shared" si="3"/>
        <v>17&gt;18</v>
      </c>
      <c r="AD23" s="13">
        <f>(2*$D$22+2*$D$28+$D$34+$D$40)/6*VLOOKUP($R23+1,'강화코어 수치, 재료'!$A$1:$B$32,2,FALSE)</f>
        <v>7.2019500000000001</v>
      </c>
      <c r="AE23" s="13">
        <f t="shared" si="12"/>
        <v>0.10503447807659839</v>
      </c>
      <c r="AF23" s="13">
        <f>AE23/'강화코어 수치, 재료'!$O20*100</f>
        <v>9.2950865554511847E-2</v>
      </c>
      <c r="AG23" s="13"/>
      <c r="AH23" s="13" t="str">
        <f t="shared" si="4"/>
        <v>17&gt;18</v>
      </c>
      <c r="AI23" s="13">
        <f>(2*$H$22+2*$H$28+$H$34+$H$40)/6*VLOOKUP($R23+1,'강화코어 수치, 재료'!$A$1:$B$32,2,FALSE)</f>
        <v>3.8219766666666666</v>
      </c>
      <c r="AJ23" s="13">
        <f t="shared" si="5"/>
        <v>5.5740365373859957E-2</v>
      </c>
      <c r="AK23" s="13">
        <f>AJ23/'강화코어 수치, 재료'!$O20*100</f>
        <v>4.9327756968017659E-2</v>
      </c>
      <c r="AL23" s="13"/>
      <c r="AM23" s="13" t="str">
        <f t="shared" si="6"/>
        <v>17&gt;18</v>
      </c>
      <c r="AN23" s="13">
        <f>(2*$F$22+2*$F$28+$F$34+$F$40)/6*VLOOKUP($R23+1,'강화코어 수치, 재료'!$A$1:$B$32,2,FALSE)</f>
        <v>4.3615133333333338</v>
      </c>
      <c r="AO23" s="13">
        <f t="shared" si="7"/>
        <v>6.3609060961377237E-2</v>
      </c>
      <c r="AP23" s="13">
        <f>AO23/'강화코어 수치, 재료'!$O20*100</f>
        <v>5.6291204390599328E-2</v>
      </c>
      <c r="AQ23" s="13"/>
      <c r="AR23" s="13" t="str">
        <f t="shared" si="8"/>
        <v>17&gt;18</v>
      </c>
      <c r="AS23" s="13">
        <f>(2*$E$22+2*$E$28+$E$34+$E$40)/6*VLOOKUP($R23+1,'강화코어 수치, 재료'!$A$1:$B$32,2,FALSE)</f>
        <v>3.8871466666666663</v>
      </c>
      <c r="AT23" s="13">
        <f t="shared" si="9"/>
        <v>5.6690815867997416E-2</v>
      </c>
      <c r="AU23" s="40">
        <f>AT23/'강화코어 수치, 재료'!$O20*100</f>
        <v>5.0168863599997712E-2</v>
      </c>
    </row>
    <row r="24" spans="1:47" ht="17.25" thickBot="1" x14ac:dyDescent="0.35">
      <c r="A24" s="5" t="s">
        <v>9</v>
      </c>
      <c r="B24" s="6">
        <v>1134</v>
      </c>
      <c r="C24" s="6">
        <v>2071</v>
      </c>
      <c r="D24" s="6">
        <v>345</v>
      </c>
      <c r="E24" s="6">
        <v>248</v>
      </c>
      <c r="F24" s="6">
        <v>324</v>
      </c>
      <c r="G24" s="6">
        <v>84</v>
      </c>
      <c r="H24" s="6">
        <v>45</v>
      </c>
      <c r="I24" s="6"/>
      <c r="J24" s="6"/>
      <c r="K24" s="6"/>
      <c r="L24" s="6"/>
      <c r="M24" s="7"/>
      <c r="R24">
        <v>18</v>
      </c>
      <c r="S24" s="39" t="str">
        <f t="shared" si="0"/>
        <v>18&gt;19</v>
      </c>
      <c r="T24" s="13">
        <f>($I$34+$I$40)/6/$I$9*(500+6*($R24+1))+($J$34+$J$40)/6/$J$9*(((2400+80*($R24+1)))*8*3 + (3600+120*($R24+1))*14*7)*VLOOKUP($R24+1,'강화코어 수치, 재료'!$D$1:$E$32,2,FALSE)</f>
        <v>10.820384631731056</v>
      </c>
      <c r="U24" s="13">
        <f t="shared" si="10"/>
        <v>0.3042861831292224</v>
      </c>
      <c r="V24" s="13">
        <f>U24/'강화코어 수치, 재료'!I21*100</f>
        <v>0.19017886445576401</v>
      </c>
      <c r="W24" s="13"/>
      <c r="X24" s="13" t="str">
        <f t="shared" si="1"/>
        <v>18&gt;19</v>
      </c>
      <c r="Y24" s="13">
        <f t="shared" si="2"/>
        <v>27.418221528861157</v>
      </c>
      <c r="Z24" s="13">
        <f t="shared" si="11"/>
        <v>0.78834526006126582</v>
      </c>
      <c r="AA24" s="13">
        <f>Z24/'강화코어 수치, 재료'!L21*100</f>
        <v>0.9854315750765823</v>
      </c>
      <c r="AB24" s="13"/>
      <c r="AC24" s="13" t="str">
        <f t="shared" si="3"/>
        <v>18&gt;19</v>
      </c>
      <c r="AD24" s="13">
        <f>(2*$D$22+2*$D$28+$D$34+$D$40)/6*VLOOKUP($R24+1,'강화코어 수치, 재료'!$A$1:$B$32,2,FALSE)</f>
        <v>7.2561000000000009</v>
      </c>
      <c r="AE24" s="13">
        <f t="shared" si="12"/>
        <v>0.1050344780766001</v>
      </c>
      <c r="AF24" s="13">
        <f>AE24/'강화코어 수치, 재료'!$O21*100</f>
        <v>8.7528731730500089E-2</v>
      </c>
      <c r="AG24" s="13"/>
      <c r="AH24" s="13" t="str">
        <f t="shared" si="4"/>
        <v>18&gt;19</v>
      </c>
      <c r="AI24" s="13">
        <f>(2*$H$22+2*$H$28+$H$34+$H$40)/6*VLOOKUP($R24+1,'강화코어 수치, 재료'!$A$1:$B$32,2,FALSE)</f>
        <v>3.8507133333333332</v>
      </c>
      <c r="AJ24" s="13">
        <f t="shared" si="5"/>
        <v>5.5740365373859957E-2</v>
      </c>
      <c r="AK24" s="13">
        <f>AJ24/'강화코어 수치, 재료'!$O21*100</f>
        <v>4.6450304478216631E-2</v>
      </c>
      <c r="AL24" s="13"/>
      <c r="AM24" s="13" t="str">
        <f t="shared" si="6"/>
        <v>18&gt;19</v>
      </c>
      <c r="AN24" s="13">
        <f>(2*$F$22+2*$F$28+$F$34+$F$40)/6*VLOOKUP($R24+1,'강화코어 수치, 재료'!$A$1:$B$32,2,FALSE)</f>
        <v>4.394306666666667</v>
      </c>
      <c r="AO24" s="13">
        <f t="shared" si="7"/>
        <v>6.3609060961377237E-2</v>
      </c>
      <c r="AP24" s="13">
        <f>AO24/'강화코어 수치, 재료'!$O21*100</f>
        <v>5.300755080114769E-2</v>
      </c>
      <c r="AQ24" s="13"/>
      <c r="AR24" s="13" t="str">
        <f t="shared" si="8"/>
        <v>18&gt;19</v>
      </c>
      <c r="AS24" s="13">
        <f>(2*$E$22+2*$E$28+$E$34+$E$40)/6*VLOOKUP($R24+1,'강화코어 수치, 재료'!$A$1:$B$32,2,FALSE)</f>
        <v>3.916373333333333</v>
      </c>
      <c r="AT24" s="13">
        <f t="shared" si="9"/>
        <v>5.6690815867997416E-2</v>
      </c>
      <c r="AU24" s="40">
        <f>AT24/'강화코어 수치, 재료'!$O21*100</f>
        <v>4.7242346556664511E-2</v>
      </c>
    </row>
    <row r="25" spans="1:47" ht="17.25" thickBot="1" x14ac:dyDescent="0.35">
      <c r="R25">
        <v>19</v>
      </c>
      <c r="S25" s="39" t="str">
        <f t="shared" si="0"/>
        <v>19&gt;20</v>
      </c>
      <c r="T25" s="13">
        <f>($I$34+$I$40)/6/$I$9*(500+6*($R25+1))+($J$34+$J$40)/6/$J$9*(((2400+80*($R25+1)))*8*3 + (3600+120*($R25+1))*14*7)*VLOOKUP($R25+1,'강화코어 수치, 재료'!$D$1:$E$32,2,FALSE)</f>
        <v>11.128209051350705</v>
      </c>
      <c r="U25" s="13">
        <f t="shared" si="10"/>
        <v>0.59708545252043821</v>
      </c>
      <c r="V25" s="13">
        <f>U25/'강화코어 수치, 재료'!I22*100</f>
        <v>0.17059584357726806</v>
      </c>
      <c r="W25" s="13"/>
      <c r="X25" s="13" t="str">
        <f t="shared" si="1"/>
        <v>19&gt;20</v>
      </c>
      <c r="Y25" s="13">
        <f t="shared" si="2"/>
        <v>27.824648985959438</v>
      </c>
      <c r="Z25" s="13">
        <f t="shared" si="11"/>
        <v>0.78834526006125905</v>
      </c>
      <c r="AA25" s="13">
        <f>Z25/'강화코어 수치, 재료'!L22*100</f>
        <v>0.45048300574929084</v>
      </c>
      <c r="AB25" s="13"/>
      <c r="AC25" s="13" t="str">
        <f t="shared" si="3"/>
        <v>19&gt;20</v>
      </c>
      <c r="AD25" s="13">
        <f>(2*$D$22+2*$D$28+$D$34+$D$40)/6*VLOOKUP($R25+1,'강화코어 수치, 재료'!$A$1:$B$32,2,FALSE)</f>
        <v>7.5809999999999995</v>
      </c>
      <c r="AE25" s="13">
        <f t="shared" si="12"/>
        <v>0.63020686845958862</v>
      </c>
      <c r="AF25" s="13">
        <f>AE25/'강화코어 수치, 재료'!$O22*100</f>
        <v>0.23962238344471051</v>
      </c>
      <c r="AG25" s="13"/>
      <c r="AH25" s="13" t="str">
        <f t="shared" si="4"/>
        <v>19&gt;20</v>
      </c>
      <c r="AI25" s="13">
        <f>(2*$H$22+2*$H$28+$H$34+$H$40)/6*VLOOKUP($R25+1,'강화코어 수치, 재료'!$A$1:$B$32,2,FALSE)</f>
        <v>4.023133333333333</v>
      </c>
      <c r="AJ25" s="13">
        <f t="shared" si="5"/>
        <v>0.33444219224315974</v>
      </c>
      <c r="AK25" s="13">
        <f>AJ25/'강화코어 수치, 재료'!$O22*100</f>
        <v>0.12716433165139154</v>
      </c>
      <c r="AL25" s="13"/>
      <c r="AM25" s="13" t="str">
        <f t="shared" si="6"/>
        <v>19&gt;20</v>
      </c>
      <c r="AN25" s="13">
        <f>(2*$F$22+2*$F$28+$F$34+$F$40)/6*VLOOKUP($R25+1,'강화코어 수치, 재료'!$A$1:$B$32,2,FALSE)</f>
        <v>4.5910666666666664</v>
      </c>
      <c r="AO25" s="13">
        <f t="shared" si="7"/>
        <v>0.38165436576826339</v>
      </c>
      <c r="AP25" s="13">
        <f>AO25/'강화코어 수치, 재료'!$O22*100</f>
        <v>0.14511572842899748</v>
      </c>
      <c r="AQ25" s="13"/>
      <c r="AR25" s="13" t="str">
        <f t="shared" si="8"/>
        <v>19&gt;20</v>
      </c>
      <c r="AS25" s="13">
        <f>(2*$E$22+2*$E$28+$E$34+$E$40)/6*VLOOKUP($R25+1,'강화코어 수치, 재료'!$A$1:$B$32,2,FALSE)</f>
        <v>4.091733333333333</v>
      </c>
      <c r="AT25" s="13">
        <f t="shared" si="9"/>
        <v>0.34014489520798369</v>
      </c>
      <c r="AU25" s="40">
        <f>AT25/'강화코어 수치, 재료'!$O22*100</f>
        <v>0.12933265977489874</v>
      </c>
    </row>
    <row r="26" spans="1:47" x14ac:dyDescent="0.3">
      <c r="A26" s="8" t="s">
        <v>106</v>
      </c>
      <c r="B26" s="1"/>
      <c r="C26" s="1"/>
      <c r="D26" s="10"/>
      <c r="E26" s="1"/>
      <c r="F26" s="1"/>
      <c r="G26" s="1"/>
      <c r="H26" s="1"/>
      <c r="I26" s="1"/>
      <c r="J26" s="1"/>
      <c r="K26" s="1"/>
      <c r="L26" s="1"/>
      <c r="M26" s="2"/>
      <c r="R26">
        <v>20</v>
      </c>
      <c r="S26" s="39" t="str">
        <f t="shared" si="0"/>
        <v>20&gt;21</v>
      </c>
      <c r="T26" s="13">
        <f>($I$34+$I$40)/6/$I$9*(500+6*($R26+1))+($J$34+$J$40)/6/$J$9*(((2400+80*($R26+1)))*8*3 + (3600+120*($R26+1))*14*7)*VLOOKUP($R26+1,'강화코어 수치, 재료'!$D$1:$E$32,2,FALSE)</f>
        <v>11.288101295618826</v>
      </c>
      <c r="U26" s="13">
        <f t="shared" si="10"/>
        <v>0.31014216851704779</v>
      </c>
      <c r="V26" s="13">
        <f>U26/'강화코어 수치, 재료'!I23*100</f>
        <v>0.18243656971591046</v>
      </c>
      <c r="W26" s="13"/>
      <c r="X26" s="13" t="str">
        <f t="shared" si="1"/>
        <v>20&gt;21</v>
      </c>
      <c r="Y26" s="13">
        <f t="shared" si="2"/>
        <v>28.231076443057724</v>
      </c>
      <c r="Z26" s="13">
        <f t="shared" si="11"/>
        <v>0.78834526006126582</v>
      </c>
      <c r="AA26" s="13">
        <f>Z26/'강화코어 수치, 재료'!L23*100</f>
        <v>0.92746501183678332</v>
      </c>
      <c r="AB26" s="13"/>
      <c r="AC26" s="13" t="str">
        <f t="shared" si="3"/>
        <v>20&gt;21</v>
      </c>
      <c r="AD26" s="13">
        <f>(2*$D$22+2*$D$28+$D$34+$D$40)/6*VLOOKUP($R26+1,'강화코어 수치, 재료'!$A$1:$B$32,2,FALSE)</f>
        <v>7.6351499999999994</v>
      </c>
      <c r="AE26" s="13">
        <f t="shared" si="12"/>
        <v>0.10503447807659839</v>
      </c>
      <c r="AF26" s="13">
        <f>AE26/'강화코어 수치, 재료'!$O23*100</f>
        <v>8.2058185997342492E-2</v>
      </c>
      <c r="AG26" s="13"/>
      <c r="AH26" s="13" t="str">
        <f t="shared" si="4"/>
        <v>20&gt;21</v>
      </c>
      <c r="AI26" s="13">
        <f>(2*$H$22+2*$H$28+$H$34+$H$40)/6*VLOOKUP($R26+1,'강화코어 수치, 재료'!$A$1:$B$32,2,FALSE)</f>
        <v>4.0518699999999992</v>
      </c>
      <c r="AJ26" s="13">
        <f t="shared" si="5"/>
        <v>5.5740365373859097E-2</v>
      </c>
      <c r="AK26" s="13">
        <f>AJ26/'강화코어 수치, 재료'!$O23*100</f>
        <v>4.3547160448327418E-2</v>
      </c>
      <c r="AL26" s="13"/>
      <c r="AM26" s="13" t="str">
        <f t="shared" si="6"/>
        <v>20&gt;21</v>
      </c>
      <c r="AN26" s="13">
        <f>(2*$F$22+2*$F$28+$F$34+$F$40)/6*VLOOKUP($R26+1,'강화코어 수치, 재료'!$A$1:$B$32,2,FALSE)</f>
        <v>4.6238600000000005</v>
      </c>
      <c r="AO26" s="13">
        <f t="shared" si="7"/>
        <v>6.3609060961378958E-2</v>
      </c>
      <c r="AP26" s="13">
        <f>AO26/'강화코어 수치, 재료'!$O23*100</f>
        <v>4.9694578876077311E-2</v>
      </c>
      <c r="AQ26" s="13"/>
      <c r="AR26" s="13" t="str">
        <f t="shared" si="8"/>
        <v>20&gt;21</v>
      </c>
      <c r="AS26" s="13">
        <f>(2*$E$22+2*$E$28+$E$34+$E$40)/6*VLOOKUP($R26+1,'강화코어 수치, 재료'!$A$1:$B$32,2,FALSE)</f>
        <v>4.1209599999999993</v>
      </c>
      <c r="AT26" s="13">
        <f t="shared" si="9"/>
        <v>5.6690815867996562E-2</v>
      </c>
      <c r="AU26" s="40">
        <f>AT26/'강화코어 수치, 재료'!$O23*100</f>
        <v>4.4289699896872314E-2</v>
      </c>
    </row>
    <row r="27" spans="1:47" x14ac:dyDescent="0.3">
      <c r="A27" s="3"/>
      <c r="B27" t="s">
        <v>13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M27" s="4" t="s">
        <v>10</v>
      </c>
      <c r="R27">
        <v>21</v>
      </c>
      <c r="S27" s="39" t="str">
        <f t="shared" si="0"/>
        <v>21&gt;22</v>
      </c>
      <c r="T27" s="13">
        <f>($I$34+$I$40)/6/$I$9*(500+6*($R27+1))+($J$34+$J$40)/6/$J$9*(((2400+80*($R27+1)))*8*3 + (3600+120*($R27+1))*14*7)*VLOOKUP($R27+1,'강화코어 수치, 재료'!$D$1:$E$32,2,FALSE)</f>
        <v>11.447993539886948</v>
      </c>
      <c r="U27" s="13">
        <f t="shared" si="10"/>
        <v>0.31014216851704779</v>
      </c>
      <c r="V27" s="13">
        <f>U27/'강화코어 수치, 재료'!I24*100</f>
        <v>0.17230120473169322</v>
      </c>
      <c r="W27" s="13"/>
      <c r="X27" s="13" t="str">
        <f t="shared" si="1"/>
        <v>21&gt;22</v>
      </c>
      <c r="Y27" s="13">
        <f t="shared" si="2"/>
        <v>28.637503900156009</v>
      </c>
      <c r="Z27" s="13">
        <f t="shared" si="11"/>
        <v>0.78834526006126582</v>
      </c>
      <c r="AA27" s="13">
        <f>Z27/'강화코어 수치, 재료'!L24*100</f>
        <v>0.87593917784585096</v>
      </c>
      <c r="AB27" s="13"/>
      <c r="AC27" s="13" t="str">
        <f t="shared" si="3"/>
        <v>21&gt;22</v>
      </c>
      <c r="AD27" s="13">
        <f>(2*$D$22+2*$D$28+$D$34+$D$40)/6*VLOOKUP($R27+1,'강화코어 수치, 재료'!$A$1:$B$32,2,FALSE)</f>
        <v>7.6892999999999994</v>
      </c>
      <c r="AE27" s="13">
        <f t="shared" si="12"/>
        <v>0.10503447807659839</v>
      </c>
      <c r="AF27" s="13">
        <f>AE27/'강화코어 수치, 재료'!$O24*100</f>
        <v>7.7803317093776594E-2</v>
      </c>
      <c r="AG27" s="13"/>
      <c r="AH27" s="13" t="str">
        <f t="shared" si="4"/>
        <v>21&gt;22</v>
      </c>
      <c r="AI27" s="13">
        <f>(2*$H$22+2*$H$28+$H$34+$H$40)/6*VLOOKUP($R27+1,'강화코어 수치, 재료'!$A$1:$B$32,2,FALSE)</f>
        <v>4.0806066666666663</v>
      </c>
      <c r="AJ27" s="13">
        <f t="shared" si="5"/>
        <v>5.574036537386081E-2</v>
      </c>
      <c r="AK27" s="13">
        <f>AJ27/'강화코어 수치, 재료'!$O24*100</f>
        <v>4.1289159536193193E-2</v>
      </c>
      <c r="AL27" s="13"/>
      <c r="AM27" s="13" t="str">
        <f t="shared" si="6"/>
        <v>21&gt;22</v>
      </c>
      <c r="AN27" s="13">
        <f>(2*$F$22+2*$F$28+$F$34+$F$40)/6*VLOOKUP($R27+1,'강화코어 수치, 재료'!$A$1:$B$32,2,FALSE)</f>
        <v>4.6566533333333338</v>
      </c>
      <c r="AO27" s="13">
        <f t="shared" si="7"/>
        <v>6.3609060961377237E-2</v>
      </c>
      <c r="AP27" s="13">
        <f>AO27/'강화코어 수치, 재료'!$O24*100</f>
        <v>4.7117822934353508E-2</v>
      </c>
      <c r="AQ27" s="13"/>
      <c r="AR27" s="13" t="str">
        <f t="shared" si="8"/>
        <v>21&gt;22</v>
      </c>
      <c r="AS27" s="13">
        <f>(2*$E$22+2*$E$28+$E$34+$E$40)/6*VLOOKUP($R27+1,'강화코어 수치, 재료'!$A$1:$B$32,2,FALSE)</f>
        <v>4.1501866666666656</v>
      </c>
      <c r="AT27" s="13">
        <f t="shared" si="9"/>
        <v>5.6690815867996562E-2</v>
      </c>
      <c r="AU27" s="40">
        <f>AT27/'강화코어 수치, 재료'!$O24*100</f>
        <v>4.1993196939256711E-2</v>
      </c>
    </row>
    <row r="28" spans="1:47" x14ac:dyDescent="0.3">
      <c r="A28" s="3" t="s">
        <v>7</v>
      </c>
      <c r="B28">
        <v>20.96</v>
      </c>
      <c r="C28">
        <v>13.76</v>
      </c>
      <c r="D28">
        <v>5.28</v>
      </c>
      <c r="E28">
        <v>2.73</v>
      </c>
      <c r="F28">
        <v>3.36</v>
      </c>
      <c r="G28">
        <v>1.67</v>
      </c>
      <c r="H28">
        <v>2.7</v>
      </c>
      <c r="M28" s="4">
        <f>SUM(B28:J28)</f>
        <v>50.46</v>
      </c>
      <c r="R28">
        <v>22</v>
      </c>
      <c r="S28" s="39" t="str">
        <f t="shared" si="0"/>
        <v>22&gt;23</v>
      </c>
      <c r="T28" s="13">
        <f>($I$34+$I$40)/6/$I$9*(500+6*($R28+1))+($J$34+$J$40)/6/$J$9*(((2400+80*($R28+1)))*8*3 + (3600+120*($R28+1))*14*7)*VLOOKUP($R28+1,'강화코어 수치, 재료'!$D$1:$E$32,2,FALSE)</f>
        <v>11.607885784155069</v>
      </c>
      <c r="U28" s="13">
        <f t="shared" si="10"/>
        <v>0.31014216851704779</v>
      </c>
      <c r="V28" s="13">
        <f>U28/'강화코어 수치, 재료'!I25*100</f>
        <v>0.16323272027213043</v>
      </c>
      <c r="W28" s="13"/>
      <c r="X28" s="13" t="str">
        <f t="shared" si="1"/>
        <v>22&gt;23</v>
      </c>
      <c r="Y28" s="13">
        <f t="shared" si="2"/>
        <v>29.043931357254291</v>
      </c>
      <c r="Z28" s="13">
        <f t="shared" si="11"/>
        <v>0.78834526006125905</v>
      </c>
      <c r="AA28" s="13">
        <f>Z28/'강화코어 수치, 재료'!L25*100</f>
        <v>0.82983711585395692</v>
      </c>
      <c r="AB28" s="13"/>
      <c r="AC28" s="13" t="str">
        <f t="shared" si="3"/>
        <v>22&gt;23</v>
      </c>
      <c r="AD28" s="13">
        <f>(2*$D$22+2*$D$28+$D$34+$D$40)/6*VLOOKUP($R28+1,'강화코어 수치, 재료'!$A$1:$B$32,2,FALSE)</f>
        <v>7.7434499999999993</v>
      </c>
      <c r="AE28" s="13">
        <f t="shared" si="12"/>
        <v>0.10503447807659839</v>
      </c>
      <c r="AF28" s="13">
        <f>AE28/'강화코어 수치, 재료'!$O25*100</f>
        <v>7.3450683969649225E-2</v>
      </c>
      <c r="AG28" s="13"/>
      <c r="AH28" s="13" t="str">
        <f t="shared" si="4"/>
        <v>22&gt;23</v>
      </c>
      <c r="AI28" s="13">
        <f>(2*$H$22+2*$H$28+$H$34+$H$40)/6*VLOOKUP($R28+1,'강화코어 수치, 재료'!$A$1:$B$32,2,FALSE)</f>
        <v>4.1093433333333325</v>
      </c>
      <c r="AJ28" s="13">
        <f t="shared" si="5"/>
        <v>5.5740365373859097E-2</v>
      </c>
      <c r="AK28" s="13">
        <f>AJ28/'강화코어 수치, 재료'!$O25*100</f>
        <v>3.8979276485216152E-2</v>
      </c>
      <c r="AL28" s="13"/>
      <c r="AM28" s="13" t="str">
        <f t="shared" si="6"/>
        <v>22&gt;23</v>
      </c>
      <c r="AN28" s="13">
        <f>(2*$F$22+2*$F$28+$F$34+$F$40)/6*VLOOKUP($R28+1,'강화코어 수치, 재료'!$A$1:$B$32,2,FALSE)</f>
        <v>4.689446666666667</v>
      </c>
      <c r="AO28" s="13">
        <f t="shared" si="7"/>
        <v>6.3609060961377237E-2</v>
      </c>
      <c r="AP28" s="13">
        <f>AO28/'강화코어 수치, 재료'!$O25*100</f>
        <v>4.4481860812151913E-2</v>
      </c>
      <c r="AQ28" s="13"/>
      <c r="AR28" s="13" t="str">
        <f t="shared" si="8"/>
        <v>22&gt;23</v>
      </c>
      <c r="AS28" s="13">
        <f>(2*$E$22+2*$E$28+$E$34+$E$40)/6*VLOOKUP($R28+1,'강화코어 수치, 재료'!$A$1:$B$32,2,FALSE)</f>
        <v>4.1794133333333328</v>
      </c>
      <c r="AT28" s="13">
        <f t="shared" si="9"/>
        <v>5.669081586799829E-2</v>
      </c>
      <c r="AU28" s="40">
        <f>AT28/'강화코어 수치, 재료'!$O25*100</f>
        <v>3.9643927180418384E-2</v>
      </c>
    </row>
    <row r="29" spans="1:47" x14ac:dyDescent="0.3">
      <c r="A29" s="3" t="s">
        <v>8</v>
      </c>
      <c r="B29">
        <f t="shared" ref="B29:H29" si="16">B28/SUM($B$28:$J$28)*100</f>
        <v>41.53785176377329</v>
      </c>
      <c r="C29">
        <f t="shared" si="16"/>
        <v>27.269124058660328</v>
      </c>
      <c r="D29">
        <f t="shared" si="16"/>
        <v>10.46373365041617</v>
      </c>
      <c r="E29">
        <f t="shared" si="16"/>
        <v>5.410225921521997</v>
      </c>
      <c r="F29">
        <f t="shared" si="16"/>
        <v>6.658739595719382</v>
      </c>
      <c r="G29">
        <f t="shared" si="16"/>
        <v>3.3095521204914782</v>
      </c>
      <c r="H29">
        <f t="shared" si="16"/>
        <v>5.3507728894173612</v>
      </c>
      <c r="M29" s="4">
        <f>SUM(B29:J29)</f>
        <v>100</v>
      </c>
      <c r="R29">
        <v>23</v>
      </c>
      <c r="S29" s="39" t="str">
        <f t="shared" si="0"/>
        <v>23&gt;24</v>
      </c>
      <c r="T29" s="13">
        <f>($I$34+$I$40)/6/$I$9*(500+6*($R29+1))+($J$34+$J$40)/6/$J$9*(((2400+80*($R29+1)))*8*3 + (3600+120*($R29+1))*14*7)*VLOOKUP($R29+1,'강화코어 수치, 재료'!$D$1:$E$32,2,FALSE)</f>
        <v>11.767778028423189</v>
      </c>
      <c r="U29" s="13">
        <f t="shared" si="10"/>
        <v>0.3101421685170444</v>
      </c>
      <c r="V29" s="13">
        <f>U29/'강화코어 수치, 재료'!I26*100</f>
        <v>0.1550710842585222</v>
      </c>
      <c r="W29" s="13"/>
      <c r="X29" s="13" t="str">
        <f t="shared" si="1"/>
        <v>23&gt;24</v>
      </c>
      <c r="Y29" s="13">
        <f t="shared" si="2"/>
        <v>29.450358814352576</v>
      </c>
      <c r="Z29" s="13">
        <f t="shared" si="11"/>
        <v>0.78834526006126582</v>
      </c>
      <c r="AA29" s="13">
        <f>Z29/'강화코어 수치, 재료'!L26*100</f>
        <v>0.78834526006126582</v>
      </c>
      <c r="AB29" s="13"/>
      <c r="AC29" s="13" t="str">
        <f t="shared" si="3"/>
        <v>23&gt;24</v>
      </c>
      <c r="AD29" s="13">
        <f>(2*$D$22+2*$D$28+$D$34+$D$40)/6*VLOOKUP($R29+1,'강화코어 수치, 재료'!$A$1:$B$32,2,FALSE)</f>
        <v>7.7976000000000001</v>
      </c>
      <c r="AE29" s="13">
        <f t="shared" si="12"/>
        <v>0.1050344780766001</v>
      </c>
      <c r="AF29" s="13">
        <f>AE29/'강화코어 수치, 재료'!$O26*100</f>
        <v>7.0022985384400077E-2</v>
      </c>
      <c r="AG29" s="13"/>
      <c r="AH29" s="13" t="str">
        <f t="shared" si="4"/>
        <v>23&gt;24</v>
      </c>
      <c r="AI29" s="13">
        <f>(2*$H$22+2*$H$28+$H$34+$H$40)/6*VLOOKUP($R29+1,'강화코어 수치, 재료'!$A$1:$B$32,2,FALSE)</f>
        <v>4.1380799999999995</v>
      </c>
      <c r="AJ29" s="13">
        <f t="shared" si="5"/>
        <v>5.574036537386081E-2</v>
      </c>
      <c r="AK29" s="13">
        <f>AJ29/'강화코어 수치, 재료'!$O26*100</f>
        <v>3.7160243582573874E-2</v>
      </c>
      <c r="AL29" s="13"/>
      <c r="AM29" s="13" t="str">
        <f t="shared" si="6"/>
        <v>23&gt;24</v>
      </c>
      <c r="AN29" s="13">
        <f>(2*$F$22+2*$F$28+$F$34+$F$40)/6*VLOOKUP($R29+1,'강화코어 수치, 재료'!$A$1:$B$32,2,FALSE)</f>
        <v>4.7222400000000002</v>
      </c>
      <c r="AO29" s="13">
        <f t="shared" si="7"/>
        <v>6.3609060961377237E-2</v>
      </c>
      <c r="AP29" s="13">
        <f>AO29/'강화코어 수치, 재료'!$O26*100</f>
        <v>4.2406040640918158E-2</v>
      </c>
      <c r="AQ29" s="13"/>
      <c r="AR29" s="13" t="str">
        <f t="shared" si="8"/>
        <v>23&gt;24</v>
      </c>
      <c r="AS29" s="13">
        <f>(2*$E$22+2*$E$28+$E$34+$E$40)/6*VLOOKUP($R29+1,'강화코어 수치, 재료'!$A$1:$B$32,2,FALSE)</f>
        <v>4.208639999999999</v>
      </c>
      <c r="AT29" s="13">
        <f t="shared" si="9"/>
        <v>5.6690815867996562E-2</v>
      </c>
      <c r="AU29" s="40">
        <f>AT29/'강화코어 수치, 재료'!$O26*100</f>
        <v>3.7793877245331044E-2</v>
      </c>
    </row>
    <row r="30" spans="1:47" ht="17.25" thickBot="1" x14ac:dyDescent="0.35">
      <c r="A30" s="5" t="s">
        <v>9</v>
      </c>
      <c r="B30" s="6">
        <v>1141</v>
      </c>
      <c r="C30" s="6">
        <v>1976</v>
      </c>
      <c r="D30" s="6">
        <v>345</v>
      </c>
      <c r="E30" s="6">
        <v>223</v>
      </c>
      <c r="F30" s="6">
        <v>324</v>
      </c>
      <c r="G30" s="6">
        <v>84</v>
      </c>
      <c r="H30" s="6">
        <v>45</v>
      </c>
      <c r="I30" s="6"/>
      <c r="J30" s="6"/>
      <c r="K30" s="6"/>
      <c r="L30" s="6"/>
      <c r="M30" s="7"/>
      <c r="R30">
        <v>24</v>
      </c>
      <c r="S30" s="39" t="str">
        <f t="shared" si="0"/>
        <v>24&gt;25</v>
      </c>
      <c r="T30" s="13">
        <f>($I$34+$I$40)/6/$I$9*(500+6*($R30+1))+($J$34+$J$40)/6/$J$9*(((2400+80*($R30+1)))*8*3 + (3600+120*($R30+1))*14*7)*VLOOKUP($R30+1,'강화코어 수치, 재료'!$D$1:$E$32,2,FALSE)</f>
        <v>11.927670272691309</v>
      </c>
      <c r="U30" s="13">
        <f t="shared" si="10"/>
        <v>0.3101421685170444</v>
      </c>
      <c r="V30" s="13">
        <f>U30/'강화코어 수치, 재료'!I27*100</f>
        <v>0.14768674691287828</v>
      </c>
      <c r="W30" s="13"/>
      <c r="X30" s="13" t="str">
        <f t="shared" si="1"/>
        <v>24&gt;25</v>
      </c>
      <c r="Y30" s="13">
        <f t="shared" si="2"/>
        <v>29.856786271450861</v>
      </c>
      <c r="Z30" s="13">
        <f t="shared" si="11"/>
        <v>0.78834526006126582</v>
      </c>
      <c r="AA30" s="13">
        <f>Z30/'강화코어 수치, 재료'!L27*100</f>
        <v>0.7508050095821579</v>
      </c>
      <c r="AB30" s="13"/>
      <c r="AC30" s="13" t="str">
        <f t="shared" si="3"/>
        <v>24&gt;25</v>
      </c>
      <c r="AD30" s="13">
        <f>(2*$D$22+2*$D$28+$D$34+$D$40)/6*VLOOKUP($R30+1,'강화코어 수치, 재료'!$A$1:$B$32,2,FALSE)</f>
        <v>7.85175</v>
      </c>
      <c r="AE30" s="13">
        <f t="shared" si="12"/>
        <v>0.10503447807659839</v>
      </c>
      <c r="AF30" s="13">
        <f>AE30/'강화코어 수치, 재료'!$O27*100</f>
        <v>6.6477517769998981E-2</v>
      </c>
      <c r="AG30" s="13"/>
      <c r="AH30" s="13" t="str">
        <f t="shared" si="4"/>
        <v>24&gt;25</v>
      </c>
      <c r="AI30" s="13">
        <f>(2*$H$22+2*$H$28+$H$34+$H$40)/6*VLOOKUP($R30+1,'강화코어 수치, 재료'!$A$1:$B$32,2,FALSE)</f>
        <v>4.1668166666666657</v>
      </c>
      <c r="AJ30" s="13">
        <f t="shared" si="5"/>
        <v>5.5740365373859097E-2</v>
      </c>
      <c r="AK30" s="13">
        <f>AJ30/'강화코어 수치, 재료'!$O27*100</f>
        <v>3.5278712261936136E-2</v>
      </c>
      <c r="AL30" s="13"/>
      <c r="AM30" s="13" t="str">
        <f t="shared" si="6"/>
        <v>24&gt;25</v>
      </c>
      <c r="AN30" s="13">
        <f>(2*$F$22+2*$F$28+$F$34+$F$40)/6*VLOOKUP($R30+1,'강화코어 수치, 재료'!$A$1:$B$32,2,FALSE)</f>
        <v>4.7550333333333334</v>
      </c>
      <c r="AO30" s="13">
        <f t="shared" si="7"/>
        <v>6.3609060961377237E-2</v>
      </c>
      <c r="AP30" s="13">
        <f>AO30/'강화코어 수치, 재료'!$O27*100</f>
        <v>4.0258899342643824E-2</v>
      </c>
      <c r="AQ30" s="13"/>
      <c r="AR30" s="13" t="str">
        <f t="shared" si="8"/>
        <v>24&gt;25</v>
      </c>
      <c r="AS30" s="13">
        <f>(2*$E$22+2*$E$28+$E$34+$E$40)/6*VLOOKUP($R30+1,'강화코어 수치, 재료'!$A$1:$B$32,2,FALSE)</f>
        <v>4.2378666666666662</v>
      </c>
      <c r="AT30" s="13">
        <f t="shared" si="9"/>
        <v>5.669081586799829E-2</v>
      </c>
      <c r="AU30" s="40">
        <f>AT30/'강화코어 수치, 재료'!$O27*100</f>
        <v>3.5880263207593854E-2</v>
      </c>
    </row>
    <row r="31" spans="1:47" ht="17.25" thickBot="1" x14ac:dyDescent="0.35">
      <c r="R31">
        <v>25</v>
      </c>
      <c r="S31" s="39" t="str">
        <f t="shared" si="0"/>
        <v>25&gt;26</v>
      </c>
      <c r="T31" s="13">
        <f>($I$34+$I$40)/6/$I$9*(500+6*($R31+1))+($J$34+$J$40)/6/$J$9*(((2400+80*($R31+1)))*8*3 + (3600+120*($R31+1))*14*7)*VLOOKUP($R31+1,'강화코어 수치, 재료'!$D$1:$E$32,2,FALSE)</f>
        <v>12.08756251695943</v>
      </c>
      <c r="U31" s="13">
        <f t="shared" si="10"/>
        <v>0.31014216851704779</v>
      </c>
      <c r="V31" s="13">
        <f>U31/'강화코어 수치, 재료'!I28*100</f>
        <v>0.14097371296229444</v>
      </c>
      <c r="W31" s="13"/>
      <c r="X31" s="13" t="str">
        <f t="shared" si="1"/>
        <v>25&gt;26</v>
      </c>
      <c r="Y31" s="13">
        <f t="shared" si="2"/>
        <v>30.263213728549143</v>
      </c>
      <c r="Z31" s="13">
        <f t="shared" si="11"/>
        <v>0.78834526006125905</v>
      </c>
      <c r="AA31" s="13">
        <f>Z31/'강화코어 수치, 재료'!L28*100</f>
        <v>0.71667750914659911</v>
      </c>
      <c r="AB31" s="13"/>
      <c r="AC31" s="13" t="str">
        <f t="shared" si="3"/>
        <v>25&gt;26</v>
      </c>
      <c r="AD31" s="13">
        <f>(2*$D$22+2*$D$28+$D$34+$D$40)/6*VLOOKUP($R31+1,'강화코어 수치, 재료'!$A$1:$B$32,2,FALSE)</f>
        <v>7.9058999999999999</v>
      </c>
      <c r="AE31" s="13">
        <f t="shared" si="12"/>
        <v>0.10503447807659839</v>
      </c>
      <c r="AF31" s="13">
        <f>AE31/'강화코어 수치, 재료'!$O28*100</f>
        <v>6.3657259440362671E-2</v>
      </c>
      <c r="AG31" s="13"/>
      <c r="AH31" s="13" t="str">
        <f t="shared" si="4"/>
        <v>25&gt;26</v>
      </c>
      <c r="AI31" s="13">
        <f>(2*$H$22+2*$H$28+$H$34+$H$40)/6*VLOOKUP($R31+1,'강화코어 수치, 재료'!$A$1:$B$32,2,FALSE)</f>
        <v>4.1955533333333328</v>
      </c>
      <c r="AJ31" s="13">
        <f t="shared" si="5"/>
        <v>5.574036537386081E-2</v>
      </c>
      <c r="AK31" s="13">
        <f>AJ31/'강화코어 수치, 재료'!$O28*100</f>
        <v>3.3782039620521703E-2</v>
      </c>
      <c r="AL31" s="13"/>
      <c r="AM31" s="13" t="str">
        <f t="shared" si="6"/>
        <v>25&gt;26</v>
      </c>
      <c r="AN31" s="13">
        <f>(2*$F$22+2*$F$28+$F$34+$F$40)/6*VLOOKUP($R31+1,'강화코어 수치, 재료'!$A$1:$B$32,2,FALSE)</f>
        <v>4.7878266666666667</v>
      </c>
      <c r="AO31" s="13">
        <f t="shared" si="7"/>
        <v>6.3609060961377237E-2</v>
      </c>
      <c r="AP31" s="13">
        <f>AO31/'강화코어 수치, 재료'!$O28*100</f>
        <v>3.8550946037198323E-2</v>
      </c>
      <c r="AQ31" s="13"/>
      <c r="AR31" s="13" t="str">
        <f t="shared" si="8"/>
        <v>25&gt;26</v>
      </c>
      <c r="AS31" s="13">
        <f>(2*$E$22+2*$E$28+$E$34+$E$40)/6*VLOOKUP($R31+1,'강화코어 수치, 재료'!$A$1:$B$32,2,FALSE)</f>
        <v>4.2670933333333325</v>
      </c>
      <c r="AT31" s="13">
        <f t="shared" si="9"/>
        <v>5.6690815867996562E-2</v>
      </c>
      <c r="AU31" s="40">
        <f>AT31/'강화코어 수치, 재료'!$O28*100</f>
        <v>3.4358070223028218E-2</v>
      </c>
    </row>
    <row r="32" spans="1:47" x14ac:dyDescent="0.3">
      <c r="A32" s="8" t="s">
        <v>90</v>
      </c>
      <c r="B32" s="1"/>
      <c r="C32" s="1"/>
      <c r="D32" s="10" t="s">
        <v>91</v>
      </c>
      <c r="E32" s="1"/>
      <c r="F32" s="1"/>
      <c r="G32" s="1"/>
      <c r="H32" s="1"/>
      <c r="I32" s="1"/>
      <c r="J32" s="1"/>
      <c r="K32" s="1"/>
      <c r="L32" s="1"/>
      <c r="M32" s="2"/>
      <c r="R32">
        <v>26</v>
      </c>
      <c r="S32" s="39" t="str">
        <f t="shared" si="0"/>
        <v>26&gt;27</v>
      </c>
      <c r="T32" s="13">
        <f>($I$34+$I$40)/6/$I$9*(500+6*($R32+1))+($J$34+$J$40)/6/$J$9*(((2400+80*($R32+1)))*8*3 + (3600+120*($R32+1))*14*7)*VLOOKUP($R32+1,'강화코어 수치, 재료'!$D$1:$E$32,2,FALSE)</f>
        <v>12.247454761227552</v>
      </c>
      <c r="U32" s="13">
        <f t="shared" si="10"/>
        <v>0.31014216851704779</v>
      </c>
      <c r="V32" s="13">
        <f>U32/'강화코어 수치, 재료'!I29*100</f>
        <v>0.13484442109436859</v>
      </c>
      <c r="W32" s="13"/>
      <c r="X32" s="13" t="str">
        <f t="shared" si="1"/>
        <v>26&gt;27</v>
      </c>
      <c r="Y32" s="13">
        <f t="shared" si="2"/>
        <v>30.669641185647428</v>
      </c>
      <c r="Z32" s="13">
        <f t="shared" si="11"/>
        <v>0.78834526006126582</v>
      </c>
      <c r="AA32" s="13">
        <f>Z32/'강화코어 수치, 재료'!L29*100</f>
        <v>0.68551761744457895</v>
      </c>
      <c r="AB32" s="13"/>
      <c r="AC32" s="13" t="str">
        <f t="shared" si="3"/>
        <v>26&gt;27</v>
      </c>
      <c r="AD32" s="13">
        <f>(2*$D$22+2*$D$28+$D$34+$D$40)/6*VLOOKUP($R32+1,'강화코어 수치, 재료'!$A$1:$B$32,2,FALSE)</f>
        <v>7.9600499999999998</v>
      </c>
      <c r="AE32" s="13">
        <f t="shared" si="12"/>
        <v>0.10503447807659839</v>
      </c>
      <c r="AF32" s="13">
        <f>AE32/'강화코어 수치, 재료'!$O29*100</f>
        <v>6.071357114254243E-2</v>
      </c>
      <c r="AG32" s="13"/>
      <c r="AH32" s="13" t="str">
        <f t="shared" si="4"/>
        <v>26&gt;27</v>
      </c>
      <c r="AI32" s="13">
        <f>(2*$H$22+2*$H$28+$H$34+$H$40)/6*VLOOKUP($R32+1,'강화코어 수치, 재료'!$A$1:$B$32,2,FALSE)</f>
        <v>4.2242899999999999</v>
      </c>
      <c r="AJ32" s="13">
        <f t="shared" si="5"/>
        <v>5.574036537386081E-2</v>
      </c>
      <c r="AK32" s="13">
        <f>AJ32/'강화코어 수치, 재료'!$O29*100</f>
        <v>3.2219864377954224E-2</v>
      </c>
      <c r="AL32" s="13"/>
      <c r="AM32" s="13" t="str">
        <f t="shared" si="6"/>
        <v>26&gt;27</v>
      </c>
      <c r="AN32" s="13">
        <f>(2*$F$22+2*$F$28+$F$34+$F$40)/6*VLOOKUP($R32+1,'강화코어 수치, 재료'!$A$1:$B$32,2,FALSE)</f>
        <v>4.8206200000000008</v>
      </c>
      <c r="AO32" s="13">
        <f t="shared" si="7"/>
        <v>6.3609060961378958E-2</v>
      </c>
      <c r="AP32" s="13">
        <f>AO32/'강화코어 수치, 재료'!$O29*100</f>
        <v>3.6768243330276854E-2</v>
      </c>
      <c r="AQ32" s="13"/>
      <c r="AR32" s="13" t="str">
        <f t="shared" si="8"/>
        <v>26&gt;27</v>
      </c>
      <c r="AS32" s="13">
        <f>(2*$E$22+2*$E$28+$E$34+$E$40)/6*VLOOKUP($R32+1,'강화코어 수치, 재료'!$A$1:$B$32,2,FALSE)</f>
        <v>4.2963199999999997</v>
      </c>
      <c r="AT32" s="13">
        <f t="shared" si="9"/>
        <v>5.669081586799829E-2</v>
      </c>
      <c r="AU32" s="40">
        <f>AT32/'강화코어 수치, 재료'!$O29*100</f>
        <v>3.2769257727166642E-2</v>
      </c>
    </row>
    <row r="33" spans="1:47" x14ac:dyDescent="0.3">
      <c r="A33" s="3"/>
      <c r="B33" t="s">
        <v>13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11</v>
      </c>
      <c r="J33" t="s">
        <v>12</v>
      </c>
      <c r="M33" s="4" t="s">
        <v>10</v>
      </c>
      <c r="N33" s="29"/>
      <c r="R33">
        <v>27</v>
      </c>
      <c r="S33" s="39" t="str">
        <f t="shared" si="0"/>
        <v>27&gt;28</v>
      </c>
      <c r="T33" s="13">
        <f>($I$34+$I$40)/6/$I$9*(500+6*($R33+1))+($J$34+$J$40)/6/$J$9*(((2400+80*($R33+1)))*8*3 + (3600+120*($R33+1))*14*7)*VLOOKUP($R33+1,'강화코어 수치, 재료'!$D$1:$E$32,2,FALSE)</f>
        <v>12.407347005495671</v>
      </c>
      <c r="U33" s="13">
        <f t="shared" si="10"/>
        <v>0.3101421685170444</v>
      </c>
      <c r="V33" s="13">
        <f>U33/'강화코어 수치, 재료'!I30*100</f>
        <v>0.12922590354876851</v>
      </c>
      <c r="W33" s="13"/>
      <c r="X33" s="13" t="str">
        <f t="shared" si="1"/>
        <v>27&gt;28</v>
      </c>
      <c r="Y33" s="13">
        <f t="shared" si="2"/>
        <v>31.07606864274571</v>
      </c>
      <c r="Z33" s="13">
        <f t="shared" si="11"/>
        <v>0.78834526006125905</v>
      </c>
      <c r="AA33" s="13">
        <f>Z33/'강화코어 수치, 재료'!L30*100</f>
        <v>0.6569543833843825</v>
      </c>
      <c r="AB33" s="13"/>
      <c r="AC33" s="13" t="str">
        <f t="shared" si="3"/>
        <v>27&gt;28</v>
      </c>
      <c r="AD33" s="13">
        <f>(2*$D$22+2*$D$28+$D$34+$D$40)/6*VLOOKUP($R33+1,'강화코어 수치, 재료'!$A$1:$B$32,2,FALSE)</f>
        <v>8.0142000000000007</v>
      </c>
      <c r="AE33" s="13">
        <f t="shared" si="12"/>
        <v>0.1050344780766001</v>
      </c>
      <c r="AF33" s="13">
        <f>AE33/'강화코어 수치, 재료'!$O30*100</f>
        <v>5.8352487820333393E-2</v>
      </c>
      <c r="AG33" s="13"/>
      <c r="AH33" s="13" t="str">
        <f t="shared" si="4"/>
        <v>27&gt;28</v>
      </c>
      <c r="AI33" s="13">
        <f>(2*$H$22+2*$H$28+$H$34+$H$40)/6*VLOOKUP($R33+1,'강화코어 수치, 재료'!$A$1:$B$32,2,FALSE)</f>
        <v>4.2530266666666661</v>
      </c>
      <c r="AJ33" s="13">
        <f t="shared" si="5"/>
        <v>5.5740365373859097E-2</v>
      </c>
      <c r="AK33" s="13">
        <f>AJ33/'강화코어 수치, 재료'!$O30*100</f>
        <v>3.0966869652143941E-2</v>
      </c>
      <c r="AL33" s="13"/>
      <c r="AM33" s="13" t="str">
        <f t="shared" si="6"/>
        <v>27&gt;28</v>
      </c>
      <c r="AN33" s="13">
        <f>(2*$F$22+2*$F$28+$F$34+$F$40)/6*VLOOKUP($R33+1,'강화코어 수치, 재료'!$A$1:$B$32,2,FALSE)</f>
        <v>4.853413333333334</v>
      </c>
      <c r="AO33" s="13">
        <f t="shared" si="7"/>
        <v>6.3609060961377237E-2</v>
      </c>
      <c r="AP33" s="13">
        <f>AO33/'강화코어 수치, 재료'!$O30*100</f>
        <v>3.5338367200765129E-2</v>
      </c>
      <c r="AQ33" s="13"/>
      <c r="AR33" s="13" t="str">
        <f t="shared" si="8"/>
        <v>27&gt;28</v>
      </c>
      <c r="AS33" s="13">
        <f>(2*$E$22+2*$E$28+$E$34+$E$40)/6*VLOOKUP($R33+1,'강화코어 수치, 재료'!$A$1:$B$32,2,FALSE)</f>
        <v>4.325546666666666</v>
      </c>
      <c r="AT33" s="13">
        <f t="shared" si="9"/>
        <v>5.6690815867996562E-2</v>
      </c>
      <c r="AU33" s="40">
        <f>AT33/'강화코어 수치, 재료'!$O30*100</f>
        <v>3.1494897704442533E-2</v>
      </c>
    </row>
    <row r="34" spans="1:47" x14ac:dyDescent="0.3">
      <c r="A34" s="3" t="s">
        <v>7</v>
      </c>
      <c r="B34">
        <v>17.78</v>
      </c>
      <c r="C34">
        <v>6.73</v>
      </c>
      <c r="D34">
        <v>5.45</v>
      </c>
      <c r="E34">
        <v>2.86</v>
      </c>
      <c r="F34">
        <v>3</v>
      </c>
      <c r="G34">
        <v>1.5</v>
      </c>
      <c r="H34">
        <v>3.03</v>
      </c>
      <c r="I34">
        <v>15.56</v>
      </c>
      <c r="J34">
        <v>9.69</v>
      </c>
      <c r="M34" s="4">
        <f>SUM(B34:J34)</f>
        <v>65.600000000000009</v>
      </c>
      <c r="R34">
        <v>28</v>
      </c>
      <c r="S34" s="39" t="str">
        <f t="shared" si="0"/>
        <v>28&gt;29</v>
      </c>
      <c r="T34" s="13">
        <f>($I$34+$I$40)/6/$I$9*(500+6*($R34+1))+($J$34+$J$40)/6/$J$9*(((2400+80*($R34+1)))*8*3 + (3600+120*($R34+1))*14*7)*VLOOKUP($R34+1,'강화코어 수치, 재료'!$D$1:$E$32,2,FALSE)</f>
        <v>12.567239249763794</v>
      </c>
      <c r="U34" s="13">
        <f t="shared" si="10"/>
        <v>0.31014216851705129</v>
      </c>
      <c r="V34" s="13">
        <f>U34/'강화코어 수치, 재료'!I31*100</f>
        <v>0.12405686740682052</v>
      </c>
      <c r="W34" s="13"/>
      <c r="X34" s="13" t="str">
        <f t="shared" si="1"/>
        <v>28&gt;29</v>
      </c>
      <c r="Y34" s="13">
        <f t="shared" si="2"/>
        <v>31.482496099843996</v>
      </c>
      <c r="Z34" s="13">
        <f t="shared" si="11"/>
        <v>0.78834526006126582</v>
      </c>
      <c r="AA34" s="13">
        <f>Z34/'강화코어 수치, 재료'!L31*100</f>
        <v>0.63067620804901259</v>
      </c>
      <c r="AB34" s="13"/>
      <c r="AC34" s="13" t="str">
        <f t="shared" si="3"/>
        <v>28&gt;29</v>
      </c>
      <c r="AD34" s="13">
        <f>(2*$D$22+2*$D$28+$D$34+$D$40)/6*VLOOKUP($R34+1,'강화코어 수치, 재료'!$A$1:$B$32,2,FALSE)</f>
        <v>8.0683500000000006</v>
      </c>
      <c r="AE34" s="13">
        <f t="shared" si="12"/>
        <v>0.10503447807659839</v>
      </c>
      <c r="AF34" s="13">
        <f>AE34/'강화코어 수치, 재료'!$O31*100</f>
        <v>5.5869403232233189E-2</v>
      </c>
      <c r="AG34" s="13"/>
      <c r="AH34" s="13" t="str">
        <f t="shared" si="4"/>
        <v>28&gt;29</v>
      </c>
      <c r="AI34" s="13">
        <f>(2*$H$22+2*$H$28+$H$34+$H$40)/6*VLOOKUP($R34+1,'강화코어 수치, 재료'!$A$1:$B$32,2,FALSE)</f>
        <v>4.2817633333333331</v>
      </c>
      <c r="AJ34" s="13">
        <f t="shared" si="5"/>
        <v>5.574036537386081E-2</v>
      </c>
      <c r="AK34" s="13">
        <f>AJ34/'강화코어 수치, 재료'!$O31*100</f>
        <v>2.9649130518011071E-2</v>
      </c>
      <c r="AL34" s="13"/>
      <c r="AM34" s="13" t="str">
        <f t="shared" si="6"/>
        <v>28&gt;29</v>
      </c>
      <c r="AN34" s="13">
        <f>(2*$F$22+2*$F$28+$F$34+$F$40)/6*VLOOKUP($R34+1,'강화코어 수치, 재료'!$A$1:$B$32,2,FALSE)</f>
        <v>4.8862066666666673</v>
      </c>
      <c r="AO34" s="13">
        <f t="shared" si="7"/>
        <v>6.3609060961377237E-2</v>
      </c>
      <c r="AP34" s="13">
        <f>AO34/'강화코어 수치, 재료'!$O31*100</f>
        <v>3.3834606894349591E-2</v>
      </c>
      <c r="AQ34" s="13"/>
      <c r="AR34" s="13" t="str">
        <f t="shared" si="8"/>
        <v>28&gt;29</v>
      </c>
      <c r="AS34" s="13">
        <f>(2*$E$22+2*$E$28+$E$34+$E$40)/6*VLOOKUP($R34+1,'강화코어 수치, 재료'!$A$1:$B$32,2,FALSE)</f>
        <v>4.3547733333333332</v>
      </c>
      <c r="AT34" s="13">
        <f t="shared" si="9"/>
        <v>5.669081586799829E-2</v>
      </c>
      <c r="AU34" s="40">
        <f>AT34/'강화코어 수치, 재료'!$O31*100</f>
        <v>3.0154689291488453E-2</v>
      </c>
    </row>
    <row r="35" spans="1:47" x14ac:dyDescent="0.3">
      <c r="A35" s="3" t="s">
        <v>8</v>
      </c>
      <c r="B35">
        <f>B34/SUM($B$34:$J$34)*100</f>
        <v>27.103658536585364</v>
      </c>
      <c r="C35">
        <f t="shared" ref="C35:J35" si="17">C34/SUM($B$34:$J$34)*100</f>
        <v>10.259146341463413</v>
      </c>
      <c r="D35">
        <f t="shared" si="17"/>
        <v>8.3079268292682915</v>
      </c>
      <c r="E35">
        <f t="shared" si="17"/>
        <v>4.3597560975609744</v>
      </c>
      <c r="F35">
        <f t="shared" si="17"/>
        <v>4.5731707317073162</v>
      </c>
      <c r="G35">
        <f t="shared" si="17"/>
        <v>2.2865853658536581</v>
      </c>
      <c r="H35">
        <f t="shared" si="17"/>
        <v>4.6189024390243896</v>
      </c>
      <c r="I35">
        <f t="shared" si="17"/>
        <v>23.719512195121951</v>
      </c>
      <c r="J35">
        <f t="shared" si="17"/>
        <v>14.771341463414631</v>
      </c>
      <c r="M35" s="4">
        <f>SUM(B35:J35)</f>
        <v>99.999999999999986</v>
      </c>
      <c r="R35">
        <v>29</v>
      </c>
      <c r="S35" s="39" t="str">
        <f t="shared" si="0"/>
        <v>29&gt;30</v>
      </c>
      <c r="T35" s="13">
        <f>($I$34+$I$40)/6/$I$9*(500+6*($R35+1))+($J$34+$J$40)/6/$J$9*(((2400+80*($R35+1)))*8*3 + (3600+120*($R35+1))*14*7)*VLOOKUP($R35+1,'강화코어 수치, 재료'!$D$1:$E$32,2,FALSE)</f>
        <v>12.998843652840847</v>
      </c>
      <c r="U35" s="13">
        <f t="shared" si="10"/>
        <v>0.83718085342123905</v>
      </c>
      <c r="V35" s="13">
        <f>U35/'강화코어 수치, 재료'!I32*100</f>
        <v>0.16743617068424782</v>
      </c>
      <c r="W35" s="13"/>
      <c r="X35" s="13" t="str">
        <f t="shared" si="1"/>
        <v>29&gt;30</v>
      </c>
      <c r="Y35" s="13">
        <f t="shared" si="2"/>
        <v>31.888923556942281</v>
      </c>
      <c r="Z35" s="13">
        <f t="shared" si="11"/>
        <v>0.78834526006126582</v>
      </c>
      <c r="AA35" s="13">
        <f>Z35/'강화코어 수치, 재료'!L32*100</f>
        <v>0.31533810402450629</v>
      </c>
      <c r="AB35" s="13"/>
      <c r="AC35" s="13" t="str">
        <f t="shared" si="3"/>
        <v>29&gt;30</v>
      </c>
      <c r="AD35" s="13">
        <f>(2*$D$22+2*$D$28+$D$34+$D$40)/6*VLOOKUP($R35+1,'강화코어 수치, 재료'!$A$1:$B$32,2,FALSE)</f>
        <v>8.6639999999999997</v>
      </c>
      <c r="AE35" s="13">
        <f t="shared" si="12"/>
        <v>1.1553792588425822</v>
      </c>
      <c r="AF35" s="13">
        <f>AE35/'강화코어 수치, 재료'!$O32*100</f>
        <v>0.30810113569135522</v>
      </c>
      <c r="AG35" s="13"/>
      <c r="AH35" s="13" t="str">
        <f t="shared" si="4"/>
        <v>29&gt;30</v>
      </c>
      <c r="AI35" s="13">
        <f>(2*$H$22+2*$H$28+$H$34+$H$40)/6*VLOOKUP($R35+1,'강화코어 수치, 재료'!$A$1:$B$32,2,FALSE)</f>
        <v>4.5978666666666665</v>
      </c>
      <c r="AJ35" s="13">
        <f t="shared" si="5"/>
        <v>0.6131440191124603</v>
      </c>
      <c r="AK35" s="13">
        <f>AJ35/'강화코어 수치, 재료'!$O32*100</f>
        <v>0.16350507176332274</v>
      </c>
      <c r="AL35" s="13"/>
      <c r="AM35" s="13" t="str">
        <f t="shared" si="6"/>
        <v>29&gt;30</v>
      </c>
      <c r="AN35" s="13">
        <f>(2*$F$22+2*$F$28+$F$34+$F$40)/6*VLOOKUP($R35+1,'강화코어 수치, 재료'!$A$1:$B$32,2,FALSE)</f>
        <v>5.2469333333333346</v>
      </c>
      <c r="AO35" s="13">
        <f t="shared" si="7"/>
        <v>0.69969967057515303</v>
      </c>
      <c r="AP35" s="13">
        <f>AO35/'강화코어 수치, 재료'!$O32*100</f>
        <v>0.18658657882004082</v>
      </c>
      <c r="AQ35" s="13"/>
      <c r="AR35" s="13" t="str">
        <f t="shared" si="8"/>
        <v>29&gt;30</v>
      </c>
      <c r="AS35" s="13">
        <f>(2*$E$22+2*$E$28+$E$34+$E$40)/6*VLOOKUP($R35+1,'강화코어 수치, 재료'!$A$1:$B$32,2,FALSE)</f>
        <v>4.6762666666666659</v>
      </c>
      <c r="AT35" s="13">
        <f t="shared" si="9"/>
        <v>0.62359897454796909</v>
      </c>
      <c r="AU35" s="40">
        <f>AT35/'강화코어 수치, 재료'!$O32*100</f>
        <v>0.16629305987945842</v>
      </c>
    </row>
    <row r="36" spans="1:47" ht="17.25" thickBot="1" x14ac:dyDescent="0.35">
      <c r="A36" s="5" t="s">
        <v>9</v>
      </c>
      <c r="B36" s="6">
        <v>1036</v>
      </c>
      <c r="C36" s="6">
        <v>1182</v>
      </c>
      <c r="D36" s="6">
        <v>345</v>
      </c>
      <c r="E36" s="6">
        <v>218</v>
      </c>
      <c r="F36" s="6">
        <v>297</v>
      </c>
      <c r="G36" s="6">
        <v>84</v>
      </c>
      <c r="H36" s="6">
        <v>45</v>
      </c>
      <c r="I36" s="6">
        <v>837</v>
      </c>
      <c r="J36" s="6">
        <v>122</v>
      </c>
      <c r="K36" s="6"/>
      <c r="L36" s="6"/>
      <c r="M36" s="7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0"/>
    </row>
    <row r="37" spans="1:47" ht="17.25" thickBot="1" x14ac:dyDescent="0.35">
      <c r="S37" s="41" t="s">
        <v>46</v>
      </c>
      <c r="T37" s="42"/>
      <c r="U37" s="42">
        <f>SUM(U6:U35)</f>
        <v>18.152331324793874</v>
      </c>
      <c r="V37" s="42"/>
      <c r="W37" s="42"/>
      <c r="X37" s="42" t="s">
        <v>46</v>
      </c>
      <c r="Y37" s="42"/>
      <c r="Z37" s="42">
        <f>SUM(Z6:Z35)</f>
        <v>22.983296427939912</v>
      </c>
      <c r="AA37" s="6"/>
      <c r="AB37" s="42"/>
      <c r="AC37" s="42"/>
      <c r="AD37" s="42"/>
      <c r="AE37" s="42">
        <f>SUM(AE6:AE35)</f>
        <v>6.3020686845959153</v>
      </c>
      <c r="AF37" s="42"/>
      <c r="AG37" s="42"/>
      <c r="AH37" s="42"/>
      <c r="AI37" s="42"/>
      <c r="AJ37" s="42">
        <f>SUM(AJ6:AJ35)</f>
        <v>3.3444219224316014</v>
      </c>
      <c r="AK37" s="42"/>
      <c r="AL37" s="42"/>
      <c r="AM37" s="42"/>
      <c r="AN37" s="42"/>
      <c r="AO37" s="42">
        <f>SUM(AO6:AO35)</f>
        <v>3.816543657682649</v>
      </c>
      <c r="AP37" s="42"/>
      <c r="AQ37" s="42"/>
      <c r="AR37" s="42"/>
      <c r="AS37" s="42"/>
      <c r="AT37" s="42">
        <f>SUM(AT6:AT35)</f>
        <v>3.4014489520798366</v>
      </c>
      <c r="AU37" s="43"/>
    </row>
    <row r="38" spans="1:47" x14ac:dyDescent="0.3">
      <c r="A38" s="8" t="s">
        <v>89</v>
      </c>
      <c r="B38" s="1"/>
      <c r="C38" s="1"/>
      <c r="D38" s="10" t="s">
        <v>93</v>
      </c>
      <c r="E38" s="1"/>
      <c r="F38" s="1"/>
      <c r="G38" s="1"/>
      <c r="H38" s="1"/>
      <c r="I38" s="1"/>
      <c r="J38" s="1"/>
      <c r="K38" s="1"/>
      <c r="L38" s="1"/>
      <c r="M38" s="2"/>
    </row>
    <row r="39" spans="1:47" x14ac:dyDescent="0.3">
      <c r="A39" s="3"/>
      <c r="B39" t="s">
        <v>43</v>
      </c>
      <c r="C39" t="s">
        <v>80</v>
      </c>
      <c r="D39" t="s">
        <v>81</v>
      </c>
      <c r="E39" t="s">
        <v>44</v>
      </c>
      <c r="F39" t="s">
        <v>42</v>
      </c>
      <c r="G39" t="s">
        <v>82</v>
      </c>
      <c r="H39" t="s">
        <v>39</v>
      </c>
      <c r="I39" t="s">
        <v>83</v>
      </c>
      <c r="J39" t="s">
        <v>84</v>
      </c>
      <c r="M39" s="4" t="s">
        <v>85</v>
      </c>
    </row>
    <row r="40" spans="1:47" x14ac:dyDescent="0.3">
      <c r="A40" s="3" t="s">
        <v>86</v>
      </c>
      <c r="B40">
        <v>18.98</v>
      </c>
      <c r="C40">
        <v>6.36</v>
      </c>
      <c r="D40">
        <v>5.7</v>
      </c>
      <c r="E40">
        <v>2.57</v>
      </c>
      <c r="F40">
        <v>3.036</v>
      </c>
      <c r="G40">
        <v>1.63</v>
      </c>
      <c r="H40">
        <v>2.64</v>
      </c>
      <c r="I40">
        <v>14.17</v>
      </c>
      <c r="J40">
        <v>8.56</v>
      </c>
      <c r="M40" s="4">
        <f>SUM(B40:J40)</f>
        <v>63.646000000000008</v>
      </c>
    </row>
    <row r="41" spans="1:47" x14ac:dyDescent="0.3">
      <c r="A41" s="3" t="s">
        <v>87</v>
      </c>
      <c r="B41">
        <f t="shared" ref="B41:J41" si="18">B40/SUM($B$40:$J$40)*100</f>
        <v>29.821198504226498</v>
      </c>
      <c r="C41">
        <f t="shared" si="18"/>
        <v>9.9927725230179423</v>
      </c>
      <c r="D41">
        <f t="shared" si="18"/>
        <v>8.95578669515759</v>
      </c>
      <c r="E41">
        <f t="shared" si="18"/>
        <v>4.0379599660622816</v>
      </c>
      <c r="F41">
        <f t="shared" si="18"/>
        <v>4.7701348081576214</v>
      </c>
      <c r="G41">
        <f t="shared" si="18"/>
        <v>2.5610407566854154</v>
      </c>
      <c r="H41">
        <f t="shared" si="18"/>
        <v>4.1479433114414102</v>
      </c>
      <c r="I41">
        <f t="shared" si="18"/>
        <v>22.263771486032113</v>
      </c>
      <c r="J41">
        <f t="shared" si="18"/>
        <v>13.449391949219116</v>
      </c>
      <c r="M41" s="4">
        <f>SUM(B41:J41)</f>
        <v>100</v>
      </c>
    </row>
    <row r="42" spans="1:47" ht="17.25" thickBot="1" x14ac:dyDescent="0.35">
      <c r="A42" s="5" t="s">
        <v>88</v>
      </c>
      <c r="B42" s="6">
        <v>1043</v>
      </c>
      <c r="C42" s="6">
        <v>1114</v>
      </c>
      <c r="D42" s="6">
        <v>345</v>
      </c>
      <c r="E42" s="6">
        <v>223</v>
      </c>
      <c r="F42" s="6">
        <v>297</v>
      </c>
      <c r="G42" s="6">
        <v>84</v>
      </c>
      <c r="H42" s="6">
        <v>45</v>
      </c>
      <c r="I42" s="6">
        <v>736</v>
      </c>
      <c r="J42" s="6">
        <v>122</v>
      </c>
      <c r="K42" s="6"/>
      <c r="L42" s="6"/>
      <c r="M42" s="7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F69B-CECE-41D1-814F-BF30D50B1C66}">
  <dimension ref="B1:AG36"/>
  <sheetViews>
    <sheetView tabSelected="1" zoomScale="70" zoomScaleNormal="70" workbookViewId="0">
      <selection activeCell="O11" sqref="O11"/>
    </sheetView>
  </sheetViews>
  <sheetFormatPr defaultRowHeight="16.5" x14ac:dyDescent="0.3"/>
  <cols>
    <col min="3" max="3" width="15.25" customWidth="1"/>
    <col min="4" max="6" width="10.125" bestFit="1" customWidth="1"/>
    <col min="13" max="13" width="14.125" customWidth="1"/>
    <col min="14" max="16" width="9.75" bestFit="1" customWidth="1"/>
    <col min="17" max="18" width="9.125" bestFit="1" customWidth="1"/>
    <col min="19" max="19" width="15.625" bestFit="1" customWidth="1"/>
  </cols>
  <sheetData>
    <row r="1" spans="2:33" ht="18" thickBot="1" x14ac:dyDescent="0.35">
      <c r="B1" s="14"/>
      <c r="D1" s="14"/>
      <c r="G1" s="14"/>
      <c r="J1" s="14"/>
      <c r="M1" s="14"/>
      <c r="P1" s="14"/>
    </row>
    <row r="2" spans="2:33" ht="17.25" x14ac:dyDescent="0.3">
      <c r="C2" s="51" t="s">
        <v>78</v>
      </c>
      <c r="D2" s="52"/>
      <c r="E2" s="52"/>
      <c r="F2" s="52"/>
      <c r="G2" s="52"/>
      <c r="H2" s="52"/>
      <c r="I2" s="53"/>
      <c r="K2" s="48" t="s">
        <v>77</v>
      </c>
      <c r="L2" s="49"/>
      <c r="M2" s="49"/>
      <c r="N2" s="49"/>
      <c r="O2" s="49"/>
      <c r="P2" s="49"/>
      <c r="Q2" s="50"/>
      <c r="S2" s="51" t="s">
        <v>110</v>
      </c>
      <c r="T2" s="52"/>
      <c r="U2" s="52"/>
      <c r="V2" s="52"/>
      <c r="W2" s="52"/>
      <c r="X2" s="52"/>
      <c r="Y2" s="53"/>
      <c r="AA2" s="48" t="s">
        <v>109</v>
      </c>
      <c r="AB2" s="49"/>
      <c r="AC2" s="49"/>
      <c r="AD2" s="49"/>
      <c r="AE2" s="49"/>
      <c r="AF2" s="49"/>
      <c r="AG2" s="50"/>
    </row>
    <row r="3" spans="2:33" ht="17.25" x14ac:dyDescent="0.3">
      <c r="C3" s="24" t="s">
        <v>49</v>
      </c>
      <c r="D3" s="27" t="s">
        <v>28</v>
      </c>
      <c r="E3" s="27" t="s">
        <v>43</v>
      </c>
      <c r="F3" s="27" t="s">
        <v>40</v>
      </c>
      <c r="G3" s="27" t="s">
        <v>39</v>
      </c>
      <c r="H3" s="27" t="s">
        <v>42</v>
      </c>
      <c r="I3" s="28" t="s">
        <v>44</v>
      </c>
      <c r="K3" s="24" t="s">
        <v>50</v>
      </c>
      <c r="L3" s="27" t="s">
        <v>28</v>
      </c>
      <c r="M3" s="27" t="s">
        <v>43</v>
      </c>
      <c r="N3" s="27" t="s">
        <v>40</v>
      </c>
      <c r="O3" s="27" t="s">
        <v>39</v>
      </c>
      <c r="P3" s="27" t="s">
        <v>42</v>
      </c>
      <c r="Q3" s="28" t="s">
        <v>44</v>
      </c>
      <c r="S3" s="24" t="s">
        <v>49</v>
      </c>
      <c r="T3" s="27" t="s">
        <v>28</v>
      </c>
      <c r="U3" s="27" t="s">
        <v>43</v>
      </c>
      <c r="V3" s="27" t="s">
        <v>40</v>
      </c>
      <c r="W3" s="27" t="s">
        <v>39</v>
      </c>
      <c r="X3" s="27" t="s">
        <v>42</v>
      </c>
      <c r="Y3" s="28" t="s">
        <v>44</v>
      </c>
      <c r="AA3" s="24" t="s">
        <v>50</v>
      </c>
      <c r="AB3" s="27" t="s">
        <v>28</v>
      </c>
      <c r="AC3" s="27" t="s">
        <v>43</v>
      </c>
      <c r="AD3" s="27" t="s">
        <v>40</v>
      </c>
      <c r="AE3" s="27" t="s">
        <v>39</v>
      </c>
      <c r="AF3" s="27" t="s">
        <v>42</v>
      </c>
      <c r="AG3" s="28" t="s">
        <v>44</v>
      </c>
    </row>
    <row r="4" spans="2:33" ht="17.25" x14ac:dyDescent="0.3">
      <c r="C4" s="24" t="s">
        <v>35</v>
      </c>
      <c r="D4" s="15">
        <v>41.692695214105804</v>
      </c>
      <c r="E4" s="15">
        <v>6.2339622048357149E-2</v>
      </c>
      <c r="F4" s="15">
        <v>1.9986565910999172</v>
      </c>
      <c r="G4" s="15">
        <v>1.1083123425692696</v>
      </c>
      <c r="H4" s="15">
        <v>0.38790931989924488</v>
      </c>
      <c r="I4" s="16">
        <v>1.0122586062132666</v>
      </c>
      <c r="K4" s="24" t="s">
        <v>35</v>
      </c>
      <c r="L4" s="15" t="s">
        <v>18</v>
      </c>
      <c r="M4" s="15">
        <v>0.1246792440967143</v>
      </c>
      <c r="N4" s="15">
        <v>2.6648754547998896</v>
      </c>
      <c r="O4" s="15">
        <v>1.4777497900923595</v>
      </c>
      <c r="P4" s="15">
        <v>0.51721242653232657</v>
      </c>
      <c r="Q4" s="16">
        <v>1.3496781416176888</v>
      </c>
      <c r="S4" s="24" t="s">
        <v>35</v>
      </c>
      <c r="T4" s="15">
        <f>'2분(실측정)'!U6</f>
        <v>8.449634205872762</v>
      </c>
      <c r="U4" s="15">
        <f>'2분(실측정)'!Z6</f>
        <v>0.12128388616327007</v>
      </c>
      <c r="V4" s="15">
        <f>'2분(실측정)'!AE6</f>
        <v>1.1553792588425857</v>
      </c>
      <c r="W4" s="15">
        <f>'2분(실측정)'!AJ6</f>
        <v>0.6131440191124603</v>
      </c>
      <c r="X4" s="15">
        <f>'2분(실측정)'!AO6</f>
        <v>0.69969967057515214</v>
      </c>
      <c r="Y4" s="16">
        <f>'2분(실측정)'!AT6</f>
        <v>0.62359897454797086</v>
      </c>
      <c r="AA4" s="24" t="s">
        <v>35</v>
      </c>
      <c r="AB4" s="15" t="str">
        <f>'2분(실측정)'!V6</f>
        <v>-</v>
      </c>
      <c r="AC4" s="15">
        <f>'2분(실측정)'!AA6</f>
        <v>0.24256777232654014</v>
      </c>
      <c r="AD4" s="15">
        <f>'2분(실측정)'!AF6</f>
        <v>1.540505678456781</v>
      </c>
      <c r="AE4" s="15">
        <f>'2분(실측정)'!AK6</f>
        <v>0.81752535881661381</v>
      </c>
      <c r="AF4" s="15">
        <f>'2분(실측정)'!AP6</f>
        <v>0.93293289410020297</v>
      </c>
      <c r="AG4" s="16">
        <f>'2분(실측정)'!AU6</f>
        <v>0.83146529939729441</v>
      </c>
    </row>
    <row r="5" spans="2:33" ht="17.25" x14ac:dyDescent="0.3">
      <c r="C5" s="24" t="s">
        <v>36</v>
      </c>
      <c r="D5" s="15">
        <v>1.5730028424112104</v>
      </c>
      <c r="E5" s="15">
        <v>0.4052075433143289</v>
      </c>
      <c r="F5" s="15">
        <v>0.18169605373635611</v>
      </c>
      <c r="G5" s="15">
        <v>0.10075566750629805</v>
      </c>
      <c r="H5" s="15">
        <v>3.5264483627203871E-2</v>
      </c>
      <c r="I5" s="16">
        <v>9.2023509655751762E-2</v>
      </c>
      <c r="K5" s="24" t="s">
        <v>36</v>
      </c>
      <c r="L5" s="15">
        <v>5.2433428080373679</v>
      </c>
      <c r="M5" s="15">
        <v>2.7013836220955261</v>
      </c>
      <c r="N5" s="15">
        <v>0.78998284233198313</v>
      </c>
      <c r="O5" s="15">
        <v>0.43806811959260017</v>
      </c>
      <c r="P5" s="15">
        <v>0.15332384185740813</v>
      </c>
      <c r="Q5" s="16">
        <v>0.4001022158945729</v>
      </c>
      <c r="S5" s="24" t="s">
        <v>36</v>
      </c>
      <c r="T5" s="15">
        <f>'2분(실측정)'!U7</f>
        <v>0.3042861831292224</v>
      </c>
      <c r="U5" s="15">
        <f>'2분(실측정)'!Z7</f>
        <v>0.78834526006125905</v>
      </c>
      <c r="V5" s="15">
        <f>'2분(실측정)'!AE7</f>
        <v>0.10503447807659839</v>
      </c>
      <c r="W5" s="15">
        <f>'2분(실측정)'!AJ7</f>
        <v>5.574036537386081E-2</v>
      </c>
      <c r="X5" s="15">
        <f>'2분(실측정)'!AO7</f>
        <v>6.3609060961378097E-2</v>
      </c>
      <c r="Y5" s="16">
        <f>'2분(실측정)'!AT7</f>
        <v>5.6690815867997416E-2</v>
      </c>
      <c r="AA5" s="24" t="s">
        <v>36</v>
      </c>
      <c r="AB5" s="15">
        <f>'2분(실측정)'!V7</f>
        <v>1.0142872770974081</v>
      </c>
      <c r="AC5" s="15">
        <f>'2분(실측정)'!AA7</f>
        <v>5.25563506707506</v>
      </c>
      <c r="AD5" s="15">
        <f>'2분(실측정)'!AF7</f>
        <v>0.45667164381129738</v>
      </c>
      <c r="AE5" s="15">
        <f>'2분(실측정)'!AK7</f>
        <v>0.24234941466896007</v>
      </c>
      <c r="AF5" s="15">
        <f>'2분(실측정)'!AP7</f>
        <v>0.27656113461468734</v>
      </c>
      <c r="AG5" s="16">
        <f>'2분(실측정)'!AU7</f>
        <v>0.2464818081217279</v>
      </c>
    </row>
    <row r="6" spans="2:33" ht="17.25" x14ac:dyDescent="0.3">
      <c r="C6" s="24" t="s">
        <v>37</v>
      </c>
      <c r="D6" s="15">
        <v>1.5730028424112104</v>
      </c>
      <c r="E6" s="15">
        <v>0.40520754331432596</v>
      </c>
      <c r="F6" s="15">
        <v>0.18169605373635314</v>
      </c>
      <c r="G6" s="15">
        <v>0.10075566750629508</v>
      </c>
      <c r="H6" s="15">
        <v>3.5264483627203129E-2</v>
      </c>
      <c r="I6" s="16">
        <v>9.2023509655750277E-2</v>
      </c>
      <c r="K6" s="24" t="s">
        <v>37</v>
      </c>
      <c r="L6" s="15">
        <v>4.494293835460601</v>
      </c>
      <c r="M6" s="15">
        <v>2.2511530184129223</v>
      </c>
      <c r="N6" s="15">
        <v>0.67294834717167828</v>
      </c>
      <c r="O6" s="15">
        <v>0.37316913891220405</v>
      </c>
      <c r="P6" s="15">
        <v>0.13060919861927087</v>
      </c>
      <c r="Q6" s="16">
        <v>0.34082781353981584</v>
      </c>
      <c r="S6" s="24" t="s">
        <v>37</v>
      </c>
      <c r="T6" s="15">
        <f>'2분(실측정)'!U8</f>
        <v>0.3042861831292224</v>
      </c>
      <c r="U6" s="15">
        <f>'2분(실측정)'!Z8</f>
        <v>0.78834526006126582</v>
      </c>
      <c r="V6" s="15">
        <f>'2분(실측정)'!AE8</f>
        <v>0.10503447807659666</v>
      </c>
      <c r="W6" s="15">
        <f>'2분(실측정)'!AJ8</f>
        <v>5.5740365373858229E-2</v>
      </c>
      <c r="X6" s="15">
        <f>'2분(실측정)'!AO8</f>
        <v>6.3609060961375516E-2</v>
      </c>
      <c r="Y6" s="16">
        <f>'2분(실측정)'!AT8</f>
        <v>5.6690815867995695E-2</v>
      </c>
      <c r="AA6" s="24" t="s">
        <v>37</v>
      </c>
      <c r="AB6" s="15">
        <f>'2분(실측정)'!V8</f>
        <v>0.8693890946549212</v>
      </c>
      <c r="AC6" s="15">
        <f>'2분(실측정)'!AA8</f>
        <v>4.3796958892292546</v>
      </c>
      <c r="AD6" s="15">
        <f>'2분(실측정)'!AF8</f>
        <v>0.38901658546887652</v>
      </c>
      <c r="AE6" s="15">
        <f>'2분(실측정)'!AK8</f>
        <v>0.20644579768095642</v>
      </c>
      <c r="AF6" s="15">
        <f>'2분(실측정)'!AP8</f>
        <v>0.23558911467176116</v>
      </c>
      <c r="AG6" s="16">
        <f>'2분(실측정)'!AU8</f>
        <v>0.20996598469628036</v>
      </c>
    </row>
    <row r="7" spans="2:33" ht="17.25" x14ac:dyDescent="0.3">
      <c r="C7" s="24" t="s">
        <v>38</v>
      </c>
      <c r="D7" s="15">
        <v>1.5730028424111986</v>
      </c>
      <c r="E7" s="15">
        <v>0.40520754331432596</v>
      </c>
      <c r="F7" s="15">
        <v>0.18169605373635611</v>
      </c>
      <c r="G7" s="15">
        <v>0.10075566750629805</v>
      </c>
      <c r="H7" s="15">
        <v>3.5264483627203871E-2</v>
      </c>
      <c r="I7" s="16">
        <v>9.2023509655751762E-2</v>
      </c>
      <c r="K7" s="24" t="s">
        <v>38</v>
      </c>
      <c r="L7" s="15">
        <v>3.9325071060279964</v>
      </c>
      <c r="M7" s="15">
        <v>2.0260377165716297</v>
      </c>
      <c r="N7" s="15">
        <v>0.60565351245452037</v>
      </c>
      <c r="O7" s="15">
        <v>0.33585222502099349</v>
      </c>
      <c r="P7" s="15">
        <v>0.11754827875734625</v>
      </c>
      <c r="Q7" s="16">
        <v>0.30674503218583921</v>
      </c>
      <c r="S7" s="24" t="s">
        <v>38</v>
      </c>
      <c r="T7" s="15">
        <f>'2분(실측정)'!U9</f>
        <v>0.3042861831292224</v>
      </c>
      <c r="U7" s="15">
        <f>'2분(실측정)'!Z9</f>
        <v>0.78834526006126582</v>
      </c>
      <c r="V7" s="15">
        <f>'2분(실측정)'!AE9</f>
        <v>0.10503447807659839</v>
      </c>
      <c r="W7" s="15">
        <f>'2분(실측정)'!AJ9</f>
        <v>5.5740365373859957E-2</v>
      </c>
      <c r="X7" s="15">
        <f>'2분(실측정)'!AO9</f>
        <v>6.3609060961378097E-2</v>
      </c>
      <c r="Y7" s="16">
        <f>'2분(실측정)'!AT9</f>
        <v>5.6690815867997416E-2</v>
      </c>
      <c r="AA7" s="24" t="s">
        <v>38</v>
      </c>
      <c r="AB7" s="15">
        <f>'2분(실측정)'!V9</f>
        <v>0.76071545782305605</v>
      </c>
      <c r="AC7" s="15">
        <f>'2분(실측정)'!AA9</f>
        <v>3.9417263003063292</v>
      </c>
      <c r="AD7" s="15">
        <f>'2분(실측정)'!AF9</f>
        <v>0.35011492692199464</v>
      </c>
      <c r="AE7" s="15">
        <f>'2분(실측정)'!AK9</f>
        <v>0.18580121791286652</v>
      </c>
      <c r="AF7" s="15">
        <f>'2분(실측정)'!AP9</f>
        <v>0.21203020320459368</v>
      </c>
      <c r="AG7" s="16">
        <f>'2분(실측정)'!AU9</f>
        <v>0.18896938622665804</v>
      </c>
    </row>
    <row r="8" spans="2:33" ht="17.25" x14ac:dyDescent="0.3">
      <c r="C8" s="24" t="s">
        <v>51</v>
      </c>
      <c r="D8" s="15">
        <v>1.5730028424111986</v>
      </c>
      <c r="E8" s="15">
        <v>0.4052075433143289</v>
      </c>
      <c r="F8" s="15">
        <v>0.18169605373635611</v>
      </c>
      <c r="G8" s="15">
        <v>0.10075566750629658</v>
      </c>
      <c r="H8" s="15">
        <v>3.5264483627204621E-2</v>
      </c>
      <c r="I8" s="16">
        <v>9.2023509655750277E-2</v>
      </c>
      <c r="K8" s="24" t="s">
        <v>51</v>
      </c>
      <c r="L8" s="15">
        <v>3.4955618720248856</v>
      </c>
      <c r="M8" s="15">
        <v>1.7617719274536041</v>
      </c>
      <c r="N8" s="15">
        <v>0.53440015804810614</v>
      </c>
      <c r="O8" s="15">
        <v>0.29634019854793109</v>
      </c>
      <c r="P8" s="15">
        <v>0.1037190694917783</v>
      </c>
      <c r="Q8" s="16">
        <v>0.27065738134044198</v>
      </c>
      <c r="S8" s="24" t="s">
        <v>51</v>
      </c>
      <c r="T8" s="15">
        <f>'2분(실측정)'!U10</f>
        <v>0.3042861831292224</v>
      </c>
      <c r="U8" s="15">
        <f>'2분(실측정)'!Z10</f>
        <v>0.78834526006125905</v>
      </c>
      <c r="V8" s="15">
        <f>'2분(실측정)'!AE10</f>
        <v>0.10503447807659839</v>
      </c>
      <c r="W8" s="15">
        <f>'2분(실측정)'!AJ10</f>
        <v>5.5740365373859957E-2</v>
      </c>
      <c r="X8" s="15">
        <f>'2분(실측정)'!AO10</f>
        <v>6.3609060961377237E-2</v>
      </c>
      <c r="Y8" s="16">
        <f>'2분(실측정)'!AT10</f>
        <v>5.6690815867997416E-2</v>
      </c>
      <c r="AA8" s="24" t="s">
        <v>51</v>
      </c>
      <c r="AB8" s="15">
        <f>'2분(실측정)'!V10</f>
        <v>0.6761915180649386</v>
      </c>
      <c r="AC8" s="15">
        <f>'2분(실측정)'!AA10</f>
        <v>3.427588087222865</v>
      </c>
      <c r="AD8" s="15">
        <f>'2분(실측정)'!AF10</f>
        <v>0.30892493551940703</v>
      </c>
      <c r="AE8" s="15">
        <f>'2분(실측정)'!AK10</f>
        <v>0.1639422510995881</v>
      </c>
      <c r="AF8" s="15">
        <f>'2분(실측정)'!AP10</f>
        <v>0.18708547341581541</v>
      </c>
      <c r="AG8" s="16">
        <f>'2분(실측정)'!AU10</f>
        <v>0.16673769372940417</v>
      </c>
    </row>
    <row r="9" spans="2:33" ht="17.25" x14ac:dyDescent="0.3">
      <c r="C9" s="24" t="s">
        <v>52</v>
      </c>
      <c r="D9" s="15">
        <v>1.5730028424112104</v>
      </c>
      <c r="E9" s="15">
        <v>0.40520754331432596</v>
      </c>
      <c r="F9" s="15">
        <v>0.18169605373635611</v>
      </c>
      <c r="G9" s="15">
        <v>0.10075566750629658</v>
      </c>
      <c r="H9" s="15">
        <v>3.5264483627203871E-2</v>
      </c>
      <c r="I9" s="16">
        <v>9.2023509655751762E-2</v>
      </c>
      <c r="K9" s="24" t="s">
        <v>52</v>
      </c>
      <c r="L9" s="15">
        <v>3.1460056848224207</v>
      </c>
      <c r="M9" s="15">
        <v>1.6208301732573038</v>
      </c>
      <c r="N9" s="15">
        <v>0.47814750983251608</v>
      </c>
      <c r="O9" s="15">
        <v>0.26514649343762259</v>
      </c>
      <c r="P9" s="15">
        <v>9.2801272703168083E-2</v>
      </c>
      <c r="Q9" s="16">
        <v>0.24216713067303094</v>
      </c>
      <c r="S9" s="24" t="s">
        <v>52</v>
      </c>
      <c r="T9" s="15">
        <f>'2분(실측정)'!U11</f>
        <v>0.3042861831292224</v>
      </c>
      <c r="U9" s="15">
        <f>'2분(실측정)'!Z11</f>
        <v>0.78834526006126582</v>
      </c>
      <c r="V9" s="15">
        <f>'2분(실측정)'!AE11</f>
        <v>0.10503447807659839</v>
      </c>
      <c r="W9" s="15">
        <f>'2분(실측정)'!AJ11</f>
        <v>5.574036537386081E-2</v>
      </c>
      <c r="X9" s="15">
        <f>'2분(실측정)'!AO11</f>
        <v>6.3609060961377237E-2</v>
      </c>
      <c r="Y9" s="16">
        <f>'2분(실측정)'!AT11</f>
        <v>5.6690815867997416E-2</v>
      </c>
      <c r="AA9" s="24" t="s">
        <v>52</v>
      </c>
      <c r="AB9" s="15">
        <f>'2분(실측정)'!V11</f>
        <v>0.6085723662584448</v>
      </c>
      <c r="AC9" s="15">
        <f>'2분(실측정)'!AA11</f>
        <v>3.1533810402450633</v>
      </c>
      <c r="AD9" s="15">
        <f>'2분(실측정)'!AF11</f>
        <v>0.27640652125420628</v>
      </c>
      <c r="AE9" s="15">
        <f>'2분(실측정)'!AK11</f>
        <v>0.14668517203647582</v>
      </c>
      <c r="AF9" s="15">
        <f>'2분(실측정)'!AP11</f>
        <v>0.16739226568783483</v>
      </c>
      <c r="AG9" s="16">
        <f>'2분(실측정)'!AU11</f>
        <v>0.14918635754736162</v>
      </c>
    </row>
    <row r="10" spans="2:33" ht="17.25" x14ac:dyDescent="0.3">
      <c r="C10" s="24" t="s">
        <v>53</v>
      </c>
      <c r="D10" s="15">
        <v>1.5730028424111986</v>
      </c>
      <c r="E10" s="15">
        <v>0.40520754331432596</v>
      </c>
      <c r="F10" s="15">
        <v>0.18169605373635611</v>
      </c>
      <c r="G10" s="15">
        <v>0.10075566750629805</v>
      </c>
      <c r="H10" s="15">
        <v>3.5264483627203871E-2</v>
      </c>
      <c r="I10" s="16">
        <v>9.2023509655751762E-2</v>
      </c>
      <c r="K10" s="24" t="s">
        <v>53</v>
      </c>
      <c r="L10" s="15">
        <v>2.8600051680203609</v>
      </c>
      <c r="M10" s="15">
        <v>1.4471697975511641</v>
      </c>
      <c r="N10" s="15">
        <v>0.43260965175322885</v>
      </c>
      <c r="O10" s="15">
        <v>0.23989444644356681</v>
      </c>
      <c r="P10" s="15">
        <v>8.3963056255247304E-2</v>
      </c>
      <c r="Q10" s="16">
        <v>0.21910359441845656</v>
      </c>
      <c r="S10" s="24" t="s">
        <v>53</v>
      </c>
      <c r="T10" s="15">
        <f>'2분(실측정)'!U12</f>
        <v>0.3042861831292224</v>
      </c>
      <c r="U10" s="15">
        <f>'2분(실측정)'!Z12</f>
        <v>0.78834526006125905</v>
      </c>
      <c r="V10" s="15">
        <f>'2분(실측정)'!AE12</f>
        <v>0.10503447807659839</v>
      </c>
      <c r="W10" s="15">
        <f>'2분(실측정)'!AJ12</f>
        <v>5.5740365373859957E-2</v>
      </c>
      <c r="X10" s="15">
        <f>'2분(실측정)'!AO12</f>
        <v>6.3609060961378097E-2</v>
      </c>
      <c r="Y10" s="16">
        <f>'2분(실측정)'!AT12</f>
        <v>5.6690815867997416E-2</v>
      </c>
      <c r="AA10" s="24" t="s">
        <v>53</v>
      </c>
      <c r="AB10" s="15">
        <f>'2분(실측정)'!V12</f>
        <v>0.55324760568949527</v>
      </c>
      <c r="AC10" s="15">
        <f>'2분(실측정)'!AA12</f>
        <v>2.8155187859330679</v>
      </c>
      <c r="AD10" s="15">
        <f>'2분(실측정)'!AF12</f>
        <v>0.25008209065856762</v>
      </c>
      <c r="AE10" s="15">
        <f>'2분(실측정)'!AK12</f>
        <v>0.13271515565204753</v>
      </c>
      <c r="AF10" s="15">
        <f>'2분(실측정)'!AP12</f>
        <v>0.1514501451461383</v>
      </c>
      <c r="AG10" s="16">
        <f>'2분(실측정)'!AU12</f>
        <v>0.13497813301904146</v>
      </c>
    </row>
    <row r="11" spans="2:33" ht="17.25" x14ac:dyDescent="0.3">
      <c r="C11" s="24" t="s">
        <v>54</v>
      </c>
      <c r="D11" s="15">
        <v>1.5730028424111986</v>
      </c>
      <c r="E11" s="15">
        <v>0.4052075433143289</v>
      </c>
      <c r="F11" s="15">
        <v>0.18169605373635611</v>
      </c>
      <c r="G11" s="15">
        <v>0.10075566750629805</v>
      </c>
      <c r="H11" s="15">
        <v>3.5264483627203871E-2</v>
      </c>
      <c r="I11" s="16">
        <v>9.2023509655751762E-2</v>
      </c>
      <c r="K11" s="24" t="s">
        <v>54</v>
      </c>
      <c r="L11" s="15">
        <v>2.6216714040186644</v>
      </c>
      <c r="M11" s="15">
        <v>1.350691811047763</v>
      </c>
      <c r="N11" s="15">
        <v>0.4037690083030136</v>
      </c>
      <c r="O11" s="15">
        <v>0.22390148334732901</v>
      </c>
      <c r="P11" s="15">
        <v>7.836551917156416E-2</v>
      </c>
      <c r="Q11" s="16">
        <v>0.20449668812389282</v>
      </c>
      <c r="S11" s="24" t="s">
        <v>54</v>
      </c>
      <c r="T11" s="15">
        <f>'2분(실측정)'!U13</f>
        <v>0.3042861831292224</v>
      </c>
      <c r="U11" s="15">
        <f>'2분(실측정)'!Z13</f>
        <v>0.78834526006126582</v>
      </c>
      <c r="V11" s="15">
        <f>'2분(실측정)'!AE13</f>
        <v>0.10503447807659839</v>
      </c>
      <c r="W11" s="15">
        <f>'2분(실측정)'!AJ13</f>
        <v>5.5740365373859957E-2</v>
      </c>
      <c r="X11" s="15">
        <f>'2분(실측정)'!AO13</f>
        <v>6.3609060961377237E-2</v>
      </c>
      <c r="Y11" s="16">
        <f>'2분(실측정)'!AT13</f>
        <v>5.6690815867997416E-2</v>
      </c>
      <c r="AA11" s="24" t="s">
        <v>54</v>
      </c>
      <c r="AB11" s="15">
        <f>'2분(실측정)'!V13</f>
        <v>0.50714363854870403</v>
      </c>
      <c r="AC11" s="15">
        <f>'2분(실측정)'!AA13</f>
        <v>2.6278175335375527</v>
      </c>
      <c r="AD11" s="15">
        <f>'2분(실측정)'!AF13</f>
        <v>0.23340995128132974</v>
      </c>
      <c r="AE11" s="15">
        <f>'2분(실측정)'!AK13</f>
        <v>0.12386747860857769</v>
      </c>
      <c r="AF11" s="15">
        <f>'2분(실측정)'!AP13</f>
        <v>0.14135346880306052</v>
      </c>
      <c r="AG11" s="16">
        <f>'2분(실측정)'!AU13</f>
        <v>0.12597959081777202</v>
      </c>
    </row>
    <row r="12" spans="2:33" ht="17.25" x14ac:dyDescent="0.3">
      <c r="C12" s="24" t="s">
        <v>55</v>
      </c>
      <c r="D12" s="15">
        <v>1.5730028424112104</v>
      </c>
      <c r="E12" s="15">
        <v>0.40520754331432596</v>
      </c>
      <c r="F12" s="15">
        <v>0.18169605373635611</v>
      </c>
      <c r="G12" s="15">
        <v>0.10075566750629658</v>
      </c>
      <c r="H12" s="15">
        <v>3.5264483627204621E-2</v>
      </c>
      <c r="I12" s="16">
        <v>9.2023509655751762E-2</v>
      </c>
      <c r="K12" s="24" t="s">
        <v>55</v>
      </c>
      <c r="L12" s="15">
        <v>2.4200043729403236</v>
      </c>
      <c r="M12" s="15">
        <v>1.2279016464070485</v>
      </c>
      <c r="N12" s="15">
        <v>0.370808272931339</v>
      </c>
      <c r="O12" s="15">
        <v>0.20562381123733997</v>
      </c>
      <c r="P12" s="15">
        <v>7.1968333933070658E-2</v>
      </c>
      <c r="Q12" s="16">
        <v>0.18780308093010564</v>
      </c>
      <c r="S12" s="24" t="s">
        <v>55</v>
      </c>
      <c r="T12" s="15">
        <f>'2분(실측정)'!U14</f>
        <v>0.3042861831292224</v>
      </c>
      <c r="U12" s="15">
        <f>'2분(실측정)'!Z14</f>
        <v>0.78834526006126582</v>
      </c>
      <c r="V12" s="15">
        <f>'2분(실측정)'!AE14</f>
        <v>0.10503447807659839</v>
      </c>
      <c r="W12" s="15">
        <f>'2분(실측정)'!AJ14</f>
        <v>5.5740365373859957E-2</v>
      </c>
      <c r="X12" s="15">
        <f>'2분(실측정)'!AO14</f>
        <v>6.3609060961377237E-2</v>
      </c>
      <c r="Y12" s="16">
        <f>'2분(실측정)'!AT14</f>
        <v>5.6690815867997416E-2</v>
      </c>
      <c r="AA12" s="24" t="s">
        <v>55</v>
      </c>
      <c r="AB12" s="15">
        <f>'2분(실측정)'!V14</f>
        <v>0.46813258942957298</v>
      </c>
      <c r="AC12" s="15">
        <f>'2분(실측정)'!AA14</f>
        <v>2.3889250304886844</v>
      </c>
      <c r="AD12" s="15">
        <f>'2분(실측정)'!AF14</f>
        <v>0.21435607770734366</v>
      </c>
      <c r="AE12" s="15">
        <f>'2분(실측정)'!AK14</f>
        <v>0.11375584770175501</v>
      </c>
      <c r="AF12" s="15">
        <f>'2분(실측정)'!AP14</f>
        <v>0.12981441012525965</v>
      </c>
      <c r="AG12" s="16">
        <f>'2분(실측정)'!AU14</f>
        <v>0.11569554258774983</v>
      </c>
    </row>
    <row r="13" spans="2:33" ht="17.25" x14ac:dyDescent="0.3">
      <c r="C13" s="24" t="s">
        <v>56</v>
      </c>
      <c r="D13" s="15">
        <v>1.5730028424111986</v>
      </c>
      <c r="E13" s="15">
        <v>0.40520754331432596</v>
      </c>
      <c r="F13" s="15">
        <v>1.0901763224181367</v>
      </c>
      <c r="G13" s="15">
        <v>0.60453400503778387</v>
      </c>
      <c r="H13" s="15">
        <v>0.21158690176322398</v>
      </c>
      <c r="I13" s="16">
        <v>0.55214105793450907</v>
      </c>
      <c r="K13" s="24" t="s">
        <v>56</v>
      </c>
      <c r="L13" s="15">
        <v>0.78650142120559929</v>
      </c>
      <c r="M13" s="15">
        <v>0.40520754331432596</v>
      </c>
      <c r="N13" s="15">
        <v>0.72678421494542444</v>
      </c>
      <c r="O13" s="15">
        <v>0.40302267002518927</v>
      </c>
      <c r="P13" s="15">
        <v>0.14105793450881599</v>
      </c>
      <c r="Q13" s="16">
        <v>0.36809403862300605</v>
      </c>
      <c r="S13" s="24" t="s">
        <v>56</v>
      </c>
      <c r="T13" s="15">
        <f>'2분(실측정)'!U15</f>
        <v>0.3042861831292224</v>
      </c>
      <c r="U13" s="15">
        <f>'2분(실측정)'!Z15</f>
        <v>0.78834526006125905</v>
      </c>
      <c r="V13" s="15">
        <f>'2분(실측정)'!AE15</f>
        <v>0.63020686845959206</v>
      </c>
      <c r="W13" s="15">
        <f>'2분(실측정)'!AJ15</f>
        <v>0.33444219224316057</v>
      </c>
      <c r="X13" s="15">
        <f>'2분(실측정)'!AO15</f>
        <v>0.38165436576826511</v>
      </c>
      <c r="Y13" s="16">
        <f>'2분(실측정)'!AT15</f>
        <v>0.34014489520798369</v>
      </c>
      <c r="AA13" s="24" t="s">
        <v>56</v>
      </c>
      <c r="AB13" s="15">
        <f>'2분(실측정)'!V15</f>
        <v>0.1521430915646112</v>
      </c>
      <c r="AC13" s="15">
        <f>'2분(실측정)'!AA15</f>
        <v>0.78834526006125905</v>
      </c>
      <c r="AD13" s="15">
        <f>'2분(실측정)'!AF15</f>
        <v>0.42013791230639469</v>
      </c>
      <c r="AE13" s="15">
        <f>'2분(실측정)'!AK15</f>
        <v>0.22296146149544038</v>
      </c>
      <c r="AF13" s="15">
        <f>'2분(실측정)'!AP15</f>
        <v>0.25443624384551011</v>
      </c>
      <c r="AG13" s="16">
        <f>'2분(실측정)'!AU15</f>
        <v>0.22676326347198911</v>
      </c>
    </row>
    <row r="14" spans="2:33" ht="17.25" x14ac:dyDescent="0.3">
      <c r="C14" s="24" t="s">
        <v>57</v>
      </c>
      <c r="D14" s="15">
        <v>1.5730028424111986</v>
      </c>
      <c r="E14" s="15">
        <v>0.4052075433143289</v>
      </c>
      <c r="F14" s="15">
        <v>0.18169605373635611</v>
      </c>
      <c r="G14" s="15">
        <v>0.10075566750629805</v>
      </c>
      <c r="H14" s="15">
        <v>3.5264483627204621E-2</v>
      </c>
      <c r="I14" s="16">
        <v>9.2023509655751762E-2</v>
      </c>
      <c r="K14" s="24" t="s">
        <v>57</v>
      </c>
      <c r="L14" s="15">
        <v>1.9662535530139982</v>
      </c>
      <c r="M14" s="15">
        <v>1.0130188582858222</v>
      </c>
      <c r="N14" s="15">
        <v>0.30282675622726019</v>
      </c>
      <c r="O14" s="15">
        <v>0.16792611251049674</v>
      </c>
      <c r="P14" s="15">
        <v>5.8774139378674366E-2</v>
      </c>
      <c r="Q14" s="16">
        <v>0.1533725160929196</v>
      </c>
      <c r="S14" s="24" t="s">
        <v>57</v>
      </c>
      <c r="T14" s="15">
        <f>'2분(실측정)'!U16</f>
        <v>0.3042861831292224</v>
      </c>
      <c r="U14" s="15">
        <f>'2분(실측정)'!Z16</f>
        <v>0.78834526006126582</v>
      </c>
      <c r="V14" s="15">
        <f>'2분(실측정)'!AE16</f>
        <v>0.10503447807659839</v>
      </c>
      <c r="W14" s="15">
        <f>'2분(실측정)'!AJ16</f>
        <v>5.5740365373859957E-2</v>
      </c>
      <c r="X14" s="15">
        <f>'2분(실측정)'!AO16</f>
        <v>6.3609060961377237E-2</v>
      </c>
      <c r="Y14" s="16">
        <f>'2분(실측정)'!AT16</f>
        <v>5.6690815867997416E-2</v>
      </c>
      <c r="AA14" s="24" t="s">
        <v>57</v>
      </c>
      <c r="AB14" s="15">
        <f>'2분(실측정)'!V16</f>
        <v>0.38035772891152803</v>
      </c>
      <c r="AC14" s="15">
        <f>'2분(실측정)'!AA16</f>
        <v>1.9708631501531646</v>
      </c>
      <c r="AD14" s="15">
        <f>'2분(실측정)'!AF16</f>
        <v>0.17505746346099732</v>
      </c>
      <c r="AE14" s="15">
        <f>'2분(실측정)'!AK16</f>
        <v>9.2900608956433262E-2</v>
      </c>
      <c r="AF14" s="15">
        <f>'2분(실측정)'!AP16</f>
        <v>0.10601510160229538</v>
      </c>
      <c r="AG14" s="16">
        <f>'2분(실측정)'!AU16</f>
        <v>9.4484693113329021E-2</v>
      </c>
    </row>
    <row r="15" spans="2:33" ht="17.25" x14ac:dyDescent="0.3">
      <c r="C15" s="24" t="s">
        <v>58</v>
      </c>
      <c r="D15" s="15">
        <v>1.5730028424112104</v>
      </c>
      <c r="E15" s="15">
        <v>0.40520754331432596</v>
      </c>
      <c r="F15" s="15">
        <v>0.18169605373635611</v>
      </c>
      <c r="G15" s="15">
        <v>0.10075566750629658</v>
      </c>
      <c r="H15" s="15">
        <v>3.5264483627203871E-2</v>
      </c>
      <c r="I15" s="16">
        <v>9.2023509655751762E-2</v>
      </c>
      <c r="K15" s="24" t="s">
        <v>58</v>
      </c>
      <c r="L15" s="15">
        <v>1.7477809360124559</v>
      </c>
      <c r="M15" s="15">
        <v>0.90046120736516877</v>
      </c>
      <c r="N15" s="15">
        <v>0.26720007902405307</v>
      </c>
      <c r="O15" s="15">
        <v>0.14817009927396554</v>
      </c>
      <c r="P15" s="15">
        <v>5.1859534745888045E-2</v>
      </c>
      <c r="Q15" s="16">
        <v>0.13532869067022318</v>
      </c>
      <c r="S15" s="24" t="s">
        <v>58</v>
      </c>
      <c r="T15" s="15">
        <f>'2분(실측정)'!U17</f>
        <v>0.3042861831292224</v>
      </c>
      <c r="U15" s="15">
        <f>'2분(실측정)'!Z17</f>
        <v>0.78834526006126582</v>
      </c>
      <c r="V15" s="15">
        <f>'2분(실측정)'!AE17</f>
        <v>0.1050344780766001</v>
      </c>
      <c r="W15" s="15">
        <f>'2분(실측정)'!AJ17</f>
        <v>5.5740365373859957E-2</v>
      </c>
      <c r="X15" s="15">
        <f>'2분(실측정)'!AO17</f>
        <v>6.3609060961377237E-2</v>
      </c>
      <c r="Y15" s="16">
        <f>'2분(실측정)'!AT17</f>
        <v>5.6690815867997416E-2</v>
      </c>
      <c r="AA15" s="24" t="s">
        <v>58</v>
      </c>
      <c r="AB15" s="15">
        <f>'2분(실측정)'!V17</f>
        <v>0.3380957590324693</v>
      </c>
      <c r="AC15" s="15">
        <f>'2분(실측정)'!AA17</f>
        <v>1.7518783556917019</v>
      </c>
      <c r="AD15" s="15">
        <f>'2분(실측정)'!AF17</f>
        <v>0.15446246775970604</v>
      </c>
      <c r="AE15" s="15">
        <f>'2분(실측정)'!AK17</f>
        <v>8.1971125549794049E-2</v>
      </c>
      <c r="AF15" s="15">
        <f>'2분(실측정)'!AP17</f>
        <v>9.3542736707907706E-2</v>
      </c>
      <c r="AG15" s="16">
        <f>'2분(실측정)'!AU17</f>
        <v>8.3368846864702084E-2</v>
      </c>
    </row>
    <row r="16" spans="2:33" ht="17.25" x14ac:dyDescent="0.3">
      <c r="C16" s="24" t="s">
        <v>59</v>
      </c>
      <c r="D16" s="15">
        <v>1.5730028424112104</v>
      </c>
      <c r="E16" s="15">
        <v>0.40520754331432596</v>
      </c>
      <c r="F16" s="15">
        <v>0.18169605373635611</v>
      </c>
      <c r="G16" s="15">
        <v>0.10075566750629658</v>
      </c>
      <c r="H16" s="15">
        <v>3.5264483627203871E-2</v>
      </c>
      <c r="I16" s="16">
        <v>9.2023509655751762E-2</v>
      </c>
      <c r="K16" s="24" t="s">
        <v>59</v>
      </c>
      <c r="L16" s="15">
        <v>1.5730028424112104</v>
      </c>
      <c r="M16" s="15">
        <v>0.81041508662865192</v>
      </c>
      <c r="N16" s="15">
        <v>0.24226140498180815</v>
      </c>
      <c r="O16" s="15">
        <v>0.13434089000839544</v>
      </c>
      <c r="P16" s="15">
        <v>4.7019311502938491E-2</v>
      </c>
      <c r="Q16" s="16">
        <v>0.12269801287433568</v>
      </c>
      <c r="S16" s="24" t="s">
        <v>59</v>
      </c>
      <c r="T16" s="15">
        <f>'2분(실측정)'!U18</f>
        <v>0.3042861831292224</v>
      </c>
      <c r="U16" s="15">
        <f>'2분(실측정)'!Z18</f>
        <v>0.78834526006125905</v>
      </c>
      <c r="V16" s="15">
        <f>'2분(실측정)'!AE18</f>
        <v>0.10503447807659839</v>
      </c>
      <c r="W16" s="15">
        <f>'2분(실측정)'!AJ18</f>
        <v>5.5740365373859957E-2</v>
      </c>
      <c r="X16" s="15">
        <f>'2분(실측정)'!AO18</f>
        <v>6.3609060961377237E-2</v>
      </c>
      <c r="Y16" s="16">
        <f>'2분(실측정)'!AT18</f>
        <v>5.6690815867997416E-2</v>
      </c>
      <c r="AA16" s="24" t="s">
        <v>59</v>
      </c>
      <c r="AB16" s="15">
        <f>'2분(실측정)'!V18</f>
        <v>0.3042861831292224</v>
      </c>
      <c r="AC16" s="15">
        <f>'2분(실측정)'!AA18</f>
        <v>1.5766905201225181</v>
      </c>
      <c r="AD16" s="15">
        <f>'2분(실측정)'!AF18</f>
        <v>0.14004597076879788</v>
      </c>
      <c r="AE16" s="15">
        <f>'2분(실측정)'!AK18</f>
        <v>7.4320487165146609E-2</v>
      </c>
      <c r="AF16" s="15">
        <f>'2분(실측정)'!AP18</f>
        <v>8.4812081281836316E-2</v>
      </c>
      <c r="AG16" s="16">
        <f>'2분(실측정)'!AU18</f>
        <v>7.5587754490663225E-2</v>
      </c>
    </row>
    <row r="17" spans="3:33" ht="17.25" x14ac:dyDescent="0.3">
      <c r="C17" s="24" t="s">
        <v>60</v>
      </c>
      <c r="D17" s="15">
        <v>1.5730028424111868</v>
      </c>
      <c r="E17" s="15">
        <v>0.4052075433143289</v>
      </c>
      <c r="F17" s="15">
        <v>0.18169605373635611</v>
      </c>
      <c r="G17" s="15">
        <v>0.10075566750629805</v>
      </c>
      <c r="H17" s="15">
        <v>3.5264483627203871E-2</v>
      </c>
      <c r="I17" s="16">
        <v>9.2023509655750277E-2</v>
      </c>
      <c r="K17" s="24" t="s">
        <v>60</v>
      </c>
      <c r="L17" s="15">
        <v>1.43000258401017</v>
      </c>
      <c r="M17" s="15">
        <v>0.73674098784423436</v>
      </c>
      <c r="N17" s="15">
        <v>0.21891090811609168</v>
      </c>
      <c r="O17" s="15">
        <v>0.12139237048951572</v>
      </c>
      <c r="P17" s="15">
        <v>4.2487329671329961E-2</v>
      </c>
      <c r="Q17" s="16">
        <v>0.11087169838042202</v>
      </c>
      <c r="S17" s="24" t="s">
        <v>60</v>
      </c>
      <c r="T17" s="15">
        <f>'2분(실측정)'!U19</f>
        <v>0.3042861831292224</v>
      </c>
      <c r="U17" s="15">
        <f>'2분(실측정)'!Z19</f>
        <v>0.78834526006126582</v>
      </c>
      <c r="V17" s="15">
        <f>'2분(실측정)'!AE19</f>
        <v>0.10503447807659839</v>
      </c>
      <c r="W17" s="15">
        <f>'2분(실측정)'!AJ19</f>
        <v>5.5740365373859957E-2</v>
      </c>
      <c r="X17" s="15">
        <f>'2분(실측정)'!AO19</f>
        <v>6.3609060961378958E-2</v>
      </c>
      <c r="Y17" s="16">
        <f>'2분(실측정)'!AT19</f>
        <v>5.6690815867997416E-2</v>
      </c>
      <c r="AA17" s="24" t="s">
        <v>60</v>
      </c>
      <c r="AB17" s="15">
        <f>'2분(실측정)'!V19</f>
        <v>0.27662380284474763</v>
      </c>
      <c r="AC17" s="15">
        <f>'2분(실측정)'!AA19</f>
        <v>1.4333550182932107</v>
      </c>
      <c r="AD17" s="15">
        <f>'2분(실측정)'!AF19</f>
        <v>0.12654756394770891</v>
      </c>
      <c r="AE17" s="15">
        <f>'2분(실측정)'!AK19</f>
        <v>6.7157066715493929E-2</v>
      </c>
      <c r="AF17" s="15">
        <f>'2분(실측정)'!AP19</f>
        <v>7.6637422845034886E-2</v>
      </c>
      <c r="AG17" s="16">
        <f>'2분(실측정)'!AU19</f>
        <v>6.8302187792767963E-2</v>
      </c>
    </row>
    <row r="18" spans="3:33" ht="17.25" x14ac:dyDescent="0.3">
      <c r="C18" s="24" t="s">
        <v>61</v>
      </c>
      <c r="D18" s="15">
        <v>1.5730028424112104</v>
      </c>
      <c r="E18" s="15">
        <v>0.40520754331432596</v>
      </c>
      <c r="F18" s="15">
        <v>0.18169605373635611</v>
      </c>
      <c r="G18" s="15">
        <v>0.10075566750629805</v>
      </c>
      <c r="H18" s="15">
        <v>3.5264483627204621E-2</v>
      </c>
      <c r="I18" s="16">
        <v>9.2023509655751762E-2</v>
      </c>
      <c r="K18" s="24" t="s">
        <v>61</v>
      </c>
      <c r="L18" s="15">
        <v>1.310835702009342</v>
      </c>
      <c r="M18" s="15">
        <v>0.67534590552387652</v>
      </c>
      <c r="N18" s="15">
        <v>0.2018845041515068</v>
      </c>
      <c r="O18" s="15">
        <v>0.11195074167366451</v>
      </c>
      <c r="P18" s="15">
        <v>3.9182759585782913E-2</v>
      </c>
      <c r="Q18" s="16">
        <v>0.10224834406194641</v>
      </c>
      <c r="S18" s="24" t="s">
        <v>61</v>
      </c>
      <c r="T18" s="15">
        <f>'2분(실측정)'!U20</f>
        <v>0.3042861831292224</v>
      </c>
      <c r="U18" s="15">
        <f>'2분(실측정)'!Z20</f>
        <v>0.78834526006125905</v>
      </c>
      <c r="V18" s="15">
        <f>'2분(실측정)'!AE20</f>
        <v>0.10503447807659839</v>
      </c>
      <c r="W18" s="15">
        <f>'2분(실측정)'!AJ20</f>
        <v>5.5740365373859957E-2</v>
      </c>
      <c r="X18" s="15">
        <f>'2분(실측정)'!AO20</f>
        <v>6.3609060961377237E-2</v>
      </c>
      <c r="Y18" s="16">
        <f>'2분(실측정)'!AT20</f>
        <v>5.6690815867996562E-2</v>
      </c>
      <c r="AA18" s="24" t="s">
        <v>61</v>
      </c>
      <c r="AB18" s="15">
        <f>'2분(실측정)'!V20</f>
        <v>0.25357181927435202</v>
      </c>
      <c r="AC18" s="15">
        <f>'2분(실측정)'!AA20</f>
        <v>1.313908766768765</v>
      </c>
      <c r="AD18" s="15">
        <f>'2분(실측정)'!AF20</f>
        <v>0.11670497564066487</v>
      </c>
      <c r="AE18" s="15">
        <f>'2분(실측정)'!AK20</f>
        <v>6.1933739304288846E-2</v>
      </c>
      <c r="AF18" s="15">
        <f>'2분(실측정)'!AP20</f>
        <v>7.0676734401530258E-2</v>
      </c>
      <c r="AG18" s="16">
        <f>'2분(실측정)'!AU20</f>
        <v>6.2989795408885066E-2</v>
      </c>
    </row>
    <row r="19" spans="3:33" ht="17.25" x14ac:dyDescent="0.3">
      <c r="C19" s="24" t="s">
        <v>62</v>
      </c>
      <c r="D19" s="15">
        <v>1.5730028424111986</v>
      </c>
      <c r="E19" s="15">
        <v>0.40520754331432596</v>
      </c>
      <c r="F19" s="15">
        <v>0.18169605373635611</v>
      </c>
      <c r="G19" s="15">
        <v>0.10075566750629658</v>
      </c>
      <c r="H19" s="15">
        <v>3.5264483627203871E-2</v>
      </c>
      <c r="I19" s="16">
        <v>9.2023509655751762E-2</v>
      </c>
      <c r="K19" s="24" t="s">
        <v>62</v>
      </c>
      <c r="L19" s="15">
        <v>1.2100021864701529</v>
      </c>
      <c r="M19" s="15">
        <v>0.62339622048357834</v>
      </c>
      <c r="N19" s="15">
        <v>0.1854041364656695</v>
      </c>
      <c r="O19" s="15">
        <v>0.10281190561866999</v>
      </c>
      <c r="P19" s="15">
        <v>3.5984166966534566E-2</v>
      </c>
      <c r="Q19" s="16">
        <v>9.3901540465052821E-2</v>
      </c>
      <c r="S19" s="24" t="s">
        <v>62</v>
      </c>
      <c r="T19" s="15">
        <f>'2분(실측정)'!U21</f>
        <v>0.3042861831292224</v>
      </c>
      <c r="U19" s="15">
        <f>'2분(실측정)'!Z21</f>
        <v>0.78834526006126582</v>
      </c>
      <c r="V19" s="15">
        <f>'2분(실측정)'!AE21</f>
        <v>0.10503447807659839</v>
      </c>
      <c r="W19" s="15">
        <f>'2분(실측정)'!AJ21</f>
        <v>5.574036537386081E-2</v>
      </c>
      <c r="X19" s="15">
        <f>'2분(실측정)'!AO21</f>
        <v>6.3609060961377237E-2</v>
      </c>
      <c r="Y19" s="16">
        <f>'2분(실측정)'!AT21</f>
        <v>5.6690815867997416E-2</v>
      </c>
      <c r="AA19" s="24" t="s">
        <v>62</v>
      </c>
      <c r="AB19" s="15">
        <f>'2분(실측정)'!V21</f>
        <v>0.23406629471478649</v>
      </c>
      <c r="AC19" s="15">
        <f>'2분(실측정)'!AA21</f>
        <v>1.2128388616327166</v>
      </c>
      <c r="AD19" s="15">
        <f>'2분(실측정)'!AF21</f>
        <v>0.10717803885367183</v>
      </c>
      <c r="AE19" s="15">
        <f>'2분(실측정)'!AK21</f>
        <v>5.6877923850878372E-2</v>
      </c>
      <c r="AF19" s="15">
        <f>'2분(실측정)'!AP21</f>
        <v>6.4907205062629827E-2</v>
      </c>
      <c r="AG19" s="16">
        <f>'2분(실측정)'!AU21</f>
        <v>5.7847771293874917E-2</v>
      </c>
    </row>
    <row r="20" spans="3:33" ht="17.25" x14ac:dyDescent="0.3">
      <c r="C20" s="24" t="s">
        <v>63</v>
      </c>
      <c r="D20" s="15">
        <v>1.5730028424111986</v>
      </c>
      <c r="E20" s="15">
        <v>0.4052075433143289</v>
      </c>
      <c r="F20" s="15">
        <v>0.18169605373635611</v>
      </c>
      <c r="G20" s="15">
        <v>0.10075566750629658</v>
      </c>
      <c r="H20" s="15">
        <v>3.5264483627203871E-2</v>
      </c>
      <c r="I20" s="16">
        <v>9.2023509655751762E-2</v>
      </c>
      <c r="K20" s="24" t="s">
        <v>63</v>
      </c>
      <c r="L20" s="15">
        <v>1.1235734588651418</v>
      </c>
      <c r="M20" s="15">
        <v>0.57886791902046986</v>
      </c>
      <c r="N20" s="15">
        <v>0.17304386070129155</v>
      </c>
      <c r="O20" s="15">
        <v>9.5957778577425309E-2</v>
      </c>
      <c r="P20" s="15">
        <v>3.3585222502098923E-2</v>
      </c>
      <c r="Q20" s="16">
        <v>8.7641437767382632E-2</v>
      </c>
      <c r="S20" s="24" t="s">
        <v>63</v>
      </c>
      <c r="T20" s="15">
        <f>'2분(실측정)'!U22</f>
        <v>0.3042861831292224</v>
      </c>
      <c r="U20" s="15">
        <f>'2분(실측정)'!Z22</f>
        <v>0.78834526006126582</v>
      </c>
      <c r="V20" s="15">
        <f>'2분(실측정)'!AE22</f>
        <v>0.10503447807659839</v>
      </c>
      <c r="W20" s="15">
        <f>'2분(실측정)'!AJ22</f>
        <v>5.5740365373859957E-2</v>
      </c>
      <c r="X20" s="15">
        <f>'2분(실측정)'!AO22</f>
        <v>6.3609060961377237E-2</v>
      </c>
      <c r="Y20" s="16">
        <f>'2분(실측정)'!AT22</f>
        <v>5.6690815867997416E-2</v>
      </c>
      <c r="AA20" s="24" t="s">
        <v>63</v>
      </c>
      <c r="AB20" s="15">
        <f>'2분(실측정)'!V22</f>
        <v>0.2173472736637303</v>
      </c>
      <c r="AC20" s="15">
        <f>'2분(실측정)'!AA22</f>
        <v>1.1262075143732369</v>
      </c>
      <c r="AD20" s="15">
        <f>'2분(실측정)'!AF22</f>
        <v>0.10003283626342704</v>
      </c>
      <c r="AE20" s="15">
        <f>'2분(실측정)'!AK22</f>
        <v>5.3086062260819002E-2</v>
      </c>
      <c r="AF20" s="15">
        <f>'2분(실측정)'!AP22</f>
        <v>6.0580058058454518E-2</v>
      </c>
      <c r="AG20" s="16">
        <f>'2분(실측정)'!AU22</f>
        <v>5.399125320761658E-2</v>
      </c>
    </row>
    <row r="21" spans="3:33" ht="17.25" x14ac:dyDescent="0.3">
      <c r="C21" s="24" t="s">
        <v>64</v>
      </c>
      <c r="D21" s="15">
        <v>1.5730028424112104</v>
      </c>
      <c r="E21" s="15">
        <v>0.4052075433143289</v>
      </c>
      <c r="F21" s="15">
        <v>0.18169605373635611</v>
      </c>
      <c r="G21" s="15">
        <v>0.10075566750629805</v>
      </c>
      <c r="H21" s="15">
        <v>3.5264483627203871E-2</v>
      </c>
      <c r="I21" s="16">
        <v>9.2023509655751762E-2</v>
      </c>
      <c r="K21" s="24" t="s">
        <v>64</v>
      </c>
      <c r="L21" s="15">
        <v>1.0486685616074736</v>
      </c>
      <c r="M21" s="15">
        <v>0.54027672441910524</v>
      </c>
      <c r="N21" s="15">
        <v>0.16079296790827974</v>
      </c>
      <c r="O21" s="15">
        <v>8.9164307527697384E-2</v>
      </c>
      <c r="P21" s="15">
        <v>3.1207507634693689E-2</v>
      </c>
      <c r="Q21" s="16">
        <v>8.1436734208629888E-2</v>
      </c>
      <c r="S21" s="24" t="s">
        <v>64</v>
      </c>
      <c r="T21" s="15">
        <f>'2분(실측정)'!U23</f>
        <v>0.3042861831292224</v>
      </c>
      <c r="U21" s="15">
        <f>'2분(실측정)'!Z23</f>
        <v>0.78834526006125905</v>
      </c>
      <c r="V21" s="15">
        <f>'2분(실측정)'!AE23</f>
        <v>0.10503447807659839</v>
      </c>
      <c r="W21" s="15">
        <f>'2분(실측정)'!AJ23</f>
        <v>5.5740365373859957E-2</v>
      </c>
      <c r="X21" s="15">
        <f>'2분(실측정)'!AO23</f>
        <v>6.3609060961377237E-2</v>
      </c>
      <c r="Y21" s="16">
        <f>'2분(실측정)'!AT23</f>
        <v>5.6690815867997416E-2</v>
      </c>
      <c r="AA21" s="24" t="s">
        <v>64</v>
      </c>
      <c r="AB21" s="15">
        <f>'2분(실측정)'!V23</f>
        <v>0.20285745541948158</v>
      </c>
      <c r="AC21" s="15">
        <f>'2분(실측정)'!AA23</f>
        <v>1.0511270134150121</v>
      </c>
      <c r="AD21" s="15">
        <f>'2분(실측정)'!AF23</f>
        <v>9.2950865554511847E-2</v>
      </c>
      <c r="AE21" s="15">
        <f>'2분(실측정)'!AK23</f>
        <v>4.9327756968017659E-2</v>
      </c>
      <c r="AF21" s="15">
        <f>'2분(실측정)'!AP23</f>
        <v>5.6291204390599328E-2</v>
      </c>
      <c r="AG21" s="16">
        <f>'2분(실측정)'!AU23</f>
        <v>5.0168863599997712E-2</v>
      </c>
    </row>
    <row r="22" spans="3:33" ht="17.25" x14ac:dyDescent="0.3">
      <c r="C22" s="24" t="s">
        <v>65</v>
      </c>
      <c r="D22" s="15">
        <v>1.5730028424111986</v>
      </c>
      <c r="E22" s="15">
        <v>0.40520754331432596</v>
      </c>
      <c r="F22" s="15">
        <v>0.18169605373635611</v>
      </c>
      <c r="G22" s="15">
        <v>0.10075566750629805</v>
      </c>
      <c r="H22" s="15">
        <v>3.5264483627204621E-2</v>
      </c>
      <c r="I22" s="16">
        <v>9.2023509655751762E-2</v>
      </c>
      <c r="K22" s="24" t="s">
        <v>65</v>
      </c>
      <c r="L22" s="15">
        <v>0.98312677650699909</v>
      </c>
      <c r="M22" s="15">
        <v>0.50650942914290742</v>
      </c>
      <c r="N22" s="15">
        <v>0.15141337811363009</v>
      </c>
      <c r="O22" s="15">
        <v>8.3963056255248372E-2</v>
      </c>
      <c r="P22" s="15">
        <v>2.9387069689337183E-2</v>
      </c>
      <c r="Q22" s="16">
        <v>7.6686258046459801E-2</v>
      </c>
      <c r="S22" s="24" t="s">
        <v>65</v>
      </c>
      <c r="T22" s="15">
        <f>'2분(실측정)'!U24</f>
        <v>0.3042861831292224</v>
      </c>
      <c r="U22" s="15">
        <f>'2분(실측정)'!Z24</f>
        <v>0.78834526006126582</v>
      </c>
      <c r="V22" s="15">
        <f>'2분(실측정)'!AE24</f>
        <v>0.1050344780766001</v>
      </c>
      <c r="W22" s="15">
        <f>'2분(실측정)'!AJ24</f>
        <v>5.5740365373859957E-2</v>
      </c>
      <c r="X22" s="15">
        <f>'2분(실측정)'!AO24</f>
        <v>6.3609060961377237E-2</v>
      </c>
      <c r="Y22" s="16">
        <f>'2분(실측정)'!AT24</f>
        <v>5.6690815867997416E-2</v>
      </c>
      <c r="AA22" s="24" t="s">
        <v>65</v>
      </c>
      <c r="AB22" s="15">
        <f>'2분(실측정)'!V24</f>
        <v>0.19017886445576401</v>
      </c>
      <c r="AC22" s="15">
        <f>'2분(실측정)'!AA24</f>
        <v>0.9854315750765823</v>
      </c>
      <c r="AD22" s="15">
        <f>'2분(실측정)'!AF24</f>
        <v>8.7528731730500089E-2</v>
      </c>
      <c r="AE22" s="15">
        <f>'2분(실측정)'!AK24</f>
        <v>4.6450304478216631E-2</v>
      </c>
      <c r="AF22" s="15">
        <f>'2분(실측정)'!AP24</f>
        <v>5.300755080114769E-2</v>
      </c>
      <c r="AG22" s="16">
        <f>'2분(실측정)'!AU24</f>
        <v>4.7242346556664511E-2</v>
      </c>
    </row>
    <row r="23" spans="3:33" ht="17.25" x14ac:dyDescent="0.3">
      <c r="C23" s="24" t="s">
        <v>66</v>
      </c>
      <c r="D23" s="15">
        <v>3.1597587640984504</v>
      </c>
      <c r="E23" s="15">
        <v>0.40520754331432596</v>
      </c>
      <c r="F23" s="15">
        <v>1.0901763224181338</v>
      </c>
      <c r="G23" s="15">
        <v>0.60453400503777932</v>
      </c>
      <c r="H23" s="15">
        <v>0.21158690176322323</v>
      </c>
      <c r="I23" s="16">
        <v>0.55214105793450619</v>
      </c>
      <c r="K23" s="24" t="s">
        <v>66</v>
      </c>
      <c r="L23" s="15">
        <v>0.90278821831384293</v>
      </c>
      <c r="M23" s="15">
        <v>0.23154716760818628</v>
      </c>
      <c r="N23" s="15">
        <v>0.41451571194605846</v>
      </c>
      <c r="O23" s="15">
        <v>0.22986083841740659</v>
      </c>
      <c r="P23" s="15">
        <v>8.0451293446092489E-2</v>
      </c>
      <c r="Q23" s="16">
        <v>0.20993956575456507</v>
      </c>
      <c r="S23" s="24" t="s">
        <v>66</v>
      </c>
      <c r="T23" s="15">
        <f>'2분(실측정)'!U25</f>
        <v>0.59708545252043821</v>
      </c>
      <c r="U23" s="15">
        <f>'2분(실측정)'!Z25</f>
        <v>0.78834526006125905</v>
      </c>
      <c r="V23" s="15">
        <f>'2분(실측정)'!AE25</f>
        <v>0.63020686845958862</v>
      </c>
      <c r="W23" s="15">
        <f>'2분(실측정)'!AJ25</f>
        <v>0.33444219224315974</v>
      </c>
      <c r="X23" s="15">
        <f>'2분(실측정)'!AO25</f>
        <v>0.38165436576826339</v>
      </c>
      <c r="Y23" s="16">
        <f>'2분(실측정)'!AT25</f>
        <v>0.34014489520798369</v>
      </c>
      <c r="AA23" s="24" t="s">
        <v>66</v>
      </c>
      <c r="AB23" s="15">
        <f>'2분(실측정)'!V25</f>
        <v>0.17059584357726806</v>
      </c>
      <c r="AC23" s="15">
        <f>'2분(실측정)'!AA25</f>
        <v>0.45048300574929084</v>
      </c>
      <c r="AD23" s="15">
        <f>'2분(실측정)'!AF25</f>
        <v>0.23962238344471051</v>
      </c>
      <c r="AE23" s="15">
        <f>'2분(실측정)'!AK25</f>
        <v>0.12716433165139154</v>
      </c>
      <c r="AF23" s="15">
        <f>'2분(실측정)'!AP25</f>
        <v>0.14511572842899748</v>
      </c>
      <c r="AG23" s="16">
        <f>'2분(실측정)'!AU25</f>
        <v>0.12933265977489874</v>
      </c>
    </row>
    <row r="24" spans="3:33" ht="17.25" x14ac:dyDescent="0.3">
      <c r="C24" s="24" t="s">
        <v>67</v>
      </c>
      <c r="D24" s="15">
        <v>1.604737960844957</v>
      </c>
      <c r="E24" s="15">
        <v>0.40520754331432596</v>
      </c>
      <c r="F24" s="15">
        <v>0.18169605373635611</v>
      </c>
      <c r="G24" s="15">
        <v>0.10075566750629805</v>
      </c>
      <c r="H24" s="15">
        <v>3.5264483627203871E-2</v>
      </c>
      <c r="I24" s="16">
        <v>9.2023509655751762E-2</v>
      </c>
      <c r="K24" s="24" t="s">
        <v>67</v>
      </c>
      <c r="L24" s="15">
        <v>0.94396350637938642</v>
      </c>
      <c r="M24" s="15">
        <v>0.47671475684038345</v>
      </c>
      <c r="N24" s="15">
        <v>0.14195004198152822</v>
      </c>
      <c r="O24" s="15">
        <v>7.8715365239295357E-2</v>
      </c>
      <c r="P24" s="15">
        <v>2.7550377833753026E-2</v>
      </c>
      <c r="Q24" s="16">
        <v>7.1893366918556065E-2</v>
      </c>
      <c r="S24" s="24" t="s">
        <v>67</v>
      </c>
      <c r="T24" s="15">
        <f>'2분(실측정)'!U26</f>
        <v>0.31014216851704779</v>
      </c>
      <c r="U24" s="15">
        <f>'2분(실측정)'!Z26</f>
        <v>0.78834526006126582</v>
      </c>
      <c r="V24" s="15">
        <f>'2분(실측정)'!AE26</f>
        <v>0.10503447807659839</v>
      </c>
      <c r="W24" s="15">
        <f>'2분(실측정)'!AJ26</f>
        <v>5.5740365373859097E-2</v>
      </c>
      <c r="X24" s="15">
        <f>'2분(실측정)'!AO26</f>
        <v>6.3609060961378958E-2</v>
      </c>
      <c r="Y24" s="16">
        <f>'2분(실측정)'!AT26</f>
        <v>5.6690815867996562E-2</v>
      </c>
      <c r="AA24" s="24" t="s">
        <v>67</v>
      </c>
      <c r="AB24" s="15">
        <f>'2분(실측정)'!V26</f>
        <v>0.18243656971591046</v>
      </c>
      <c r="AC24" s="15">
        <f>'2분(실측정)'!AA26</f>
        <v>0.92746501183678332</v>
      </c>
      <c r="AD24" s="15">
        <f>'2분(실측정)'!AF26</f>
        <v>8.2058185997342492E-2</v>
      </c>
      <c r="AE24" s="15">
        <f>'2분(실측정)'!AK26</f>
        <v>4.3547160448327418E-2</v>
      </c>
      <c r="AF24" s="15">
        <f>'2분(실측정)'!AP26</f>
        <v>4.9694578876077311E-2</v>
      </c>
      <c r="AG24" s="16">
        <f>'2분(실측정)'!AU26</f>
        <v>4.4289699896872314E-2</v>
      </c>
    </row>
    <row r="25" spans="3:33" ht="17.25" x14ac:dyDescent="0.3">
      <c r="C25" s="24" t="s">
        <v>68</v>
      </c>
      <c r="D25" s="15">
        <v>1.604737960844957</v>
      </c>
      <c r="E25" s="15">
        <v>0.40520754331432596</v>
      </c>
      <c r="F25" s="15">
        <v>0.18169605373635611</v>
      </c>
      <c r="G25" s="15">
        <v>0.10075566750629805</v>
      </c>
      <c r="H25" s="15">
        <v>3.5264483627203871E-2</v>
      </c>
      <c r="I25" s="16">
        <v>9.2023509655751762E-2</v>
      </c>
      <c r="K25" s="24" t="s">
        <v>68</v>
      </c>
      <c r="L25" s="15">
        <v>0.89152108935830943</v>
      </c>
      <c r="M25" s="15">
        <v>0.45023060368258438</v>
      </c>
      <c r="N25" s="15">
        <v>0.13458966943433787</v>
      </c>
      <c r="O25" s="15">
        <v>7.4633827782442999E-2</v>
      </c>
      <c r="P25" s="15">
        <v>2.612183972385472E-2</v>
      </c>
      <c r="Q25" s="16">
        <v>6.816556270796427E-2</v>
      </c>
      <c r="S25" s="24" t="s">
        <v>68</v>
      </c>
      <c r="T25" s="15">
        <f>'2분(실측정)'!U27</f>
        <v>0.31014216851704779</v>
      </c>
      <c r="U25" s="15">
        <f>'2분(실측정)'!Z27</f>
        <v>0.78834526006126582</v>
      </c>
      <c r="V25" s="15">
        <f>'2분(실측정)'!AE27</f>
        <v>0.10503447807659839</v>
      </c>
      <c r="W25" s="15">
        <f>'2분(실측정)'!AJ27</f>
        <v>5.574036537386081E-2</v>
      </c>
      <c r="X25" s="15">
        <f>'2분(실측정)'!AO27</f>
        <v>6.3609060961377237E-2</v>
      </c>
      <c r="Y25" s="16">
        <f>'2분(실측정)'!AT27</f>
        <v>5.6690815867996562E-2</v>
      </c>
      <c r="AA25" s="24" t="s">
        <v>68</v>
      </c>
      <c r="AB25" s="15">
        <f>'2분(실측정)'!V27</f>
        <v>0.17230120473169322</v>
      </c>
      <c r="AC25" s="15">
        <f>'2분(실측정)'!AA27</f>
        <v>0.87593917784585096</v>
      </c>
      <c r="AD25" s="15">
        <f>'2분(실측정)'!AF27</f>
        <v>7.7803317093776594E-2</v>
      </c>
      <c r="AE25" s="15">
        <f>'2분(실측정)'!AK27</f>
        <v>4.1289159536193193E-2</v>
      </c>
      <c r="AF25" s="15">
        <f>'2분(실측정)'!AP27</f>
        <v>4.7117822934353508E-2</v>
      </c>
      <c r="AG25" s="16">
        <f>'2분(실측정)'!AU27</f>
        <v>4.1993196939256711E-2</v>
      </c>
    </row>
    <row r="26" spans="3:33" ht="17.25" x14ac:dyDescent="0.3">
      <c r="C26" s="24" t="s">
        <v>69</v>
      </c>
      <c r="D26" s="15">
        <v>1.604737960844957</v>
      </c>
      <c r="E26" s="15">
        <v>0.40520754331432596</v>
      </c>
      <c r="F26" s="15">
        <v>0.18169605373635611</v>
      </c>
      <c r="G26" s="15">
        <v>0.10075566750629805</v>
      </c>
      <c r="H26" s="15">
        <v>3.5264483627204621E-2</v>
      </c>
      <c r="I26" s="16">
        <v>9.2023509655751762E-2</v>
      </c>
      <c r="K26" s="24" t="s">
        <v>69</v>
      </c>
      <c r="L26" s="15">
        <v>0.84459892676050363</v>
      </c>
      <c r="M26" s="15">
        <v>0.42653425612034312</v>
      </c>
      <c r="N26" s="15">
        <v>0.12706017743801126</v>
      </c>
      <c r="O26" s="15">
        <v>7.0458508745662965E-2</v>
      </c>
      <c r="P26" s="15">
        <v>2.4660478060982254E-2</v>
      </c>
      <c r="Q26" s="16">
        <v>6.4352104654371856E-2</v>
      </c>
      <c r="S26" s="24" t="s">
        <v>69</v>
      </c>
      <c r="T26" s="15">
        <f>'2분(실측정)'!U28</f>
        <v>0.31014216851704779</v>
      </c>
      <c r="U26" s="15">
        <f>'2분(실측정)'!Z28</f>
        <v>0.78834526006125905</v>
      </c>
      <c r="V26" s="15">
        <f>'2분(실측정)'!AE28</f>
        <v>0.10503447807659839</v>
      </c>
      <c r="W26" s="15">
        <f>'2분(실측정)'!AJ28</f>
        <v>5.5740365373859097E-2</v>
      </c>
      <c r="X26" s="15">
        <f>'2분(실측정)'!AO28</f>
        <v>6.3609060961377237E-2</v>
      </c>
      <c r="Y26" s="16">
        <f>'2분(실측정)'!AT28</f>
        <v>5.669081586799829E-2</v>
      </c>
      <c r="AA26" s="24" t="s">
        <v>69</v>
      </c>
      <c r="AB26" s="15">
        <f>'2분(실측정)'!V28</f>
        <v>0.16323272027213043</v>
      </c>
      <c r="AC26" s="15">
        <f>'2분(실측정)'!AA28</f>
        <v>0.82983711585395692</v>
      </c>
      <c r="AD26" s="15">
        <f>'2분(실측정)'!AF28</f>
        <v>7.3450683969649225E-2</v>
      </c>
      <c r="AE26" s="15">
        <f>'2분(실측정)'!AK28</f>
        <v>3.8979276485216152E-2</v>
      </c>
      <c r="AF26" s="15">
        <f>'2분(실측정)'!AP28</f>
        <v>4.4481860812151913E-2</v>
      </c>
      <c r="AG26" s="16">
        <f>'2분(실측정)'!AU28</f>
        <v>3.9643927180418384E-2</v>
      </c>
    </row>
    <row r="27" spans="3:33" ht="17.25" x14ac:dyDescent="0.3">
      <c r="C27" s="24" t="s">
        <v>70</v>
      </c>
      <c r="D27" s="15">
        <v>1.604737960844933</v>
      </c>
      <c r="E27" s="15">
        <v>0.40520754331433184</v>
      </c>
      <c r="F27" s="15">
        <v>0.18169605373635611</v>
      </c>
      <c r="G27" s="15">
        <v>0.10075566750629805</v>
      </c>
      <c r="H27" s="15">
        <v>3.5264483627203871E-2</v>
      </c>
      <c r="I27" s="16">
        <v>9.2023509655751762E-2</v>
      </c>
      <c r="K27" s="24" t="s">
        <v>70</v>
      </c>
      <c r="L27" s="15">
        <v>0.80236898042246652</v>
      </c>
      <c r="M27" s="15">
        <v>0.40520754331433184</v>
      </c>
      <c r="N27" s="15">
        <v>0.12113070249090407</v>
      </c>
      <c r="O27" s="15">
        <v>6.7170445004198706E-2</v>
      </c>
      <c r="P27" s="15">
        <v>2.3509655751469245E-2</v>
      </c>
      <c r="Q27" s="16">
        <v>6.1349006437167841E-2</v>
      </c>
      <c r="S27" s="24" t="s">
        <v>70</v>
      </c>
      <c r="T27" s="15">
        <f>'2분(실측정)'!U29</f>
        <v>0.3101421685170444</v>
      </c>
      <c r="U27" s="15">
        <f>'2분(실측정)'!Z29</f>
        <v>0.78834526006126582</v>
      </c>
      <c r="V27" s="15">
        <f>'2분(실측정)'!AE29</f>
        <v>0.1050344780766001</v>
      </c>
      <c r="W27" s="15">
        <f>'2분(실측정)'!AJ29</f>
        <v>5.574036537386081E-2</v>
      </c>
      <c r="X27" s="15">
        <f>'2분(실측정)'!AO29</f>
        <v>6.3609060961377237E-2</v>
      </c>
      <c r="Y27" s="16">
        <f>'2분(실측정)'!AT29</f>
        <v>5.6690815867996562E-2</v>
      </c>
      <c r="AA27" s="24" t="s">
        <v>70</v>
      </c>
      <c r="AB27" s="15">
        <f>'2분(실측정)'!V29</f>
        <v>0.1550710842585222</v>
      </c>
      <c r="AC27" s="15">
        <f>'2분(실측정)'!AA29</f>
        <v>0.78834526006126582</v>
      </c>
      <c r="AD27" s="15">
        <f>'2분(실측정)'!AF29</f>
        <v>7.0022985384400077E-2</v>
      </c>
      <c r="AE27" s="15">
        <f>'2분(실측정)'!AK29</f>
        <v>3.7160243582573874E-2</v>
      </c>
      <c r="AF27" s="15">
        <f>'2분(실측정)'!AP29</f>
        <v>4.2406040640918158E-2</v>
      </c>
      <c r="AG27" s="16">
        <f>'2분(실측정)'!AU29</f>
        <v>3.7793877245331044E-2</v>
      </c>
    </row>
    <row r="28" spans="3:33" ht="17.25" x14ac:dyDescent="0.3">
      <c r="C28" s="24" t="s">
        <v>71</v>
      </c>
      <c r="D28" s="15">
        <v>1.604737960844957</v>
      </c>
      <c r="E28" s="15">
        <v>0.40520754331432596</v>
      </c>
      <c r="F28" s="15">
        <v>0.18169605373635611</v>
      </c>
      <c r="G28" s="15">
        <v>0.10075566750629508</v>
      </c>
      <c r="H28" s="15">
        <v>3.5264483627203871E-2</v>
      </c>
      <c r="I28" s="16">
        <v>9.2023509655751762E-2</v>
      </c>
      <c r="K28" s="24" t="s">
        <v>71</v>
      </c>
      <c r="L28" s="15">
        <v>0.76416093373569383</v>
      </c>
      <c r="M28" s="15">
        <v>0.38591194601364381</v>
      </c>
      <c r="N28" s="15">
        <v>0.11499750236478234</v>
      </c>
      <c r="O28" s="15">
        <v>6.376940981411082E-2</v>
      </c>
      <c r="P28" s="15">
        <v>2.2319293434939162E-2</v>
      </c>
      <c r="Q28" s="16">
        <v>5.8242727630222639E-2</v>
      </c>
      <c r="S28" s="24" t="s">
        <v>71</v>
      </c>
      <c r="T28" s="15">
        <f>'2분(실측정)'!U30</f>
        <v>0.3101421685170444</v>
      </c>
      <c r="U28" s="15">
        <f>'2분(실측정)'!Z30</f>
        <v>0.78834526006126582</v>
      </c>
      <c r="V28" s="15">
        <f>'2분(실측정)'!AE30</f>
        <v>0.10503447807659839</v>
      </c>
      <c r="W28" s="15">
        <f>'2분(실측정)'!AJ30</f>
        <v>5.5740365373859097E-2</v>
      </c>
      <c r="X28" s="15">
        <f>'2분(실측정)'!AO30</f>
        <v>6.3609060961377237E-2</v>
      </c>
      <c r="Y28" s="16">
        <f>'2분(실측정)'!AT30</f>
        <v>5.669081586799829E-2</v>
      </c>
      <c r="AA28" s="24" t="s">
        <v>71</v>
      </c>
      <c r="AB28" s="15">
        <f>'2분(실측정)'!V30</f>
        <v>0.14768674691287828</v>
      </c>
      <c r="AC28" s="15">
        <f>'2분(실측정)'!AA30</f>
        <v>0.7508050095821579</v>
      </c>
      <c r="AD28" s="15">
        <f>'2분(실측정)'!AF30</f>
        <v>6.6477517769998981E-2</v>
      </c>
      <c r="AE28" s="15">
        <f>'2분(실측정)'!AK30</f>
        <v>3.5278712261936136E-2</v>
      </c>
      <c r="AF28" s="15">
        <f>'2분(실측정)'!AP30</f>
        <v>4.0258899342643824E-2</v>
      </c>
      <c r="AG28" s="16">
        <f>'2분(실측정)'!AU30</f>
        <v>3.5880263207593854E-2</v>
      </c>
    </row>
    <row r="29" spans="3:33" ht="17.25" x14ac:dyDescent="0.3">
      <c r="C29" s="24" t="s">
        <v>72</v>
      </c>
      <c r="D29" s="15">
        <v>1.604737960844933</v>
      </c>
      <c r="E29" s="15">
        <v>0.40520754331432596</v>
      </c>
      <c r="F29" s="15">
        <v>0.18169605373635611</v>
      </c>
      <c r="G29" s="15">
        <v>0.10075566750629805</v>
      </c>
      <c r="H29" s="15">
        <v>3.5264483627203871E-2</v>
      </c>
      <c r="I29" s="16">
        <v>9.2023509655750277E-2</v>
      </c>
      <c r="K29" s="24" t="s">
        <v>72</v>
      </c>
      <c r="L29" s="15">
        <v>0.72942634583860599</v>
      </c>
      <c r="M29" s="15">
        <v>0.36837049392211452</v>
      </c>
      <c r="N29" s="15">
        <v>0.11011882044627644</v>
      </c>
      <c r="O29" s="15">
        <v>6.1064040912907909E-2</v>
      </c>
      <c r="P29" s="15">
        <v>2.1372414319517499E-2</v>
      </c>
      <c r="Q29" s="16">
        <v>5.5771824033788046E-2</v>
      </c>
      <c r="S29" s="24" t="s">
        <v>72</v>
      </c>
      <c r="T29" s="15">
        <f>'2분(실측정)'!U31</f>
        <v>0.31014216851704779</v>
      </c>
      <c r="U29" s="15">
        <f>'2분(실측정)'!Z31</f>
        <v>0.78834526006125905</v>
      </c>
      <c r="V29" s="15">
        <f>'2분(실측정)'!AE31</f>
        <v>0.10503447807659839</v>
      </c>
      <c r="W29" s="15">
        <f>'2분(실측정)'!AJ31</f>
        <v>5.574036537386081E-2</v>
      </c>
      <c r="X29" s="15">
        <f>'2분(실측정)'!AO31</f>
        <v>6.3609060961377237E-2</v>
      </c>
      <c r="Y29" s="16">
        <f>'2분(실측정)'!AT31</f>
        <v>5.6690815867996562E-2</v>
      </c>
      <c r="AA29" s="24" t="s">
        <v>72</v>
      </c>
      <c r="AB29" s="15">
        <f>'2분(실측정)'!V31</f>
        <v>0.14097371296229444</v>
      </c>
      <c r="AC29" s="15">
        <f>'2분(실측정)'!AA31</f>
        <v>0.71667750914659911</v>
      </c>
      <c r="AD29" s="15">
        <f>'2분(실측정)'!AF31</f>
        <v>6.3657259440362671E-2</v>
      </c>
      <c r="AE29" s="15">
        <f>'2분(실측정)'!AK31</f>
        <v>3.3782039620521703E-2</v>
      </c>
      <c r="AF29" s="15">
        <f>'2분(실측정)'!AP31</f>
        <v>3.8550946037198323E-2</v>
      </c>
      <c r="AG29" s="16">
        <f>'2분(실측정)'!AU31</f>
        <v>3.4358070223028218E-2</v>
      </c>
    </row>
    <row r="30" spans="3:33" ht="17.25" x14ac:dyDescent="0.3">
      <c r="C30" s="24" t="s">
        <v>73</v>
      </c>
      <c r="D30" s="15">
        <v>1.604737960844957</v>
      </c>
      <c r="E30" s="15">
        <v>0.40520754331432596</v>
      </c>
      <c r="F30" s="15">
        <v>0.18169605373635611</v>
      </c>
      <c r="G30" s="15">
        <v>0.10075566750629805</v>
      </c>
      <c r="H30" s="15">
        <v>3.5264483627204621E-2</v>
      </c>
      <c r="I30" s="16">
        <v>9.2023509655751762E-2</v>
      </c>
      <c r="K30" s="24" t="s">
        <v>73</v>
      </c>
      <c r="L30" s="15">
        <v>0.69771215688911181</v>
      </c>
      <c r="M30" s="15">
        <v>0.35235438549071824</v>
      </c>
      <c r="N30" s="15">
        <v>0.10502662065685325</v>
      </c>
      <c r="O30" s="15">
        <v>5.8240270234854369E-2</v>
      </c>
      <c r="P30" s="15">
        <v>2.03840945821992E-2</v>
      </c>
      <c r="Q30" s="16">
        <v>5.3192780147833386E-2</v>
      </c>
      <c r="S30" s="24" t="s">
        <v>73</v>
      </c>
      <c r="T30" s="15">
        <f>'2분(실측정)'!U32</f>
        <v>0.31014216851704779</v>
      </c>
      <c r="U30" s="15">
        <f>'2분(실측정)'!Z32</f>
        <v>0.78834526006126582</v>
      </c>
      <c r="V30" s="15">
        <f>'2분(실측정)'!AE32</f>
        <v>0.10503447807659839</v>
      </c>
      <c r="W30" s="15">
        <f>'2분(실측정)'!AJ32</f>
        <v>5.574036537386081E-2</v>
      </c>
      <c r="X30" s="15">
        <f>'2분(실측정)'!AO32</f>
        <v>6.3609060961378958E-2</v>
      </c>
      <c r="Y30" s="16">
        <f>'2분(실측정)'!AT32</f>
        <v>5.669081586799829E-2</v>
      </c>
      <c r="AA30" s="24" t="s">
        <v>73</v>
      </c>
      <c r="AB30" s="15">
        <f>'2분(실측정)'!V32</f>
        <v>0.13484442109436859</v>
      </c>
      <c r="AC30" s="15">
        <f>'2분(실측정)'!AA32</f>
        <v>0.68551761744457895</v>
      </c>
      <c r="AD30" s="15">
        <f>'2분(실측정)'!AF32</f>
        <v>6.071357114254243E-2</v>
      </c>
      <c r="AE30" s="15">
        <f>'2분(실측정)'!AK32</f>
        <v>3.2219864377954224E-2</v>
      </c>
      <c r="AF30" s="15">
        <f>'2분(실측정)'!AP32</f>
        <v>3.6768243330276854E-2</v>
      </c>
      <c r="AG30" s="16">
        <f>'2분(실측정)'!AU32</f>
        <v>3.2769257727166642E-2</v>
      </c>
    </row>
    <row r="31" spans="3:33" ht="17.25" x14ac:dyDescent="0.3">
      <c r="C31" s="24" t="s">
        <v>74</v>
      </c>
      <c r="D31" s="15">
        <v>1.604737960844933</v>
      </c>
      <c r="E31" s="15">
        <v>0.40520754331432596</v>
      </c>
      <c r="F31" s="15">
        <v>0.18169605373635611</v>
      </c>
      <c r="G31" s="15">
        <v>0.10075566750629508</v>
      </c>
      <c r="H31" s="15">
        <v>3.5264483627203871E-2</v>
      </c>
      <c r="I31" s="16">
        <v>9.2023509655751762E-2</v>
      </c>
      <c r="K31" s="24" t="s">
        <v>74</v>
      </c>
      <c r="L31" s="15">
        <v>0.66864081701872202</v>
      </c>
      <c r="M31" s="15">
        <v>0.33767295276193826</v>
      </c>
      <c r="N31" s="15">
        <v>0.1009422520757534</v>
      </c>
      <c r="O31" s="15">
        <v>5.5975370836830601E-2</v>
      </c>
      <c r="P31" s="15">
        <v>1.959137979289104E-2</v>
      </c>
      <c r="Q31" s="16">
        <v>5.1124172030973206E-2</v>
      </c>
      <c r="S31" s="24" t="s">
        <v>74</v>
      </c>
      <c r="T31" s="15">
        <f>'2분(실측정)'!U33</f>
        <v>0.3101421685170444</v>
      </c>
      <c r="U31" s="15">
        <f>'2분(실측정)'!Z33</f>
        <v>0.78834526006125905</v>
      </c>
      <c r="V31" s="15">
        <f>'2분(실측정)'!AE33</f>
        <v>0.1050344780766001</v>
      </c>
      <c r="W31" s="15">
        <f>'2분(실측정)'!AJ33</f>
        <v>5.5740365373859097E-2</v>
      </c>
      <c r="X31" s="15">
        <f>'2분(실측정)'!AO33</f>
        <v>6.3609060961377237E-2</v>
      </c>
      <c r="Y31" s="16">
        <f>'2분(실측정)'!AT33</f>
        <v>5.6690815867996562E-2</v>
      </c>
      <c r="AA31" s="24" t="s">
        <v>74</v>
      </c>
      <c r="AB31" s="15">
        <f>'2분(실측정)'!V33</f>
        <v>0.12922590354876851</v>
      </c>
      <c r="AC31" s="15">
        <f>'2분(실측정)'!AA33</f>
        <v>0.6569543833843825</v>
      </c>
      <c r="AD31" s="15">
        <f>'2분(실측정)'!AF33</f>
        <v>5.8352487820333393E-2</v>
      </c>
      <c r="AE31" s="15">
        <f>'2분(실측정)'!AK33</f>
        <v>3.0966869652143941E-2</v>
      </c>
      <c r="AF31" s="15">
        <f>'2분(실측정)'!AP33</f>
        <v>3.5338367200765129E-2</v>
      </c>
      <c r="AG31" s="16">
        <f>'2분(실측정)'!AU33</f>
        <v>3.1494897704442533E-2</v>
      </c>
    </row>
    <row r="32" spans="3:33" ht="17.25" x14ac:dyDescent="0.3">
      <c r="C32" s="24" t="s">
        <v>75</v>
      </c>
      <c r="D32" s="15">
        <v>1.604737960844957</v>
      </c>
      <c r="E32" s="15">
        <v>0.40520754331433184</v>
      </c>
      <c r="F32" s="15">
        <v>0.18169605373635611</v>
      </c>
      <c r="G32" s="15">
        <v>0.10075566750629805</v>
      </c>
      <c r="H32" s="15">
        <v>3.5264483627203871E-2</v>
      </c>
      <c r="I32" s="16">
        <v>9.2023509655751762E-2</v>
      </c>
      <c r="K32" s="24" t="s">
        <v>75</v>
      </c>
      <c r="L32" s="15">
        <v>0.64189518433798276</v>
      </c>
      <c r="M32" s="15">
        <v>0.32416603465146548</v>
      </c>
      <c r="N32" s="15">
        <v>9.6646837093806434E-2</v>
      </c>
      <c r="O32" s="15">
        <v>5.3593440162924499E-2</v>
      </c>
      <c r="P32" s="15">
        <v>1.8757704057023337E-2</v>
      </c>
      <c r="Q32" s="16">
        <v>4.8948675348804128E-2</v>
      </c>
      <c r="S32" s="24" t="s">
        <v>75</v>
      </c>
      <c r="T32" s="15">
        <f>'2분(실측정)'!U34</f>
        <v>0.31014216851705129</v>
      </c>
      <c r="U32" s="15">
        <f>'2분(실측정)'!Z34</f>
        <v>0.78834526006126582</v>
      </c>
      <c r="V32" s="15">
        <f>'2분(실측정)'!AE34</f>
        <v>0.10503447807659839</v>
      </c>
      <c r="W32" s="15">
        <f>'2분(실측정)'!AJ34</f>
        <v>5.574036537386081E-2</v>
      </c>
      <c r="X32" s="15">
        <f>'2분(실측정)'!AO34</f>
        <v>6.3609060961377237E-2</v>
      </c>
      <c r="Y32" s="16">
        <f>'2분(실측정)'!AT34</f>
        <v>5.669081586799829E-2</v>
      </c>
      <c r="AA32" s="24" t="s">
        <v>75</v>
      </c>
      <c r="AB32" s="15">
        <f>'2분(실측정)'!V34</f>
        <v>0.12405686740682052</v>
      </c>
      <c r="AC32" s="15">
        <f>'2분(실측정)'!AA34</f>
        <v>0.63067620804901259</v>
      </c>
      <c r="AD32" s="15">
        <f>'2분(실측정)'!AF34</f>
        <v>5.5869403232233189E-2</v>
      </c>
      <c r="AE32" s="15">
        <f>'2분(실측정)'!AK34</f>
        <v>2.9649130518011071E-2</v>
      </c>
      <c r="AF32" s="15">
        <f>'2분(실측정)'!AP34</f>
        <v>3.3834606894349591E-2</v>
      </c>
      <c r="AG32" s="16">
        <f>'2분(실측정)'!AU34</f>
        <v>3.0154689291488453E-2</v>
      </c>
    </row>
    <row r="33" spans="3:33" ht="18" thickBot="1" x14ac:dyDescent="0.35">
      <c r="C33" s="25" t="s">
        <v>76</v>
      </c>
      <c r="D33" s="19">
        <v>4.4608986198820197</v>
      </c>
      <c r="E33" s="19">
        <v>0.40520754331432596</v>
      </c>
      <c r="F33" s="19">
        <v>1.9986565910999172</v>
      </c>
      <c r="G33" s="19">
        <v>1.1083123425692727</v>
      </c>
      <c r="H33" s="19">
        <v>0.38790931989924488</v>
      </c>
      <c r="I33" s="20">
        <v>1.0122586062132666</v>
      </c>
      <c r="K33" s="26" t="s">
        <v>76</v>
      </c>
      <c r="L33" s="17">
        <v>0.89217972397640388</v>
      </c>
      <c r="M33" s="17">
        <v>0.16208301732573038</v>
      </c>
      <c r="N33" s="17">
        <v>0.53297509095997797</v>
      </c>
      <c r="O33" s="17">
        <v>0.29554995801847272</v>
      </c>
      <c r="P33" s="17">
        <v>0.1034424853064653</v>
      </c>
      <c r="Q33" s="18">
        <v>0.26993562832353774</v>
      </c>
      <c r="S33" s="25" t="s">
        <v>76</v>
      </c>
      <c r="T33" s="15">
        <f>'2분(실측정)'!U35</f>
        <v>0.83718085342123905</v>
      </c>
      <c r="U33" s="15">
        <f>'2분(실측정)'!Z35</f>
        <v>0.78834526006126582</v>
      </c>
      <c r="V33" s="15">
        <f>'2분(실측정)'!AE35</f>
        <v>1.1553792588425822</v>
      </c>
      <c r="W33" s="15">
        <f>'2분(실측정)'!AJ35</f>
        <v>0.6131440191124603</v>
      </c>
      <c r="X33" s="15">
        <f>'2분(실측정)'!AO35</f>
        <v>0.69969967057515303</v>
      </c>
      <c r="Y33" s="16">
        <f>'2분(실측정)'!AT35</f>
        <v>0.62359897454796909</v>
      </c>
      <c r="AA33" s="26" t="s">
        <v>76</v>
      </c>
      <c r="AB33" s="17">
        <f>'2분(실측정)'!V35</f>
        <v>0.16743617068424782</v>
      </c>
      <c r="AC33" s="17">
        <f>'2분(실측정)'!AA35</f>
        <v>0.31533810402450629</v>
      </c>
      <c r="AD33" s="17">
        <f>'2분(실측정)'!AF35</f>
        <v>0.30810113569135522</v>
      </c>
      <c r="AE33" s="17">
        <f>'2분(실측정)'!AK35</f>
        <v>0.16350507176332274</v>
      </c>
      <c r="AF33" s="17">
        <f>'2분(실측정)'!AP35</f>
        <v>0.18658657882004082</v>
      </c>
      <c r="AG33" s="18">
        <f>'2분(실측정)'!AU35</f>
        <v>0.16629305987945842</v>
      </c>
    </row>
    <row r="34" spans="3:33" ht="18" hidden="1" customHeight="1" thickBot="1" x14ac:dyDescent="0.35">
      <c r="C34" s="21"/>
      <c r="D34" s="22"/>
      <c r="E34" s="22"/>
      <c r="F34" s="22"/>
      <c r="G34" s="22"/>
      <c r="H34" s="22"/>
      <c r="I34" s="23"/>
      <c r="K34" s="13"/>
      <c r="L34" s="13"/>
      <c r="N34" s="13"/>
      <c r="O34" s="13"/>
      <c r="P34" s="13"/>
      <c r="Q34" s="13"/>
      <c r="S34" s="21"/>
      <c r="T34" s="22"/>
      <c r="U34" s="22"/>
      <c r="V34" s="22"/>
      <c r="W34" s="22"/>
      <c r="X34" s="22"/>
      <c r="Y34" s="23"/>
      <c r="AA34" s="13"/>
      <c r="AB34" s="13"/>
      <c r="AD34" s="13"/>
      <c r="AE34" s="13"/>
      <c r="AF34" s="13"/>
      <c r="AG34" s="13"/>
    </row>
    <row r="35" spans="3:33" ht="18" thickBot="1" x14ac:dyDescent="0.35">
      <c r="C35" s="31" t="s">
        <v>46</v>
      </c>
      <c r="D35" s="32">
        <f t="shared" ref="D35:I35" si="0">SUM(D4:D33)</f>
        <v>92.070045409092486</v>
      </c>
      <c r="E35" s="32">
        <f t="shared" si="0"/>
        <v>11.813358378163839</v>
      </c>
      <c r="F35" s="32">
        <f t="shared" si="0"/>
        <v>10.901763224181366</v>
      </c>
      <c r="G35" s="32">
        <f t="shared" si="0"/>
        <v>6.045340050377833</v>
      </c>
      <c r="H35" s="32">
        <f t="shared" si="0"/>
        <v>2.1158690176322419</v>
      </c>
      <c r="I35" s="32">
        <f t="shared" si="0"/>
        <v>5.5214105793450861</v>
      </c>
      <c r="S35" s="31" t="s">
        <v>46</v>
      </c>
      <c r="T35" s="32">
        <f t="shared" ref="T35:Y35" si="1">SUM(T4:T33)</f>
        <v>18.152331324793874</v>
      </c>
      <c r="U35" s="32">
        <f t="shared" si="1"/>
        <v>22.983296427939912</v>
      </c>
      <c r="V35" s="32">
        <f t="shared" si="1"/>
        <v>6.3020686845959153</v>
      </c>
      <c r="W35" s="32">
        <f t="shared" si="1"/>
        <v>3.3444219224316014</v>
      </c>
      <c r="X35" s="32">
        <f t="shared" si="1"/>
        <v>3.816543657682649</v>
      </c>
      <c r="Y35" s="32">
        <f t="shared" si="1"/>
        <v>3.4014489520798366</v>
      </c>
    </row>
    <row r="36" spans="3:33" ht="18" thickBot="1" x14ac:dyDescent="0.35">
      <c r="C36" s="46" t="s">
        <v>112</v>
      </c>
      <c r="D36" s="47">
        <f>SUM(D35:I35)</f>
        <v>128.46778665879285</v>
      </c>
      <c r="S36" s="46" t="s">
        <v>111</v>
      </c>
      <c r="T36" s="47">
        <f>SUM(T35:Y35)</f>
        <v>58.000110969523789</v>
      </c>
    </row>
  </sheetData>
  <mergeCells count="4">
    <mergeCell ref="AA2:AG2"/>
    <mergeCell ref="K2:Q2"/>
    <mergeCell ref="C2:I2"/>
    <mergeCell ref="S2:Y2"/>
  </mergeCells>
  <phoneticPr fontId="1" type="noConversion"/>
  <conditionalFormatting sqref="D4:I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Q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Y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G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4445-B1E6-4995-96CC-28E5BFF3957A}">
  <dimension ref="A1:O32"/>
  <sheetViews>
    <sheetView topLeftCell="A4" workbookViewId="0">
      <selection activeCell="N23" sqref="N23"/>
    </sheetView>
  </sheetViews>
  <sheetFormatPr defaultRowHeight="16.5" x14ac:dyDescent="0.3"/>
  <cols>
    <col min="1" max="1" width="11" bestFit="1" customWidth="1"/>
    <col min="4" max="4" width="16.5" bestFit="1" customWidth="1"/>
    <col min="9" max="9" width="11" bestFit="1" customWidth="1"/>
    <col min="11" max="11" width="11.625" bestFit="1" customWidth="1"/>
    <col min="12" max="12" width="11" bestFit="1" customWidth="1"/>
    <col min="14" max="15" width="11" bestFit="1" customWidth="1"/>
  </cols>
  <sheetData>
    <row r="1" spans="1:15" x14ac:dyDescent="0.3">
      <c r="A1" t="s">
        <v>24</v>
      </c>
      <c r="B1" t="s">
        <v>25</v>
      </c>
      <c r="D1" t="s">
        <v>27</v>
      </c>
      <c r="E1" t="s">
        <v>25</v>
      </c>
      <c r="H1" t="s">
        <v>31</v>
      </c>
      <c r="I1" t="s">
        <v>30</v>
      </c>
      <c r="K1" t="s">
        <v>32</v>
      </c>
      <c r="L1" t="s">
        <v>30</v>
      </c>
      <c r="N1" t="s">
        <v>24</v>
      </c>
      <c r="O1" t="s">
        <v>30</v>
      </c>
    </row>
    <row r="2" spans="1:15" x14ac:dyDescent="0.3">
      <c r="A2">
        <v>0</v>
      </c>
      <c r="B2">
        <v>1</v>
      </c>
      <c r="D2">
        <v>0</v>
      </c>
      <c r="E2">
        <v>1</v>
      </c>
      <c r="H2">
        <v>0</v>
      </c>
      <c r="I2">
        <v>0</v>
      </c>
      <c r="K2">
        <v>0</v>
      </c>
      <c r="L2">
        <v>0</v>
      </c>
      <c r="N2">
        <v>0</v>
      </c>
      <c r="O2">
        <v>0</v>
      </c>
    </row>
    <row r="3" spans="1:15" x14ac:dyDescent="0.3">
      <c r="A3">
        <v>1</v>
      </c>
      <c r="B3">
        <v>1.1100000000000001</v>
      </c>
      <c r="D3">
        <v>1</v>
      </c>
      <c r="E3">
        <v>1</v>
      </c>
      <c r="H3">
        <v>1</v>
      </c>
      <c r="I3">
        <v>0</v>
      </c>
      <c r="K3">
        <v>1</v>
      </c>
      <c r="L3">
        <v>50</v>
      </c>
      <c r="N3">
        <v>1</v>
      </c>
      <c r="O3">
        <v>75</v>
      </c>
    </row>
    <row r="4" spans="1:15" x14ac:dyDescent="0.3">
      <c r="A4">
        <v>2</v>
      </c>
      <c r="B4">
        <v>1.1200000000000001</v>
      </c>
      <c r="D4">
        <v>2</v>
      </c>
      <c r="E4">
        <v>1</v>
      </c>
      <c r="H4">
        <v>2</v>
      </c>
      <c r="I4">
        <v>30</v>
      </c>
      <c r="K4">
        <v>2</v>
      </c>
      <c r="L4">
        <v>15</v>
      </c>
      <c r="N4">
        <v>2</v>
      </c>
      <c r="O4">
        <v>23</v>
      </c>
    </row>
    <row r="5" spans="1:15" x14ac:dyDescent="0.3">
      <c r="A5">
        <v>3</v>
      </c>
      <c r="B5">
        <v>1.1299999999999999</v>
      </c>
      <c r="D5">
        <v>3</v>
      </c>
      <c r="E5">
        <v>1</v>
      </c>
      <c r="H5">
        <v>3</v>
      </c>
      <c r="I5">
        <v>35</v>
      </c>
      <c r="K5">
        <v>3</v>
      </c>
      <c r="L5">
        <v>18</v>
      </c>
      <c r="N5">
        <v>3</v>
      </c>
      <c r="O5">
        <v>27</v>
      </c>
    </row>
    <row r="6" spans="1:15" x14ac:dyDescent="0.3">
      <c r="A6">
        <v>4</v>
      </c>
      <c r="B6">
        <v>1.1399999999999999</v>
      </c>
      <c r="D6">
        <v>4</v>
      </c>
      <c r="E6">
        <v>1</v>
      </c>
      <c r="H6">
        <v>4</v>
      </c>
      <c r="I6">
        <v>40</v>
      </c>
      <c r="K6">
        <v>4</v>
      </c>
      <c r="L6">
        <v>20</v>
      </c>
      <c r="N6">
        <v>4</v>
      </c>
      <c r="O6">
        <v>30</v>
      </c>
    </row>
    <row r="7" spans="1:15" x14ac:dyDescent="0.3">
      <c r="A7">
        <v>5</v>
      </c>
      <c r="B7">
        <v>1.1499999999999999</v>
      </c>
      <c r="D7">
        <v>5</v>
      </c>
      <c r="E7">
        <v>1</v>
      </c>
      <c r="H7">
        <v>5</v>
      </c>
      <c r="I7">
        <v>45</v>
      </c>
      <c r="K7">
        <v>5</v>
      </c>
      <c r="L7">
        <v>23</v>
      </c>
      <c r="N7">
        <v>5</v>
      </c>
      <c r="O7">
        <v>34</v>
      </c>
    </row>
    <row r="8" spans="1:15" x14ac:dyDescent="0.3">
      <c r="A8">
        <v>6</v>
      </c>
      <c r="B8">
        <v>1.1599999999999999</v>
      </c>
      <c r="D8">
        <v>6</v>
      </c>
      <c r="E8">
        <v>1</v>
      </c>
      <c r="H8">
        <v>6</v>
      </c>
      <c r="I8">
        <v>50</v>
      </c>
      <c r="K8">
        <v>6</v>
      </c>
      <c r="L8">
        <v>25</v>
      </c>
      <c r="N8">
        <v>6</v>
      </c>
      <c r="O8">
        <v>38</v>
      </c>
    </row>
    <row r="9" spans="1:15" x14ac:dyDescent="0.3">
      <c r="A9">
        <v>7</v>
      </c>
      <c r="B9">
        <v>1.17</v>
      </c>
      <c r="D9">
        <v>7</v>
      </c>
      <c r="E9">
        <v>1</v>
      </c>
      <c r="H9">
        <v>7</v>
      </c>
      <c r="I9">
        <v>55</v>
      </c>
      <c r="K9">
        <v>7</v>
      </c>
      <c r="L9">
        <v>28</v>
      </c>
      <c r="N9">
        <v>7</v>
      </c>
      <c r="O9">
        <v>42</v>
      </c>
    </row>
    <row r="10" spans="1:15" x14ac:dyDescent="0.3">
      <c r="A10">
        <v>8</v>
      </c>
      <c r="B10">
        <v>1.18</v>
      </c>
      <c r="D10">
        <v>8</v>
      </c>
      <c r="E10">
        <v>1</v>
      </c>
      <c r="H10">
        <v>8</v>
      </c>
      <c r="I10">
        <v>60</v>
      </c>
      <c r="K10">
        <v>8</v>
      </c>
      <c r="L10">
        <v>30</v>
      </c>
      <c r="N10">
        <v>8</v>
      </c>
      <c r="O10">
        <v>45</v>
      </c>
    </row>
    <row r="11" spans="1:15" x14ac:dyDescent="0.3">
      <c r="A11">
        <v>9</v>
      </c>
      <c r="B11">
        <v>1.19</v>
      </c>
      <c r="D11">
        <v>9</v>
      </c>
      <c r="E11">
        <v>1</v>
      </c>
      <c r="H11">
        <v>9</v>
      </c>
      <c r="I11">
        <v>65</v>
      </c>
      <c r="K11">
        <v>9</v>
      </c>
      <c r="L11">
        <v>33</v>
      </c>
      <c r="N11">
        <v>9</v>
      </c>
      <c r="O11">
        <v>49</v>
      </c>
    </row>
    <row r="12" spans="1:15" x14ac:dyDescent="0.3">
      <c r="A12">
        <v>10</v>
      </c>
      <c r="B12">
        <v>1.25</v>
      </c>
      <c r="D12">
        <v>10</v>
      </c>
      <c r="E12">
        <v>1</v>
      </c>
      <c r="H12">
        <v>10</v>
      </c>
      <c r="I12">
        <v>200</v>
      </c>
      <c r="K12">
        <v>10</v>
      </c>
      <c r="L12">
        <v>100</v>
      </c>
      <c r="N12">
        <v>10</v>
      </c>
      <c r="O12">
        <v>150</v>
      </c>
    </row>
    <row r="13" spans="1:15" x14ac:dyDescent="0.3">
      <c r="A13">
        <v>11</v>
      </c>
      <c r="B13">
        <v>1.26</v>
      </c>
      <c r="D13">
        <v>11</v>
      </c>
      <c r="E13">
        <v>1</v>
      </c>
      <c r="H13">
        <v>11</v>
      </c>
      <c r="I13">
        <v>80</v>
      </c>
      <c r="K13">
        <v>11</v>
      </c>
      <c r="L13">
        <v>40</v>
      </c>
      <c r="N13">
        <v>11</v>
      </c>
      <c r="O13">
        <v>60</v>
      </c>
    </row>
    <row r="14" spans="1:15" x14ac:dyDescent="0.3">
      <c r="A14">
        <v>12</v>
      </c>
      <c r="B14">
        <v>1.27</v>
      </c>
      <c r="D14">
        <v>12</v>
      </c>
      <c r="E14">
        <v>1</v>
      </c>
      <c r="H14">
        <v>12</v>
      </c>
      <c r="I14">
        <v>90</v>
      </c>
      <c r="K14">
        <v>12</v>
      </c>
      <c r="L14">
        <v>45</v>
      </c>
      <c r="N14">
        <v>12</v>
      </c>
      <c r="O14">
        <v>68</v>
      </c>
    </row>
    <row r="15" spans="1:15" x14ac:dyDescent="0.3">
      <c r="A15">
        <v>13</v>
      </c>
      <c r="B15">
        <v>1.28</v>
      </c>
      <c r="D15">
        <v>13</v>
      </c>
      <c r="E15">
        <v>1</v>
      </c>
      <c r="H15">
        <v>13</v>
      </c>
      <c r="I15">
        <v>100</v>
      </c>
      <c r="K15">
        <v>13</v>
      </c>
      <c r="L15">
        <v>50</v>
      </c>
      <c r="N15">
        <v>13</v>
      </c>
      <c r="O15">
        <v>75</v>
      </c>
    </row>
    <row r="16" spans="1:15" x14ac:dyDescent="0.3">
      <c r="A16">
        <v>14</v>
      </c>
      <c r="B16">
        <v>1.29</v>
      </c>
      <c r="D16">
        <v>14</v>
      </c>
      <c r="E16">
        <v>1</v>
      </c>
      <c r="H16">
        <v>14</v>
      </c>
      <c r="I16">
        <v>110</v>
      </c>
      <c r="K16">
        <v>14</v>
      </c>
      <c r="L16">
        <v>55</v>
      </c>
      <c r="N16">
        <v>14</v>
      </c>
      <c r="O16">
        <v>83</v>
      </c>
    </row>
    <row r="17" spans="1:15" x14ac:dyDescent="0.3">
      <c r="A17">
        <v>15</v>
      </c>
      <c r="B17">
        <v>1.3</v>
      </c>
      <c r="D17">
        <v>15</v>
      </c>
      <c r="E17">
        <v>1</v>
      </c>
      <c r="H17">
        <v>15</v>
      </c>
      <c r="I17">
        <v>120</v>
      </c>
      <c r="K17">
        <v>15</v>
      </c>
      <c r="L17">
        <v>60</v>
      </c>
      <c r="N17">
        <v>15</v>
      </c>
      <c r="O17">
        <v>90</v>
      </c>
    </row>
    <row r="18" spans="1:15" x14ac:dyDescent="0.3">
      <c r="A18">
        <v>16</v>
      </c>
      <c r="B18">
        <v>1.31</v>
      </c>
      <c r="D18">
        <v>16</v>
      </c>
      <c r="E18">
        <v>1</v>
      </c>
      <c r="H18">
        <v>16</v>
      </c>
      <c r="I18">
        <v>130</v>
      </c>
      <c r="K18">
        <v>16</v>
      </c>
      <c r="L18">
        <v>65</v>
      </c>
      <c r="N18">
        <v>16</v>
      </c>
      <c r="O18">
        <v>98</v>
      </c>
    </row>
    <row r="19" spans="1:15" x14ac:dyDescent="0.3">
      <c r="A19">
        <v>17</v>
      </c>
      <c r="B19">
        <v>1.32</v>
      </c>
      <c r="D19">
        <v>17</v>
      </c>
      <c r="E19">
        <v>1</v>
      </c>
      <c r="H19">
        <v>17</v>
      </c>
      <c r="I19">
        <v>140</v>
      </c>
      <c r="K19">
        <v>17</v>
      </c>
      <c r="L19">
        <v>70</v>
      </c>
      <c r="N19">
        <v>17</v>
      </c>
      <c r="O19">
        <v>105</v>
      </c>
    </row>
    <row r="20" spans="1:15" x14ac:dyDescent="0.3">
      <c r="A20">
        <v>18</v>
      </c>
      <c r="B20">
        <v>1.33</v>
      </c>
      <c r="D20">
        <v>18</v>
      </c>
      <c r="E20">
        <v>1</v>
      </c>
      <c r="H20">
        <v>18</v>
      </c>
      <c r="I20">
        <v>150</v>
      </c>
      <c r="K20">
        <v>18</v>
      </c>
      <c r="L20">
        <v>75</v>
      </c>
      <c r="N20">
        <v>18</v>
      </c>
      <c r="O20">
        <v>113</v>
      </c>
    </row>
    <row r="21" spans="1:15" x14ac:dyDescent="0.3">
      <c r="A21">
        <v>19</v>
      </c>
      <c r="B21">
        <v>1.34</v>
      </c>
      <c r="D21">
        <v>19</v>
      </c>
      <c r="E21">
        <v>1</v>
      </c>
      <c r="H21">
        <v>19</v>
      </c>
      <c r="I21">
        <v>160</v>
      </c>
      <c r="K21">
        <v>19</v>
      </c>
      <c r="L21">
        <v>80</v>
      </c>
      <c r="N21">
        <v>19</v>
      </c>
      <c r="O21">
        <v>120</v>
      </c>
    </row>
    <row r="22" spans="1:15" x14ac:dyDescent="0.3">
      <c r="A22">
        <v>20</v>
      </c>
      <c r="B22">
        <v>1.4</v>
      </c>
      <c r="D22">
        <v>20</v>
      </c>
      <c r="E22">
        <f>1+20/(100+'40초(실측정)'!Q3)</f>
        <v>1.0307692307692307</v>
      </c>
      <c r="H22">
        <v>20</v>
      </c>
      <c r="I22">
        <v>350</v>
      </c>
      <c r="K22">
        <v>20</v>
      </c>
      <c r="L22">
        <v>175</v>
      </c>
      <c r="N22">
        <v>20</v>
      </c>
      <c r="O22">
        <v>263</v>
      </c>
    </row>
    <row r="23" spans="1:15" x14ac:dyDescent="0.3">
      <c r="A23">
        <v>21</v>
      </c>
      <c r="B23">
        <v>1.41</v>
      </c>
      <c r="D23">
        <v>21</v>
      </c>
      <c r="E23">
        <f t="shared" ref="E23:E31" si="0">E22</f>
        <v>1.0307692307692307</v>
      </c>
      <c r="H23">
        <v>21</v>
      </c>
      <c r="I23">
        <v>170</v>
      </c>
      <c r="K23">
        <v>21</v>
      </c>
      <c r="L23">
        <v>85</v>
      </c>
      <c r="N23">
        <v>21</v>
      </c>
      <c r="O23">
        <v>128</v>
      </c>
    </row>
    <row r="24" spans="1:15" x14ac:dyDescent="0.3">
      <c r="A24">
        <v>22</v>
      </c>
      <c r="B24">
        <v>1.42</v>
      </c>
      <c r="D24">
        <v>22</v>
      </c>
      <c r="E24">
        <f t="shared" si="0"/>
        <v>1.0307692307692307</v>
      </c>
      <c r="H24">
        <v>22</v>
      </c>
      <c r="I24">
        <v>180</v>
      </c>
      <c r="K24">
        <v>22</v>
      </c>
      <c r="L24">
        <v>90</v>
      </c>
      <c r="N24">
        <v>22</v>
      </c>
      <c r="O24">
        <v>135</v>
      </c>
    </row>
    <row r="25" spans="1:15" x14ac:dyDescent="0.3">
      <c r="A25">
        <v>23</v>
      </c>
      <c r="B25">
        <v>1.43</v>
      </c>
      <c r="D25">
        <v>23</v>
      </c>
      <c r="E25">
        <f t="shared" si="0"/>
        <v>1.0307692307692307</v>
      </c>
      <c r="H25">
        <v>23</v>
      </c>
      <c r="I25">
        <v>190</v>
      </c>
      <c r="K25">
        <v>23</v>
      </c>
      <c r="L25">
        <v>95</v>
      </c>
      <c r="N25">
        <v>23</v>
      </c>
      <c r="O25">
        <v>143</v>
      </c>
    </row>
    <row r="26" spans="1:15" x14ac:dyDescent="0.3">
      <c r="A26">
        <v>24</v>
      </c>
      <c r="B26">
        <v>1.44</v>
      </c>
      <c r="D26">
        <v>24</v>
      </c>
      <c r="E26">
        <f t="shared" si="0"/>
        <v>1.0307692307692307</v>
      </c>
      <c r="H26">
        <v>24</v>
      </c>
      <c r="I26">
        <v>200</v>
      </c>
      <c r="K26">
        <v>24</v>
      </c>
      <c r="L26">
        <v>100</v>
      </c>
      <c r="N26">
        <v>24</v>
      </c>
      <c r="O26">
        <v>150</v>
      </c>
    </row>
    <row r="27" spans="1:15" x14ac:dyDescent="0.3">
      <c r="A27">
        <v>25</v>
      </c>
      <c r="B27">
        <v>1.45</v>
      </c>
      <c r="D27">
        <v>25</v>
      </c>
      <c r="E27">
        <f t="shared" si="0"/>
        <v>1.0307692307692307</v>
      </c>
      <c r="H27">
        <v>25</v>
      </c>
      <c r="I27">
        <v>210</v>
      </c>
      <c r="K27">
        <v>25</v>
      </c>
      <c r="L27">
        <v>105</v>
      </c>
      <c r="N27">
        <v>25</v>
      </c>
      <c r="O27">
        <v>158</v>
      </c>
    </row>
    <row r="28" spans="1:15" x14ac:dyDescent="0.3">
      <c r="A28">
        <v>26</v>
      </c>
      <c r="B28">
        <v>1.46</v>
      </c>
      <c r="D28">
        <v>26</v>
      </c>
      <c r="E28">
        <f t="shared" si="0"/>
        <v>1.0307692307692307</v>
      </c>
      <c r="H28">
        <v>26</v>
      </c>
      <c r="I28">
        <v>220</v>
      </c>
      <c r="K28">
        <v>26</v>
      </c>
      <c r="L28">
        <v>110</v>
      </c>
      <c r="N28">
        <v>26</v>
      </c>
      <c r="O28">
        <v>165</v>
      </c>
    </row>
    <row r="29" spans="1:15" x14ac:dyDescent="0.3">
      <c r="A29">
        <v>27</v>
      </c>
      <c r="B29">
        <v>1.47</v>
      </c>
      <c r="D29">
        <v>27</v>
      </c>
      <c r="E29">
        <f t="shared" si="0"/>
        <v>1.0307692307692307</v>
      </c>
      <c r="H29">
        <v>27</v>
      </c>
      <c r="I29">
        <v>230</v>
      </c>
      <c r="K29">
        <v>27</v>
      </c>
      <c r="L29">
        <v>115</v>
      </c>
      <c r="N29">
        <v>27</v>
      </c>
      <c r="O29">
        <v>173</v>
      </c>
    </row>
    <row r="30" spans="1:15" x14ac:dyDescent="0.3">
      <c r="A30">
        <v>28</v>
      </c>
      <c r="B30">
        <v>1.48</v>
      </c>
      <c r="D30">
        <v>28</v>
      </c>
      <c r="E30">
        <f t="shared" si="0"/>
        <v>1.0307692307692307</v>
      </c>
      <c r="H30">
        <v>28</v>
      </c>
      <c r="I30">
        <v>240</v>
      </c>
      <c r="K30">
        <v>28</v>
      </c>
      <c r="L30">
        <v>120</v>
      </c>
      <c r="N30">
        <v>28</v>
      </c>
      <c r="O30">
        <v>180</v>
      </c>
    </row>
    <row r="31" spans="1:15" x14ac:dyDescent="0.3">
      <c r="A31">
        <v>29</v>
      </c>
      <c r="B31">
        <v>1.49</v>
      </c>
      <c r="D31">
        <v>29</v>
      </c>
      <c r="E31">
        <f t="shared" si="0"/>
        <v>1.0307692307692307</v>
      </c>
      <c r="H31">
        <v>29</v>
      </c>
      <c r="I31">
        <v>250</v>
      </c>
      <c r="K31">
        <v>29</v>
      </c>
      <c r="L31">
        <v>125</v>
      </c>
      <c r="N31">
        <v>29</v>
      </c>
      <c r="O31">
        <v>188</v>
      </c>
    </row>
    <row r="32" spans="1:15" x14ac:dyDescent="0.3">
      <c r="A32">
        <v>30</v>
      </c>
      <c r="B32">
        <v>1.6</v>
      </c>
      <c r="D32">
        <v>30</v>
      </c>
      <c r="E32">
        <f>1+50/(100+'40초(실측정)'!Q3)</f>
        <v>1.0769230769230769</v>
      </c>
      <c r="H32">
        <v>30</v>
      </c>
      <c r="I32">
        <v>500</v>
      </c>
      <c r="K32">
        <v>30</v>
      </c>
      <c r="L32">
        <v>250</v>
      </c>
      <c r="N32">
        <v>30</v>
      </c>
      <c r="O32">
        <v>375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40초(실측정)</vt:lpstr>
      <vt:lpstr>2분(실측정)</vt:lpstr>
      <vt:lpstr>정리</vt:lpstr>
      <vt:lpstr>강화코어 수치, 재료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2023-07-07T08:07:58Z</dcterms:created>
  <dcterms:modified xsi:type="dcterms:W3CDTF">2023-07-15T02:55:33Z</dcterms:modified>
</cp:coreProperties>
</file>