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_db_OS_Core\Documents\"/>
    </mc:Choice>
  </mc:AlternateContent>
  <xr:revisionPtr revIDLastSave="0" documentId="13_ncr:1_{75A2D001-3A83-47C3-8229-209D436F273A}" xr6:coauthVersionLast="47" xr6:coauthVersionMax="47" xr10:uidLastSave="{00000000-0000-0000-0000-000000000000}"/>
  <bookViews>
    <workbookView xWindow="-120" yWindow="-120" windowWidth="29040" windowHeight="15720" firstSheet="1" activeTab="4" xr2:uid="{94D09FB9-3965-45A8-83EF-F2AF1F088CC2}"/>
  </bookViews>
  <sheets>
    <sheet name="맵 정보" sheetId="1" r:id="rId1"/>
    <sheet name="비교&amp;민감도분석" sheetId="2" r:id="rId2"/>
    <sheet name="회칼도적평가시트" sheetId="6" r:id="rId3"/>
    <sheet name="맵티어별_드랍템통계표" sheetId="3" r:id="rId4"/>
    <sheet name="프로젝트_무기숙련테스트" sheetId="8" r:id="rId5"/>
    <sheet name="Sheet1" sheetId="4" r:id="rId6"/>
    <sheet name="Sheet2" sheetId="7" r:id="rId7"/>
    <sheet name="7.19 vs pre7.19" sheetId="5" r:id="rId8"/>
  </sheets>
  <definedNames>
    <definedName name="단수">맵티어별_드랍템통계표!#REF!</definedName>
    <definedName name="아이템위력">맵티어별_드랍템통계표!#REF!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20" i="8" l="1"/>
  <c r="J120" i="8"/>
  <c r="I120" i="8"/>
  <c r="H120" i="8"/>
  <c r="G120" i="8"/>
  <c r="F120" i="8"/>
  <c r="F15" i="8"/>
  <c r="G15" i="8"/>
  <c r="G14" i="8"/>
  <c r="F14" i="8"/>
  <c r="E120" i="8"/>
  <c r="D120" i="8"/>
  <c r="E14" i="8"/>
  <c r="E15" i="8"/>
  <c r="D15" i="8"/>
  <c r="D14" i="8"/>
  <c r="K35" i="6"/>
  <c r="J35" i="6"/>
  <c r="I35" i="6"/>
  <c r="H35" i="6"/>
  <c r="F35" i="6"/>
  <c r="E35" i="6"/>
  <c r="D35" i="6"/>
  <c r="C35" i="6"/>
  <c r="E22" i="6"/>
  <c r="H4" i="6"/>
  <c r="I4" i="6"/>
  <c r="H7" i="6"/>
  <c r="H5" i="6" s="1"/>
  <c r="E14" i="6"/>
  <c r="L10" i="6"/>
  <c r="G10" i="6"/>
  <c r="I33" i="6"/>
  <c r="K33" i="6" s="1"/>
  <c r="H25" i="6"/>
  <c r="C25" i="6"/>
  <c r="L20" i="6"/>
  <c r="H15" i="6"/>
  <c r="I10" i="6"/>
  <c r="J23" i="7"/>
  <c r="J24" i="7"/>
  <c r="J25" i="7"/>
  <c r="J26" i="7"/>
  <c r="J27" i="7"/>
  <c r="I19" i="7"/>
  <c r="D45" i="7"/>
  <c r="J29" i="7" s="1"/>
  <c r="E55" i="7"/>
  <c r="E56" i="7"/>
  <c r="E57" i="7"/>
  <c r="E58" i="7"/>
  <c r="E54" i="7"/>
  <c r="C46" i="7"/>
  <c r="D36" i="7"/>
  <c r="F17" i="7" s="1"/>
  <c r="C38" i="7"/>
  <c r="D38" i="7" s="1"/>
  <c r="C37" i="7"/>
  <c r="D37" i="7" s="1"/>
  <c r="G17" i="7" s="1"/>
  <c r="E19" i="7"/>
  <c r="E18" i="7"/>
  <c r="E14" i="7"/>
  <c r="E15" i="7"/>
  <c r="E16" i="7"/>
  <c r="E17" i="7"/>
  <c r="E13" i="7"/>
  <c r="D1" i="1"/>
  <c r="I121" i="8" l="1"/>
  <c r="E121" i="8"/>
  <c r="G121" i="8"/>
  <c r="F121" i="8"/>
  <c r="D121" i="8"/>
  <c r="J121" i="8"/>
  <c r="H121" i="8"/>
  <c r="K121" i="8"/>
  <c r="C31" i="6"/>
  <c r="H31" i="6"/>
  <c r="J33" i="6"/>
  <c r="L29" i="6"/>
  <c r="I20" i="6"/>
  <c r="I29" i="6" s="1"/>
  <c r="J28" i="7"/>
  <c r="F57" i="7"/>
  <c r="F56" i="7"/>
  <c r="D46" i="7"/>
  <c r="J20" i="7"/>
  <c r="F58" i="7"/>
  <c r="F55" i="7"/>
  <c r="J22" i="7"/>
  <c r="J21" i="7"/>
  <c r="F54" i="7"/>
  <c r="F13" i="7"/>
  <c r="H13" i="7"/>
  <c r="H14" i="7"/>
  <c r="H15" i="7"/>
  <c r="H16" i="7"/>
  <c r="H17" i="7"/>
  <c r="F14" i="7"/>
  <c r="G13" i="7"/>
  <c r="F15" i="7"/>
  <c r="F16" i="7"/>
  <c r="G16" i="7"/>
  <c r="G15" i="7"/>
  <c r="G14" i="7"/>
  <c r="N4" i="6"/>
  <c r="M3" i="6" s="1"/>
  <c r="M28" i="6"/>
  <c r="M27" i="6"/>
  <c r="M26" i="6"/>
  <c r="N16" i="6"/>
  <c r="M15" i="6" s="1"/>
  <c r="N11" i="6"/>
  <c r="M10" i="6" s="1"/>
  <c r="H43" i="6"/>
  <c r="C43" i="6"/>
  <c r="J52" i="6"/>
  <c r="J50" i="6" s="1"/>
  <c r="E52" i="6"/>
  <c r="E50" i="6" s="1"/>
  <c r="H37" i="6"/>
  <c r="C37" i="6"/>
  <c r="D33" i="6"/>
  <c r="F33" i="6" s="1"/>
  <c r="G20" i="6"/>
  <c r="D20" i="6"/>
  <c r="C15" i="6"/>
  <c r="D10" i="6"/>
  <c r="C7" i="6"/>
  <c r="C5" i="6" s="1"/>
  <c r="I34" i="5"/>
  <c r="H34" i="5"/>
  <c r="S35" i="5"/>
  <c r="W29" i="5"/>
  <c r="U43" i="5"/>
  <c r="U41" i="5"/>
  <c r="U39" i="5" s="1"/>
  <c r="T34" i="5"/>
  <c r="V34" i="5" s="1"/>
  <c r="S34" i="5"/>
  <c r="T32" i="5"/>
  <c r="V32" i="5" s="1"/>
  <c r="S25" i="5"/>
  <c r="W20" i="5"/>
  <c r="T20" i="5"/>
  <c r="S15" i="5"/>
  <c r="W10" i="5"/>
  <c r="T10" i="5"/>
  <c r="S7" i="5"/>
  <c r="S5" i="5" s="1"/>
  <c r="K34" i="5"/>
  <c r="D34" i="5"/>
  <c r="F34" i="5" s="1"/>
  <c r="C34" i="5"/>
  <c r="L10" i="5"/>
  <c r="G10" i="5"/>
  <c r="I10" i="5"/>
  <c r="D10" i="5"/>
  <c r="L20" i="5"/>
  <c r="I20" i="5"/>
  <c r="G20" i="5"/>
  <c r="D20" i="5"/>
  <c r="H25" i="5"/>
  <c r="C25" i="5"/>
  <c r="H35" i="5"/>
  <c r="C35" i="5"/>
  <c r="I32" i="5"/>
  <c r="K32" i="5" s="1"/>
  <c r="J43" i="5"/>
  <c r="J41" i="5"/>
  <c r="J39" i="5" s="1"/>
  <c r="E41" i="5"/>
  <c r="E43" i="5"/>
  <c r="D32" i="5"/>
  <c r="F32" i="5" s="1"/>
  <c r="H15" i="5"/>
  <c r="C15" i="5"/>
  <c r="H7" i="5"/>
  <c r="H5" i="5" s="1"/>
  <c r="C7" i="5"/>
  <c r="C5" i="5" s="1"/>
  <c r="B41" i="2"/>
  <c r="B42" i="2"/>
  <c r="E38" i="2"/>
  <c r="BJ9" i="2"/>
  <c r="BJ6" i="2"/>
  <c r="W9" i="2"/>
  <c r="BT9" i="2"/>
  <c r="BS9" i="2"/>
  <c r="BR9" i="2"/>
  <c r="BQ9" i="2"/>
  <c r="BP9" i="2"/>
  <c r="BT6" i="2"/>
  <c r="BS6" i="2"/>
  <c r="BR6" i="2"/>
  <c r="BQ6" i="2"/>
  <c r="BP6" i="2"/>
  <c r="BL9" i="2"/>
  <c r="BM9" i="2"/>
  <c r="BN9" i="2"/>
  <c r="BO9" i="2"/>
  <c r="BK9" i="2"/>
  <c r="BL6" i="2"/>
  <c r="BM6" i="2"/>
  <c r="BN6" i="2"/>
  <c r="BO6" i="2"/>
  <c r="BK6" i="2"/>
  <c r="BU6" i="2"/>
  <c r="BU9" i="2" s="1"/>
  <c r="BV9" i="2"/>
  <c r="BW9" i="2"/>
  <c r="BX9" i="2"/>
  <c r="AI9" i="2"/>
  <c r="AH9" i="2"/>
  <c r="AG9" i="2"/>
  <c r="AF9" i="2"/>
  <c r="V9" i="2"/>
  <c r="U9" i="2"/>
  <c r="T9" i="2"/>
  <c r="AE9" i="2"/>
  <c r="AD9" i="2"/>
  <c r="AC9" i="2"/>
  <c r="AB9" i="2"/>
  <c r="AA9" i="2"/>
  <c r="Z9" i="2"/>
  <c r="Y6" i="2"/>
  <c r="M6" i="2"/>
  <c r="F424" i="3"/>
  <c r="E424" i="3" s="1"/>
  <c r="H424" i="3"/>
  <c r="F423" i="3"/>
  <c r="E423" i="3" s="1"/>
  <c r="H423" i="3"/>
  <c r="F422" i="3"/>
  <c r="E422" i="3" s="1"/>
  <c r="H422" i="3"/>
  <c r="F421" i="3"/>
  <c r="E421" i="3" s="1"/>
  <c r="H421" i="3"/>
  <c r="P18" i="3" a="1"/>
  <c r="P18" i="3" s="1"/>
  <c r="P17" i="3"/>
  <c r="F420" i="3"/>
  <c r="E420" i="3" s="1"/>
  <c r="H420" i="3"/>
  <c r="P31" i="2"/>
  <c r="P29" i="2"/>
  <c r="P26" i="2"/>
  <c r="P17" i="2"/>
  <c r="P22" i="2"/>
  <c r="P23" i="2"/>
  <c r="P25" i="2"/>
  <c r="Q13" i="4"/>
  <c r="R13" i="4" s="1"/>
  <c r="Q12" i="4"/>
  <c r="R12" i="4" s="1"/>
  <c r="P13" i="4"/>
  <c r="P12" i="4"/>
  <c r="F419" i="3"/>
  <c r="E419" i="3" s="1"/>
  <c r="H419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E227" i="3" s="1"/>
  <c r="F228" i="3"/>
  <c r="E228" i="3" s="1"/>
  <c r="F229" i="3"/>
  <c r="E229" i="3" s="1"/>
  <c r="F230" i="3"/>
  <c r="F231" i="3"/>
  <c r="F232" i="3"/>
  <c r="E232" i="3" s="1"/>
  <c r="F233" i="3"/>
  <c r="E233" i="3" s="1"/>
  <c r="F234" i="3"/>
  <c r="E234" i="3" s="1"/>
  <c r="F235" i="3"/>
  <c r="F236" i="3"/>
  <c r="E236" i="3" s="1"/>
  <c r="F237" i="3"/>
  <c r="E237" i="3" s="1"/>
  <c r="F238" i="3"/>
  <c r="E238" i="3" s="1"/>
  <c r="F239" i="3"/>
  <c r="F240" i="3"/>
  <c r="F241" i="3"/>
  <c r="E241" i="3" s="1"/>
  <c r="F242" i="3"/>
  <c r="E242" i="3" s="1"/>
  <c r="F243" i="3"/>
  <c r="E243" i="3" s="1"/>
  <c r="F244" i="3"/>
  <c r="E244" i="3" s="1"/>
  <c r="F245" i="3"/>
  <c r="E245" i="3" s="1"/>
  <c r="F246" i="3"/>
  <c r="E246" i="3" s="1"/>
  <c r="F247" i="3"/>
  <c r="E247" i="3" s="1"/>
  <c r="F248" i="3"/>
  <c r="E248" i="3" s="1"/>
  <c r="F249" i="3"/>
  <c r="E249" i="3" s="1"/>
  <c r="F250" i="3"/>
  <c r="E250" i="3" s="1"/>
  <c r="F251" i="3"/>
  <c r="E251" i="3" s="1"/>
  <c r="F252" i="3"/>
  <c r="E252" i="3" s="1"/>
  <c r="F253" i="3"/>
  <c r="E253" i="3" s="1"/>
  <c r="F254" i="3"/>
  <c r="E254" i="3" s="1"/>
  <c r="F255" i="3"/>
  <c r="E255" i="3" s="1"/>
  <c r="F256" i="3"/>
  <c r="E256" i="3" s="1"/>
  <c r="F257" i="3"/>
  <c r="E257" i="3" s="1"/>
  <c r="F258" i="3"/>
  <c r="E258" i="3" s="1"/>
  <c r="F259" i="3"/>
  <c r="E259" i="3" s="1"/>
  <c r="F260" i="3"/>
  <c r="E260" i="3" s="1"/>
  <c r="F261" i="3"/>
  <c r="E261" i="3" s="1"/>
  <c r="F262" i="3"/>
  <c r="E262" i="3" s="1"/>
  <c r="F263" i="3"/>
  <c r="F264" i="3"/>
  <c r="E264" i="3" s="1"/>
  <c r="F265" i="3"/>
  <c r="E265" i="3" s="1"/>
  <c r="F266" i="3"/>
  <c r="E266" i="3" s="1"/>
  <c r="F267" i="3"/>
  <c r="E267" i="3" s="1"/>
  <c r="F268" i="3"/>
  <c r="E268" i="3" s="1"/>
  <c r="F269" i="3"/>
  <c r="E269" i="3" s="1"/>
  <c r="F270" i="3"/>
  <c r="E270" i="3" s="1"/>
  <c r="F271" i="3"/>
  <c r="E271" i="3" s="1"/>
  <c r="F272" i="3"/>
  <c r="E272" i="3" s="1"/>
  <c r="F273" i="3"/>
  <c r="E273" i="3" s="1"/>
  <c r="F274" i="3"/>
  <c r="E274" i="3" s="1"/>
  <c r="F275" i="3"/>
  <c r="E275" i="3" s="1"/>
  <c r="F276" i="3"/>
  <c r="E276" i="3" s="1"/>
  <c r="F277" i="3"/>
  <c r="E277" i="3" s="1"/>
  <c r="F278" i="3"/>
  <c r="F279" i="3"/>
  <c r="E279" i="3" s="1"/>
  <c r="F280" i="3"/>
  <c r="F281" i="3"/>
  <c r="E281" i="3" s="1"/>
  <c r="F282" i="3"/>
  <c r="E282" i="3" s="1"/>
  <c r="F283" i="3"/>
  <c r="E283" i="3" s="1"/>
  <c r="F284" i="3"/>
  <c r="E284" i="3" s="1"/>
  <c r="F285" i="3"/>
  <c r="E285" i="3" s="1"/>
  <c r="F286" i="3"/>
  <c r="E286" i="3" s="1"/>
  <c r="F287" i="3"/>
  <c r="F288" i="3"/>
  <c r="E288" i="3" s="1"/>
  <c r="F289" i="3"/>
  <c r="E289" i="3" s="1"/>
  <c r="F290" i="3"/>
  <c r="E290" i="3" s="1"/>
  <c r="F291" i="3"/>
  <c r="E291" i="3" s="1"/>
  <c r="F292" i="3"/>
  <c r="E292" i="3" s="1"/>
  <c r="F293" i="3"/>
  <c r="E293" i="3" s="1"/>
  <c r="F294" i="3"/>
  <c r="E294" i="3" s="1"/>
  <c r="F295" i="3"/>
  <c r="E295" i="3" s="1"/>
  <c r="F296" i="3"/>
  <c r="F297" i="3"/>
  <c r="F298" i="3"/>
  <c r="F299" i="3"/>
  <c r="E299" i="3" s="1"/>
  <c r="F300" i="3"/>
  <c r="E300" i="3" s="1"/>
  <c r="F301" i="3"/>
  <c r="E301" i="3" s="1"/>
  <c r="F302" i="3"/>
  <c r="F303" i="3"/>
  <c r="F304" i="3"/>
  <c r="E304" i="3" s="1"/>
  <c r="F305" i="3"/>
  <c r="E305" i="3" s="1"/>
  <c r="F306" i="3"/>
  <c r="E306" i="3" s="1"/>
  <c r="F307" i="3"/>
  <c r="E307" i="3" s="1"/>
  <c r="F308" i="3"/>
  <c r="E308" i="3" s="1"/>
  <c r="F309" i="3"/>
  <c r="E309" i="3" s="1"/>
  <c r="F310" i="3"/>
  <c r="F311" i="3"/>
  <c r="F312" i="3"/>
  <c r="F313" i="3"/>
  <c r="E313" i="3" s="1"/>
  <c r="F314" i="3"/>
  <c r="E314" i="3" s="1"/>
  <c r="F315" i="3"/>
  <c r="E315" i="3" s="1"/>
  <c r="F316" i="3"/>
  <c r="E316" i="3" s="1"/>
  <c r="F317" i="3"/>
  <c r="E317" i="3" s="1"/>
  <c r="F318" i="3"/>
  <c r="E318" i="3" s="1"/>
  <c r="F319" i="3"/>
  <c r="E319" i="3" s="1"/>
  <c r="F320" i="3"/>
  <c r="F321" i="3"/>
  <c r="F322" i="3"/>
  <c r="F323" i="3"/>
  <c r="E323" i="3" s="1"/>
  <c r="F324" i="3"/>
  <c r="E324" i="3" s="1"/>
  <c r="F325" i="3"/>
  <c r="E325" i="3" s="1"/>
  <c r="F326" i="3"/>
  <c r="F327" i="3"/>
  <c r="F328" i="3"/>
  <c r="E328" i="3" s="1"/>
  <c r="F329" i="3"/>
  <c r="E329" i="3" s="1"/>
  <c r="F330" i="3"/>
  <c r="E330" i="3" s="1"/>
  <c r="F331" i="3"/>
  <c r="E331" i="3" s="1"/>
  <c r="F332" i="3"/>
  <c r="E332" i="3" s="1"/>
  <c r="F333" i="3"/>
  <c r="E333" i="3" s="1"/>
  <c r="F334" i="3"/>
  <c r="E334" i="3" s="1"/>
  <c r="F335" i="3"/>
  <c r="F336" i="3"/>
  <c r="F337" i="3"/>
  <c r="E337" i="3" s="1"/>
  <c r="F338" i="3"/>
  <c r="E338" i="3" s="1"/>
  <c r="F339" i="3"/>
  <c r="E339" i="3" s="1"/>
  <c r="F340" i="3"/>
  <c r="E340" i="3" s="1"/>
  <c r="F341" i="3"/>
  <c r="E341" i="3" s="1"/>
  <c r="F342" i="3"/>
  <c r="E342" i="3" s="1"/>
  <c r="F343" i="3"/>
  <c r="E343" i="3" s="1"/>
  <c r="F344" i="3"/>
  <c r="F345" i="3"/>
  <c r="F346" i="3"/>
  <c r="F347" i="3"/>
  <c r="E347" i="3" s="1"/>
  <c r="F348" i="3"/>
  <c r="E348" i="3" s="1"/>
  <c r="F349" i="3"/>
  <c r="E349" i="3" s="1"/>
  <c r="F350" i="3"/>
  <c r="E350" i="3" s="1"/>
  <c r="F351" i="3"/>
  <c r="E351" i="3" s="1"/>
  <c r="F352" i="3"/>
  <c r="E352" i="3" s="1"/>
  <c r="F353" i="3"/>
  <c r="E353" i="3" s="1"/>
  <c r="F354" i="3"/>
  <c r="E354" i="3" s="1"/>
  <c r="F355" i="3"/>
  <c r="E355" i="3" s="1"/>
  <c r="F356" i="3"/>
  <c r="E356" i="3" s="1"/>
  <c r="F357" i="3"/>
  <c r="E357" i="3" s="1"/>
  <c r="F358" i="3"/>
  <c r="E358" i="3" s="1"/>
  <c r="F359" i="3"/>
  <c r="F360" i="3"/>
  <c r="F361" i="3"/>
  <c r="E361" i="3" s="1"/>
  <c r="F362" i="3"/>
  <c r="E362" i="3" s="1"/>
  <c r="F363" i="3"/>
  <c r="E363" i="3" s="1"/>
  <c r="F364" i="3"/>
  <c r="E364" i="3" s="1"/>
  <c r="F365" i="3"/>
  <c r="E365" i="3" s="1"/>
  <c r="F366" i="3"/>
  <c r="E366" i="3" s="1"/>
  <c r="F367" i="3"/>
  <c r="E367" i="3" s="1"/>
  <c r="F368" i="3"/>
  <c r="E368" i="3" s="1"/>
  <c r="F369" i="3"/>
  <c r="E369" i="3" s="1"/>
  <c r="F370" i="3"/>
  <c r="E370" i="3" s="1"/>
  <c r="F371" i="3"/>
  <c r="E371" i="3" s="1"/>
  <c r="F372" i="3"/>
  <c r="E372" i="3" s="1"/>
  <c r="F373" i="3"/>
  <c r="E373" i="3" s="1"/>
  <c r="F374" i="3"/>
  <c r="F375" i="3"/>
  <c r="E375" i="3" s="1"/>
  <c r="F376" i="3"/>
  <c r="E376" i="3" s="1"/>
  <c r="F377" i="3"/>
  <c r="E377" i="3" s="1"/>
  <c r="F378" i="3"/>
  <c r="E378" i="3" s="1"/>
  <c r="F379" i="3"/>
  <c r="E379" i="3" s="1"/>
  <c r="F380" i="3"/>
  <c r="E380" i="3" s="1"/>
  <c r="F381" i="3"/>
  <c r="E381" i="3" s="1"/>
  <c r="F382" i="3"/>
  <c r="E382" i="3" s="1"/>
  <c r="F383" i="3"/>
  <c r="E383" i="3" s="1"/>
  <c r="F384" i="3"/>
  <c r="E384" i="3" s="1"/>
  <c r="F385" i="3"/>
  <c r="E385" i="3" s="1"/>
  <c r="F386" i="3"/>
  <c r="E386" i="3" s="1"/>
  <c r="F387" i="3"/>
  <c r="E387" i="3" s="1"/>
  <c r="F388" i="3"/>
  <c r="E388" i="3" s="1"/>
  <c r="F389" i="3"/>
  <c r="E389" i="3" s="1"/>
  <c r="F390" i="3"/>
  <c r="E390" i="3" s="1"/>
  <c r="F391" i="3"/>
  <c r="E391" i="3" s="1"/>
  <c r="F392" i="3"/>
  <c r="E392" i="3" s="1"/>
  <c r="F393" i="3"/>
  <c r="E393" i="3" s="1"/>
  <c r="F394" i="3"/>
  <c r="E394" i="3" s="1"/>
  <c r="F395" i="3"/>
  <c r="E395" i="3" s="1"/>
  <c r="F396" i="3"/>
  <c r="E396" i="3" s="1"/>
  <c r="F397" i="3"/>
  <c r="E397" i="3" s="1"/>
  <c r="F398" i="3"/>
  <c r="E398" i="3" s="1"/>
  <c r="F399" i="3"/>
  <c r="E399" i="3" s="1"/>
  <c r="F400" i="3"/>
  <c r="E400" i="3" s="1"/>
  <c r="F401" i="3"/>
  <c r="E401" i="3" s="1"/>
  <c r="F402" i="3"/>
  <c r="E402" i="3" s="1"/>
  <c r="F403" i="3"/>
  <c r="E403" i="3" s="1"/>
  <c r="F404" i="3"/>
  <c r="E404" i="3" s="1"/>
  <c r="F405" i="3"/>
  <c r="E405" i="3" s="1"/>
  <c r="F406" i="3"/>
  <c r="E406" i="3" s="1"/>
  <c r="F407" i="3"/>
  <c r="E407" i="3" s="1"/>
  <c r="F408" i="3"/>
  <c r="E408" i="3" s="1"/>
  <c r="F409" i="3"/>
  <c r="E409" i="3" s="1"/>
  <c r="F410" i="3"/>
  <c r="E410" i="3" s="1"/>
  <c r="F411" i="3"/>
  <c r="E411" i="3" s="1"/>
  <c r="F412" i="3"/>
  <c r="E412" i="3" s="1"/>
  <c r="F413" i="3"/>
  <c r="E413" i="3" s="1"/>
  <c r="F414" i="3"/>
  <c r="E414" i="3" s="1"/>
  <c r="F415" i="3"/>
  <c r="E415" i="3" s="1"/>
  <c r="F416" i="3"/>
  <c r="E416" i="3" s="1"/>
  <c r="F417" i="3"/>
  <c r="E417" i="3" s="1"/>
  <c r="F418" i="3"/>
  <c r="E418" i="3" s="1"/>
  <c r="E327" i="3"/>
  <c r="E303" i="3"/>
  <c r="E280" i="3"/>
  <c r="E231" i="3"/>
  <c r="H23" i="3"/>
  <c r="F23" i="3"/>
  <c r="Q18" i="3" a="1"/>
  <c r="Q18" i="3" s="1"/>
  <c r="O18" i="3" a="1"/>
  <c r="O18" i="3" s="1"/>
  <c r="N18" i="3" a="1"/>
  <c r="N18" i="3" s="1"/>
  <c r="M18" i="3" a="1"/>
  <c r="M18" i="3" s="1"/>
  <c r="L18" i="3" a="1"/>
  <c r="L18" i="3" s="1"/>
  <c r="K18" i="3" a="1"/>
  <c r="K18" i="3" s="1"/>
  <c r="J18" i="3" a="1"/>
  <c r="J18" i="3" s="1"/>
  <c r="I18" i="3" a="1"/>
  <c r="I18" i="3" s="1"/>
  <c r="H18" i="3" a="1"/>
  <c r="H18" i="3" s="1"/>
  <c r="G18" i="3" a="1"/>
  <c r="G18" i="3" s="1"/>
  <c r="F18" i="3" a="1"/>
  <c r="F18" i="3" s="1"/>
  <c r="E18" i="3" a="1"/>
  <c r="E18" i="3" s="1"/>
  <c r="D18" i="3" a="1"/>
  <c r="D18" i="3" s="1"/>
  <c r="C18" i="3" a="1"/>
  <c r="C18" i="3" s="1"/>
  <c r="B18" i="3"/>
  <c r="B16" i="3"/>
  <c r="B4" i="3" a="1"/>
  <c r="B14" i="3" s="1"/>
  <c r="O17" i="3"/>
  <c r="N17" i="3"/>
  <c r="E374" i="3"/>
  <c r="E360" i="3"/>
  <c r="E359" i="3"/>
  <c r="BI9" i="2"/>
  <c r="BH9" i="2"/>
  <c r="BG9" i="2"/>
  <c r="BF9" i="2"/>
  <c r="E346" i="3"/>
  <c r="E345" i="3"/>
  <c r="E344" i="3"/>
  <c r="E336" i="3"/>
  <c r="E335" i="3"/>
  <c r="Q13" i="2"/>
  <c r="Q14" i="2" s="1"/>
  <c r="R12" i="2"/>
  <c r="E326" i="3"/>
  <c r="E322" i="3"/>
  <c r="E321" i="3"/>
  <c r="E320" i="3"/>
  <c r="AF1" i="3"/>
  <c r="E312" i="3"/>
  <c r="E311" i="3"/>
  <c r="E310" i="3"/>
  <c r="AL9" i="2"/>
  <c r="R9" i="2"/>
  <c r="Q9" i="2"/>
  <c r="X9" i="2"/>
  <c r="S9" i="2"/>
  <c r="P9" i="2"/>
  <c r="O9" i="2"/>
  <c r="N9" i="2"/>
  <c r="E302" i="3"/>
  <c r="E298" i="3"/>
  <c r="E297" i="3"/>
  <c r="E296" i="3"/>
  <c r="E287" i="3"/>
  <c r="E278" i="3"/>
  <c r="E263" i="3"/>
  <c r="E240" i="3"/>
  <c r="E239" i="3"/>
  <c r="E235" i="3"/>
  <c r="E230" i="3"/>
  <c r="D29" i="6" l="1"/>
  <c r="G29" i="6"/>
  <c r="G40" i="6" s="1"/>
  <c r="G46" i="6" s="1"/>
  <c r="M14" i="7"/>
  <c r="M15" i="7"/>
  <c r="M13" i="7"/>
  <c r="L14" i="7"/>
  <c r="N13" i="7"/>
  <c r="L15" i="7"/>
  <c r="N17" i="7"/>
  <c r="N16" i="7"/>
  <c r="N15" i="7"/>
  <c r="N14" i="7"/>
  <c r="L13" i="7"/>
  <c r="L17" i="7"/>
  <c r="M17" i="7"/>
  <c r="M16" i="7"/>
  <c r="L16" i="7"/>
  <c r="M37" i="6"/>
  <c r="N12" i="6"/>
  <c r="N13" i="6"/>
  <c r="M5" i="6"/>
  <c r="N23" i="6"/>
  <c r="N52" i="6"/>
  <c r="N44" i="6"/>
  <c r="M43" i="6" s="1"/>
  <c r="N22" i="6"/>
  <c r="M20" i="6" s="1"/>
  <c r="M25" i="6"/>
  <c r="E33" i="6"/>
  <c r="N33" i="6"/>
  <c r="L40" i="6"/>
  <c r="L46" i="6" s="1"/>
  <c r="C50" i="6"/>
  <c r="G50" i="6" s="1"/>
  <c r="H50" i="6"/>
  <c r="U32" i="5"/>
  <c r="T29" i="5"/>
  <c r="W44" i="5"/>
  <c r="U34" i="5"/>
  <c r="S30" i="5" s="1"/>
  <c r="S39" i="5"/>
  <c r="W39" i="5" s="1"/>
  <c r="J34" i="5"/>
  <c r="E39" i="5"/>
  <c r="G29" i="5"/>
  <c r="G44" i="5" s="1"/>
  <c r="D29" i="5"/>
  <c r="L29" i="5"/>
  <c r="L44" i="5" s="1"/>
  <c r="P36" i="5" s="1"/>
  <c r="E34" i="5"/>
  <c r="I29" i="5"/>
  <c r="J32" i="5"/>
  <c r="H30" i="5" s="1"/>
  <c r="I44" i="5" s="1"/>
  <c r="P37" i="5" s="1"/>
  <c r="P38" i="5" s="1"/>
  <c r="P40" i="5" s="1"/>
  <c r="H39" i="5"/>
  <c r="L39" i="5" s="1"/>
  <c r="C39" i="5"/>
  <c r="G39" i="5" s="1"/>
  <c r="E32" i="5"/>
  <c r="C30" i="5" s="1"/>
  <c r="D44" i="5" s="1"/>
  <c r="Y9" i="2"/>
  <c r="M9" i="2"/>
  <c r="N19" i="3" a="1"/>
  <c r="N19" i="3" s="1"/>
  <c r="P16" i="3"/>
  <c r="P19" i="3" a="1"/>
  <c r="P19" i="3" s="1"/>
  <c r="P30" i="2"/>
  <c r="P32" i="2" s="1"/>
  <c r="B4" i="3"/>
  <c r="B5" i="3"/>
  <c r="B6" i="3"/>
  <c r="B7" i="3"/>
  <c r="B15" i="3"/>
  <c r="B8" i="3"/>
  <c r="B9" i="3"/>
  <c r="B10" i="3"/>
  <c r="B12" i="3"/>
  <c r="B11" i="3"/>
  <c r="B13" i="3"/>
  <c r="O19" i="3" a="1"/>
  <c r="O19" i="3" s="1"/>
  <c r="N16" i="3"/>
  <c r="N4" i="3" s="1" a="1"/>
  <c r="O16" i="3"/>
  <c r="O4" i="3" s="1" a="1"/>
  <c r="E226" i="3"/>
  <c r="B6" i="2"/>
  <c r="C9" i="2"/>
  <c r="E225" i="3"/>
  <c r="E224" i="3"/>
  <c r="E223" i="3"/>
  <c r="E222" i="3"/>
  <c r="E221" i="3"/>
  <c r="E220" i="3"/>
  <c r="E219" i="3"/>
  <c r="E218" i="3"/>
  <c r="E217" i="3"/>
  <c r="E216" i="3"/>
  <c r="AK12" i="3"/>
  <c r="AK11" i="3"/>
  <c r="AN12" i="3"/>
  <c r="AO12" i="3" s="1"/>
  <c r="AN11" i="3"/>
  <c r="AO11" i="3" s="1"/>
  <c r="E215" i="3"/>
  <c r="E214" i="3"/>
  <c r="E213" i="3"/>
  <c r="E212" i="3"/>
  <c r="E211" i="3"/>
  <c r="E210" i="3"/>
  <c r="E209" i="3"/>
  <c r="E208" i="3"/>
  <c r="E207" i="3"/>
  <c r="E206" i="3"/>
  <c r="E205" i="3"/>
  <c r="E204" i="3"/>
  <c r="E203" i="3"/>
  <c r="E202" i="3"/>
  <c r="E92" i="3"/>
  <c r="I27" i="4"/>
  <c r="F27" i="4"/>
  <c r="I26" i="4"/>
  <c r="I25" i="4"/>
  <c r="F25" i="4"/>
  <c r="I24" i="4"/>
  <c r="I23" i="4"/>
  <c r="I22" i="4"/>
  <c r="I21" i="4"/>
  <c r="I20" i="4"/>
  <c r="I19" i="4"/>
  <c r="I18" i="4"/>
  <c r="I17" i="4"/>
  <c r="F17" i="4"/>
  <c r="I16" i="4"/>
  <c r="F16" i="4"/>
  <c r="I15" i="4"/>
  <c r="I14" i="4"/>
  <c r="I13" i="4"/>
  <c r="I12" i="4"/>
  <c r="I11" i="4"/>
  <c r="I10" i="4"/>
  <c r="F10" i="4"/>
  <c r="I9" i="4"/>
  <c r="I8" i="4"/>
  <c r="F7" i="4"/>
  <c r="E194" i="3"/>
  <c r="E201" i="3"/>
  <c r="Q17" i="3"/>
  <c r="M17" i="3"/>
  <c r="L17" i="3"/>
  <c r="K17" i="3"/>
  <c r="J17" i="3"/>
  <c r="I17" i="3"/>
  <c r="H17" i="3"/>
  <c r="G17" i="3"/>
  <c r="F17" i="3"/>
  <c r="E17" i="3"/>
  <c r="D17" i="3"/>
  <c r="C17" i="3"/>
  <c r="B17" i="3"/>
  <c r="AB3" i="3" s="1"/>
  <c r="E193" i="3"/>
  <c r="E192" i="3"/>
  <c r="E191" i="3"/>
  <c r="E190" i="3"/>
  <c r="E189" i="3"/>
  <c r="Z17" i="3"/>
  <c r="Z16" i="3"/>
  <c r="Z15" i="3"/>
  <c r="Z14" i="3"/>
  <c r="Z13" i="3"/>
  <c r="Z12" i="3"/>
  <c r="Z11" i="3"/>
  <c r="Z10" i="3"/>
  <c r="Z9" i="3"/>
  <c r="Z8" i="3"/>
  <c r="Z7" i="3"/>
  <c r="Z6" i="3"/>
  <c r="Z5" i="3"/>
  <c r="Z4" i="3"/>
  <c r="Z3" i="3"/>
  <c r="Z2" i="3"/>
  <c r="X19" i="3"/>
  <c r="X18" i="3"/>
  <c r="X17" i="3"/>
  <c r="X16" i="3"/>
  <c r="X15" i="3"/>
  <c r="X14" i="3"/>
  <c r="X13" i="3"/>
  <c r="X12" i="3"/>
  <c r="X11" i="3"/>
  <c r="X10" i="3"/>
  <c r="X9" i="3"/>
  <c r="X8" i="3"/>
  <c r="X7" i="3"/>
  <c r="X6" i="3"/>
  <c r="X5" i="3"/>
  <c r="X4" i="3"/>
  <c r="X3" i="3"/>
  <c r="X2" i="3"/>
  <c r="V19" i="3"/>
  <c r="V18" i="3"/>
  <c r="V17" i="3"/>
  <c r="V16" i="3"/>
  <c r="V15" i="3"/>
  <c r="V14" i="3"/>
  <c r="V13" i="3"/>
  <c r="V12" i="3"/>
  <c r="V11" i="3"/>
  <c r="V10" i="3"/>
  <c r="V9" i="3"/>
  <c r="V8" i="3"/>
  <c r="V7" i="3"/>
  <c r="V6" i="3"/>
  <c r="V5" i="3"/>
  <c r="V4" i="3"/>
  <c r="V3" i="3"/>
  <c r="V2" i="3"/>
  <c r="T3" i="3"/>
  <c r="T4" i="3"/>
  <c r="T5" i="3"/>
  <c r="T6" i="3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" i="3"/>
  <c r="E188" i="3"/>
  <c r="E187" i="3"/>
  <c r="E200" i="3"/>
  <c r="E199" i="3"/>
  <c r="E198" i="3"/>
  <c r="E184" i="3"/>
  <c r="E183" i="3"/>
  <c r="E162" i="3"/>
  <c r="E161" i="3"/>
  <c r="E158" i="3"/>
  <c r="E157" i="3"/>
  <c r="E156" i="3"/>
  <c r="E139" i="3"/>
  <c r="E138" i="3"/>
  <c r="E137" i="3"/>
  <c r="E134" i="3"/>
  <c r="E133" i="3"/>
  <c r="E130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80" i="3"/>
  <c r="E81" i="3"/>
  <c r="E82" i="3"/>
  <c r="E83" i="3"/>
  <c r="E84" i="3"/>
  <c r="E85" i="3"/>
  <c r="E86" i="3"/>
  <c r="E87" i="3"/>
  <c r="E88" i="3"/>
  <c r="E89" i="3"/>
  <c r="E90" i="3"/>
  <c r="E91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1" i="3"/>
  <c r="E132" i="3"/>
  <c r="E135" i="3"/>
  <c r="E136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9" i="3"/>
  <c r="E160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5" i="3"/>
  <c r="E186" i="3"/>
  <c r="E195" i="3"/>
  <c r="E196" i="3"/>
  <c r="E197" i="3"/>
  <c r="I9" i="2"/>
  <c r="G12" i="2"/>
  <c r="E23" i="3"/>
  <c r="AM6" i="3"/>
  <c r="AM5" i="3"/>
  <c r="AM3" i="3"/>
  <c r="BC6" i="2"/>
  <c r="AZ9" i="2"/>
  <c r="AY9" i="2"/>
  <c r="AX9" i="2"/>
  <c r="AW9" i="2"/>
  <c r="AV9" i="2"/>
  <c r="AU9" i="2"/>
  <c r="AK9" i="2"/>
  <c r="AM9" i="2"/>
  <c r="AN9" i="2"/>
  <c r="AO9" i="2"/>
  <c r="B23" i="2"/>
  <c r="AJ9" i="2"/>
  <c r="H6" i="2"/>
  <c r="J9" i="2"/>
  <c r="K9" i="2"/>
  <c r="L9" i="2"/>
  <c r="B17" i="2"/>
  <c r="B19" i="2"/>
  <c r="B25" i="2"/>
  <c r="E9" i="2"/>
  <c r="F9" i="2"/>
  <c r="AP9" i="2"/>
  <c r="AQ9" i="2"/>
  <c r="AR9" i="2"/>
  <c r="AS9" i="2"/>
  <c r="AT9" i="2"/>
  <c r="G55" i="6" l="1"/>
  <c r="D40" i="6"/>
  <c r="D46" i="6" s="1"/>
  <c r="D55" i="6" s="1"/>
  <c r="N32" i="6"/>
  <c r="M31" i="6" s="1"/>
  <c r="N34" i="6"/>
  <c r="L50" i="6"/>
  <c r="L55" i="6" s="1"/>
  <c r="N51" i="6"/>
  <c r="N29" i="6"/>
  <c r="N30" i="6"/>
  <c r="P41" i="5"/>
  <c r="T44" i="5"/>
  <c r="U46" i="5"/>
  <c r="T45" i="5"/>
  <c r="J46" i="5"/>
  <c r="L45" i="5"/>
  <c r="I45" i="5"/>
  <c r="E46" i="5"/>
  <c r="G45" i="5"/>
  <c r="D45" i="5"/>
  <c r="P20" i="3"/>
  <c r="P4" i="3" a="1"/>
  <c r="O13" i="3"/>
  <c r="O12" i="3"/>
  <c r="O15" i="3"/>
  <c r="O11" i="3"/>
  <c r="O10" i="3"/>
  <c r="O9" i="3"/>
  <c r="O8" i="3"/>
  <c r="O7" i="3"/>
  <c r="O6" i="3"/>
  <c r="O14" i="3"/>
  <c r="O5" i="3"/>
  <c r="O4" i="3"/>
  <c r="N13" i="3"/>
  <c r="N12" i="3"/>
  <c r="N11" i="3"/>
  <c r="N5" i="3"/>
  <c r="N9" i="3"/>
  <c r="N4" i="3"/>
  <c r="N15" i="3"/>
  <c r="N14" i="3"/>
  <c r="N10" i="3"/>
  <c r="N8" i="3"/>
  <c r="N7" i="3"/>
  <c r="N6" i="3"/>
  <c r="N20" i="3"/>
  <c r="O20" i="3"/>
  <c r="AB2" i="3"/>
  <c r="AB4" i="3" s="1"/>
  <c r="AB5" i="3" s="1"/>
  <c r="AB6" i="3" s="1"/>
  <c r="G13" i="2"/>
  <c r="H12" i="2" s="1"/>
  <c r="D9" i="2"/>
  <c r="B9" i="2" s="1"/>
  <c r="BC9" i="2"/>
  <c r="Z18" i="3"/>
  <c r="K13" i="4"/>
  <c r="J14" i="4"/>
  <c r="K5" i="4"/>
  <c r="K6" i="4" s="1"/>
  <c r="J13" i="4"/>
  <c r="K20" i="4"/>
  <c r="J21" i="4"/>
  <c r="K27" i="4"/>
  <c r="J5" i="4"/>
  <c r="J6" i="4" s="1"/>
  <c r="K14" i="4"/>
  <c r="K21" i="4"/>
  <c r="K22" i="4"/>
  <c r="K15" i="4"/>
  <c r="J8" i="4"/>
  <c r="J23" i="4"/>
  <c r="K8" i="4"/>
  <c r="K23" i="4"/>
  <c r="K7" i="4"/>
  <c r="J16" i="4"/>
  <c r="J15" i="4"/>
  <c r="J9" i="4"/>
  <c r="K16" i="4"/>
  <c r="J24" i="4"/>
  <c r="K9" i="4"/>
  <c r="K24" i="4"/>
  <c r="J17" i="4"/>
  <c r="J10" i="4"/>
  <c r="K17" i="4"/>
  <c r="J25" i="4"/>
  <c r="K10" i="4"/>
  <c r="K25" i="4"/>
  <c r="J18" i="4"/>
  <c r="J11" i="4"/>
  <c r="K18" i="4"/>
  <c r="J26" i="4"/>
  <c r="K11" i="4"/>
  <c r="K26" i="4"/>
  <c r="J22" i="4"/>
  <c r="J19" i="4"/>
  <c r="J12" i="4"/>
  <c r="K19" i="4"/>
  <c r="K12" i="4"/>
  <c r="J27" i="4"/>
  <c r="J7" i="4"/>
  <c r="J20" i="4"/>
  <c r="B20" i="3"/>
  <c r="F19" i="3" a="1"/>
  <c r="F19" i="3" s="1"/>
  <c r="M19" i="3" a="1"/>
  <c r="M19" i="3" s="1"/>
  <c r="M16" i="3"/>
  <c r="M4" i="3" s="1" a="1"/>
  <c r="G16" i="3"/>
  <c r="G4" i="3" s="1" a="1"/>
  <c r="E19" i="3" a="1"/>
  <c r="E19" i="3" s="1"/>
  <c r="F16" i="3"/>
  <c r="F4" i="3" s="1" a="1"/>
  <c r="G19" i="3" a="1"/>
  <c r="G19" i="3" s="1"/>
  <c r="I19" i="3" a="1"/>
  <c r="I19" i="3" s="1"/>
  <c r="H19" i="3" a="1"/>
  <c r="H19" i="3" s="1"/>
  <c r="E16" i="3"/>
  <c r="E4" i="3" s="1" a="1"/>
  <c r="H16" i="3"/>
  <c r="H4" i="3" s="1" a="1"/>
  <c r="D16" i="3"/>
  <c r="D4" i="3" s="1" a="1"/>
  <c r="I16" i="3"/>
  <c r="I4" i="3" s="1" a="1"/>
  <c r="C16" i="3"/>
  <c r="C4" i="3" s="1" a="1"/>
  <c r="C19" i="3" a="1"/>
  <c r="C19" i="3" s="1"/>
  <c r="D19" i="3" a="1"/>
  <c r="D19" i="3" s="1"/>
  <c r="L19" i="3" a="1"/>
  <c r="L19" i="3" s="1"/>
  <c r="Q19" i="3" a="1"/>
  <c r="Q19" i="3" s="1"/>
  <c r="J19" i="3" a="1"/>
  <c r="J19" i="3" s="1"/>
  <c r="K19" i="3" a="1"/>
  <c r="K19" i="3" s="1"/>
  <c r="L16" i="3"/>
  <c r="L4" i="3" s="1" a="1"/>
  <c r="B19" i="3"/>
  <c r="Q16" i="3"/>
  <c r="Q4" i="3" s="1" a="1"/>
  <c r="K16" i="3"/>
  <c r="K4" i="3" s="1" a="1"/>
  <c r="J16" i="3"/>
  <c r="J4" i="3" s="1" a="1"/>
  <c r="E79" i="3"/>
  <c r="BB6" i="2"/>
  <c r="B27" i="2" s="1"/>
  <c r="G6" i="2"/>
  <c r="B39" i="2" s="1"/>
  <c r="H9" i="2"/>
  <c r="G9" i="2" s="1"/>
  <c r="BB9" i="2"/>
  <c r="E42" i="6" l="1"/>
  <c r="D41" i="6"/>
  <c r="G41" i="6"/>
  <c r="I40" i="6"/>
  <c r="I46" i="6" s="1"/>
  <c r="I55" i="6" s="1"/>
  <c r="E57" i="6"/>
  <c r="G47" i="6"/>
  <c r="M49" i="6"/>
  <c r="N50" i="6"/>
  <c r="G56" i="6"/>
  <c r="D56" i="6"/>
  <c r="W45" i="5"/>
  <c r="Q37" i="5"/>
  <c r="Q38" i="5"/>
  <c r="Q40" i="5" s="1"/>
  <c r="Q41" i="5" s="1"/>
  <c r="H39" i="2"/>
  <c r="B38" i="2"/>
  <c r="G38" i="2" s="1"/>
  <c r="B21" i="2"/>
  <c r="P15" i="3"/>
  <c r="P5" i="3"/>
  <c r="P6" i="3"/>
  <c r="P7" i="3"/>
  <c r="P8" i="3"/>
  <c r="P9" i="3"/>
  <c r="P10" i="3"/>
  <c r="P11" i="3"/>
  <c r="P12" i="3"/>
  <c r="P13" i="3"/>
  <c r="P14" i="3"/>
  <c r="P4" i="3"/>
  <c r="C12" i="3"/>
  <c r="C11" i="3"/>
  <c r="C9" i="3"/>
  <c r="C7" i="3"/>
  <c r="C4" i="3"/>
  <c r="C10" i="3"/>
  <c r="C8" i="3"/>
  <c r="C15" i="3"/>
  <c r="C14" i="3"/>
  <c r="C13" i="3"/>
  <c r="C6" i="3"/>
  <c r="C5" i="3"/>
  <c r="I6" i="3"/>
  <c r="I15" i="3"/>
  <c r="I14" i="3"/>
  <c r="I4" i="3"/>
  <c r="I13" i="3"/>
  <c r="I12" i="3"/>
  <c r="I5" i="3"/>
  <c r="I11" i="3"/>
  <c r="I10" i="3"/>
  <c r="I9" i="3"/>
  <c r="I8" i="3"/>
  <c r="I7" i="3"/>
  <c r="D12" i="3"/>
  <c r="D14" i="3"/>
  <c r="D11" i="3"/>
  <c r="D9" i="3"/>
  <c r="D10" i="3"/>
  <c r="D8" i="3"/>
  <c r="D7" i="3"/>
  <c r="D6" i="3"/>
  <c r="D15" i="3"/>
  <c r="D5" i="3"/>
  <c r="D4" i="3"/>
  <c r="D13" i="3"/>
  <c r="H8" i="3"/>
  <c r="H7" i="3"/>
  <c r="H5" i="3"/>
  <c r="H6" i="3"/>
  <c r="H4" i="3"/>
  <c r="H11" i="3"/>
  <c r="H10" i="3"/>
  <c r="H15" i="3"/>
  <c r="H9" i="3"/>
  <c r="H14" i="3"/>
  <c r="H13" i="3"/>
  <c r="H12" i="3"/>
  <c r="E10" i="3"/>
  <c r="E6" i="3"/>
  <c r="E9" i="3"/>
  <c r="E5" i="3"/>
  <c r="E15" i="3"/>
  <c r="E14" i="3"/>
  <c r="E8" i="3"/>
  <c r="E7" i="3"/>
  <c r="E13" i="3"/>
  <c r="E12" i="3"/>
  <c r="E11" i="3"/>
  <c r="E4" i="3"/>
  <c r="F10" i="3"/>
  <c r="F13" i="3"/>
  <c r="F9" i="3"/>
  <c r="F7" i="3"/>
  <c r="F8" i="3"/>
  <c r="F6" i="3"/>
  <c r="F5" i="3"/>
  <c r="F4" i="3"/>
  <c r="F12" i="3"/>
  <c r="F11" i="3"/>
  <c r="F15" i="3"/>
  <c r="F14" i="3"/>
  <c r="G8" i="3"/>
  <c r="G7" i="3"/>
  <c r="G6" i="3"/>
  <c r="G5" i="3"/>
  <c r="G15" i="3"/>
  <c r="G14" i="3"/>
  <c r="G4" i="3"/>
  <c r="G13" i="3"/>
  <c r="G12" i="3"/>
  <c r="G11" i="3"/>
  <c r="G10" i="3"/>
  <c r="G9" i="3"/>
  <c r="M15" i="3"/>
  <c r="M14" i="3"/>
  <c r="M13" i="3"/>
  <c r="M12" i="3"/>
  <c r="M11" i="3"/>
  <c r="M10" i="3"/>
  <c r="M9" i="3"/>
  <c r="M8" i="3"/>
  <c r="M7" i="3"/>
  <c r="M6" i="3"/>
  <c r="M5" i="3"/>
  <c r="M4" i="3"/>
  <c r="K15" i="3"/>
  <c r="K14" i="3"/>
  <c r="K13" i="3"/>
  <c r="K12" i="3"/>
  <c r="K11" i="3"/>
  <c r="K10" i="3"/>
  <c r="K4" i="3"/>
  <c r="K9" i="3"/>
  <c r="K8" i="3"/>
  <c r="K7" i="3"/>
  <c r="K6" i="3"/>
  <c r="K5" i="3"/>
  <c r="Q11" i="3"/>
  <c r="Q10" i="3"/>
  <c r="Q9" i="3"/>
  <c r="Q8" i="3"/>
  <c r="Q7" i="3"/>
  <c r="Q6" i="3"/>
  <c r="Q5" i="3"/>
  <c r="Q4" i="3"/>
  <c r="Q13" i="3"/>
  <c r="Q15" i="3"/>
  <c r="Q14" i="3"/>
  <c r="Q12" i="3"/>
  <c r="J6" i="3"/>
  <c r="J13" i="3"/>
  <c r="J5" i="3"/>
  <c r="J4" i="3"/>
  <c r="J7" i="3"/>
  <c r="J15" i="3"/>
  <c r="J9" i="3"/>
  <c r="J8" i="3"/>
  <c r="J14" i="3"/>
  <c r="J12" i="3"/>
  <c r="J11" i="3"/>
  <c r="J10" i="3"/>
  <c r="L4" i="3"/>
  <c r="L14" i="3"/>
  <c r="L7" i="3"/>
  <c r="L6" i="3"/>
  <c r="L15" i="3"/>
  <c r="L11" i="3"/>
  <c r="L13" i="3"/>
  <c r="L12" i="3"/>
  <c r="L5" i="3"/>
  <c r="L10" i="3"/>
  <c r="L9" i="3"/>
  <c r="L8" i="3"/>
  <c r="H13" i="2"/>
  <c r="K20" i="3"/>
  <c r="Q20" i="3"/>
  <c r="L20" i="3"/>
  <c r="C20" i="3"/>
  <c r="I20" i="3"/>
  <c r="D20" i="3"/>
  <c r="H20" i="3"/>
  <c r="E20" i="3"/>
  <c r="J20" i="3"/>
  <c r="F20" i="3"/>
  <c r="M20" i="3"/>
  <c r="G20" i="3"/>
  <c r="BA9" i="2"/>
  <c r="BD9" i="2" s="1"/>
  <c r="BZ9" i="2" s="1"/>
  <c r="BA6" i="2"/>
  <c r="BD6" i="2" s="1"/>
  <c r="BZ6" i="2" s="1"/>
  <c r="J42" i="6" l="1"/>
  <c r="N41" i="6" s="1"/>
  <c r="M40" i="6" s="1"/>
  <c r="I41" i="6"/>
  <c r="L41" i="6"/>
  <c r="D47" i="6"/>
  <c r="E48" i="6"/>
  <c r="Q42" i="5"/>
  <c r="P42" i="5"/>
  <c r="F38" i="2"/>
  <c r="H38" i="2" s="1"/>
  <c r="BE9" i="2"/>
  <c r="BE6" i="2"/>
  <c r="A26" i="2"/>
  <c r="I56" i="6" l="1"/>
  <c r="J57" i="6"/>
  <c r="N56" i="6" s="1"/>
  <c r="M55" i="6" s="1"/>
  <c r="L56" i="6"/>
  <c r="F42" i="2"/>
  <c r="E42" i="2" s="1"/>
  <c r="F41" i="2"/>
  <c r="E41" i="2" s="1"/>
  <c r="CB6" i="2"/>
  <c r="CD6" i="2" s="1"/>
  <c r="CA6" i="2"/>
  <c r="CC6" i="2" s="1"/>
  <c r="C20" i="2"/>
  <c r="A22" i="2"/>
  <c r="A24" i="2"/>
  <c r="A18" i="2"/>
  <c r="A20" i="2"/>
  <c r="C26" i="2"/>
  <c r="C16" i="2"/>
  <c r="A28" i="2"/>
  <c r="C24" i="2"/>
  <c r="C22" i="2"/>
  <c r="C18" i="2"/>
  <c r="B12" i="2"/>
  <c r="I12" i="2" s="1"/>
  <c r="CB9" i="2"/>
  <c r="CD9" i="2" s="1"/>
  <c r="CA9" i="2"/>
  <c r="CC9" i="2" s="1"/>
  <c r="B13" i="2"/>
  <c r="I13" i="2" s="1"/>
  <c r="I47" i="6" l="1"/>
  <c r="J48" i="6"/>
  <c r="N47" i="6" s="1"/>
  <c r="M46" i="6" s="1"/>
  <c r="L47" i="6"/>
  <c r="E18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<sst xmlns="http://schemas.openxmlformats.org/spreadsheetml/2006/main" count="1517" uniqueCount="704">
  <si>
    <t>눈먼 굴</t>
    <phoneticPr fontId="2" type="noConversion"/>
  </si>
  <si>
    <t>용사의 최후</t>
    <phoneticPr fontId="2" type="noConversion"/>
  </si>
  <si>
    <t>모건의 작품</t>
    <phoneticPr fontId="2" type="noConversion"/>
  </si>
  <si>
    <t>악마의 자취</t>
    <phoneticPr fontId="2" type="noConversion"/>
  </si>
  <si>
    <t>코르 드라간 병영</t>
    <phoneticPr fontId="2" type="noConversion"/>
  </si>
  <si>
    <t>속삭이는 소나무</t>
    <phoneticPr fontId="2" type="noConversion"/>
  </si>
  <si>
    <t>구렁이의 소굴</t>
    <phoneticPr fontId="2" type="noConversion"/>
  </si>
  <si>
    <t>칼데움의 감옥</t>
    <phoneticPr fontId="2" type="noConversion"/>
  </si>
  <si>
    <t>고대인의 탄식</t>
    <phoneticPr fontId="2" type="noConversion"/>
  </si>
  <si>
    <t>회당</t>
    <phoneticPr fontId="2" type="noConversion"/>
  </si>
  <si>
    <t>알두르우드</t>
    <phoneticPr fontId="2" type="noConversion"/>
  </si>
  <si>
    <t>굴란 빈민가</t>
    <phoneticPr fontId="2" type="noConversion"/>
  </si>
  <si>
    <t>마녀나루</t>
    <phoneticPr fontId="2" type="noConversion"/>
  </si>
  <si>
    <t>정점</t>
    <phoneticPr fontId="2" type="noConversion"/>
  </si>
  <si>
    <t>검은 수용소</t>
    <phoneticPr fontId="2" type="noConversion"/>
  </si>
  <si>
    <t>잊힌 기록보관소</t>
    <phoneticPr fontId="2" type="noConversion"/>
  </si>
  <si>
    <t>vulner</t>
    <phoneticPr fontId="2" type="noConversion"/>
  </si>
  <si>
    <t>비교템 상세 스탯</t>
    <phoneticPr fontId="2" type="noConversion"/>
  </si>
  <si>
    <t>착용템 상세 스탯</t>
    <phoneticPr fontId="2" type="noConversion"/>
  </si>
  <si>
    <t>착용템 총 스탯</t>
    <phoneticPr fontId="2" type="noConversion"/>
  </si>
  <si>
    <t>crit%</t>
    <phoneticPr fontId="2" type="noConversion"/>
  </si>
  <si>
    <t>buffs</t>
    <phoneticPr fontId="2" type="noConversion"/>
  </si>
  <si>
    <t>conditional</t>
    <phoneticPr fontId="2" type="noConversion"/>
  </si>
  <si>
    <t>crit dam</t>
    <phoneticPr fontId="2" type="noConversion"/>
  </si>
  <si>
    <t>민감도 분석</t>
    <phoneticPr fontId="2" type="noConversion"/>
  </si>
  <si>
    <t>데이터표 영역 (계산용)</t>
    <phoneticPr fontId="2" type="noConversion"/>
  </si>
  <si>
    <t>극확스탯</t>
    <phoneticPr fontId="2" type="noConversion"/>
  </si>
  <si>
    <t>주스탯</t>
    <phoneticPr fontId="2" type="noConversion"/>
  </si>
  <si>
    <t>대지상처</t>
    <phoneticPr fontId="2" type="noConversion"/>
  </si>
  <si>
    <t>map tier</t>
    <phoneticPr fontId="2" type="noConversion"/>
  </si>
  <si>
    <t>쉬브타</t>
    <phoneticPr fontId="2" type="noConversion"/>
  </si>
  <si>
    <t>변절자</t>
    <phoneticPr fontId="2" type="noConversion"/>
  </si>
  <si>
    <t>받는 피해 증가 그룹</t>
    <phoneticPr fontId="2" type="noConversion"/>
  </si>
  <si>
    <t>받피증1</t>
    <phoneticPr fontId="2" type="noConversion"/>
  </si>
  <si>
    <t>이름 영문</t>
    <phoneticPr fontId="2" type="noConversion"/>
  </si>
  <si>
    <t>이름 한글</t>
    <phoneticPr fontId="2" type="noConversion"/>
  </si>
  <si>
    <t>Blind Burrows</t>
    <phoneticPr fontId="2" type="noConversion"/>
  </si>
  <si>
    <t>Dark Ravine</t>
    <phoneticPr fontId="2" type="noConversion"/>
  </si>
  <si>
    <t>Champion's Demise</t>
    <phoneticPr fontId="2" type="noConversion"/>
  </si>
  <si>
    <t>Feral's Den</t>
    <phoneticPr fontId="2" type="noConversion"/>
  </si>
  <si>
    <t>Maugan's Works</t>
    <phoneticPr fontId="2" type="noConversion"/>
  </si>
  <si>
    <t>Witchwater</t>
    <phoneticPr fontId="2" type="noConversion"/>
  </si>
  <si>
    <t>Renegade's Retreat</t>
    <phoneticPr fontId="2" type="noConversion"/>
  </si>
  <si>
    <t>Aldurwood</t>
    <phoneticPr fontId="2" type="noConversion"/>
  </si>
  <si>
    <t>Serpent's Lair</t>
    <phoneticPr fontId="2" type="noConversion"/>
  </si>
  <si>
    <t>Cultist's Refuge</t>
    <phoneticPr fontId="2" type="noConversion"/>
  </si>
  <si>
    <t>Shivta Ruins</t>
    <phoneticPr fontId="2" type="noConversion"/>
  </si>
  <si>
    <t>Conclave</t>
    <phoneticPr fontId="2" type="noConversion"/>
  </si>
  <si>
    <t>Maulwood</t>
    <phoneticPr fontId="2" type="noConversion"/>
  </si>
  <si>
    <t>Sunken Ruins</t>
    <phoneticPr fontId="2" type="noConversion"/>
  </si>
  <si>
    <t>Earthen Wound</t>
    <phoneticPr fontId="2" type="noConversion"/>
  </si>
  <si>
    <t>Prison of Caldeum</t>
    <phoneticPr fontId="2" type="noConversion"/>
  </si>
  <si>
    <t>Zenith</t>
    <phoneticPr fontId="2" type="noConversion"/>
  </si>
  <si>
    <t>Crusader's Cathedral</t>
    <phoneticPr fontId="2" type="noConversion"/>
  </si>
  <si>
    <t>Guulrahn Slums</t>
    <phoneticPr fontId="2" type="noConversion"/>
  </si>
  <si>
    <t>Lost Archives</t>
    <phoneticPr fontId="2" type="noConversion"/>
  </si>
  <si>
    <t>Shadowed Plunge</t>
    <phoneticPr fontId="2" type="noConversion"/>
  </si>
  <si>
    <t>Demon's Wake</t>
    <phoneticPr fontId="2" type="noConversion"/>
  </si>
  <si>
    <t>Kor Dragan Barracks</t>
    <phoneticPr fontId="2" type="noConversion"/>
  </si>
  <si>
    <t>Raethwind Wilds</t>
    <phoneticPr fontId="2" type="noConversion"/>
  </si>
  <si>
    <t>Abandoned Mineworks</t>
    <phoneticPr fontId="2" type="noConversion"/>
  </si>
  <si>
    <t>Black Asylum</t>
    <phoneticPr fontId="2" type="noConversion"/>
  </si>
  <si>
    <t>Onyx Hold</t>
    <phoneticPr fontId="2" type="noConversion"/>
  </si>
  <si>
    <t>Ancient's Lament</t>
    <phoneticPr fontId="2" type="noConversion"/>
  </si>
  <si>
    <t>Guulrahn Canals</t>
    <phoneticPr fontId="2" type="noConversion"/>
  </si>
  <si>
    <t>Whispering Pines</t>
    <phoneticPr fontId="2" type="noConversion"/>
  </si>
  <si>
    <t>어두운 골짜기</t>
    <phoneticPr fontId="2" type="noConversion"/>
  </si>
  <si>
    <t>마녀 나루</t>
    <phoneticPr fontId="2" type="noConversion"/>
  </si>
  <si>
    <t>변절자의 은신처</t>
    <phoneticPr fontId="2" type="noConversion"/>
  </si>
  <si>
    <t>이교도의 은신처</t>
    <phoneticPr fontId="2" type="noConversion"/>
  </si>
  <si>
    <t>쉬브타 폐허</t>
    <phoneticPr fontId="2" type="noConversion"/>
  </si>
  <si>
    <t>쇠메숲</t>
    <phoneticPr fontId="2" type="noConversion"/>
  </si>
  <si>
    <t>대지의 상처</t>
    <phoneticPr fontId="2" type="noConversion"/>
  </si>
  <si>
    <t>성전사의 대성당</t>
    <phoneticPr fontId="2" type="noConversion"/>
  </si>
  <si>
    <t>그늘진 낙하</t>
    <phoneticPr fontId="2" type="noConversion"/>
  </si>
  <si>
    <t xml:space="preserve">라에트빈트 황야 </t>
    <phoneticPr fontId="2" type="noConversion"/>
  </si>
  <si>
    <t>흑마노 효새</t>
    <phoneticPr fontId="2" type="noConversion"/>
  </si>
  <si>
    <t>굴란 운하</t>
    <phoneticPr fontId="2" type="noConversion"/>
  </si>
  <si>
    <t>버려진 광산작업장</t>
    <phoneticPr fontId="2" type="noConversion"/>
  </si>
  <si>
    <t>흉포한 자들의 소굴</t>
    <phoneticPr fontId="2" type="noConversion"/>
  </si>
  <si>
    <t>가라앉은 폐허</t>
    <phoneticPr fontId="2" type="noConversion"/>
  </si>
  <si>
    <t>문양 렙업 티어</t>
    <phoneticPr fontId="2" type="noConversion"/>
  </si>
  <si>
    <t>솔로 경험치 런</t>
    <phoneticPr fontId="2" type="noConversion"/>
  </si>
  <si>
    <t>그룹 파밍</t>
    <phoneticPr fontId="2" type="noConversion"/>
  </si>
  <si>
    <t>솔로 등산</t>
    <phoneticPr fontId="2" type="noConversion"/>
  </si>
  <si>
    <t>위력</t>
    <phoneticPr fontId="2" type="noConversion"/>
  </si>
  <si>
    <t>item1</t>
  </si>
  <si>
    <t>item2</t>
  </si>
  <si>
    <t>item3</t>
  </si>
  <si>
    <t>item4</t>
  </si>
  <si>
    <t>item5</t>
  </si>
  <si>
    <t>item6</t>
  </si>
  <si>
    <t>item7</t>
  </si>
  <si>
    <t>item8</t>
  </si>
  <si>
    <t>item9</t>
  </si>
  <si>
    <t>item10</t>
  </si>
  <si>
    <t>item11</t>
  </si>
  <si>
    <t>item12</t>
  </si>
  <si>
    <t>item13</t>
  </si>
  <si>
    <t>item14</t>
  </si>
  <si>
    <t>item15</t>
  </si>
  <si>
    <t>item16</t>
  </si>
  <si>
    <t>item17</t>
  </si>
  <si>
    <t>item18</t>
  </si>
  <si>
    <t>item19</t>
  </si>
  <si>
    <t>item20</t>
  </si>
  <si>
    <t>item21</t>
  </si>
  <si>
    <t>item22</t>
  </si>
  <si>
    <t>item23</t>
  </si>
  <si>
    <t>item24</t>
  </si>
  <si>
    <t>item25</t>
  </si>
  <si>
    <t>item26</t>
  </si>
  <si>
    <t>item27</t>
  </si>
  <si>
    <t>item28</t>
  </si>
  <si>
    <t>item29</t>
  </si>
  <si>
    <t>item30</t>
  </si>
  <si>
    <t>item31</t>
  </si>
  <si>
    <t>item32</t>
  </si>
  <si>
    <t>item33</t>
  </si>
  <si>
    <t>map</t>
    <phoneticPr fontId="2" type="noConversion"/>
  </si>
  <si>
    <t>구렁이</t>
    <phoneticPr fontId="2" type="noConversion"/>
  </si>
  <si>
    <t>이교도</t>
    <phoneticPr fontId="2" type="noConversion"/>
  </si>
  <si>
    <t>악마</t>
    <phoneticPr fontId="2" type="noConversion"/>
  </si>
  <si>
    <t>굴란빈민가</t>
    <phoneticPr fontId="2" type="noConversion"/>
  </si>
  <si>
    <t>굴란운하</t>
    <phoneticPr fontId="2" type="noConversion"/>
  </si>
  <si>
    <t>모건의작품</t>
    <phoneticPr fontId="2" type="noConversion"/>
  </si>
  <si>
    <t>가라앉은폐허</t>
    <phoneticPr fontId="2" type="noConversion"/>
  </si>
  <si>
    <t>라에트빈트</t>
    <phoneticPr fontId="2" type="noConversion"/>
  </si>
  <si>
    <t>기록못함</t>
    <phoneticPr fontId="2" type="noConversion"/>
  </si>
  <si>
    <t>잊힌기록</t>
    <phoneticPr fontId="2" type="noConversion"/>
  </si>
  <si>
    <t>기록안함</t>
    <phoneticPr fontId="2" type="noConversion"/>
  </si>
  <si>
    <t>성전사</t>
    <phoneticPr fontId="2" type="noConversion"/>
  </si>
  <si>
    <t>그늘진낙하</t>
    <phoneticPr fontId="2" type="noConversion"/>
  </si>
  <si>
    <t>칼데움감옥</t>
    <phoneticPr fontId="2" type="noConversion"/>
  </si>
  <si>
    <t>커스텀 구간 지정</t>
    <phoneticPr fontId="2" type="noConversion"/>
  </si>
  <si>
    <t>unique dropped</t>
    <phoneticPr fontId="2" type="noConversion"/>
  </si>
  <si>
    <t>rare+ dropped</t>
    <phoneticPr fontId="2" type="noConversion"/>
  </si>
  <si>
    <t>avg. power</t>
    <phoneticPr fontId="2" type="noConversion"/>
  </si>
  <si>
    <t>코르드라간</t>
    <phoneticPr fontId="2" type="noConversion"/>
  </si>
  <si>
    <t>from
stat</t>
    <phoneticPr fontId="2" type="noConversion"/>
  </si>
  <si>
    <t>from
item</t>
    <phoneticPr fontId="2" type="noConversion"/>
  </si>
  <si>
    <t>char.
base</t>
    <phoneticPr fontId="2" type="noConversion"/>
  </si>
  <si>
    <t>모든</t>
    <phoneticPr fontId="2" type="noConversion"/>
  </si>
  <si>
    <t>중독</t>
    <phoneticPr fontId="2" type="noConversion"/>
  </si>
  <si>
    <t>흉포소굴</t>
    <phoneticPr fontId="2" type="noConversion"/>
  </si>
  <si>
    <t>어두운골짜기</t>
    <phoneticPr fontId="2" type="noConversion"/>
  </si>
  <si>
    <t>고대인</t>
    <phoneticPr fontId="2" type="noConversion"/>
  </si>
  <si>
    <t>평균선조획득량</t>
    <phoneticPr fontId="2" type="noConversion"/>
  </si>
  <si>
    <t>구간</t>
    <phoneticPr fontId="2" type="noConversion"/>
  </si>
  <si>
    <t>선조템 등장비율</t>
    <phoneticPr fontId="2" type="noConversion"/>
  </si>
  <si>
    <t>용사</t>
    <phoneticPr fontId="2" type="noConversion"/>
  </si>
  <si>
    <t>버려진광산</t>
    <phoneticPr fontId="2" type="noConversion"/>
  </si>
  <si>
    <t>(선조)평균위력</t>
    <phoneticPr fontId="2" type="noConversion"/>
  </si>
  <si>
    <t>일반 피해량 증가 그룹</t>
    <phoneticPr fontId="2" type="noConversion"/>
  </si>
  <si>
    <t>배율,
(극확반영) 극피 및
취약뎀 배율</t>
    <phoneticPr fontId="2" type="noConversion"/>
  </si>
  <si>
    <t>배율,
일반 피해량증가</t>
    <phoneticPr fontId="2" type="noConversion"/>
  </si>
  <si>
    <t>배율, 
적받는피해증가</t>
    <phoneticPr fontId="2" type="noConversion"/>
  </si>
  <si>
    <r>
      <rPr>
        <b/>
        <sz val="16"/>
        <rFont val="Segoe UI Symbol"/>
        <family val="3"/>
      </rPr>
      <t>◽</t>
    </r>
    <r>
      <rPr>
        <b/>
        <sz val="16"/>
        <rFont val="맑은 고딕"/>
        <family val="3"/>
        <charset val="129"/>
        <scheme val="minor"/>
      </rPr>
      <t>Data sheet</t>
    </r>
    <phoneticPr fontId="2" type="noConversion"/>
  </si>
  <si>
    <r>
      <rPr>
        <b/>
        <sz val="16"/>
        <color theme="1"/>
        <rFont val="Segoe UI Symbol"/>
        <family val="2"/>
      </rPr>
      <t>◽</t>
    </r>
    <r>
      <rPr>
        <b/>
        <sz val="16"/>
        <color theme="1"/>
        <rFont val="맑은 고딕"/>
        <family val="2"/>
        <charset val="129"/>
        <scheme val="minor"/>
      </rPr>
      <t>Summary</t>
    </r>
    <phoneticPr fontId="2" type="noConversion"/>
  </si>
  <si>
    <t>속삭이는소나무</t>
    <phoneticPr fontId="2" type="noConversion"/>
  </si>
  <si>
    <t>item34</t>
    <phoneticPr fontId="2" type="noConversion"/>
  </si>
  <si>
    <t>iterm35</t>
    <phoneticPr fontId="2" type="noConversion"/>
  </si>
  <si>
    <t>item36</t>
    <phoneticPr fontId="2" type="noConversion"/>
  </si>
  <si>
    <t>item37</t>
    <phoneticPr fontId="2" type="noConversion"/>
  </si>
  <si>
    <t>item38</t>
    <phoneticPr fontId="2" type="noConversion"/>
  </si>
  <si>
    <t>item39</t>
    <phoneticPr fontId="2" type="noConversion"/>
  </si>
  <si>
    <t>item40</t>
    <phoneticPr fontId="2" type="noConversion"/>
  </si>
  <si>
    <t>맵 티어 구간별 위력 분포</t>
    <phoneticPr fontId="2" type="noConversion"/>
  </si>
  <si>
    <t>**31단부터 수집</t>
    <phoneticPr fontId="2" type="noConversion"/>
  </si>
  <si>
    <t>데이터: maxroll 참고하여 작성</t>
    <phoneticPr fontId="2" type="noConversion"/>
  </si>
  <si>
    <t>간단한 민감도 분석기</t>
    <phoneticPr fontId="2" type="noConversion"/>
  </si>
  <si>
    <t>지속시간증가</t>
    <phoneticPr fontId="2" type="noConversion"/>
  </si>
  <si>
    <t>쿨리덕션</t>
    <phoneticPr fontId="2" type="noConversion"/>
  </si>
  <si>
    <t>스톰쿨리덕</t>
    <phoneticPr fontId="2" type="noConversion"/>
  </si>
  <si>
    <t>기본 쿨</t>
    <phoneticPr fontId="2" type="noConversion"/>
  </si>
  <si>
    <t>자동계산</t>
    <phoneticPr fontId="2" type="noConversion"/>
  </si>
  <si>
    <t>총획득한템
수동입력</t>
    <phoneticPr fontId="2" type="noConversion"/>
  </si>
  <si>
    <t>획득한 선조템(레어이상)의 위력을 하나씩 입력</t>
    <phoneticPr fontId="2" type="noConversion"/>
  </si>
  <si>
    <t>item41</t>
    <phoneticPr fontId="2" type="noConversion"/>
  </si>
  <si>
    <t>최종 배율 
(스킬 패시브등의 뎀뻥은 독립적이며 상수이므로 의사결정에 중요치 않아 고려안함)</t>
    <phoneticPr fontId="2" type="noConversion"/>
  </si>
  <si>
    <t>민뎀</t>
    <phoneticPr fontId="2" type="noConversion"/>
  </si>
  <si>
    <t>맥뎀</t>
    <phoneticPr fontId="2" type="noConversion"/>
  </si>
  <si>
    <t>합</t>
    <phoneticPr fontId="2" type="noConversion"/>
  </si>
  <si>
    <t>옵션포함 총 
DPS 비</t>
    <phoneticPr fontId="2" type="noConversion"/>
  </si>
  <si>
    <t>*표본이 적을수록 이상값들이 높은 확률로 나타날 수 있음.</t>
    <phoneticPr fontId="2" type="noConversion"/>
  </si>
  <si>
    <t>흑마노요새</t>
    <phoneticPr fontId="2" type="noConversion"/>
  </si>
  <si>
    <t>client ver</t>
    <phoneticPr fontId="2" type="noConversion"/>
  </si>
  <si>
    <t>표본량(선조)</t>
    <phoneticPr fontId="2" type="noConversion"/>
  </si>
  <si>
    <t>표본량(모든레어+)</t>
    <phoneticPr fontId="2" type="noConversion"/>
  </si>
  <si>
    <t>모든피해</t>
    <phoneticPr fontId="2" type="noConversion"/>
  </si>
  <si>
    <t>근거리적피해</t>
    <phoneticPr fontId="2" type="noConversion"/>
  </si>
  <si>
    <t>보강상태피해</t>
    <phoneticPr fontId="2" type="noConversion"/>
  </si>
  <si>
    <t>물리피해</t>
    <phoneticPr fontId="2" type="noConversion"/>
  </si>
  <si>
    <t>무기교체피해</t>
    <phoneticPr fontId="2" type="noConversion"/>
  </si>
  <si>
    <t>핵심피해</t>
    <phoneticPr fontId="2" type="noConversion"/>
  </si>
  <si>
    <t>제압피해</t>
    <phoneticPr fontId="2" type="noConversion"/>
  </si>
  <si>
    <t>능력파트</t>
    <phoneticPr fontId="2" type="noConversion"/>
  </si>
  <si>
    <t>스킬&amp;패시브</t>
    <phoneticPr fontId="2" type="noConversion"/>
  </si>
  <si>
    <t>선망기본배율</t>
    <phoneticPr fontId="2" type="noConversion"/>
  </si>
  <si>
    <t>맹렬한선망</t>
    <phoneticPr fontId="2" type="noConversion"/>
  </si>
  <si>
    <t>전장함성</t>
    <phoneticPr fontId="2" type="noConversion"/>
  </si>
  <si>
    <t>사투장싸움꾼</t>
    <phoneticPr fontId="2" type="noConversion"/>
  </si>
  <si>
    <t>학살일격</t>
    <phoneticPr fontId="2" type="noConversion"/>
  </si>
  <si>
    <t>맹공</t>
    <phoneticPr fontId="2" type="noConversion"/>
  </si>
  <si>
    <t>역공</t>
    <phoneticPr fontId="2" type="noConversion"/>
  </si>
  <si>
    <t>기대하는 자</t>
    <phoneticPr fontId="2" type="noConversion"/>
  </si>
  <si>
    <t>무한한분노</t>
    <phoneticPr fontId="2" type="noConversion"/>
  </si>
  <si>
    <t>검의달인</t>
    <phoneticPr fontId="2" type="noConversion"/>
  </si>
  <si>
    <t>자만하는</t>
    <phoneticPr fontId="2" type="noConversion"/>
  </si>
  <si>
    <t>피해증가</t>
    <phoneticPr fontId="2" type="noConversion"/>
  </si>
  <si>
    <t>제압 시</t>
    <phoneticPr fontId="2" type="noConversion"/>
  </si>
  <si>
    <t>기절 시</t>
    <phoneticPr fontId="2" type="noConversion"/>
  </si>
  <si>
    <t>착취자(저불)</t>
    <phoneticPr fontId="2" type="noConversion"/>
  </si>
  <si>
    <t>응보(기절)</t>
    <phoneticPr fontId="2" type="noConversion"/>
  </si>
  <si>
    <t>기절</t>
    <phoneticPr fontId="2" type="noConversion"/>
  </si>
  <si>
    <t>무기</t>
    <phoneticPr fontId="2" type="noConversion"/>
  </si>
  <si>
    <t>저지불가</t>
    <phoneticPr fontId="2" type="noConversion"/>
  </si>
  <si>
    <t>배율계산표</t>
    <phoneticPr fontId="2" type="noConversion"/>
  </si>
  <si>
    <t>개별수치</t>
    <phoneticPr fontId="2" type="noConversion"/>
  </si>
  <si>
    <t>분류</t>
    <phoneticPr fontId="2" type="noConversion"/>
  </si>
  <si>
    <t>①</t>
    <phoneticPr fontId="2" type="noConversion"/>
  </si>
  <si>
    <t>②</t>
    <phoneticPr fontId="2" type="noConversion"/>
  </si>
  <si>
    <t>③</t>
    <phoneticPr fontId="2" type="noConversion"/>
  </si>
  <si>
    <t>④</t>
    <phoneticPr fontId="2" type="noConversion"/>
  </si>
  <si>
    <t>⑤</t>
    <phoneticPr fontId="2" type="noConversion"/>
  </si>
  <si>
    <t>저지불가 시</t>
    <phoneticPr fontId="2" type="noConversion"/>
  </si>
  <si>
    <t>--&gt; 200분노기준</t>
    <phoneticPr fontId="2" type="noConversion"/>
  </si>
  <si>
    <t>상세목록</t>
    <phoneticPr fontId="2" type="noConversion"/>
  </si>
  <si>
    <t>(계산식 편의를</t>
    <phoneticPr fontId="2" type="noConversion"/>
  </si>
  <si>
    <t xml:space="preserve"> 위해 전부 +1</t>
    <phoneticPr fontId="2" type="noConversion"/>
  </si>
  <si>
    <t>설정)</t>
    <phoneticPr fontId="2" type="noConversion"/>
  </si>
  <si>
    <t>(전부+1한 값)</t>
    <phoneticPr fontId="2" type="noConversion"/>
  </si>
  <si>
    <t>(계산편의)</t>
    <phoneticPr fontId="2" type="noConversion"/>
  </si>
  <si>
    <t>일단제외함 &lt;-</t>
    <phoneticPr fontId="2" type="noConversion"/>
  </si>
  <si>
    <t>위상(맥시멈)</t>
    <phoneticPr fontId="2" type="noConversion"/>
  </si>
  <si>
    <t>버서커 제외 총 아웃풋 배율</t>
    <phoneticPr fontId="2" type="noConversion"/>
  </si>
  <si>
    <t>무기데미지 반영 후 최종 맥뎀은?</t>
    <phoneticPr fontId="2" type="noConversion"/>
  </si>
  <si>
    <t>버서커 적용 시(기본)</t>
    <phoneticPr fontId="2" type="noConversion"/>
  </si>
  <si>
    <t>최종 데미지 산출 (가장 완벽한 시나리오에서의 이상적인 값)</t>
    <phoneticPr fontId="2" type="noConversion"/>
  </si>
  <si>
    <r>
      <t xml:space="preserve">   </t>
    </r>
    <r>
      <rPr>
        <sz val="9"/>
        <color theme="7" tint="0.39997558519241921"/>
        <rFont val="Microsoft JhengHei"/>
        <family val="2"/>
      </rPr>
      <t>┌</t>
    </r>
    <r>
      <rPr>
        <sz val="9"/>
        <color theme="7" tint="0.39997558519241921"/>
        <rFont val="맑은 고딕"/>
        <family val="2"/>
        <charset val="129"/>
        <scheme val="minor"/>
      </rPr>
      <t xml:space="preserve">  ① x ② x ③ x {④ or ⑤}</t>
    </r>
    <phoneticPr fontId="2" type="noConversion"/>
  </si>
  <si>
    <t>배율 통합 수치</t>
    <phoneticPr fontId="2" type="noConversion"/>
  </si>
  <si>
    <t>힘(1511)</t>
    <phoneticPr fontId="2" type="noConversion"/>
  </si>
  <si>
    <t>취약피(430)</t>
    <phoneticPr fontId="2" type="noConversion"/>
  </si>
  <si>
    <t>극피(608)</t>
    <phoneticPr fontId="2" type="noConversion"/>
  </si>
  <si>
    <t>최대데미지(845)</t>
    <phoneticPr fontId="2" type="noConversion"/>
  </si>
  <si>
    <t>② 레어 중 820템 비중</t>
    <phoneticPr fontId="2" type="noConversion"/>
  </si>
  <si>
    <t>① 레어 중 유니크 비중</t>
    <phoneticPr fontId="2" type="noConversion"/>
  </si>
  <si>
    <t>③ 820 템이 유니크로 나오려면?</t>
    <phoneticPr fontId="2" type="noConversion"/>
  </si>
  <si>
    <t>리덕션A안</t>
    <phoneticPr fontId="2" type="noConversion"/>
  </si>
  <si>
    <t>리덕션B안</t>
    <phoneticPr fontId="2" type="noConversion"/>
  </si>
  <si>
    <t>&lt;&lt;&lt; 실험해보니 이게 맞다</t>
    <phoneticPr fontId="2" type="noConversion"/>
  </si>
  <si>
    <r>
      <rPr>
        <b/>
        <sz val="11"/>
        <color rgb="FFB800AB"/>
        <rFont val="Segoe UI Symbol"/>
        <family val="3"/>
      </rPr>
      <t>🔺</t>
    </r>
    <r>
      <rPr>
        <b/>
        <sz val="11"/>
        <color rgb="FFB800AB"/>
        <rFont val="맑은 고딕"/>
        <family val="3"/>
        <charset val="129"/>
        <scheme val="minor"/>
      </rPr>
      <t xml:space="preserve"> Note : 레벨 90 직전에 시작하여 100렙을 찍고도 계속 기록 중</t>
    </r>
    <phoneticPr fontId="2" type="noConversion"/>
  </si>
  <si>
    <r>
      <rPr>
        <b/>
        <sz val="14"/>
        <color theme="1"/>
        <rFont val="Segoe UI Symbol"/>
        <family val="3"/>
      </rPr>
      <t>◽</t>
    </r>
    <r>
      <rPr>
        <b/>
        <sz val="14"/>
        <color theme="1"/>
        <rFont val="맑은 고딕"/>
        <family val="3"/>
        <charset val="129"/>
        <scheme val="minor"/>
      </rPr>
      <t>기록한 단수 통계</t>
    </r>
    <phoneticPr fontId="2" type="noConversion"/>
  </si>
  <si>
    <r>
      <rPr>
        <b/>
        <sz val="14"/>
        <color theme="1"/>
        <rFont val="Segoe UI Symbol"/>
        <family val="3"/>
      </rPr>
      <t>◽</t>
    </r>
    <r>
      <rPr>
        <b/>
        <sz val="14"/>
        <color theme="1"/>
        <rFont val="맑은 고딕"/>
        <family val="3"/>
        <charset val="129"/>
        <scheme val="minor"/>
      </rPr>
      <t>820 유니크 확률은 어떨까?</t>
    </r>
    <phoneticPr fontId="2" type="noConversion"/>
  </si>
  <si>
    <t>④ 레어아이템 이상 몇 개를 처묵해야 1개가 나올까?</t>
    <phoneticPr fontId="2" type="noConversion"/>
  </si>
  <si>
    <t>공속</t>
    <phoneticPr fontId="2" type="noConversion"/>
  </si>
  <si>
    <t>공속증가</t>
    <phoneticPr fontId="2" type="noConversion"/>
  </si>
  <si>
    <t>비교템 반영후</t>
    <phoneticPr fontId="2" type="noConversion"/>
  </si>
  <si>
    <t>착용</t>
    <phoneticPr fontId="2" type="noConversion"/>
  </si>
  <si>
    <t>비교군</t>
    <phoneticPr fontId="2" type="noConversion"/>
  </si>
  <si>
    <t>베이스 데미지 차이</t>
    <phoneticPr fontId="2" type="noConversion"/>
  </si>
  <si>
    <t>민감도 분석 결과</t>
    <phoneticPr fontId="2" type="noConversion"/>
  </si>
  <si>
    <t>#2</t>
    <phoneticPr fontId="2" type="noConversion"/>
  </si>
  <si>
    <t>#3</t>
    <phoneticPr fontId="2" type="noConversion"/>
  </si>
  <si>
    <t>#4</t>
    <phoneticPr fontId="2" type="noConversion"/>
  </si>
  <si>
    <t>#5</t>
    <phoneticPr fontId="2" type="noConversion"/>
  </si>
  <si>
    <t>#6</t>
    <phoneticPr fontId="2" type="noConversion"/>
  </si>
  <si>
    <t>공속반영
Multiplier 
Per Second</t>
    <phoneticPr fontId="2" type="noConversion"/>
  </si>
  <si>
    <t>상단표
스탯차이</t>
    <phoneticPr fontId="2" type="noConversion"/>
  </si>
  <si>
    <t>무기 뎀 
차이</t>
    <phoneticPr fontId="2" type="noConversion"/>
  </si>
  <si>
    <t>⑤ 난 어느정도 왔을까?</t>
    <phoneticPr fontId="2" type="noConversion"/>
  </si>
  <si>
    <t>케릭터레벨</t>
    <phoneticPr fontId="2" type="noConversion"/>
  </si>
  <si>
    <t>a</t>
    <phoneticPr fontId="2" type="noConversion"/>
  </si>
  <si>
    <t>b</t>
    <phoneticPr fontId="2" type="noConversion"/>
  </si>
  <si>
    <t>방어도</t>
    <phoneticPr fontId="2" type="noConversion"/>
  </si>
  <si>
    <t>최종피감률</t>
    <phoneticPr fontId="2" type="noConversion"/>
  </si>
  <si>
    <t>단수</t>
    <phoneticPr fontId="2" type="noConversion"/>
  </si>
  <si>
    <r>
      <rPr>
        <b/>
        <sz val="12"/>
        <color theme="0"/>
        <rFont val="Segoe UI Symbol"/>
        <family val="3"/>
      </rPr>
      <t>◽</t>
    </r>
    <r>
      <rPr>
        <b/>
        <sz val="12"/>
        <color theme="0"/>
        <rFont val="Arial Unicode MS"/>
        <family val="3"/>
        <charset val="129"/>
      </rPr>
      <t>방어도 계산</t>
    </r>
    <r>
      <rPr>
        <b/>
        <sz val="12"/>
        <color theme="0"/>
        <rFont val="맑은 고딕"/>
        <family val="3"/>
        <charset val="129"/>
      </rPr>
      <t>: 공식은 밝혀야 함</t>
    </r>
    <phoneticPr fontId="2" type="noConversion"/>
  </si>
  <si>
    <t>추정값1 (링크)</t>
    <phoneticPr fontId="2" type="noConversion"/>
  </si>
  <si>
    <t>비고</t>
    <phoneticPr fontId="2" type="noConversion"/>
  </si>
  <si>
    <t>오차가 크지만 그래프는 비슷하게 나옴. 행위자간 레벨차 고려안됨</t>
    <phoneticPr fontId="2" type="noConversion"/>
  </si>
  <si>
    <t>요구방어도</t>
    <phoneticPr fontId="2" type="noConversion"/>
  </si>
  <si>
    <t>불복제외</t>
    <phoneticPr fontId="2" type="noConversion"/>
  </si>
  <si>
    <t>ancestral ratio</t>
    <phoneticPr fontId="2" type="noConversion"/>
  </si>
  <si>
    <t>ancestral dropped</t>
    <phoneticPr fontId="2" type="noConversion"/>
  </si>
  <si>
    <t>스킬배율</t>
    <phoneticPr fontId="2" type="noConversion"/>
  </si>
  <si>
    <t>파이널아웃풋</t>
    <phoneticPr fontId="2" type="noConversion"/>
  </si>
  <si>
    <t>dmg
min</t>
    <phoneticPr fontId="2" type="noConversion"/>
  </si>
  <si>
    <t>dmg
max</t>
    <phoneticPr fontId="2" type="noConversion"/>
  </si>
  <si>
    <t>dpsmin</t>
    <phoneticPr fontId="2" type="noConversion"/>
  </si>
  <si>
    <t>dpsmax</t>
    <phoneticPr fontId="2" type="noConversion"/>
  </si>
  <si>
    <t>검은수용소</t>
    <phoneticPr fontId="2" type="noConversion"/>
  </si>
  <si>
    <t>item42</t>
    <phoneticPr fontId="2" type="noConversion"/>
  </si>
  <si>
    <t>item43</t>
    <phoneticPr fontId="2" type="noConversion"/>
  </si>
  <si>
    <t>item44</t>
    <phoneticPr fontId="2" type="noConversion"/>
  </si>
  <si>
    <t>item45</t>
    <phoneticPr fontId="2" type="noConversion"/>
  </si>
  <si>
    <t>item46</t>
    <phoneticPr fontId="2" type="noConversion"/>
  </si>
  <si>
    <t>근거리</t>
    <phoneticPr fontId="2" type="noConversion"/>
  </si>
  <si>
    <t>원거리</t>
    <phoneticPr fontId="2" type="noConversion"/>
  </si>
  <si>
    <t>A</t>
    <phoneticPr fontId="2" type="noConversion"/>
  </si>
  <si>
    <t>B</t>
    <phoneticPr fontId="2" type="noConversion"/>
  </si>
  <si>
    <t>보강</t>
    <phoneticPr fontId="2" type="noConversion"/>
  </si>
  <si>
    <t>근거리뎀감</t>
    <phoneticPr fontId="2" type="noConversion"/>
  </si>
  <si>
    <t>원거리뎀감</t>
    <phoneticPr fontId="2" type="noConversion"/>
  </si>
  <si>
    <t>피감</t>
    <phoneticPr fontId="2" type="noConversion"/>
  </si>
  <si>
    <t>장비</t>
    <phoneticPr fontId="2" type="noConversion"/>
  </si>
  <si>
    <t>가슴</t>
    <phoneticPr fontId="2" type="noConversion"/>
  </si>
  <si>
    <t>장갑</t>
    <phoneticPr fontId="2" type="noConversion"/>
  </si>
  <si>
    <t>바지</t>
    <phoneticPr fontId="2" type="noConversion"/>
  </si>
  <si>
    <t>신발</t>
    <phoneticPr fontId="2" type="noConversion"/>
  </si>
  <si>
    <t>능력치</t>
    <phoneticPr fontId="2" type="noConversion"/>
  </si>
  <si>
    <t>방어능력치</t>
    <phoneticPr fontId="2" type="noConversion"/>
  </si>
  <si>
    <t>패시브</t>
    <phoneticPr fontId="2" type="noConversion"/>
  </si>
  <si>
    <t>수량</t>
    <phoneticPr fontId="2" type="noConversion"/>
  </si>
  <si>
    <t>보석</t>
    <phoneticPr fontId="2" type="noConversion"/>
  </si>
  <si>
    <t>변신방어도+</t>
    <phoneticPr fontId="2" type="noConversion"/>
  </si>
  <si>
    <t>비율증가</t>
    <phoneticPr fontId="2" type="noConversion"/>
  </si>
  <si>
    <t>구분</t>
    <phoneticPr fontId="2" type="noConversion"/>
  </si>
  <si>
    <t>총 계</t>
    <phoneticPr fontId="2" type="noConversion"/>
  </si>
  <si>
    <t>머리</t>
    <phoneticPr fontId="2" type="noConversion"/>
  </si>
  <si>
    <t>상세능력</t>
    <phoneticPr fontId="2" type="noConversion"/>
  </si>
  <si>
    <t>불복 제외 최소 요구치 (100단)</t>
    <phoneticPr fontId="2" type="noConversion"/>
  </si>
  <si>
    <t>부족/과잉된 방어도 (배율스탯 반영 전)</t>
    <phoneticPr fontId="2" type="noConversion"/>
  </si>
  <si>
    <t>업데이트: 2023-07-09</t>
    <phoneticPr fontId="2" type="noConversion"/>
  </si>
  <si>
    <t>정예피해</t>
    <phoneticPr fontId="2" type="noConversion"/>
  </si>
  <si>
    <t>CC상태</t>
    <phoneticPr fontId="2" type="noConversion"/>
  </si>
  <si>
    <t>덫걸린적</t>
    <phoneticPr fontId="2" type="noConversion"/>
  </si>
  <si>
    <t>물리기술</t>
    <phoneticPr fontId="2" type="noConversion"/>
  </si>
  <si>
    <t>쌍수무기</t>
    <phoneticPr fontId="2" type="noConversion"/>
  </si>
  <si>
    <t>핵심기술</t>
    <phoneticPr fontId="2" type="noConversion"/>
  </si>
  <si>
    <t>암살기술</t>
    <phoneticPr fontId="2" type="noConversion"/>
  </si>
  <si>
    <t>회칼
꿰뚫</t>
    <phoneticPr fontId="2" type="noConversion"/>
  </si>
  <si>
    <t>칼춤꾼</t>
    <phoneticPr fontId="2" type="noConversion"/>
  </si>
  <si>
    <t>동상</t>
    <phoneticPr fontId="2" type="noConversion"/>
  </si>
  <si>
    <t>규탄</t>
    <phoneticPr fontId="2" type="noConversion"/>
  </si>
  <si>
    <t>-</t>
    <phoneticPr fontId="2" type="noConversion"/>
  </si>
  <si>
    <t>치명적인매복</t>
    <phoneticPr fontId="2" type="noConversion"/>
  </si>
  <si>
    <t>영업비밀</t>
    <phoneticPr fontId="2" type="noConversion"/>
  </si>
  <si>
    <t>비열한습격</t>
    <phoneticPr fontId="2" type="noConversion"/>
  </si>
  <si>
    <t>무기
숙련</t>
    <phoneticPr fontId="2" type="noConversion"/>
  </si>
  <si>
    <t>혹한의
기교</t>
    <phoneticPr fontId="2" type="noConversion"/>
  </si>
  <si>
    <t>MH</t>
    <phoneticPr fontId="2" type="noConversion"/>
  </si>
  <si>
    <t>OF</t>
    <phoneticPr fontId="2" type="noConversion"/>
  </si>
  <si>
    <t>Ranged</t>
    <phoneticPr fontId="2" type="noConversion"/>
  </si>
  <si>
    <t>Paragon</t>
    <phoneticPr fontId="2" type="noConversion"/>
  </si>
  <si>
    <t>potion</t>
    <phoneticPr fontId="2" type="noConversion"/>
  </si>
  <si>
    <t>크리티컬확률</t>
    <phoneticPr fontId="2" type="noConversion"/>
  </si>
  <si>
    <t>크리티컬데미지</t>
    <phoneticPr fontId="2" type="noConversion"/>
  </si>
  <si>
    <t>취약</t>
    <phoneticPr fontId="2" type="noConversion"/>
  </si>
  <si>
    <t>R-ring</t>
    <phoneticPr fontId="2" type="noConversion"/>
  </si>
  <si>
    <t>L-ring</t>
    <phoneticPr fontId="2" type="noConversion"/>
  </si>
  <si>
    <t>Paragon
Conditional
to CC</t>
    <phoneticPr fontId="2" type="noConversion"/>
  </si>
  <si>
    <t>Paragon
Conditional to Core</t>
    <phoneticPr fontId="2" type="noConversion"/>
  </si>
  <si>
    <t>Paragon
Conditional to Trapped</t>
    <phoneticPr fontId="2" type="noConversion"/>
  </si>
  <si>
    <t>스킬베이스</t>
    <phoneticPr fontId="2" type="noConversion"/>
  </si>
  <si>
    <t>위상</t>
    <phoneticPr fontId="2" type="noConversion"/>
  </si>
  <si>
    <t>유니크</t>
    <phoneticPr fontId="2" type="noConversion"/>
  </si>
  <si>
    <t>전설노드</t>
    <phoneticPr fontId="2" type="noConversion"/>
  </si>
  <si>
    <t>약점노출</t>
    <phoneticPr fontId="2" type="noConversion"/>
  </si>
  <si>
    <r>
      <rPr>
        <b/>
        <sz val="14"/>
        <color theme="0"/>
        <rFont val="Segoe UI Symbol"/>
        <family val="3"/>
      </rPr>
      <t>◽</t>
    </r>
    <r>
      <rPr>
        <b/>
        <sz val="14"/>
        <color theme="0"/>
        <rFont val="맑은 고딕"/>
        <family val="3"/>
        <charset val="129"/>
        <scheme val="minor"/>
      </rPr>
      <t>아이템 비교 결과</t>
    </r>
    <phoneticPr fontId="2" type="noConversion"/>
  </si>
  <si>
    <t>문양</t>
    <phoneticPr fontId="2" type="noConversion"/>
  </si>
  <si>
    <t>리덕션 차이</t>
    <phoneticPr fontId="2" type="noConversion"/>
  </si>
  <si>
    <t>정예</t>
    <phoneticPr fontId="2" type="noConversion"/>
  </si>
  <si>
    <t>근접</t>
    <phoneticPr fontId="2" type="noConversion"/>
  </si>
  <si>
    <t>덫걸린</t>
    <phoneticPr fontId="2" type="noConversion"/>
  </si>
  <si>
    <t>문양1</t>
    <phoneticPr fontId="2" type="noConversion"/>
  </si>
  <si>
    <t>문양2</t>
  </si>
  <si>
    <t>문양3</t>
  </si>
  <si>
    <t>문양4</t>
  </si>
  <si>
    <t>문양5</t>
  </si>
  <si>
    <t>전체</t>
    <phoneticPr fontId="2" type="noConversion"/>
  </si>
  <si>
    <t>Gems</t>
    <phoneticPr fontId="2" type="noConversion"/>
  </si>
  <si>
    <t>공속A</t>
    <phoneticPr fontId="2" type="noConversion"/>
  </si>
  <si>
    <t>공속B</t>
    <phoneticPr fontId="2" type="noConversion"/>
  </si>
  <si>
    <t>핵심데미지</t>
    <phoneticPr fontId="2" type="noConversion"/>
  </si>
  <si>
    <t>기본데미지</t>
    <phoneticPr fontId="2" type="noConversion"/>
  </si>
  <si>
    <t>뽑힐때</t>
    <phoneticPr fontId="2" type="noConversion"/>
  </si>
  <si>
    <t>꽂을때</t>
    <phoneticPr fontId="2" type="noConversion"/>
  </si>
  <si>
    <t>칼춤꾼(2회전)</t>
    <phoneticPr fontId="2" type="noConversion"/>
  </si>
  <si>
    <t>민첩</t>
    <phoneticPr fontId="2" type="noConversion"/>
  </si>
  <si>
    <t>기본피해</t>
    <phoneticPr fontId="2" type="noConversion"/>
  </si>
  <si>
    <t>토탈DPS</t>
    <phoneticPr fontId="2" type="noConversion"/>
  </si>
  <si>
    <t>스탯</t>
    <phoneticPr fontId="2" type="noConversion"/>
  </si>
  <si>
    <t>L-Ring</t>
    <phoneticPr fontId="2" type="noConversion"/>
  </si>
  <si>
    <t>R-Ring</t>
    <phoneticPr fontId="2" type="noConversion"/>
  </si>
  <si>
    <t>Gloves</t>
    <phoneticPr fontId="2" type="noConversion"/>
  </si>
  <si>
    <t>기본극확</t>
    <phoneticPr fontId="2" type="noConversion"/>
  </si>
  <si>
    <t>충격</t>
    <phoneticPr fontId="2" type="noConversion"/>
  </si>
  <si>
    <t>덫 숙련</t>
    <phoneticPr fontId="2" type="noConversion"/>
  </si>
  <si>
    <t>기본</t>
    <phoneticPr fontId="2" type="noConversion"/>
  </si>
  <si>
    <t>X-bow</t>
    <phoneticPr fontId="2" type="noConversion"/>
  </si>
  <si>
    <t>OH</t>
    <phoneticPr fontId="2" type="noConversion"/>
  </si>
  <si>
    <t>정복자</t>
    <phoneticPr fontId="2" type="noConversion"/>
  </si>
  <si>
    <t>핵심(정복자)</t>
    <phoneticPr fontId="2" type="noConversion"/>
  </si>
  <si>
    <t>모든</t>
  </si>
  <si>
    <t>정예피해</t>
  </si>
  <si>
    <t>CC상태</t>
  </si>
  <si>
    <t>근거리</t>
  </si>
  <si>
    <t>덫걸린</t>
  </si>
  <si>
    <t>물리기술</t>
  </si>
  <si>
    <t>쌍수무기</t>
  </si>
  <si>
    <t>핵심</t>
  </si>
  <si>
    <t>핵심</t>
    <phoneticPr fontId="2" type="noConversion"/>
  </si>
  <si>
    <t>암살</t>
  </si>
  <si>
    <t>암살</t>
    <phoneticPr fontId="2" type="noConversion"/>
  </si>
  <si>
    <t>칼춤꾼 1회전</t>
    <phoneticPr fontId="2" type="noConversion"/>
  </si>
  <si>
    <t>칼춤꾼 2회전</t>
    <phoneticPr fontId="2" type="noConversion"/>
  </si>
  <si>
    <t>확률</t>
    <phoneticPr fontId="2" type="noConversion"/>
  </si>
  <si>
    <t>회칼</t>
  </si>
  <si>
    <t>회칼</t>
    <phoneticPr fontId="2" type="noConversion"/>
  </si>
  <si>
    <t>리턴(x30%)</t>
    <phoneticPr fontId="2" type="noConversion"/>
  </si>
  <si>
    <t>구멍뚫기</t>
  </si>
  <si>
    <t>구멍뚫기</t>
    <phoneticPr fontId="2" type="noConversion"/>
  </si>
  <si>
    <t>3타 (각 35%)</t>
    <phoneticPr fontId="2" type="noConversion"/>
  </si>
  <si>
    <t>OH 기본</t>
    <phoneticPr fontId="2" type="noConversion"/>
  </si>
  <si>
    <t>기본스킬</t>
    <phoneticPr fontId="2" type="noConversion"/>
  </si>
  <si>
    <t>기타스킬</t>
    <phoneticPr fontId="2" type="noConversion"/>
  </si>
  <si>
    <t>가속하는위상</t>
    <phoneticPr fontId="2" type="noConversion"/>
  </si>
  <si>
    <t>MH-기본</t>
    <phoneticPr fontId="2" type="noConversion"/>
  </si>
  <si>
    <t>평균</t>
    <phoneticPr fontId="2" type="noConversion"/>
  </si>
  <si>
    <t>기본기술</t>
    <phoneticPr fontId="2" type="noConversion"/>
  </si>
  <si>
    <t>불변</t>
    <phoneticPr fontId="2" type="noConversion"/>
  </si>
  <si>
    <t>⑦공격속도</t>
    <phoneticPr fontId="2" type="noConversion"/>
  </si>
  <si>
    <t>분석</t>
    <phoneticPr fontId="2" type="noConversion"/>
  </si>
  <si>
    <t>연막탄</t>
    <phoneticPr fontId="2" type="noConversion"/>
  </si>
  <si>
    <t>7월 19일 이전</t>
    <phoneticPr fontId="2" type="noConversion"/>
  </si>
  <si>
    <t>7월 19일 이후</t>
    <phoneticPr fontId="2" type="noConversion"/>
  </si>
  <si>
    <t>(손실)</t>
    <phoneticPr fontId="2" type="noConversion"/>
  </si>
  <si>
    <t xml:space="preserve"> 433% / 464.4% - 1</t>
    <phoneticPr fontId="2" type="noConversion"/>
  </si>
  <si>
    <t xml:space="preserve"> 332.8% / 442.4% - 1</t>
    <phoneticPr fontId="2" type="noConversion"/>
  </si>
  <si>
    <t>(이득)</t>
    <phoneticPr fontId="2" type="noConversion"/>
  </si>
  <si>
    <t xml:space="preserve"> 659.7% / 649.1% - 1</t>
    <phoneticPr fontId="2" type="noConversion"/>
  </si>
  <si>
    <t>(기본)</t>
    <phoneticPr fontId="2" type="noConversion"/>
  </si>
  <si>
    <t>배율 총 비교</t>
    <phoneticPr fontId="2" type="noConversion"/>
  </si>
  <si>
    <t xml:space="preserve"> **수치 = 발생확률 x 데미지배율총합</t>
    <phoneticPr fontId="2" type="noConversion"/>
  </si>
  <si>
    <t xml:space="preserve"> **가정: 붙어서 한 타깃에 세 발 모두 적중 (35% x 3)</t>
    <phoneticPr fontId="2" type="noConversion"/>
  </si>
  <si>
    <t>데미지 기대값</t>
    <phoneticPr fontId="2" type="noConversion"/>
  </si>
  <si>
    <t xml:space="preserve">1 싸이클 </t>
    <phoneticPr fontId="2" type="noConversion"/>
  </si>
  <si>
    <t xml:space="preserve"> [평 x 구멍뚫기배율] + [회칼 x 회칼배율]</t>
    <phoneticPr fontId="2" type="noConversion"/>
  </si>
  <si>
    <t>1차</t>
    <phoneticPr fontId="2" type="noConversion"/>
  </si>
  <si>
    <t>3연계</t>
    <phoneticPr fontId="2" type="noConversion"/>
  </si>
  <si>
    <r>
      <t xml:space="preserve"> 주능력치 배율 </t>
    </r>
    <r>
      <rPr>
        <sz val="11"/>
        <color theme="5" tint="-0.249977111117893"/>
        <rFont val="맑은 고딕"/>
        <family val="3"/>
        <charset val="129"/>
        <scheme val="minor"/>
      </rPr>
      <t>-5.45% [x]</t>
    </r>
    <phoneticPr fontId="2" type="noConversion"/>
  </si>
  <si>
    <r>
      <t xml:space="preserve"> 극피 총 배율 </t>
    </r>
    <r>
      <rPr>
        <sz val="11"/>
        <color theme="5" tint="-0.249977111117893"/>
        <rFont val="맑은 고딕"/>
        <family val="3"/>
        <charset val="129"/>
        <scheme val="minor"/>
      </rPr>
      <t>-6.76% [x]</t>
    </r>
    <phoneticPr fontId="2" type="noConversion"/>
  </si>
  <si>
    <r>
      <t xml:space="preserve"> 취피 총 배율 </t>
    </r>
    <r>
      <rPr>
        <sz val="11"/>
        <color theme="5" tint="-0.249977111117893"/>
        <rFont val="맑은 고딕"/>
        <family val="3"/>
        <charset val="129"/>
        <scheme val="minor"/>
      </rPr>
      <t xml:space="preserve"> -24.77% [x]</t>
    </r>
    <phoneticPr fontId="2" type="noConversion"/>
  </si>
  <si>
    <r>
      <t xml:space="preserve"> 피해증가</t>
    </r>
    <r>
      <rPr>
        <sz val="11"/>
        <color theme="5" tint="-0.249977111117893"/>
        <rFont val="맑은 고딕"/>
        <family val="3"/>
        <charset val="129"/>
        <scheme val="minor"/>
      </rPr>
      <t xml:space="preserve"> +1.63% [x]</t>
    </r>
    <phoneticPr fontId="2" type="noConversion"/>
  </si>
  <si>
    <t>⑥ 스킬배율2</t>
    <phoneticPr fontId="2" type="noConversion"/>
  </si>
  <si>
    <t>⑥ 스킬배율1</t>
    <phoneticPr fontId="2" type="noConversion"/>
  </si>
  <si>
    <t>회전칼날 1연계</t>
    <phoneticPr fontId="2" type="noConversion"/>
  </si>
  <si>
    <r>
      <rPr>
        <b/>
        <sz val="12"/>
        <color theme="5" tint="-0.249977111117893"/>
        <rFont val="맑은 고딕"/>
        <family val="3"/>
        <charset val="129"/>
        <scheme val="minor"/>
      </rPr>
      <t>(손실)</t>
    </r>
    <r>
      <rPr>
        <b/>
        <sz val="12"/>
        <color theme="5" tint="0.39997558519241921"/>
        <rFont val="맑은 고딕"/>
        <family val="3"/>
        <charset val="129"/>
        <scheme val="minor"/>
      </rPr>
      <t xml:space="preserve">
 핵심스킬  </t>
    </r>
    <r>
      <rPr>
        <b/>
        <sz val="12"/>
        <color theme="5" tint="-0.249977111117893"/>
        <rFont val="맑은 고딕"/>
        <family val="3"/>
        <charset val="129"/>
        <scheme val="minor"/>
      </rPr>
      <t>-29.14% [x]</t>
    </r>
    <r>
      <rPr>
        <b/>
        <sz val="12"/>
        <color theme="5" tint="0.39997558519241921"/>
        <rFont val="맑은 고딕"/>
        <family val="3"/>
        <charset val="129"/>
        <scheme val="minor"/>
      </rPr>
      <t xml:space="preserve">
 기타스킬 </t>
    </r>
    <r>
      <rPr>
        <b/>
        <sz val="12"/>
        <color theme="5" tint="-0.249977111117893"/>
        <rFont val="맑은 고딕"/>
        <family val="3"/>
        <charset val="129"/>
        <scheme val="minor"/>
      </rPr>
      <t xml:space="preserve"> -12.46% [x]  </t>
    </r>
    <phoneticPr fontId="2" type="noConversion"/>
  </si>
  <si>
    <t xml:space="preserve"> 120% / 115% - 1</t>
    <phoneticPr fontId="2" type="noConversion"/>
  </si>
  <si>
    <r>
      <t xml:space="preserve"> 연막탄 뻥뎀 </t>
    </r>
    <r>
      <rPr>
        <sz val="11"/>
        <color theme="4" tint="0.39997558519241921"/>
        <rFont val="맑은 고딕"/>
        <family val="3"/>
        <charset val="129"/>
        <scheme val="minor"/>
      </rPr>
      <t>+4.34% [x]</t>
    </r>
    <phoneticPr fontId="2" type="noConversion"/>
  </si>
  <si>
    <t>⑤ 피해증가</t>
    <phoneticPr fontId="2" type="noConversion"/>
  </si>
  <si>
    <t>④ 취약피해</t>
    <phoneticPr fontId="2" type="noConversion"/>
  </si>
  <si>
    <t>③ 극대화피해</t>
    <phoneticPr fontId="2" type="noConversion"/>
  </si>
  <si>
    <t>② 극대화확률</t>
    <phoneticPr fontId="2" type="noConversion"/>
  </si>
  <si>
    <t>① 능력치</t>
    <phoneticPr fontId="2" type="noConversion"/>
  </si>
  <si>
    <t>⑥ 기타영향</t>
    <phoneticPr fontId="2" type="noConversion"/>
  </si>
  <si>
    <t>비중</t>
    <phoneticPr fontId="2" type="noConversion"/>
  </si>
  <si>
    <t>합</t>
  </si>
  <si>
    <t>회전칼날</t>
    <phoneticPr fontId="2" type="noConversion"/>
  </si>
  <si>
    <t>불변 &gt; 고려 안함</t>
    <phoneticPr fontId="2" type="noConversion"/>
  </si>
  <si>
    <r>
      <rPr>
        <sz val="12"/>
        <color theme="5" tint="0.39997558519241921"/>
        <rFont val="맑은 고딕"/>
        <family val="3"/>
        <charset val="129"/>
        <scheme val="minor"/>
      </rPr>
      <t xml:space="preserve"> 최종 데미지 아웃풋</t>
    </r>
    <r>
      <rPr>
        <b/>
        <sz val="12"/>
        <color theme="5" tint="0.39997558519241921"/>
        <rFont val="맑은 고딕"/>
        <family val="3"/>
        <charset val="129"/>
        <scheme val="minor"/>
      </rPr>
      <t xml:space="preserve">  </t>
    </r>
    <r>
      <rPr>
        <b/>
        <sz val="11"/>
        <color theme="5" tint="-0.249977111117893"/>
        <rFont val="맑은 고딕"/>
        <family val="3"/>
        <charset val="129"/>
        <scheme val="minor"/>
      </rPr>
      <t>-26.7% [x]</t>
    </r>
    <phoneticPr fontId="2" type="noConversion"/>
  </si>
  <si>
    <t>(평타+회칼)</t>
    <phoneticPr fontId="2" type="noConversion"/>
  </si>
  <si>
    <r>
      <rPr>
        <b/>
        <sz val="14"/>
        <color theme="7"/>
        <rFont val="맑은 고딕"/>
        <family val="3"/>
        <charset val="129"/>
        <scheme val="minor"/>
      </rPr>
      <t>※ 당연한 이야기지만 계산에 고려해야 할 요소는 각자가 구성한 빌드마다 다름 (위의 표는 작성자가 패치로 인해 영향받은 부분만 기술한 것임)
※ 위상/패시브 등 전체 배율요소들의 미표기 이유 :</t>
    </r>
    <r>
      <rPr>
        <sz val="14"/>
        <color theme="7"/>
        <rFont val="맑은 고딕"/>
        <family val="3"/>
        <charset val="129"/>
        <scheme val="minor"/>
      </rPr>
      <t xml:space="preserve">
   </t>
    </r>
    <r>
      <rPr>
        <sz val="14"/>
        <color theme="7"/>
        <rFont val="Microsoft JhengHei"/>
        <family val="3"/>
      </rPr>
      <t>└</t>
    </r>
    <r>
      <rPr>
        <sz val="14"/>
        <color theme="7"/>
        <rFont val="맑은 고딕"/>
        <family val="3"/>
        <charset val="129"/>
        <scheme val="minor"/>
      </rPr>
      <t xml:space="preserve">현재 빌드에서 사용중인 주요 데미지 변수 중,
</t>
    </r>
    <r>
      <rPr>
        <b/>
        <sz val="14"/>
        <color theme="7"/>
        <rFont val="맑은 고딕"/>
        <family val="3"/>
        <charset val="129"/>
        <scheme val="minor"/>
      </rPr>
      <t xml:space="preserve">   </t>
    </r>
    <r>
      <rPr>
        <b/>
        <sz val="14"/>
        <color theme="7"/>
        <rFont val="Microsoft JhengHei"/>
        <family val="3"/>
      </rPr>
      <t>└</t>
    </r>
    <r>
      <rPr>
        <sz val="14"/>
        <color theme="7"/>
        <rFont val="맑은 고딕"/>
        <family val="3"/>
        <charset val="129"/>
        <scheme val="minor"/>
      </rPr>
      <t xml:space="preserve">본 표에서 언급하지 않은 요소들은 패치 전/후 변동이 없었고 
   </t>
    </r>
    <r>
      <rPr>
        <sz val="14"/>
        <color theme="7"/>
        <rFont val="Microsoft JhengHei"/>
        <family val="3"/>
      </rPr>
      <t>└</t>
    </r>
    <r>
      <rPr>
        <sz val="14"/>
        <color theme="7"/>
        <rFont val="맑은 고딕"/>
        <family val="3"/>
        <charset val="129"/>
        <scheme val="minor"/>
      </rPr>
      <t xml:space="preserve">독립적으로 곱셈역할을 하는 공통상수라 비교수식에서는 제외해도 결과 도출에 전혀 상관이 없으므로 작성하지 않음
   </t>
    </r>
    <r>
      <rPr>
        <sz val="14"/>
        <color theme="7"/>
        <rFont val="Microsoft JhengHei"/>
        <family val="3"/>
      </rPr>
      <t>└</t>
    </r>
    <r>
      <rPr>
        <sz val="14"/>
        <color theme="8" tint="-0.249977111117893"/>
        <rFont val="맑은 고딕"/>
        <family val="3"/>
        <charset val="129"/>
        <scheme val="minor"/>
      </rPr>
      <t>총량 개념이 아닌 비율적으로 어느정도 증감하는지 보는 것이 주 목적</t>
    </r>
    <phoneticPr fontId="2" type="noConversion"/>
  </si>
  <si>
    <t>프로젝트 명 : 패치 전후 난 어떤 타격을 받았는지 알아보자</t>
    <phoneticPr fontId="2" type="noConversion"/>
  </si>
  <si>
    <t>규탄적용(36%)</t>
    <phoneticPr fontId="2" type="noConversion"/>
  </si>
  <si>
    <t>평회(규탄)</t>
    <phoneticPr fontId="2" type="noConversion"/>
  </si>
  <si>
    <t>상대비율</t>
    <phoneticPr fontId="2" type="noConversion"/>
  </si>
  <si>
    <t>조정된 아웃풋 (영업비밀반영)</t>
    <phoneticPr fontId="2" type="noConversion"/>
  </si>
  <si>
    <t>구멍뚫기 배율 (기대값)</t>
    <phoneticPr fontId="2" type="noConversion"/>
  </si>
  <si>
    <t>회칼 배율 (기대값)</t>
    <phoneticPr fontId="2" type="noConversion"/>
  </si>
  <si>
    <t>총 아웃풋 (배율)</t>
    <phoneticPr fontId="2" type="noConversion"/>
  </si>
  <si>
    <t>영업비밀 (전설노드)</t>
    <phoneticPr fontId="2" type="noConversion"/>
  </si>
  <si>
    <t>n/a</t>
    <phoneticPr fontId="2" type="noConversion"/>
  </si>
  <si>
    <t>&lt;-요게 중요</t>
    <phoneticPr fontId="2" type="noConversion"/>
  </si>
  <si>
    <r>
      <rPr>
        <sz val="11"/>
        <color theme="8" tint="0.39997558519241921"/>
        <rFont val="Segoe UI Symbol"/>
        <family val="2"/>
      </rPr>
      <t xml:space="preserve">🔺 </t>
    </r>
    <r>
      <rPr>
        <sz val="11"/>
        <color theme="8" tint="0.39997558519241921"/>
        <rFont val="Arial Unicode MS"/>
        <family val="2"/>
        <charset val="129"/>
      </rPr>
      <t>주의: 배율값들 ('#</t>
    </r>
    <r>
      <rPr>
        <sz val="11"/>
        <color theme="8" tint="0.39997558519241921"/>
        <rFont val="Calibri"/>
        <family val="2"/>
      </rPr>
      <t xml:space="preserve"> </t>
    </r>
    <r>
      <rPr>
        <sz val="11"/>
        <color theme="8" tint="0.39997558519241921"/>
        <rFont val="Arial Unicode MS"/>
        <family val="2"/>
        <charset val="129"/>
      </rPr>
      <t>배' 로 표기) 은</t>
    </r>
    <r>
      <rPr>
        <sz val="11"/>
        <color theme="8" tint="0.39997558519241921"/>
        <rFont val="맑은 고딕"/>
        <family val="2"/>
        <charset val="129"/>
      </rPr>
      <t xml:space="preserve"> 과소 계산되어 있음.</t>
    </r>
    <phoneticPr fontId="2" type="noConversion"/>
  </si>
  <si>
    <r>
      <t xml:space="preserve">            </t>
    </r>
    <r>
      <rPr>
        <sz val="11"/>
        <color theme="8" tint="0.39997558519241921"/>
        <rFont val="Microsoft JhengHei"/>
        <family val="2"/>
      </rPr>
      <t>└</t>
    </r>
    <r>
      <rPr>
        <sz val="11"/>
        <color theme="8" tint="0.39997558519241921"/>
        <rFont val="맑은 고딕"/>
        <family val="2"/>
        <charset val="129"/>
        <scheme val="minor"/>
      </rPr>
      <t xml:space="preserve"> </t>
    </r>
    <r>
      <rPr>
        <b/>
        <sz val="11"/>
        <color theme="8" tint="0.39997558519241921"/>
        <rFont val="맑은 고딕"/>
        <family val="3"/>
        <charset val="129"/>
        <scheme val="minor"/>
      </rPr>
      <t>왜?</t>
    </r>
    <r>
      <rPr>
        <sz val="11"/>
        <color theme="8" tint="0.39997558519241921"/>
        <rFont val="맑은 고딕"/>
        <family val="2"/>
        <charset val="129"/>
        <scheme val="minor"/>
      </rPr>
      <t xml:space="preserve"> </t>
    </r>
    <r>
      <rPr>
        <sz val="11"/>
        <color theme="8" tint="0.39997558519241921"/>
        <rFont val="맑은 고딕"/>
        <family val="3"/>
        <charset val="129"/>
      </rPr>
      <t xml:space="preserve">상대 비율차 </t>
    </r>
    <r>
      <rPr>
        <sz val="11"/>
        <color theme="8" tint="0.39997558519241921"/>
        <rFont val="맑은 고딕"/>
        <family val="3"/>
        <charset val="129"/>
        <scheme val="minor"/>
      </rPr>
      <t>계산</t>
    </r>
    <r>
      <rPr>
        <sz val="11"/>
        <color theme="8" tint="0.39997558519241921"/>
        <rFont val="맑은 고딕"/>
        <family val="2"/>
        <charset val="129"/>
        <scheme val="minor"/>
      </rPr>
      <t>에 전혀 필요없는 대부분의 '공통 독립 승수' 들을 계산편의상 제거</t>
    </r>
    <phoneticPr fontId="2" type="noConversion"/>
  </si>
  <si>
    <t xml:space="preserve">              (공통적인 [X] 연산 기능 들)</t>
    <phoneticPr fontId="2" type="noConversion"/>
  </si>
  <si>
    <t>DPS 공속반영</t>
    <phoneticPr fontId="2" type="noConversion"/>
  </si>
  <si>
    <t>회회(쌍도검)</t>
    <phoneticPr fontId="2" type="noConversion"/>
  </si>
  <si>
    <t>쌍도검 찬 경우 스펙</t>
    <phoneticPr fontId="2" type="noConversion"/>
  </si>
  <si>
    <t>원본</t>
    <phoneticPr fontId="2" type="noConversion"/>
  </si>
  <si>
    <t>OH</t>
  </si>
  <si>
    <t>보석</t>
  </si>
  <si>
    <t>정복자</t>
  </si>
  <si>
    <t>기본</t>
  </si>
  <si>
    <t>R-Ring</t>
  </si>
  <si>
    <t>L-Ring</t>
  </si>
  <si>
    <t>X-bow</t>
  </si>
  <si>
    <t>MH</t>
  </si>
  <si>
    <t>⑧ 무기공격력</t>
    <phoneticPr fontId="2" type="noConversion"/>
  </si>
  <si>
    <t>MH-min</t>
  </si>
  <si>
    <t>MH-min</t>
    <phoneticPr fontId="2" type="noConversion"/>
  </si>
  <si>
    <t>MH-max</t>
  </si>
  <si>
    <t>MH-max</t>
    <phoneticPr fontId="2" type="noConversion"/>
  </si>
  <si>
    <t>OH-min</t>
  </si>
  <si>
    <t>OH-min</t>
    <phoneticPr fontId="2" type="noConversion"/>
  </si>
  <si>
    <t>OH-max</t>
  </si>
  <si>
    <t>OH-max</t>
    <phoneticPr fontId="2" type="noConversion"/>
  </si>
  <si>
    <t xml:space="preserve"> 최종 데미지 아웃풋</t>
    <phoneticPr fontId="2" type="noConversion"/>
  </si>
  <si>
    <t>수치 = [평타외부배율 x 구멍뚫기스킬배율] + [회칼외부배율 x 회칼스킬배율]</t>
    <phoneticPr fontId="2" type="noConversion"/>
  </si>
  <si>
    <t>주능력치 배율비</t>
    <phoneticPr fontId="2" type="noConversion"/>
  </si>
  <si>
    <t xml:space="preserve"> 극피 총 배율</t>
    <phoneticPr fontId="2" type="noConversion"/>
  </si>
  <si>
    <t>무공차이</t>
    <phoneticPr fontId="2" type="noConversion"/>
  </si>
  <si>
    <t>비기본스킬</t>
    <phoneticPr fontId="2" type="noConversion"/>
  </si>
  <si>
    <t>종합차이</t>
    <phoneticPr fontId="2" type="noConversion"/>
  </si>
  <si>
    <t>1연계</t>
    <phoneticPr fontId="2" type="noConversion"/>
  </si>
  <si>
    <t xml:space="preserve"> 취피 배율 득실</t>
    <phoneticPr fontId="2" type="noConversion"/>
  </si>
  <si>
    <t>구멍득실</t>
    <phoneticPr fontId="2" type="noConversion"/>
  </si>
  <si>
    <t>회칼득실</t>
    <phoneticPr fontId="2" type="noConversion"/>
  </si>
  <si>
    <t>일반피해증가</t>
    <phoneticPr fontId="2" type="noConversion"/>
  </si>
  <si>
    <t>기타영향요인</t>
    <phoneticPr fontId="2" type="noConversion"/>
  </si>
  <si>
    <t>무공 반영</t>
    <phoneticPr fontId="2" type="noConversion"/>
  </si>
  <si>
    <t>총 아웃풋</t>
    <phoneticPr fontId="2" type="noConversion"/>
  </si>
  <si>
    <t>차이</t>
    <phoneticPr fontId="2" type="noConversion"/>
  </si>
  <si>
    <t>결산1</t>
    <phoneticPr fontId="2" type="noConversion"/>
  </si>
  <si>
    <t>결산2</t>
    <phoneticPr fontId="2" type="noConversion"/>
  </si>
  <si>
    <t>무기차이</t>
    <phoneticPr fontId="2" type="noConversion"/>
  </si>
  <si>
    <t>결산3</t>
    <phoneticPr fontId="2" type="noConversion"/>
  </si>
  <si>
    <t>공속반영</t>
    <phoneticPr fontId="2" type="noConversion"/>
  </si>
  <si>
    <t>결산4</t>
    <phoneticPr fontId="2" type="noConversion"/>
  </si>
  <si>
    <t>DPS</t>
    <phoneticPr fontId="2" type="noConversion"/>
  </si>
  <si>
    <t>최종</t>
    <phoneticPr fontId="2" type="noConversion"/>
  </si>
  <si>
    <t>총 배율</t>
    <phoneticPr fontId="2" type="noConversion"/>
  </si>
  <si>
    <t>기본적인</t>
    <phoneticPr fontId="2" type="noConversion"/>
  </si>
  <si>
    <t>배율 지표들</t>
    <phoneticPr fontId="2" type="noConversion"/>
  </si>
  <si>
    <t>기본 배율 계상</t>
    <phoneticPr fontId="2" type="noConversion"/>
  </si>
  <si>
    <t>스킬 배수 반영</t>
    <phoneticPr fontId="2" type="noConversion"/>
  </si>
  <si>
    <r>
      <rPr>
        <b/>
        <sz val="16"/>
        <color theme="0" tint="-0.34998626667073579"/>
        <rFont val="Segoe UI Symbol"/>
        <family val="3"/>
      </rPr>
      <t>◽</t>
    </r>
    <r>
      <rPr>
        <b/>
        <sz val="16"/>
        <color theme="0" tint="-0.34998626667073579"/>
        <rFont val="Arial Unicode MS"/>
        <family val="3"/>
        <charset val="129"/>
      </rPr>
      <t>도적 회칼 빌드 계산</t>
    </r>
    <r>
      <rPr>
        <b/>
        <sz val="16"/>
        <color theme="0" tint="-0.34998626667073579"/>
        <rFont val="맑은 고딕"/>
        <family val="3"/>
        <charset val="129"/>
      </rPr>
      <t xml:space="preserve"> 및 비교</t>
    </r>
    <phoneticPr fontId="2" type="noConversion"/>
  </si>
  <si>
    <r>
      <rPr>
        <b/>
        <sz val="14"/>
        <color theme="7"/>
        <rFont val="맑은 고딕"/>
        <family val="3"/>
        <charset val="129"/>
        <scheme val="minor"/>
      </rPr>
      <t>※ 당연한 이야기지만 계산에 고려해야 할 요소는 각자가 구성한 빌드마다 다름 (위의 표는 작성자가 비교에 영향받는 부분만 추려내어 기술한 것임)
※ 위상/패시브 등 전체 배율요소들의 미표기 이유 :</t>
    </r>
    <r>
      <rPr>
        <sz val="14"/>
        <color theme="7"/>
        <rFont val="맑은 고딕"/>
        <family val="3"/>
        <charset val="129"/>
        <scheme val="minor"/>
      </rPr>
      <t xml:space="preserve">
   </t>
    </r>
    <r>
      <rPr>
        <sz val="14"/>
        <color theme="7"/>
        <rFont val="Microsoft JhengHei"/>
        <family val="3"/>
      </rPr>
      <t>└</t>
    </r>
    <r>
      <rPr>
        <sz val="14"/>
        <color theme="7"/>
        <rFont val="맑은 고딕"/>
        <family val="3"/>
        <charset val="129"/>
        <scheme val="minor"/>
      </rPr>
      <t xml:space="preserve">현재 빌드에서 사용중인 주요 데미지 변수 중,
</t>
    </r>
    <r>
      <rPr>
        <b/>
        <sz val="14"/>
        <color theme="7"/>
        <rFont val="맑은 고딕"/>
        <family val="3"/>
        <charset val="129"/>
        <scheme val="minor"/>
      </rPr>
      <t xml:space="preserve">   </t>
    </r>
    <r>
      <rPr>
        <b/>
        <sz val="14"/>
        <color theme="7"/>
        <rFont val="Microsoft JhengHei"/>
        <family val="3"/>
      </rPr>
      <t>└</t>
    </r>
    <r>
      <rPr>
        <sz val="14"/>
        <color theme="7"/>
        <rFont val="맑은 고딕"/>
        <family val="3"/>
        <charset val="129"/>
        <scheme val="minor"/>
      </rPr>
      <t xml:space="preserve">본 표에서 언급하지 않은 요소들은 패치 전/후 변동이 없었고 
   </t>
    </r>
    <r>
      <rPr>
        <sz val="14"/>
        <color theme="7"/>
        <rFont val="Microsoft JhengHei"/>
        <family val="3"/>
      </rPr>
      <t>└</t>
    </r>
    <r>
      <rPr>
        <sz val="14"/>
        <color theme="7"/>
        <rFont val="맑은 고딕"/>
        <family val="3"/>
        <charset val="129"/>
        <scheme val="minor"/>
      </rPr>
      <t xml:space="preserve">독립적으로 곱셈역할을 하는 공통상수라 비교수식에서는 제외해도 결과 도출에 전혀 상관이 없으므로 작성하지 않음
   </t>
    </r>
    <r>
      <rPr>
        <sz val="14"/>
        <color theme="7"/>
        <rFont val="Microsoft JhengHei"/>
        <family val="3"/>
      </rPr>
      <t>└</t>
    </r>
    <r>
      <rPr>
        <sz val="14"/>
        <color theme="8" tint="-0.249977111117893"/>
        <rFont val="맑은 고딕"/>
        <family val="3"/>
        <charset val="129"/>
        <scheme val="minor"/>
      </rPr>
      <t>총량 개념이 아닌 비율적으로 어느정도 증감하는지 보는 것이 주 목적</t>
    </r>
    <phoneticPr fontId="2" type="noConversion"/>
  </si>
  <si>
    <t>주입</t>
    <phoneticPr fontId="2" type="noConversion"/>
  </si>
  <si>
    <t>(초당 아웃풋)</t>
    <phoneticPr fontId="2" type="noConversion"/>
  </si>
  <si>
    <t>핵심(구 버전)</t>
    <phoneticPr fontId="2" type="noConversion"/>
  </si>
  <si>
    <t>죽은 자의 늪</t>
    <phoneticPr fontId="2" type="noConversion"/>
  </si>
  <si>
    <t>시즌구분</t>
    <phoneticPr fontId="2" type="noConversion"/>
  </si>
  <si>
    <t>신념의 보루</t>
    <phoneticPr fontId="2" type="noConversion"/>
  </si>
  <si>
    <t>사라트의 은신처</t>
    <phoneticPr fontId="2" type="noConversion"/>
  </si>
  <si>
    <t>가란 요새</t>
    <phoneticPr fontId="2" type="noConversion"/>
  </si>
  <si>
    <t>얼굴없는 신단</t>
    <phoneticPr fontId="2" type="noConversion"/>
  </si>
  <si>
    <t>해골</t>
    <phoneticPr fontId="2" type="noConversion"/>
  </si>
  <si>
    <t>몰락자</t>
    <phoneticPr fontId="2" type="noConversion"/>
  </si>
  <si>
    <t>몬스터1</t>
    <phoneticPr fontId="2" type="noConversion"/>
  </si>
  <si>
    <t>몬스터2</t>
    <phoneticPr fontId="2" type="noConversion"/>
  </si>
  <si>
    <t>식인종</t>
    <phoneticPr fontId="2" type="noConversion"/>
  </si>
  <si>
    <t>역병거미</t>
    <phoneticPr fontId="2" type="noConversion"/>
  </si>
  <si>
    <t>거미보스</t>
    <phoneticPr fontId="2" type="noConversion"/>
  </si>
  <si>
    <t>잃어버린 성채</t>
    <phoneticPr fontId="2" type="noConversion"/>
  </si>
  <si>
    <t>보스</t>
    <phoneticPr fontId="2" type="noConversion"/>
  </si>
  <si>
    <t>아크칸의 손아귀</t>
    <phoneticPr fontId="2" type="noConversion"/>
  </si>
  <si>
    <t>흡혈귀</t>
    <phoneticPr fontId="2" type="noConversion"/>
  </si>
  <si>
    <t>피의 주교</t>
    <phoneticPr fontId="2" type="noConversion"/>
  </si>
  <si>
    <t>흡혈귀, 좀비</t>
    <phoneticPr fontId="2" type="noConversion"/>
  </si>
  <si>
    <t>눈먼 자의 굴</t>
    <phoneticPr fontId="2" type="noConversion"/>
  </si>
  <si>
    <t>말벌, 돌격수</t>
    <phoneticPr fontId="2" type="noConversion"/>
  </si>
  <si>
    <t>이교도, 악마</t>
    <phoneticPr fontId="2" type="noConversion"/>
  </si>
  <si>
    <t>흰서리의 최후</t>
    <phoneticPr fontId="2" type="noConversion"/>
  </si>
  <si>
    <t>카즈라</t>
    <phoneticPr fontId="2" type="noConversion"/>
  </si>
  <si>
    <t>노스트라바 깊은숲</t>
    <phoneticPr fontId="2" type="noConversion"/>
  </si>
  <si>
    <t>흡혈귀, 늑인</t>
    <phoneticPr fontId="2" type="noConversion"/>
  </si>
  <si>
    <t>불멸의 소산</t>
    <phoneticPr fontId="2" type="noConversion"/>
  </si>
  <si>
    <t>콤도르 사원</t>
    <phoneticPr fontId="2" type="noConversion"/>
  </si>
  <si>
    <t>철의 요새</t>
    <phoneticPr fontId="2" type="noConversion"/>
  </si>
  <si>
    <t>영혼</t>
    <phoneticPr fontId="2" type="noConversion"/>
  </si>
  <si>
    <t>대지의 재앙</t>
    <phoneticPr fontId="2" type="noConversion"/>
  </si>
  <si>
    <t>무너진 금고</t>
    <phoneticPr fontId="2" type="noConversion"/>
  </si>
  <si>
    <t>끓어오르는 군체우두머리</t>
    <phoneticPr fontId="2" type="noConversion"/>
  </si>
  <si>
    <t>코르 발라르 누벽</t>
    <phoneticPr fontId="2" type="noConversion"/>
  </si>
  <si>
    <t>참회의기사</t>
    <phoneticPr fontId="2" type="noConversion"/>
  </si>
  <si>
    <t>3참회의기사</t>
    <phoneticPr fontId="2" type="noConversion"/>
  </si>
  <si>
    <t>울두르의 동굴</t>
    <phoneticPr fontId="2" type="noConversion"/>
  </si>
  <si>
    <t>자비의 손길</t>
    <phoneticPr fontId="2" type="noConversion"/>
  </si>
  <si>
    <t>무덤 군주</t>
    <phoneticPr fontId="2" type="noConversion"/>
  </si>
  <si>
    <t>가시쥐, 해골</t>
    <phoneticPr fontId="2" type="noConversion"/>
  </si>
  <si>
    <t>성자들의 무덤</t>
    <phoneticPr fontId="2" type="noConversion"/>
  </si>
  <si>
    <t>망령, 말벌</t>
    <phoneticPr fontId="2" type="noConversion"/>
  </si>
  <si>
    <t>부활한 악의</t>
    <phoneticPr fontId="2" type="noConversion"/>
  </si>
  <si>
    <t>뒤틀린 공동</t>
    <phoneticPr fontId="2" type="noConversion"/>
  </si>
  <si>
    <t>시체 안치소</t>
    <phoneticPr fontId="2" type="noConversion"/>
  </si>
  <si>
    <t>구더기, 흉물, 식인종</t>
    <phoneticPr fontId="2" type="noConversion"/>
  </si>
  <si>
    <t>배신자의 길</t>
    <phoneticPr fontId="2" type="noConversion"/>
  </si>
  <si>
    <t>해골, 말벌</t>
    <phoneticPr fontId="2" type="noConversion"/>
  </si>
  <si>
    <t>뱃사람의 도피처</t>
    <phoneticPr fontId="2" type="noConversion"/>
  </si>
  <si>
    <t>가라앉은 바다마녀</t>
    <phoneticPr fontId="2" type="noConversion"/>
  </si>
  <si>
    <t>고대 저수지</t>
    <phoneticPr fontId="2" type="noConversion"/>
  </si>
  <si>
    <t>Uldur's Cave</t>
    <phoneticPr fontId="2" type="noConversion"/>
  </si>
  <si>
    <t>Sarat's Lair</t>
    <phoneticPr fontId="2" type="noConversion"/>
  </si>
  <si>
    <t>Mercy's Reach</t>
    <phoneticPr fontId="2" type="noConversion"/>
  </si>
  <si>
    <r>
      <t xml:space="preserve">나무, 곰, </t>
    </r>
    <r>
      <rPr>
        <sz val="11"/>
        <color rgb="FFFF0000"/>
        <rFont val="맑은 고딕"/>
        <family val="3"/>
        <charset val="129"/>
        <scheme val="minor"/>
      </rPr>
      <t>돌격수, 가시쥐, 영혼</t>
    </r>
    <phoneticPr fontId="2" type="noConversion"/>
  </si>
  <si>
    <r>
      <rPr>
        <sz val="11"/>
        <color rgb="FFFF0000"/>
        <rFont val="맑은 고딕"/>
        <family val="3"/>
        <charset val="129"/>
        <scheme val="minor"/>
      </rPr>
      <t>영혼,</t>
    </r>
    <r>
      <rPr>
        <sz val="11"/>
        <color theme="2" tint="-0.249977111117893"/>
        <rFont val="맑은 고딕"/>
        <family val="2"/>
        <charset val="129"/>
        <scheme val="minor"/>
      </rPr>
      <t xml:space="preserve"> 좀비, 가라앉은 자</t>
    </r>
    <phoneticPr fontId="2" type="noConversion"/>
  </si>
  <si>
    <r>
      <rPr>
        <sz val="11"/>
        <color rgb="FFFF0000"/>
        <rFont val="맑은 고딕"/>
        <family val="3"/>
        <charset val="129"/>
        <scheme val="minor"/>
      </rPr>
      <t>영혼,</t>
    </r>
    <r>
      <rPr>
        <sz val="11"/>
        <color theme="2" tint="-0.249977111117893"/>
        <rFont val="맑은 고딕"/>
        <family val="2"/>
        <charset val="129"/>
        <scheme val="minor"/>
      </rPr>
      <t xml:space="preserve"> 흡혈귀</t>
    </r>
    <phoneticPr fontId="2" type="noConversion"/>
  </si>
  <si>
    <r>
      <rPr>
        <sz val="11"/>
        <color rgb="FFFF0000"/>
        <rFont val="맑은 고딕"/>
        <family val="3"/>
        <charset val="129"/>
        <scheme val="minor"/>
      </rPr>
      <t>영혼,</t>
    </r>
    <r>
      <rPr>
        <sz val="11"/>
        <color theme="2" tint="-0.249977111117893"/>
        <rFont val="맑은 고딕"/>
        <family val="2"/>
        <charset val="129"/>
        <scheme val="minor"/>
      </rPr>
      <t xml:space="preserve"> 구울</t>
    </r>
    <phoneticPr fontId="2" type="noConversion"/>
  </si>
  <si>
    <r>
      <t xml:space="preserve">구더기, </t>
    </r>
    <r>
      <rPr>
        <sz val="11"/>
        <color rgb="FFFF0000"/>
        <rFont val="맑은 고딕"/>
        <family val="3"/>
        <charset val="129"/>
        <scheme val="minor"/>
      </rPr>
      <t>영혼</t>
    </r>
    <phoneticPr fontId="2" type="noConversion"/>
  </si>
  <si>
    <r>
      <rPr>
        <sz val="11"/>
        <color rgb="FFFF0000"/>
        <rFont val="맑은 고딕"/>
        <family val="3"/>
        <charset val="129"/>
        <scheme val="minor"/>
      </rPr>
      <t>말벌</t>
    </r>
    <r>
      <rPr>
        <sz val="11"/>
        <color theme="2" tint="-0.249977111117893"/>
        <rFont val="맑은 고딕"/>
        <family val="2"/>
        <charset val="129"/>
        <scheme val="minor"/>
      </rPr>
      <t>, 도적, 돌격수</t>
    </r>
    <phoneticPr fontId="2" type="noConversion"/>
  </si>
  <si>
    <r>
      <t xml:space="preserve">참회의기사, </t>
    </r>
    <r>
      <rPr>
        <sz val="11"/>
        <color rgb="FFFF0000"/>
        <rFont val="맑은 고딕"/>
        <family val="3"/>
        <charset val="129"/>
        <scheme val="minor"/>
      </rPr>
      <t>영혼</t>
    </r>
    <phoneticPr fontId="2" type="noConversion"/>
  </si>
  <si>
    <r>
      <rPr>
        <sz val="11"/>
        <color rgb="FFFF0000"/>
        <rFont val="맑은 고딕"/>
        <family val="3"/>
        <charset val="129"/>
        <scheme val="minor"/>
      </rPr>
      <t>가시쥐,</t>
    </r>
    <r>
      <rPr>
        <sz val="11"/>
        <color theme="2" tint="-0.249977111117893"/>
        <rFont val="맑은 고딕"/>
        <family val="2"/>
        <charset val="129"/>
        <scheme val="minor"/>
      </rPr>
      <t xml:space="preserve"> 얼음혈족</t>
    </r>
    <phoneticPr fontId="2" type="noConversion"/>
  </si>
  <si>
    <r>
      <rPr>
        <sz val="11"/>
        <color rgb="FFFF0000"/>
        <rFont val="맑은 고딕"/>
        <family val="3"/>
        <charset val="129"/>
        <scheme val="minor"/>
      </rPr>
      <t>해골</t>
    </r>
    <r>
      <rPr>
        <sz val="11"/>
        <color theme="2" tint="-0.249977111117893"/>
        <rFont val="맑은 고딕"/>
        <family val="2"/>
        <charset val="129"/>
        <scheme val="minor"/>
      </rPr>
      <t>, 악마</t>
    </r>
    <phoneticPr fontId="2" type="noConversion"/>
  </si>
  <si>
    <r>
      <rPr>
        <sz val="11"/>
        <color rgb="FFFF0000"/>
        <rFont val="맑은 고딕"/>
        <family val="3"/>
        <charset val="129"/>
        <scheme val="minor"/>
      </rPr>
      <t>해골, 가시쥐,</t>
    </r>
    <r>
      <rPr>
        <sz val="11"/>
        <color theme="2" tint="-0.249977111117893"/>
        <rFont val="맑은 고딕"/>
        <family val="2"/>
        <charset val="129"/>
        <scheme val="minor"/>
      </rPr>
      <t xml:space="preserve"> 나무, 늑대</t>
    </r>
    <phoneticPr fontId="2" type="noConversion"/>
  </si>
  <si>
    <r>
      <t>나무, 늑대</t>
    </r>
    <r>
      <rPr>
        <sz val="11"/>
        <color rgb="FFFF0000"/>
        <rFont val="맑은 고딕"/>
        <family val="3"/>
        <charset val="129"/>
        <scheme val="minor"/>
      </rPr>
      <t>, 해골</t>
    </r>
    <phoneticPr fontId="2" type="noConversion"/>
  </si>
  <si>
    <r>
      <t xml:space="preserve">달혈족, </t>
    </r>
    <r>
      <rPr>
        <sz val="11"/>
        <color rgb="FFFF0000"/>
        <rFont val="맑은 고딕"/>
        <family val="3"/>
        <charset val="129"/>
        <scheme val="minor"/>
      </rPr>
      <t>시체활</t>
    </r>
    <phoneticPr fontId="2" type="noConversion"/>
  </si>
  <si>
    <r>
      <rPr>
        <sz val="11"/>
        <color rgb="FFFF0000"/>
        <rFont val="맑은 고딕"/>
        <family val="3"/>
        <charset val="129"/>
        <scheme val="minor"/>
      </rPr>
      <t>해골(조금)</t>
    </r>
    <r>
      <rPr>
        <sz val="11"/>
        <color theme="2" tint="-0.249977111117893"/>
        <rFont val="맑은 고딕"/>
        <family val="2"/>
        <charset val="129"/>
        <scheme val="minor"/>
      </rPr>
      <t>, 서리혈족</t>
    </r>
    <phoneticPr fontId="2" type="noConversion"/>
  </si>
  <si>
    <t>저주받은 운명의 전당</t>
    <phoneticPr fontId="2" type="noConversion"/>
  </si>
  <si>
    <t>환영, 해골</t>
    <phoneticPr fontId="2" type="noConversion"/>
  </si>
  <si>
    <t>몰락자, 가라앉은 자</t>
    <phoneticPr fontId="2" type="noConversion"/>
  </si>
  <si>
    <t>창백한 토굴</t>
    <phoneticPr fontId="2" type="noConversion"/>
  </si>
  <si>
    <t>해골, 거미</t>
    <phoneticPr fontId="2" type="noConversion"/>
  </si>
  <si>
    <t>움직이는 도시</t>
    <phoneticPr fontId="2" type="noConversion"/>
  </si>
  <si>
    <t>잊힌 폐허</t>
    <phoneticPr fontId="2" type="noConversion"/>
  </si>
  <si>
    <t>branches</t>
    <phoneticPr fontId="2" type="noConversion"/>
  </si>
  <si>
    <t>size</t>
    <phoneticPr fontId="2" type="noConversion"/>
  </si>
  <si>
    <t>공통</t>
    <phoneticPr fontId="2" type="noConversion"/>
  </si>
  <si>
    <t>불명</t>
    <phoneticPr fontId="2" type="noConversion"/>
  </si>
  <si>
    <t>2년</t>
    <phoneticPr fontId="2" type="noConversion"/>
  </si>
  <si>
    <t>분배율</t>
    <phoneticPr fontId="2" type="noConversion"/>
  </si>
  <si>
    <t>1년</t>
    <phoneticPr fontId="2" type="noConversion"/>
  </si>
  <si>
    <t>3년</t>
    <phoneticPr fontId="2" type="noConversion"/>
  </si>
  <si>
    <t>총액</t>
    <phoneticPr fontId="2" type="noConversion"/>
  </si>
  <si>
    <t>총액 $</t>
    <phoneticPr fontId="2" type="noConversion"/>
  </si>
  <si>
    <t>#분배조건</t>
    <phoneticPr fontId="2" type="noConversion"/>
  </si>
  <si>
    <t>초기조건</t>
    <phoneticPr fontId="2" type="noConversion"/>
  </si>
  <si>
    <t xml:space="preserve"> 이벤트 2. 펀드:10 에  3년간  9천만 추가</t>
    <phoneticPr fontId="2" type="noConversion"/>
  </si>
  <si>
    <t xml:space="preserve"> 이벤트 3. 새 오피스건축물에 필요한 예산 $25백만이 승인</t>
    <phoneticPr fontId="2" type="noConversion"/>
  </si>
  <si>
    <t>나머지</t>
    <phoneticPr fontId="2" type="noConversion"/>
  </si>
  <si>
    <t>승인액</t>
    <phoneticPr fontId="2" type="noConversion"/>
  </si>
  <si>
    <t>분배</t>
    <phoneticPr fontId="2" type="noConversion"/>
  </si>
  <si>
    <t>vote 1 | sector 1</t>
    <phoneticPr fontId="2" type="noConversion"/>
  </si>
  <si>
    <t>vote 1 | sector 7</t>
    <phoneticPr fontId="2" type="noConversion"/>
  </si>
  <si>
    <t>vote 5 | sector 7</t>
    <phoneticPr fontId="2" type="noConversion"/>
  </si>
  <si>
    <t>이벤트3 분배</t>
    <phoneticPr fontId="2" type="noConversion"/>
  </si>
  <si>
    <t>이벤트2 분배</t>
    <phoneticPr fontId="2" type="noConversion"/>
  </si>
  <si>
    <t>vote</t>
    <phoneticPr fontId="2" type="noConversion"/>
  </si>
  <si>
    <t>branche</t>
    <phoneticPr fontId="2" type="noConversion"/>
  </si>
  <si>
    <t>배분율</t>
    <phoneticPr fontId="2" type="noConversion"/>
  </si>
  <si>
    <t xml:space="preserve"> 질문</t>
    <phoneticPr fontId="2" type="noConversion"/>
  </si>
  <si>
    <t>1. vote10 의 branch2 의 1년 퍼센티지 새로 구하시오    20% / 23% / 21% / 74%</t>
    <phoneticPr fontId="2" type="noConversion"/>
  </si>
  <si>
    <t>2. vote 5 의 branch7 퍼센티지 새로 구하시오  65% / 33% / 61% / 67%</t>
    <phoneticPr fontId="2" type="noConversion"/>
  </si>
  <si>
    <t>추가분배</t>
    <phoneticPr fontId="2" type="noConversion"/>
  </si>
  <si>
    <t>기존분배</t>
    <phoneticPr fontId="2" type="noConversion"/>
  </si>
  <si>
    <t>새 비율</t>
    <phoneticPr fontId="2" type="noConversion"/>
  </si>
  <si>
    <t>답 1.</t>
    <phoneticPr fontId="2" type="noConversion"/>
  </si>
  <si>
    <t xml:space="preserve">답 2. </t>
    <phoneticPr fontId="2" type="noConversion"/>
  </si>
  <si>
    <t>지점별 상세 배분표</t>
    <phoneticPr fontId="2" type="noConversion"/>
  </si>
  <si>
    <t>질문 답 부분</t>
    <phoneticPr fontId="2" type="noConversion"/>
  </si>
  <si>
    <t>?</t>
    <phoneticPr fontId="2" type="noConversion"/>
  </si>
  <si>
    <t>초기조건 분배</t>
    <phoneticPr fontId="2" type="noConversion"/>
  </si>
  <si>
    <t>new 배분율 (질문1)</t>
    <phoneticPr fontId="2" type="noConversion"/>
  </si>
  <si>
    <t>vote 10 - branche</t>
    <phoneticPr fontId="2" type="noConversion"/>
  </si>
  <si>
    <t>new 배분율 (질문2)</t>
    <phoneticPr fontId="2" type="noConversion"/>
  </si>
  <si>
    <t>극확스탯</t>
  </si>
  <si>
    <t>주스탯</t>
  </si>
  <si>
    <t>스탯</t>
  </si>
  <si>
    <t>기본극확</t>
  </si>
  <si>
    <t>Gloves</t>
  </si>
  <si>
    <t>충격</t>
  </si>
  <si>
    <t>덫 숙련</t>
  </si>
  <si>
    <t>주입</t>
  </si>
  <si>
    <t>핵심(구 버전)</t>
  </si>
  <si>
    <t>영업비밀</t>
  </si>
  <si>
    <t>치명적인매복</t>
  </si>
  <si>
    <t>돔헤인 굴</t>
    <phoneticPr fontId="2" type="noConversion"/>
  </si>
  <si>
    <t>가시쥐, 핏빛혈족</t>
    <phoneticPr fontId="2" type="noConversion"/>
  </si>
  <si>
    <t>핏빛혈족</t>
    <phoneticPr fontId="2" type="noConversion"/>
  </si>
  <si>
    <t>군중제어</t>
  </si>
  <si>
    <t>군중제어</t>
    <phoneticPr fontId="2" type="noConversion"/>
  </si>
  <si>
    <t>칼춤꾼 1회전</t>
  </si>
  <si>
    <t>칼춤꾼 2회전</t>
  </si>
  <si>
    <t>규탄효과</t>
    <phoneticPr fontId="2" type="noConversion"/>
  </si>
  <si>
    <t>칼춤꾼효과</t>
    <phoneticPr fontId="2" type="noConversion"/>
  </si>
  <si>
    <t>수치 = [결산2 값 X 무공]</t>
    <phoneticPr fontId="2" type="noConversion"/>
  </si>
  <si>
    <t>데미지 배율</t>
    <phoneticPr fontId="2" type="noConversion"/>
  </si>
  <si>
    <t>1회</t>
    <phoneticPr fontId="2" type="noConversion"/>
  </si>
  <si>
    <t>수치 = [결산3 값 X 공속]</t>
    <phoneticPr fontId="2" type="noConversion"/>
  </si>
  <si>
    <t>원거리피해</t>
    <phoneticPr fontId="2" type="noConversion"/>
  </si>
  <si>
    <t>무기숙련</t>
    <phoneticPr fontId="2" type="noConversion"/>
  </si>
  <si>
    <t>부상적</t>
    <phoneticPr fontId="2" type="noConversion"/>
  </si>
  <si>
    <t>실험에서 부상적 공격 하지 않음.</t>
    <phoneticPr fontId="2" type="noConversion"/>
  </si>
  <si>
    <r>
      <rPr>
        <sz val="11"/>
        <color theme="0"/>
        <rFont val="Segoe UI Symbol"/>
        <family val="2"/>
      </rPr>
      <t>◽</t>
    </r>
    <r>
      <rPr>
        <sz val="11"/>
        <color theme="0"/>
        <rFont val="맑은 고딕"/>
        <family val="2"/>
        <charset val="129"/>
        <scheme val="minor"/>
      </rPr>
      <t>프로젝트. 무기 숙련 실험</t>
    </r>
    <phoneticPr fontId="2" type="noConversion"/>
  </si>
  <si>
    <t>예상피해</t>
    <phoneticPr fontId="2" type="noConversion"/>
  </si>
  <si>
    <t>최저</t>
    <phoneticPr fontId="2" type="noConversion"/>
  </si>
  <si>
    <t>최대</t>
    <phoneticPr fontId="2" type="noConversion"/>
  </si>
  <si>
    <t>조건A2</t>
    <phoneticPr fontId="2" type="noConversion"/>
  </si>
  <si>
    <t>조건B2</t>
    <phoneticPr fontId="2" type="noConversion"/>
  </si>
  <si>
    <t>조건A1</t>
    <phoneticPr fontId="2" type="noConversion"/>
  </si>
  <si>
    <t>조건B1</t>
    <phoneticPr fontId="2" type="noConversion"/>
  </si>
  <si>
    <t>실험2 일반 50렙 나무몹</t>
    <phoneticPr fontId="2" type="noConversion"/>
  </si>
  <si>
    <t>상대비</t>
    <phoneticPr fontId="2" type="noConversion"/>
  </si>
  <si>
    <t>실험1 고행 83렙 파리몹</t>
    <phoneticPr fontId="2" type="noConversion"/>
  </si>
  <si>
    <t>(B)원기의일격(쌍수무기)</t>
    <phoneticPr fontId="2" type="noConversion"/>
  </si>
  <si>
    <t>(A)심장추적자(원거리무기)</t>
    <phoneticPr fontId="2" type="noConversion"/>
  </si>
  <si>
    <t>무기숙련x5</t>
  </si>
  <si>
    <t>무기숙련x5</t>
    <phoneticPr fontId="2" type="noConversion"/>
  </si>
  <si>
    <t>무기숙련x0</t>
  </si>
  <si>
    <t>무기숙련x0</t>
    <phoneticPr fontId="2" type="noConversion"/>
  </si>
  <si>
    <t xml:space="preserve">무기숙련 </t>
    <phoneticPr fontId="2" type="noConversion"/>
  </si>
  <si>
    <t>실험자료</t>
    <phoneticPr fontId="2" type="noConversion"/>
  </si>
  <si>
    <t>심장추적자(원거리)</t>
  </si>
  <si>
    <t>심장추적자(원거리)</t>
    <phoneticPr fontId="2" type="noConversion"/>
  </si>
  <si>
    <t>원기의일격(쌍수)</t>
  </si>
  <si>
    <t>원기의일격(쌍수)</t>
    <phoneticPr fontId="2" type="noConversion"/>
  </si>
  <si>
    <t>착용 무기</t>
    <phoneticPr fontId="2" type="noConversion"/>
  </si>
  <si>
    <t>피해감소능력 공식 반영 후 감소</t>
    <phoneticPr fontId="2" type="noConversion"/>
  </si>
  <si>
    <t>실제 데미지는 몬스터 방어도 및</t>
    <phoneticPr fontId="2" type="noConversion"/>
  </si>
  <si>
    <t>무공(max)</t>
    <phoneticPr fontId="2" type="noConversion"/>
  </si>
  <si>
    <t>무공(min)</t>
    <phoneticPr fontId="2" type="noConversion"/>
  </si>
  <si>
    <t>실험조건과 예상데미지 표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</si>
</sst>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2">
    <numFmt numFmtId="41" formatCode="_-* #,##0_-;\-* #,##0_-;_-* &quot;-&quot;_-;_-@_-"/>
    <numFmt numFmtId="43" formatCode="_-* #,##0.00_-;\-* #,##0.00_-;_-* &quot;-&quot;??_-;_-@_-"/>
    <numFmt numFmtId="176" formatCode="0.000%"/>
    <numFmt numFmtId="177" formatCode="&quot;극확 +&quot;#.0%"/>
    <numFmt numFmtId="178" formatCode="&quot;극피 +&quot;#.0%"/>
    <numFmt numFmtId="179" formatCode="&quot;취약뎀 +&quot;#.0%"/>
    <numFmt numFmtId="180" formatCode="&quot;극확스탯 +&quot;#"/>
    <numFmt numFmtId="181" formatCode="&quot;주스탯 +&quot;#"/>
    <numFmt numFmtId="182" formatCode="#&quot;단&quot;"/>
    <numFmt numFmtId="183" formatCode="&quot;~&quot;#"/>
    <numFmt numFmtId="184" formatCode="0.0%"/>
    <numFmt numFmtId="185" formatCode="0.0_ "/>
    <numFmt numFmtId="186" formatCode="&quot;전체&quot;"/>
    <numFmt numFmtId="187" formatCode="#&quot;개&quot;"/>
    <numFmt numFmtId="188" formatCode="#&quot; 이상&quot;"/>
    <numFmt numFmtId="189" formatCode="#&quot; 이하&quot;"/>
    <numFmt numFmtId="190" formatCode="0.0"/>
    <numFmt numFmtId="191" formatCode="&quot;31~&quot;#&quot;&quot;"/>
    <numFmt numFmtId="192" formatCode="&quot;36~&quot;#&quot;&quot;"/>
    <numFmt numFmtId="193" formatCode="&quot;41~&quot;#&quot;&quot;"/>
    <numFmt numFmtId="194" formatCode="&quot;51~&quot;#&quot;&quot;"/>
    <numFmt numFmtId="195" formatCode="&quot;61~&quot;#&quot;&quot;"/>
    <numFmt numFmtId="196" formatCode="&quot;71~&quot;#&quot;&quot;"/>
    <numFmt numFmtId="197" formatCode="&quot;81~&quot;#&quot;&quot;"/>
    <numFmt numFmtId="198" formatCode="&quot;91~&quot;#&quot;&quot;"/>
    <numFmt numFmtId="199" formatCode="#.#\ &quot;개&quot;"/>
    <numFmt numFmtId="200" formatCode="#.#&quot; 개&quot;"/>
    <numFmt numFmtId="201" formatCode="&quot;46~&quot;#&quot;&quot;"/>
    <numFmt numFmtId="202" formatCode="&quot;56~&quot;#&quot;&quot;"/>
    <numFmt numFmtId="203" formatCode="&quot;66~&quot;#&quot;&quot;"/>
    <numFmt numFmtId="204" formatCode="&quot;76~&quot;#&quot;&quot;"/>
    <numFmt numFmtId="205" formatCode="&quot;피해증가 +&quot;#.0%"/>
    <numFmt numFmtId="206" formatCode="\x\ 00"/>
    <numFmt numFmtId="207" formatCode="#,###\ &quot;배&quot;"/>
    <numFmt numFmtId="208" formatCode="\ \+#"/>
    <numFmt numFmtId="209" formatCode="&quot;If. 분노소모&quot;\ \+#"/>
    <numFmt numFmtId="210" formatCode="0.00000%"/>
    <numFmt numFmtId="211" formatCode="0.000000%"/>
    <numFmt numFmtId="212" formatCode="#,###\ &quot;개&quot;"/>
    <numFmt numFmtId="213" formatCode="&quot;86~&quot;#&quot;&quot;"/>
    <numFmt numFmtId="214" formatCode="&quot;96~&quot;#&quot;&quot;"/>
    <numFmt numFmtId="215" formatCode="_-* #,##0.0_-;\-* #,##0.0_-;_-* &quot;-&quot;_-;_-@_-"/>
    <numFmt numFmtId="216" formatCode="#\ &quot;과잉&quot;;#\ &quot;부족&quot;"/>
    <numFmt numFmtId="217" formatCode="0,000.0&quot; 배&quot;"/>
    <numFmt numFmtId="218" formatCode="\+0.00%;\-0.00%"/>
    <numFmt numFmtId="219" formatCode="#.0\ &quot;배&quot;"/>
    <numFmt numFmtId="220" formatCode="#,###"/>
    <numFmt numFmtId="221" formatCode="[Red]\+0.0%&quot; 이득&quot;;[Blue]\-0.0%&quot; 손실&quot;;&quot;불변&quot;"/>
    <numFmt numFmtId="222" formatCode="[Red]&quot;구멍뚫기: &quot;&quot;(이득)&quot;\ \+0.00%\ &quot;[x]&quot;;[Blue]&quot;구멍뚫기: &quot;&quot;(손실)&quot;\ \-0.00%\ &quot;[x]&quot;;&quot;불변&quot;"/>
    <numFmt numFmtId="223" formatCode="[Red]&quot;회전칼날: (이득)&quot;\ \+0.00%\ &quot;[x]&quot;;[Blue]&quot;회전칼날: (손실)&quot;\ \-0.00%\ &quot;[x]&quot;;&quot;불변&quot;"/>
    <numFmt numFmtId="224" formatCode="&quot;(이득)&quot;\ \+0.00%\ &quot;[x]&quot;;&quot;손실&quot;\ \-0.00%\ &quot;[x]&quot;;&quot;불변&quot;"/>
    <numFmt numFmtId="225" formatCode="\-0.00%\ &quot;[x]&quot;;\-0.00%\ &quot;[x]&quot;;&quot;(불변)&quot;"/>
    <numFmt numFmtId="226" formatCode="&quot;(이득)&quot;\ \-0.0%\ &quot;[x]&quot;;&quot;(손실)&quot;\ \-0.0%\ &quot;[x]&quot;;&quot;(불변)&quot;"/>
    <numFmt numFmtId="227" formatCode="&quot;(이득)&quot;;&quot;(손실)&quot;;&quot;(불변)&quot;"/>
    <numFmt numFmtId="228" formatCode="&quot;(이득)&quot;\ \-0.0%\ &quot;[+]&quot;;&quot;(손실)&quot;\ \-0.0%\ &quot;[+]&quot;;&quot;(불변)&quot;"/>
    <numFmt numFmtId="229" formatCode="&quot;(이득)&quot;\ \+0.00%\ &quot;[x]&quot;;&quot;(손실)&quot;\ \-0.00%\ &quot;[x]&quot;;&quot;(불변)&quot;"/>
    <numFmt numFmtId="230" formatCode="&quot;입력금지영역&quot;"/>
    <numFmt numFmtId="231" formatCode="#,###.0"/>
    <numFmt numFmtId="232" formatCode="\+0.00%\ &quot;[x]&quot;;\-0.00%\ &quot;[x]&quot;;&quot;(불변)&quot;"/>
    <numFmt numFmtId="241" formatCode="000"/>
    <numFmt numFmtId="242" formatCode="&quot;데미지기록&quot;\ 000"/>
    <numFmt numFmtId="243" formatCode="_-* #,##0.00_-;\-* #,##0.00_-;_-* &quot;-&quot;_-;_-@_-"/>
  </numFmts>
  <fonts count="105">
    <font>
      <sz val="11"/>
      <color theme="1"/>
      <name val="맑은 고딕"/>
      <family val="2"/>
      <charset val="129"/>
      <scheme val="minor"/>
    </font>
    <font>
      <sz val="11"/>
      <color theme="2" tint="-0.249977111117893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 tint="0.499984740745262"/>
      <name val="맑은 고딕"/>
      <family val="2"/>
      <charset val="129"/>
      <scheme val="minor"/>
    </font>
    <font>
      <sz val="11"/>
      <color theme="1" tint="0.499984740745262"/>
      <name val="맑은 고딕"/>
      <family val="3"/>
      <charset val="129"/>
      <scheme val="minor"/>
    </font>
    <font>
      <sz val="11"/>
      <color theme="0" tint="-0.34998626667073579"/>
      <name val="맑은 고딕"/>
      <family val="3"/>
      <charset val="129"/>
      <scheme val="minor"/>
    </font>
    <font>
      <sz val="11"/>
      <color theme="0"/>
      <name val="맑은 고딕"/>
      <family val="3"/>
      <charset val="129"/>
      <scheme val="minor"/>
    </font>
    <font>
      <sz val="11"/>
      <color theme="5" tint="-0.249977111117893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4"/>
      <color theme="2" tint="-0.249977111117893"/>
      <name val="맑은 고딕"/>
      <family val="2"/>
      <charset val="129"/>
      <scheme val="minor"/>
    </font>
    <font>
      <sz val="11"/>
      <color theme="2" tint="-0.249977111117893"/>
      <name val="맑은 고딕"/>
      <family val="3"/>
      <charset val="129"/>
      <scheme val="minor"/>
    </font>
    <font>
      <sz val="11"/>
      <color rgb="FFFFFF00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1"/>
      <color rgb="FFB800AB"/>
      <name val="맑은 고딕"/>
      <family val="3"/>
      <charset val="129"/>
      <scheme val="minor"/>
    </font>
    <font>
      <b/>
      <sz val="11"/>
      <color theme="2" tint="-0.749992370372631"/>
      <name val="맑은 고딕"/>
      <family val="3"/>
      <charset val="129"/>
      <scheme val="minor"/>
    </font>
    <font>
      <sz val="11"/>
      <color theme="2" tint="-0.749992370372631"/>
      <name val="맑은 고딕"/>
      <family val="3"/>
      <charset val="129"/>
      <scheme val="minor"/>
    </font>
    <font>
      <b/>
      <sz val="11"/>
      <color theme="7" tint="0.39997558519241921"/>
      <name val="맑은 고딕"/>
      <family val="3"/>
      <charset val="129"/>
      <scheme val="minor"/>
    </font>
    <font>
      <b/>
      <sz val="16"/>
      <name val="맑은 고딕"/>
      <family val="3"/>
      <charset val="129"/>
      <scheme val="minor"/>
    </font>
    <font>
      <b/>
      <sz val="16"/>
      <name val="Segoe UI Symbol"/>
      <family val="3"/>
    </font>
    <font>
      <b/>
      <sz val="16"/>
      <color theme="1"/>
      <name val="맑은 고딕"/>
      <family val="2"/>
      <charset val="129"/>
      <scheme val="minor"/>
    </font>
    <font>
      <b/>
      <sz val="16"/>
      <color theme="1"/>
      <name val="Segoe UI Symbol"/>
      <family val="2"/>
    </font>
    <font>
      <sz val="11"/>
      <color theme="1" tint="0.14999847407452621"/>
      <name val="맑은 고딕"/>
      <family val="2"/>
      <charset val="129"/>
      <scheme val="minor"/>
    </font>
    <font>
      <b/>
      <sz val="11"/>
      <color rgb="FFB800AB"/>
      <name val="Segoe UI Symbol"/>
      <family val="3"/>
    </font>
    <font>
      <b/>
      <sz val="16"/>
      <color theme="0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theme="8" tint="-0.249977111117893"/>
      <name val="맑은 고딕"/>
      <family val="2"/>
      <charset val="129"/>
      <scheme val="minor"/>
    </font>
    <font>
      <sz val="11"/>
      <color theme="8" tint="-0.249977111117893"/>
      <name val="맑은 고딕"/>
      <family val="3"/>
      <charset val="129"/>
      <scheme val="minor"/>
    </font>
    <font>
      <sz val="11"/>
      <color theme="0" tint="-0.249977111117893"/>
      <name val="맑은 고딕"/>
      <family val="2"/>
      <charset val="129"/>
      <scheme val="minor"/>
    </font>
    <font>
      <sz val="11"/>
      <color theme="0" tint="-0.249977111117893"/>
      <name val="맑은 고딕"/>
      <family val="3"/>
      <charset val="129"/>
      <scheme val="minor"/>
    </font>
    <font>
      <b/>
      <sz val="11"/>
      <color theme="0" tint="-0.249977111117893"/>
      <name val="맑은 고딕"/>
      <family val="3"/>
      <charset val="129"/>
      <scheme val="minor"/>
    </font>
    <font>
      <b/>
      <sz val="11"/>
      <color theme="7" tint="-0.249977111117893"/>
      <name val="맑은 고딕"/>
      <family val="3"/>
      <charset val="129"/>
      <scheme val="minor"/>
    </font>
    <font>
      <sz val="11"/>
      <color theme="3" tint="0.39997558519241921"/>
      <name val="맑은 고딕"/>
      <family val="2"/>
      <charset val="129"/>
      <scheme val="minor"/>
    </font>
    <font>
      <sz val="11"/>
      <color theme="3" tint="0.39997558519241921"/>
      <name val="맑은 고딕"/>
      <family val="3"/>
      <charset val="129"/>
      <scheme val="minor"/>
    </font>
    <font>
      <b/>
      <sz val="11"/>
      <color rgb="FFFFFF00"/>
      <name val="맑은 고딕"/>
      <family val="3"/>
      <charset val="129"/>
      <scheme val="minor"/>
    </font>
    <font>
      <b/>
      <sz val="11"/>
      <color theme="5" tint="-0.249977111117893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sz val="14"/>
      <color theme="1"/>
      <name val="맑은 고딕"/>
      <family val="3"/>
      <charset val="129"/>
      <scheme val="minor"/>
    </font>
    <font>
      <sz val="9"/>
      <color theme="7" tint="0.39997558519241921"/>
      <name val="맑은 고딕"/>
      <family val="2"/>
      <charset val="129"/>
      <scheme val="minor"/>
    </font>
    <font>
      <sz val="9"/>
      <color theme="7" tint="0.39997558519241921"/>
      <name val="Microsoft JhengHei"/>
      <family val="2"/>
    </font>
    <font>
      <b/>
      <sz val="14"/>
      <color theme="1"/>
      <name val="맑은 고딕"/>
      <family val="3"/>
      <charset val="129"/>
      <scheme val="minor"/>
    </font>
    <font>
      <b/>
      <sz val="14"/>
      <color theme="1"/>
      <name val="Segoe UI Symbol"/>
      <family val="3"/>
    </font>
    <font>
      <b/>
      <sz val="12"/>
      <color theme="0"/>
      <name val="맑은 고딕"/>
      <family val="3"/>
      <charset val="129"/>
      <scheme val="minor"/>
    </font>
    <font>
      <b/>
      <sz val="12"/>
      <color theme="0"/>
      <name val="Segoe UI Symbol"/>
      <family val="3"/>
    </font>
    <font>
      <sz val="11"/>
      <color theme="2" tint="-0.499984740745262"/>
      <name val="맑은 고딕"/>
      <family val="3"/>
      <charset val="129"/>
      <scheme val="minor"/>
    </font>
    <font>
      <b/>
      <sz val="14"/>
      <color theme="8" tint="-0.249977111117893"/>
      <name val="맑은 고딕"/>
      <family val="3"/>
      <charset val="129"/>
      <scheme val="minor"/>
    </font>
    <font>
      <u/>
      <sz val="11"/>
      <color theme="10"/>
      <name val="맑은 고딕"/>
      <family val="2"/>
      <charset val="129"/>
      <scheme val="minor"/>
    </font>
    <font>
      <b/>
      <sz val="12"/>
      <color theme="0"/>
      <name val="Arial Unicode MS"/>
      <family val="3"/>
      <charset val="129"/>
    </font>
    <font>
      <b/>
      <sz val="12"/>
      <color theme="0"/>
      <name val="맑은 고딕"/>
      <family val="3"/>
      <charset val="129"/>
    </font>
    <font>
      <sz val="11"/>
      <color theme="0" tint="-4.9989318521683403E-2"/>
      <name val="맑은 고딕"/>
      <family val="2"/>
      <charset val="129"/>
      <scheme val="minor"/>
    </font>
    <font>
      <sz val="11"/>
      <color theme="0" tint="-4.9989318521683403E-2"/>
      <name val="맑은 고딕"/>
      <family val="3"/>
      <charset val="129"/>
      <scheme val="minor"/>
    </font>
    <font>
      <sz val="11"/>
      <color theme="7" tint="0.39997558519241921"/>
      <name val="맑은 고딕"/>
      <family val="2"/>
      <charset val="129"/>
      <scheme val="minor"/>
    </font>
    <font>
      <sz val="11"/>
      <color theme="7" tint="0.39997558519241921"/>
      <name val="맑은 고딕"/>
      <family val="3"/>
      <charset val="129"/>
      <scheme val="minor"/>
    </font>
    <font>
      <b/>
      <sz val="11"/>
      <color theme="0" tint="-4.9989318521683403E-2"/>
      <name val="맑은 고딕"/>
      <family val="3"/>
      <charset val="129"/>
      <scheme val="minor"/>
    </font>
    <font>
      <b/>
      <sz val="14"/>
      <color theme="0"/>
      <name val="Segoe UI Symbol"/>
      <family val="3"/>
    </font>
    <font>
      <sz val="11"/>
      <color theme="0" tint="-0.34998626667073579"/>
      <name val="맑은 고딕"/>
      <family val="2"/>
      <charset val="129"/>
      <scheme val="minor"/>
    </font>
    <font>
      <b/>
      <sz val="12"/>
      <color theme="4" tint="0.39997558519241921"/>
      <name val="맑은 고딕"/>
      <family val="3"/>
      <charset val="129"/>
      <scheme val="minor"/>
    </font>
    <font>
      <b/>
      <sz val="14"/>
      <color theme="0" tint="-0.34998626667073579"/>
      <name val="맑은 고딕"/>
      <family val="3"/>
      <charset val="129"/>
      <scheme val="minor"/>
    </font>
    <font>
      <b/>
      <sz val="14"/>
      <color theme="7" tint="-0.249977111117893"/>
      <name val="맑은 고딕"/>
      <family val="3"/>
      <charset val="129"/>
      <scheme val="minor"/>
    </font>
    <font>
      <sz val="14"/>
      <color theme="7" tint="-0.249977111117893"/>
      <name val="맑은 고딕"/>
      <family val="3"/>
      <charset val="129"/>
      <scheme val="minor"/>
    </font>
    <font>
      <sz val="11"/>
      <color theme="7" tint="-0.249977111117893"/>
      <name val="맑은 고딕"/>
      <family val="3"/>
      <charset val="129"/>
      <scheme val="minor"/>
    </font>
    <font>
      <b/>
      <sz val="12"/>
      <color theme="5" tint="0.39997558519241921"/>
      <name val="맑은 고딕"/>
      <family val="3"/>
      <charset val="129"/>
      <scheme val="minor"/>
    </font>
    <font>
      <sz val="11"/>
      <color theme="5" tint="0.39997558519241921"/>
      <name val="맑은 고딕"/>
      <family val="3"/>
      <charset val="129"/>
      <scheme val="minor"/>
    </font>
    <font>
      <b/>
      <sz val="11"/>
      <color theme="5" tint="0.39997558519241921"/>
      <name val="맑은 고딕"/>
      <family val="3"/>
      <charset val="129"/>
      <scheme val="minor"/>
    </font>
    <font>
      <sz val="14"/>
      <color theme="7"/>
      <name val="맑은 고딕"/>
      <family val="3"/>
      <charset val="129"/>
      <scheme val="minor"/>
    </font>
    <font>
      <b/>
      <sz val="14"/>
      <color theme="7"/>
      <name val="맑은 고딕"/>
      <family val="3"/>
      <charset val="129"/>
      <scheme val="minor"/>
    </font>
    <font>
      <b/>
      <sz val="14"/>
      <color theme="5" tint="-0.249977111117893"/>
      <name val="맑은 고딕"/>
      <family val="3"/>
      <charset val="129"/>
      <scheme val="minor"/>
    </font>
    <font>
      <b/>
      <sz val="14"/>
      <color theme="4" tint="0.39997558519241921"/>
      <name val="맑은 고딕"/>
      <family val="3"/>
      <charset val="129"/>
      <scheme val="minor"/>
    </font>
    <font>
      <b/>
      <sz val="16"/>
      <color theme="0" tint="-0.34998626667073579"/>
      <name val="맑은 고딕"/>
      <family val="3"/>
      <charset val="129"/>
      <scheme val="minor"/>
    </font>
    <font>
      <b/>
      <sz val="12"/>
      <color theme="5" tint="-0.249977111117893"/>
      <name val="맑은 고딕"/>
      <family val="3"/>
      <charset val="129"/>
      <scheme val="minor"/>
    </font>
    <font>
      <sz val="11"/>
      <color theme="4" tint="0.39997558519241921"/>
      <name val="맑은 고딕"/>
      <family val="3"/>
      <charset val="129"/>
      <scheme val="minor"/>
    </font>
    <font>
      <sz val="14"/>
      <color theme="7"/>
      <name val="Microsoft JhengHei"/>
      <family val="3"/>
    </font>
    <font>
      <b/>
      <sz val="14"/>
      <color theme="7"/>
      <name val="Microsoft JhengHei"/>
      <family val="3"/>
    </font>
    <font>
      <sz val="14"/>
      <color theme="5" tint="-0.249977111117893"/>
      <name val="맑은 고딕"/>
      <family val="3"/>
      <charset val="129"/>
      <scheme val="minor"/>
    </font>
    <font>
      <sz val="12"/>
      <color theme="5" tint="0.39997558519241921"/>
      <name val="맑은 고딕"/>
      <family val="3"/>
      <charset val="129"/>
      <scheme val="minor"/>
    </font>
    <font>
      <sz val="14"/>
      <color theme="8" tint="-0.249977111117893"/>
      <name val="맑은 고딕"/>
      <family val="3"/>
      <charset val="129"/>
      <scheme val="minor"/>
    </font>
    <font>
      <b/>
      <sz val="11"/>
      <color theme="0" tint="-0.34998626667073579"/>
      <name val="맑은 고딕"/>
      <family val="3"/>
      <charset val="129"/>
      <scheme val="minor"/>
    </font>
    <font>
      <b/>
      <sz val="11"/>
      <color rgb="FFFFC000"/>
      <name val="맑은 고딕"/>
      <family val="3"/>
      <charset val="129"/>
      <scheme val="minor"/>
    </font>
    <font>
      <sz val="11"/>
      <color theme="8" tint="0.39997558519241921"/>
      <name val="맑은 고딕"/>
      <family val="2"/>
      <charset val="129"/>
      <scheme val="minor"/>
    </font>
    <font>
      <sz val="11"/>
      <color theme="8" tint="0.39997558519241921"/>
      <name val="Segoe UI Symbol"/>
      <family val="2"/>
    </font>
    <font>
      <sz val="11"/>
      <color theme="8" tint="0.39997558519241921"/>
      <name val="Arial Unicode MS"/>
      <family val="2"/>
      <charset val="129"/>
    </font>
    <font>
      <sz val="11"/>
      <color theme="8" tint="0.39997558519241921"/>
      <name val="맑은 고딕"/>
      <family val="2"/>
      <charset val="129"/>
    </font>
    <font>
      <sz val="11"/>
      <color theme="8" tint="0.39997558519241921"/>
      <name val="Microsoft JhengHei"/>
      <family val="2"/>
    </font>
    <font>
      <b/>
      <sz val="11"/>
      <color theme="8" tint="0.39997558519241921"/>
      <name val="맑은 고딕"/>
      <family val="3"/>
      <charset val="129"/>
      <scheme val="minor"/>
    </font>
    <font>
      <sz val="11"/>
      <color theme="8" tint="0.39997558519241921"/>
      <name val="맑은 고딕"/>
      <family val="3"/>
      <charset val="129"/>
    </font>
    <font>
      <sz val="11"/>
      <color theme="8" tint="0.39997558519241921"/>
      <name val="맑은 고딕"/>
      <family val="3"/>
      <charset val="129"/>
      <scheme val="minor"/>
    </font>
    <font>
      <sz val="11"/>
      <color theme="8" tint="0.39997558519241921"/>
      <name val="Calibri"/>
      <family val="2"/>
    </font>
    <font>
      <b/>
      <sz val="12"/>
      <color theme="2" tint="-0.249977111117893"/>
      <name val="맑은 고딕"/>
      <family val="3"/>
      <charset val="129"/>
      <scheme val="minor"/>
    </font>
    <font>
      <b/>
      <sz val="11"/>
      <color theme="2" tint="-0.249977111117893"/>
      <name val="맑은 고딕"/>
      <family val="3"/>
      <charset val="129"/>
      <scheme val="minor"/>
    </font>
    <font>
      <sz val="12"/>
      <color theme="2" tint="-0.249977111117893"/>
      <name val="맑은 고딕"/>
      <family val="3"/>
      <charset val="129"/>
      <scheme val="minor"/>
    </font>
    <font>
      <sz val="11"/>
      <color theme="7"/>
      <name val="맑은 고딕"/>
      <family val="2"/>
      <charset val="129"/>
      <scheme val="minor"/>
    </font>
    <font>
      <b/>
      <sz val="16"/>
      <color theme="0" tint="-0.34998626667073579"/>
      <name val="Segoe UI Symbol"/>
      <family val="3"/>
    </font>
    <font>
      <b/>
      <sz val="16"/>
      <color theme="0" tint="-0.34998626667073579"/>
      <name val="Arial Unicode MS"/>
      <family val="3"/>
      <charset val="129"/>
    </font>
    <font>
      <b/>
      <sz val="16"/>
      <color theme="0" tint="-0.34998626667073579"/>
      <name val="맑은 고딕"/>
      <family val="3"/>
      <charset val="129"/>
    </font>
    <font>
      <b/>
      <sz val="14"/>
      <color theme="9" tint="-0.249977111117893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11"/>
      <color rgb="FF00B0F0"/>
      <name val="맑은 고딕"/>
      <family val="3"/>
      <charset val="129"/>
      <scheme val="minor"/>
    </font>
    <font>
      <b/>
      <sz val="11"/>
      <color theme="9" tint="-0.249977111117893"/>
      <name val="맑은 고딕"/>
      <family val="3"/>
      <charset val="129"/>
      <scheme val="minor"/>
    </font>
    <font>
      <sz val="11"/>
      <color theme="9" tint="-0.249977111117893"/>
      <name val="맑은 고딕"/>
      <family val="3"/>
      <charset val="129"/>
      <scheme val="minor"/>
    </font>
    <font>
      <sz val="11"/>
      <color theme="0"/>
      <name val="Segoe UI Symbol"/>
      <family val="2"/>
    </font>
    <font>
      <sz val="11"/>
      <color theme="5" tint="-0.499984740745262"/>
      <name val="맑은 고딕"/>
      <family val="2"/>
      <charset val="129"/>
      <scheme val="minor"/>
    </font>
    <font>
      <sz val="11"/>
      <color theme="5" tint="-0.499984740745262"/>
      <name val="맑은 고딕"/>
      <family val="3"/>
      <charset val="129"/>
      <scheme val="minor"/>
    </font>
    <font>
      <sz val="11"/>
      <color rgb="FFFFFF00"/>
      <name val="맑은 고딕"/>
      <family val="3"/>
      <charset val="129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2" tint="-0.74999237037263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4" tint="-0.499984740745262"/>
        <bgColor indexed="64"/>
      </patternFill>
    </fill>
  </fills>
  <borders count="12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 style="mediumDashDotDot">
        <color auto="1"/>
      </right>
      <top/>
      <bottom/>
      <diagonal/>
    </border>
    <border>
      <left style="medium">
        <color auto="1"/>
      </left>
      <right style="mediumDashDotDot">
        <color auto="1"/>
      </right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DashDotDot">
        <color auto="1"/>
      </left>
      <right style="dashed">
        <color auto="1"/>
      </right>
      <top/>
      <bottom style="medium">
        <color indexed="64"/>
      </bottom>
      <diagonal/>
    </border>
    <border>
      <left style="dashed">
        <color auto="1"/>
      </left>
      <right style="dashed">
        <color auto="1"/>
      </right>
      <top/>
      <bottom style="medium">
        <color indexed="64"/>
      </bottom>
      <diagonal/>
    </border>
    <border>
      <left style="dashed">
        <color auto="1"/>
      </left>
      <right style="medium">
        <color auto="1"/>
      </right>
      <top/>
      <bottom style="medium">
        <color indexed="64"/>
      </bottom>
      <diagonal/>
    </border>
    <border>
      <left style="mediumDashDotDot">
        <color auto="1"/>
      </left>
      <right style="dashed">
        <color auto="1"/>
      </right>
      <top/>
      <bottom/>
      <diagonal/>
    </border>
    <border>
      <left style="dashed">
        <color auto="1"/>
      </left>
      <right style="dashed">
        <color auto="1"/>
      </right>
      <top/>
      <bottom/>
      <diagonal/>
    </border>
    <border>
      <left style="dashed">
        <color auto="1"/>
      </left>
      <right style="medium">
        <color auto="1"/>
      </right>
      <top/>
      <bottom/>
      <diagonal/>
    </border>
    <border>
      <left style="dashed">
        <color auto="1"/>
      </left>
      <right style="medium">
        <color auto="1"/>
      </right>
      <top style="medium">
        <color indexed="64"/>
      </top>
      <bottom/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medium">
        <color auto="1"/>
      </left>
      <right/>
      <top style="double">
        <color auto="1"/>
      </top>
      <bottom/>
      <diagonal/>
    </border>
    <border>
      <left/>
      <right style="medium">
        <color auto="1"/>
      </right>
      <top style="double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Dashed">
        <color auto="1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dashDotDot">
        <color auto="1"/>
      </left>
      <right style="double">
        <color auto="1"/>
      </right>
      <top/>
      <bottom/>
      <diagonal/>
    </border>
    <border>
      <left style="dashDotDot">
        <color auto="1"/>
      </left>
      <right style="double">
        <color auto="1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/>
      <bottom style="double">
        <color indexed="64"/>
      </bottom>
      <diagonal/>
    </border>
    <border>
      <left style="hair">
        <color auto="1"/>
      </left>
      <right style="hair">
        <color auto="1"/>
      </right>
      <top style="double">
        <color indexed="64"/>
      </top>
      <bottom style="double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dashed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indexed="64"/>
      </bottom>
      <diagonal/>
    </border>
    <border>
      <left/>
      <right/>
      <top style="thin">
        <color auto="1"/>
      </top>
      <bottom style="double">
        <color indexed="64"/>
      </bottom>
      <diagonal/>
    </border>
    <border>
      <left/>
      <right style="thin">
        <color auto="1"/>
      </right>
      <top style="thin">
        <color auto="1"/>
      </top>
      <bottom style="double">
        <color indexed="64"/>
      </bottom>
      <diagonal/>
    </border>
    <border>
      <left/>
      <right style="thin">
        <color auto="1"/>
      </right>
      <top/>
      <bottom style="dashed">
        <color auto="1"/>
      </bottom>
      <diagonal/>
    </border>
    <border>
      <left style="thin">
        <color auto="1"/>
      </left>
      <right/>
      <top/>
      <bottom style="double">
        <color indexed="64"/>
      </bottom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dashed">
        <color indexed="64"/>
      </left>
      <right/>
      <top style="medium">
        <color auto="1"/>
      </top>
      <bottom/>
      <diagonal/>
    </border>
    <border>
      <left/>
      <right style="dashed">
        <color indexed="64"/>
      </right>
      <top style="medium">
        <color auto="1"/>
      </top>
      <bottom/>
      <diagonal/>
    </border>
    <border>
      <left style="dashed">
        <color auto="1"/>
      </left>
      <right style="dashed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double">
        <color auto="1"/>
      </bottom>
      <diagonal/>
    </border>
    <border>
      <left style="dashed">
        <color indexed="64"/>
      </left>
      <right/>
      <top/>
      <bottom style="double">
        <color auto="1"/>
      </bottom>
      <diagonal/>
    </border>
    <border>
      <left/>
      <right style="dashed">
        <color indexed="64"/>
      </right>
      <top/>
      <bottom style="double">
        <color auto="1"/>
      </bottom>
      <diagonal/>
    </border>
    <border>
      <left style="dashed">
        <color auto="1"/>
      </left>
      <right style="dashed">
        <color auto="1"/>
      </right>
      <top/>
      <bottom style="double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thin">
        <color theme="1" tint="0.14996795556505021"/>
      </top>
      <bottom/>
      <diagonal/>
    </border>
    <border>
      <left/>
      <right style="medium">
        <color auto="1"/>
      </right>
      <top style="thin">
        <color theme="1" tint="0.14996795556505021"/>
      </top>
      <bottom/>
      <diagonal/>
    </border>
    <border>
      <left/>
      <right/>
      <top/>
      <bottom style="thin">
        <color theme="1" tint="0.14996795556505021"/>
      </bottom>
      <diagonal/>
    </border>
    <border>
      <left/>
      <right style="medium">
        <color auto="1"/>
      </right>
      <top/>
      <bottom style="thin">
        <color theme="1" tint="0.14996795556505021"/>
      </bottom>
      <diagonal/>
    </border>
    <border>
      <left style="medium">
        <color auto="1"/>
      </left>
      <right/>
      <top style="thin">
        <color theme="1" tint="0.14996795556505021"/>
      </top>
      <bottom/>
      <diagonal/>
    </border>
    <border>
      <left style="medium">
        <color auto="1"/>
      </left>
      <right/>
      <top/>
      <bottom style="thin">
        <color theme="1" tint="0.14996795556505021"/>
      </bottom>
      <diagonal/>
    </border>
    <border>
      <left style="medium">
        <color auto="1"/>
      </left>
      <right/>
      <top style="double">
        <color theme="7" tint="0.39991454817346722"/>
      </top>
      <bottom style="double">
        <color theme="7" tint="0.39988402966399123"/>
      </bottom>
      <diagonal/>
    </border>
    <border>
      <left/>
      <right/>
      <top style="double">
        <color theme="7" tint="0.39991454817346722"/>
      </top>
      <bottom style="double">
        <color theme="7" tint="0.39988402966399123"/>
      </bottom>
      <diagonal/>
    </border>
    <border>
      <left/>
      <right style="medium">
        <color auto="1"/>
      </right>
      <top style="double">
        <color theme="7" tint="0.39991454817346722"/>
      </top>
      <bottom style="double">
        <color theme="7" tint="0.39988402966399123"/>
      </bottom>
      <diagonal/>
    </border>
    <border>
      <left style="medium">
        <color auto="1"/>
      </left>
      <right style="double">
        <color theme="7" tint="0.39988402966399123"/>
      </right>
      <top style="double">
        <color theme="7" tint="0.39991454817346722"/>
      </top>
      <bottom style="double">
        <color theme="7" tint="0.39988402966399123"/>
      </bottom>
      <diagonal/>
    </border>
    <border>
      <left style="medium">
        <color auto="1"/>
      </left>
      <right/>
      <top style="double">
        <color theme="7" tint="0.39988402966399123"/>
      </top>
      <bottom style="thin">
        <color theme="1" tint="0.14996795556505021"/>
      </bottom>
      <diagonal/>
    </border>
    <border>
      <left/>
      <right/>
      <top style="double">
        <color theme="7" tint="0.39988402966399123"/>
      </top>
      <bottom style="thin">
        <color theme="1" tint="0.14996795556505021"/>
      </bottom>
      <diagonal/>
    </border>
    <border>
      <left/>
      <right style="medium">
        <color auto="1"/>
      </right>
      <top style="double">
        <color theme="7" tint="0.39988402966399123"/>
      </top>
      <bottom style="thin">
        <color theme="1" tint="0.14996795556505021"/>
      </bottom>
      <diagonal/>
    </border>
    <border>
      <left/>
      <right style="medium">
        <color auto="1"/>
      </right>
      <top/>
      <bottom style="double">
        <color indexed="64"/>
      </bottom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/>
      <bottom style="double">
        <color indexed="64"/>
      </bottom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theme="7" tint="0.39988402966399123"/>
      </left>
      <right style="double">
        <color auto="1"/>
      </right>
      <top style="double">
        <color theme="7" tint="0.39991454817346722"/>
      </top>
      <bottom style="double">
        <color theme="7" tint="0.39988402966399123"/>
      </bottom>
      <diagonal/>
    </border>
    <border>
      <left/>
      <right style="double">
        <color auto="1"/>
      </right>
      <top/>
      <bottom style="medium">
        <color indexed="64"/>
      </bottom>
      <diagonal/>
    </border>
    <border>
      <left style="double">
        <color theme="7" tint="0.39988402966399123"/>
      </left>
      <right style="double">
        <color auto="1"/>
      </right>
      <top style="double">
        <color theme="7" tint="0.39991454817346722"/>
      </top>
      <bottom/>
      <diagonal/>
    </border>
    <border>
      <left/>
      <right/>
      <top style="double">
        <color theme="7" tint="0.39991454817346722"/>
      </top>
      <bottom/>
      <diagonal/>
    </border>
    <border>
      <left/>
      <right style="medium">
        <color auto="1"/>
      </right>
      <top style="double">
        <color theme="7" tint="0.39991454817346722"/>
      </top>
      <bottom/>
      <diagonal/>
    </border>
    <border>
      <left style="medium">
        <color auto="1"/>
      </left>
      <right/>
      <top style="double">
        <color theme="7" tint="0.39991454817346722"/>
      </top>
      <bottom/>
      <diagonal/>
    </border>
    <border>
      <left style="double">
        <color theme="7" tint="0.39988402966399123"/>
      </left>
      <right style="double">
        <color auto="1"/>
      </right>
      <top/>
      <bottom/>
      <diagonal/>
    </border>
    <border>
      <left style="double">
        <color theme="7" tint="0.39988402966399123"/>
      </left>
      <right style="double">
        <color auto="1"/>
      </right>
      <top/>
      <bottom style="double">
        <color theme="7" tint="0.39988402966399123"/>
      </bottom>
      <diagonal/>
    </border>
    <border>
      <left/>
      <right/>
      <top/>
      <bottom style="double">
        <color theme="7" tint="0.39988402966399123"/>
      </bottom>
      <diagonal/>
    </border>
    <border>
      <left/>
      <right style="medium">
        <color auto="1"/>
      </right>
      <top/>
      <bottom style="double">
        <color theme="7" tint="0.39988402966399123"/>
      </bottom>
      <diagonal/>
    </border>
    <border>
      <left style="medium">
        <color auto="1"/>
      </left>
      <right/>
      <top/>
      <bottom style="double">
        <color theme="7" tint="0.39988402966399123"/>
      </bottom>
      <diagonal/>
    </border>
    <border>
      <left style="medium">
        <color auto="1"/>
      </left>
      <right style="double">
        <color theme="7" tint="0.39988402966399123"/>
      </right>
      <top/>
      <bottom/>
      <diagonal/>
    </border>
    <border>
      <left style="medium">
        <color auto="1"/>
      </left>
      <right style="double">
        <color theme="7" tint="0.39988402966399123"/>
      </right>
      <top style="double">
        <color theme="7" tint="0.39991454817346722"/>
      </top>
      <bottom/>
      <diagonal/>
    </border>
    <border>
      <left style="medium">
        <color auto="1"/>
      </left>
      <right style="double">
        <color theme="7" tint="0.39988402966399123"/>
      </right>
      <top/>
      <bottom style="double">
        <color theme="7" tint="0.39988402966399123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double">
        <color theme="7" tint="0.39988402966399123"/>
      </top>
      <bottom/>
      <diagonal/>
    </border>
    <border>
      <left/>
      <right/>
      <top style="double">
        <color theme="7" tint="0.39988402966399123"/>
      </top>
      <bottom/>
      <diagonal/>
    </border>
    <border>
      <left/>
      <right style="medium">
        <color auto="1"/>
      </right>
      <top style="double">
        <color theme="7" tint="0.39988402966399123"/>
      </top>
      <bottom/>
      <diagonal/>
    </border>
    <border>
      <left style="double">
        <color auto="1"/>
      </left>
      <right/>
      <top style="double">
        <color theme="7" tint="0.39991454817346722"/>
      </top>
      <bottom/>
      <diagonal/>
    </border>
    <border>
      <left/>
      <right style="double">
        <color theme="7" tint="0.39988402966399123"/>
      </right>
      <top style="double">
        <color theme="7" tint="0.39991454817346722"/>
      </top>
      <bottom/>
      <diagonal/>
    </border>
    <border>
      <left/>
      <right style="double">
        <color theme="7" tint="0.39988402966399123"/>
      </right>
      <top/>
      <bottom/>
      <diagonal/>
    </border>
    <border>
      <left/>
      <right style="double">
        <color theme="7" tint="0.39988402966399123"/>
      </right>
      <top/>
      <bottom style="double">
        <color theme="7" tint="0.39988402966399123"/>
      </bottom>
      <diagonal/>
    </border>
    <border>
      <left style="double">
        <color auto="1"/>
      </left>
      <right/>
      <top/>
      <bottom style="double">
        <color theme="7" tint="0.39988402966399123"/>
      </bottom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/>
      <top/>
      <bottom style="medium">
        <color indexed="64"/>
      </bottom>
      <diagonal/>
    </border>
    <border>
      <left style="double">
        <color auto="1"/>
      </left>
      <right/>
      <top/>
      <bottom style="thin">
        <color indexed="64"/>
      </bottom>
      <diagonal/>
    </border>
    <border>
      <left/>
      <right/>
      <top/>
      <bottom style="mediumDashed">
        <color auto="1"/>
      </bottom>
      <diagonal/>
    </border>
    <border>
      <left/>
      <right/>
      <top style="thin">
        <color auto="1"/>
      </top>
      <bottom/>
      <diagonal/>
    </border>
    <border>
      <left style="double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theme="1" tint="0.14996795556505021"/>
      </bottom>
      <diagonal/>
    </border>
    <border>
      <left/>
      <right/>
      <top style="medium">
        <color auto="1"/>
      </top>
      <bottom style="thin">
        <color theme="1" tint="0.14996795556505021"/>
      </bottom>
      <diagonal/>
    </border>
    <border>
      <left/>
      <right style="medium">
        <color auto="1"/>
      </right>
      <top style="medium">
        <color auto="1"/>
      </top>
      <bottom style="thin">
        <color theme="1" tint="0.14996795556505021"/>
      </bottom>
      <diagonal/>
    </border>
    <border>
      <left/>
      <right style="mediumDashed">
        <color auto="1"/>
      </right>
      <top/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medium">
        <color indexed="64"/>
      </bottom>
      <diagonal/>
    </border>
    <border>
      <left/>
      <right style="mediumDashed">
        <color auto="1"/>
      </right>
      <top/>
      <bottom style="medium">
        <color indexed="64"/>
      </bottom>
      <diagonal/>
    </border>
    <border>
      <left style="hair">
        <color auto="1"/>
      </left>
      <right/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hair">
        <color auto="1"/>
      </right>
      <top/>
      <bottom style="double">
        <color auto="1"/>
      </bottom>
      <diagonal/>
    </border>
    <border>
      <left/>
      <right style="mediumDashed">
        <color auto="1"/>
      </right>
      <top/>
      <bottom style="double">
        <color auto="1"/>
      </bottom>
      <diagonal/>
    </border>
    <border>
      <left style="mediumDashed">
        <color auto="1"/>
      </left>
      <right/>
      <top/>
      <bottom style="double">
        <color auto="1"/>
      </bottom>
      <diagonal/>
    </border>
  </borders>
  <cellStyleXfs count="4">
    <xf numFmtId="0" fontId="0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</cellStyleXfs>
  <cellXfs count="684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0" fillId="2" borderId="0" xfId="0" applyFill="1">
      <alignment vertical="center"/>
    </xf>
    <xf numFmtId="0" fontId="5" fillId="2" borderId="1" xfId="0" applyFont="1" applyFill="1" applyBorder="1">
      <alignment vertical="center"/>
    </xf>
    <xf numFmtId="10" fontId="6" fillId="2" borderId="0" xfId="0" applyNumberFormat="1" applyFont="1" applyFill="1">
      <alignment vertical="center"/>
    </xf>
    <xf numFmtId="10" fontId="0" fillId="2" borderId="0" xfId="0" applyNumberFormat="1" applyFill="1">
      <alignment vertical="center"/>
    </xf>
    <xf numFmtId="0" fontId="7" fillId="2" borderId="0" xfId="0" applyFont="1" applyFill="1">
      <alignment vertical="center"/>
    </xf>
    <xf numFmtId="10" fontId="7" fillId="2" borderId="0" xfId="0" applyNumberFormat="1" applyFont="1" applyFill="1">
      <alignment vertical="center"/>
    </xf>
    <xf numFmtId="41" fontId="7" fillId="2" borderId="0" xfId="1" applyFont="1" applyFill="1">
      <alignment vertical="center"/>
    </xf>
    <xf numFmtId="0" fontId="4" fillId="2" borderId="0" xfId="0" applyFont="1" applyFill="1">
      <alignment vertical="center"/>
    </xf>
    <xf numFmtId="177" fontId="8" fillId="2" borderId="0" xfId="0" applyNumberFormat="1" applyFont="1" applyFill="1">
      <alignment vertical="center"/>
    </xf>
    <xf numFmtId="178" fontId="8" fillId="2" borderId="0" xfId="0" applyNumberFormat="1" applyFont="1" applyFill="1">
      <alignment vertical="center"/>
    </xf>
    <xf numFmtId="179" fontId="8" fillId="2" borderId="0" xfId="0" applyNumberFormat="1" applyFont="1" applyFill="1">
      <alignment vertical="center"/>
    </xf>
    <xf numFmtId="0" fontId="8" fillId="2" borderId="3" xfId="0" applyFont="1" applyFill="1" applyBorder="1">
      <alignment vertical="center"/>
    </xf>
    <xf numFmtId="0" fontId="8" fillId="2" borderId="1" xfId="0" applyFont="1" applyFill="1" applyBorder="1">
      <alignment vertical="center"/>
    </xf>
    <xf numFmtId="0" fontId="8" fillId="2" borderId="2" xfId="0" applyFont="1" applyFill="1" applyBorder="1">
      <alignment vertical="center"/>
    </xf>
    <xf numFmtId="10" fontId="8" fillId="2" borderId="0" xfId="0" applyNumberFormat="1" applyFont="1" applyFill="1">
      <alignment vertical="center"/>
    </xf>
    <xf numFmtId="41" fontId="8" fillId="2" borderId="0" xfId="1" applyFont="1" applyFill="1">
      <alignment vertical="center"/>
    </xf>
    <xf numFmtId="10" fontId="8" fillId="2" borderId="4" xfId="0" applyNumberFormat="1" applyFont="1" applyFill="1" applyBorder="1">
      <alignment vertical="center"/>
    </xf>
    <xf numFmtId="176" fontId="9" fillId="2" borderId="0" xfId="0" applyNumberFormat="1" applyFont="1" applyFill="1">
      <alignment vertical="center"/>
    </xf>
    <xf numFmtId="180" fontId="8" fillId="2" borderId="0" xfId="0" applyNumberFormat="1" applyFont="1" applyFill="1">
      <alignment vertical="center"/>
    </xf>
    <xf numFmtId="181" fontId="8" fillId="2" borderId="0" xfId="0" applyNumberFormat="1" applyFont="1" applyFill="1">
      <alignment vertical="center"/>
    </xf>
    <xf numFmtId="9" fontId="8" fillId="2" borderId="0" xfId="0" applyNumberFormat="1" applyFont="1" applyFill="1">
      <alignment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vertical="top"/>
    </xf>
    <xf numFmtId="0" fontId="0" fillId="3" borderId="0" xfId="0" applyFill="1">
      <alignment vertical="center"/>
    </xf>
    <xf numFmtId="182" fontId="10" fillId="3" borderId="0" xfId="0" applyNumberFormat="1" applyFont="1" applyFill="1">
      <alignment vertical="center"/>
    </xf>
    <xf numFmtId="0" fontId="0" fillId="3" borderId="1" xfId="0" applyFill="1" applyBorder="1">
      <alignment vertical="center"/>
    </xf>
    <xf numFmtId="0" fontId="10" fillId="3" borderId="1" xfId="0" applyFont="1" applyFill="1" applyBorder="1">
      <alignment vertical="center"/>
    </xf>
    <xf numFmtId="0" fontId="10" fillId="3" borderId="0" xfId="0" applyFont="1" applyFill="1" applyAlignment="1">
      <alignment horizontal="right" vertical="center"/>
    </xf>
    <xf numFmtId="0" fontId="10" fillId="3" borderId="1" xfId="0" applyFont="1" applyFill="1" applyBorder="1" applyAlignment="1">
      <alignment vertical="center" wrapText="1"/>
    </xf>
    <xf numFmtId="9" fontId="10" fillId="3" borderId="0" xfId="2" applyFont="1" applyFill="1">
      <alignment vertical="center"/>
    </xf>
    <xf numFmtId="9" fontId="10" fillId="3" borderId="0" xfId="0" applyNumberFormat="1" applyFont="1" applyFill="1">
      <alignment vertical="center"/>
    </xf>
    <xf numFmtId="0" fontId="13" fillId="2" borderId="0" xfId="0" applyFont="1" applyFill="1">
      <alignment vertical="center"/>
    </xf>
    <xf numFmtId="0" fontId="0" fillId="3" borderId="7" xfId="0" applyFill="1" applyBorder="1" applyAlignment="1">
      <alignment horizontal="center" vertical="center"/>
    </xf>
    <xf numFmtId="183" fontId="0" fillId="3" borderId="6" xfId="0" applyNumberFormat="1" applyFill="1" applyBorder="1" applyAlignment="1">
      <alignment horizontal="center" vertical="center"/>
    </xf>
    <xf numFmtId="183" fontId="0" fillId="3" borderId="7" xfId="0" applyNumberFormat="1" applyFill="1" applyBorder="1" applyAlignment="1">
      <alignment horizontal="center" vertical="center"/>
    </xf>
    <xf numFmtId="184" fontId="0" fillId="3" borderId="8" xfId="0" applyNumberFormat="1" applyFill="1" applyBorder="1">
      <alignment vertical="center"/>
    </xf>
    <xf numFmtId="184" fontId="0" fillId="3" borderId="9" xfId="0" applyNumberFormat="1" applyFill="1" applyBorder="1">
      <alignment vertical="center"/>
    </xf>
    <xf numFmtId="0" fontId="14" fillId="3" borderId="0" xfId="0" applyFont="1" applyFill="1">
      <alignment vertical="center"/>
    </xf>
    <xf numFmtId="184" fontId="0" fillId="3" borderId="0" xfId="2" applyNumberFormat="1" applyFont="1" applyFill="1">
      <alignment vertical="center"/>
    </xf>
    <xf numFmtId="184" fontId="0" fillId="3" borderId="10" xfId="0" applyNumberFormat="1" applyFill="1" applyBorder="1">
      <alignment vertical="center"/>
    </xf>
    <xf numFmtId="184" fontId="0" fillId="3" borderId="11" xfId="0" applyNumberFormat="1" applyFill="1" applyBorder="1">
      <alignment vertical="center"/>
    </xf>
    <xf numFmtId="187" fontId="10" fillId="3" borderId="0" xfId="0" applyNumberFormat="1" applyFont="1" applyFill="1" applyAlignment="1">
      <alignment horizontal="center" vertical="center"/>
    </xf>
    <xf numFmtId="0" fontId="10" fillId="3" borderId="13" xfId="0" applyFont="1" applyFill="1" applyBorder="1" applyAlignment="1">
      <alignment vertical="center" wrapText="1"/>
    </xf>
    <xf numFmtId="0" fontId="10" fillId="3" borderId="14" xfId="0" applyFont="1" applyFill="1" applyBorder="1" applyAlignment="1">
      <alignment vertical="center" wrapText="1"/>
    </xf>
    <xf numFmtId="0" fontId="10" fillId="3" borderId="15" xfId="0" applyFont="1" applyFill="1" applyBorder="1">
      <alignment vertical="center"/>
    </xf>
    <xf numFmtId="185" fontId="10" fillId="3" borderId="12" xfId="0" applyNumberFormat="1" applyFont="1" applyFill="1" applyBorder="1">
      <alignment vertical="center"/>
    </xf>
    <xf numFmtId="184" fontId="0" fillId="3" borderId="19" xfId="0" applyNumberFormat="1" applyFill="1" applyBorder="1">
      <alignment vertical="center"/>
    </xf>
    <xf numFmtId="184" fontId="0" fillId="3" borderId="20" xfId="0" applyNumberFormat="1" applyFill="1" applyBorder="1">
      <alignment vertical="center"/>
    </xf>
    <xf numFmtId="184" fontId="0" fillId="3" borderId="21" xfId="0" applyNumberFormat="1" applyFill="1" applyBorder="1">
      <alignment vertical="center"/>
    </xf>
    <xf numFmtId="184" fontId="0" fillId="3" borderId="16" xfId="0" applyNumberFormat="1" applyFill="1" applyBorder="1">
      <alignment vertical="center"/>
    </xf>
    <xf numFmtId="184" fontId="0" fillId="3" borderId="17" xfId="0" applyNumberFormat="1" applyFill="1" applyBorder="1">
      <alignment vertical="center"/>
    </xf>
    <xf numFmtId="184" fontId="0" fillId="3" borderId="18" xfId="0" applyNumberFormat="1" applyFill="1" applyBorder="1">
      <alignment vertical="center"/>
    </xf>
    <xf numFmtId="0" fontId="5" fillId="2" borderId="1" xfId="0" applyFont="1" applyFill="1" applyBorder="1" applyAlignment="1">
      <alignment vertical="center" wrapText="1"/>
    </xf>
    <xf numFmtId="184" fontId="8" fillId="2" borderId="4" xfId="0" applyNumberFormat="1" applyFont="1" applyFill="1" applyBorder="1">
      <alignment vertical="center"/>
    </xf>
    <xf numFmtId="184" fontId="8" fillId="2" borderId="0" xfId="0" applyNumberFormat="1" applyFont="1" applyFill="1">
      <alignment vertical="center"/>
    </xf>
    <xf numFmtId="184" fontId="8" fillId="2" borderId="5" xfId="0" applyNumberFormat="1" applyFont="1" applyFill="1" applyBorder="1">
      <alignment vertical="center"/>
    </xf>
    <xf numFmtId="183" fontId="10" fillId="3" borderId="6" xfId="0" applyNumberFormat="1" applyFont="1" applyFill="1" applyBorder="1" applyAlignment="1">
      <alignment horizontal="right" vertical="center"/>
    </xf>
    <xf numFmtId="0" fontId="15" fillId="3" borderId="0" xfId="0" applyFont="1" applyFill="1" applyAlignment="1">
      <alignment horizontal="right" vertical="center"/>
    </xf>
    <xf numFmtId="0" fontId="0" fillId="3" borderId="6" xfId="0" applyFill="1" applyBorder="1" applyAlignment="1">
      <alignment horizontal="center" vertical="center"/>
    </xf>
    <xf numFmtId="0" fontId="10" fillId="3" borderId="10" xfId="0" applyFont="1" applyFill="1" applyBorder="1">
      <alignment vertical="center"/>
    </xf>
    <xf numFmtId="199" fontId="0" fillId="3" borderId="8" xfId="0" applyNumberFormat="1" applyFill="1" applyBorder="1">
      <alignment vertical="center"/>
    </xf>
    <xf numFmtId="200" fontId="0" fillId="3" borderId="19" xfId="0" applyNumberFormat="1" applyFill="1" applyBorder="1">
      <alignment vertical="center"/>
    </xf>
    <xf numFmtId="200" fontId="0" fillId="3" borderId="20" xfId="0" applyNumberFormat="1" applyFill="1" applyBorder="1">
      <alignment vertical="center"/>
    </xf>
    <xf numFmtId="200" fontId="0" fillId="3" borderId="21" xfId="0" applyNumberFormat="1" applyFill="1" applyBorder="1">
      <alignment vertical="center"/>
    </xf>
    <xf numFmtId="200" fontId="0" fillId="3" borderId="0" xfId="0" applyNumberFormat="1" applyFill="1">
      <alignment vertical="center"/>
    </xf>
    <xf numFmtId="183" fontId="17" fillId="3" borderId="6" xfId="0" applyNumberFormat="1" applyFont="1" applyFill="1" applyBorder="1" applyAlignment="1">
      <alignment horizontal="right" vertical="center"/>
    </xf>
    <xf numFmtId="0" fontId="18" fillId="3" borderId="8" xfId="0" applyFont="1" applyFill="1" applyBorder="1">
      <alignment vertical="center"/>
    </xf>
    <xf numFmtId="0" fontId="18" fillId="3" borderId="19" xfId="0" applyFont="1" applyFill="1" applyBorder="1">
      <alignment vertical="center"/>
    </xf>
    <xf numFmtId="0" fontId="18" fillId="3" borderId="20" xfId="0" applyFont="1" applyFill="1" applyBorder="1">
      <alignment vertical="center"/>
    </xf>
    <xf numFmtId="0" fontId="18" fillId="3" borderId="22" xfId="0" applyFont="1" applyFill="1" applyBorder="1">
      <alignment vertical="center"/>
    </xf>
    <xf numFmtId="0" fontId="18" fillId="3" borderId="0" xfId="0" applyFont="1" applyFill="1">
      <alignment vertical="center"/>
    </xf>
    <xf numFmtId="9" fontId="0" fillId="2" borderId="0" xfId="0" applyNumberFormat="1" applyFill="1">
      <alignment vertical="center"/>
    </xf>
    <xf numFmtId="0" fontId="19" fillId="2" borderId="11" xfId="0" applyFont="1" applyFill="1" applyBorder="1" applyAlignment="1">
      <alignment vertical="center" wrapText="1"/>
    </xf>
    <xf numFmtId="0" fontId="19" fillId="2" borderId="1" xfId="0" applyFont="1" applyFill="1" applyBorder="1" applyAlignment="1">
      <alignment vertical="center" wrapText="1"/>
    </xf>
    <xf numFmtId="0" fontId="19" fillId="2" borderId="7" xfId="0" applyFont="1" applyFill="1" applyBorder="1" applyAlignment="1">
      <alignment vertical="center" wrapText="1"/>
    </xf>
    <xf numFmtId="10" fontId="19" fillId="2" borderId="10" xfId="0" applyNumberFormat="1" applyFont="1" applyFill="1" applyBorder="1">
      <alignment vertical="center"/>
    </xf>
    <xf numFmtId="10" fontId="19" fillId="2" borderId="0" xfId="0" applyNumberFormat="1" applyFont="1" applyFill="1">
      <alignment vertical="center"/>
    </xf>
    <xf numFmtId="10" fontId="19" fillId="2" borderId="6" xfId="0" applyNumberFormat="1" applyFont="1" applyFill="1" applyBorder="1">
      <alignment vertical="center"/>
    </xf>
    <xf numFmtId="0" fontId="19" fillId="2" borderId="10" xfId="0" applyFont="1" applyFill="1" applyBorder="1">
      <alignment vertical="center"/>
    </xf>
    <xf numFmtId="0" fontId="19" fillId="2" borderId="0" xfId="0" applyFont="1" applyFill="1">
      <alignment vertical="center"/>
    </xf>
    <xf numFmtId="0" fontId="19" fillId="2" borderId="6" xfId="0" applyFont="1" applyFill="1" applyBorder="1">
      <alignment vertical="center"/>
    </xf>
    <xf numFmtId="184" fontId="0" fillId="3" borderId="0" xfId="2" applyNumberFormat="1" applyFont="1" applyFill="1" applyBorder="1">
      <alignment vertical="center"/>
    </xf>
    <xf numFmtId="0" fontId="20" fillId="3" borderId="0" xfId="0" applyFont="1" applyFill="1" applyAlignment="1">
      <alignment horizontal="left"/>
    </xf>
    <xf numFmtId="0" fontId="22" fillId="3" borderId="0" xfId="0" applyFont="1" applyFill="1" applyAlignment="1">
      <alignment horizontal="left"/>
    </xf>
    <xf numFmtId="0" fontId="16" fillId="3" borderId="0" xfId="0" applyFont="1" applyFill="1" applyAlignment="1">
      <alignment horizontal="left"/>
    </xf>
    <xf numFmtId="186" fontId="10" fillId="3" borderId="9" xfId="0" applyNumberFormat="1" applyFont="1" applyFill="1" applyBorder="1">
      <alignment vertical="center"/>
    </xf>
    <xf numFmtId="191" fontId="10" fillId="3" borderId="16" xfId="0" applyNumberFormat="1" applyFont="1" applyFill="1" applyBorder="1">
      <alignment vertical="center"/>
    </xf>
    <xf numFmtId="192" fontId="10" fillId="3" borderId="17" xfId="0" applyNumberFormat="1" applyFont="1" applyFill="1" applyBorder="1">
      <alignment vertical="center"/>
    </xf>
    <xf numFmtId="193" fontId="10" fillId="3" borderId="17" xfId="0" applyNumberFormat="1" applyFont="1" applyFill="1" applyBorder="1">
      <alignment vertical="center"/>
    </xf>
    <xf numFmtId="194" fontId="10" fillId="3" borderId="17" xfId="0" applyNumberFormat="1" applyFont="1" applyFill="1" applyBorder="1">
      <alignment vertical="center"/>
    </xf>
    <xf numFmtId="195" fontId="10" fillId="3" borderId="17" xfId="0" applyNumberFormat="1" applyFont="1" applyFill="1" applyBorder="1">
      <alignment vertical="center"/>
    </xf>
    <xf numFmtId="196" fontId="10" fillId="3" borderId="17" xfId="0" applyNumberFormat="1" applyFont="1" applyFill="1" applyBorder="1">
      <alignment vertical="center"/>
    </xf>
    <xf numFmtId="197" fontId="10" fillId="3" borderId="17" xfId="0" applyNumberFormat="1" applyFont="1" applyFill="1" applyBorder="1">
      <alignment vertical="center"/>
    </xf>
    <xf numFmtId="188" fontId="10" fillId="3" borderId="11" xfId="0" applyNumberFormat="1" applyFont="1" applyFill="1" applyBorder="1">
      <alignment vertical="center"/>
    </xf>
    <xf numFmtId="189" fontId="10" fillId="3" borderId="0" xfId="0" applyNumberFormat="1" applyFont="1" applyFill="1" applyAlignment="1">
      <alignment horizontal="left" vertical="center"/>
    </xf>
    <xf numFmtId="201" fontId="10" fillId="3" borderId="17" xfId="0" applyNumberFormat="1" applyFont="1" applyFill="1" applyBorder="1">
      <alignment vertical="center"/>
    </xf>
    <xf numFmtId="202" fontId="10" fillId="3" borderId="17" xfId="0" applyNumberFormat="1" applyFont="1" applyFill="1" applyBorder="1">
      <alignment vertical="center"/>
    </xf>
    <xf numFmtId="203" fontId="10" fillId="3" borderId="17" xfId="0" applyNumberFormat="1" applyFont="1" applyFill="1" applyBorder="1">
      <alignment vertical="center"/>
    </xf>
    <xf numFmtId="204" fontId="10" fillId="3" borderId="17" xfId="0" applyNumberFormat="1" applyFont="1" applyFill="1" applyBorder="1">
      <alignment vertical="center"/>
    </xf>
    <xf numFmtId="0" fontId="10" fillId="3" borderId="0" xfId="0" applyFont="1" applyFill="1">
      <alignment vertical="center"/>
    </xf>
    <xf numFmtId="0" fontId="24" fillId="3" borderId="0" xfId="0" applyFont="1" applyFill="1">
      <alignment vertical="center"/>
    </xf>
    <xf numFmtId="0" fontId="26" fillId="2" borderId="0" xfId="0" applyFont="1" applyFill="1">
      <alignment vertical="center"/>
    </xf>
    <xf numFmtId="0" fontId="4" fillId="2" borderId="1" xfId="0" applyFont="1" applyFill="1" applyBorder="1">
      <alignment vertical="center"/>
    </xf>
    <xf numFmtId="0" fontId="4" fillId="2" borderId="23" xfId="0" applyFont="1" applyFill="1" applyBorder="1">
      <alignment vertical="center"/>
    </xf>
    <xf numFmtId="10" fontId="8" fillId="2" borderId="24" xfId="0" applyNumberFormat="1" applyFont="1" applyFill="1" applyBorder="1">
      <alignment vertical="center"/>
    </xf>
    <xf numFmtId="10" fontId="6" fillId="2" borderId="23" xfId="0" applyNumberFormat="1" applyFont="1" applyFill="1" applyBorder="1">
      <alignment vertical="center"/>
    </xf>
    <xf numFmtId="184" fontId="8" fillId="2" borderId="24" xfId="0" applyNumberFormat="1" applyFont="1" applyFill="1" applyBorder="1">
      <alignment vertical="center"/>
    </xf>
    <xf numFmtId="184" fontId="8" fillId="2" borderId="23" xfId="0" applyNumberFormat="1" applyFont="1" applyFill="1" applyBorder="1">
      <alignment vertical="center"/>
    </xf>
    <xf numFmtId="184" fontId="8" fillId="2" borderId="25" xfId="0" applyNumberFormat="1" applyFont="1" applyFill="1" applyBorder="1">
      <alignment vertical="center"/>
    </xf>
    <xf numFmtId="9" fontId="8" fillId="2" borderId="23" xfId="0" applyNumberFormat="1" applyFont="1" applyFill="1" applyBorder="1">
      <alignment vertical="center"/>
    </xf>
    <xf numFmtId="0" fontId="19" fillId="2" borderId="26" xfId="0" applyFont="1" applyFill="1" applyBorder="1">
      <alignment vertical="center"/>
    </xf>
    <xf numFmtId="0" fontId="19" fillId="2" borderId="23" xfId="0" applyFont="1" applyFill="1" applyBorder="1">
      <alignment vertical="center"/>
    </xf>
    <xf numFmtId="0" fontId="19" fillId="2" borderId="27" xfId="0" applyFont="1" applyFill="1" applyBorder="1">
      <alignment vertical="center"/>
    </xf>
    <xf numFmtId="41" fontId="8" fillId="2" borderId="0" xfId="1" applyFont="1" applyFill="1" applyBorder="1">
      <alignment vertical="center"/>
    </xf>
    <xf numFmtId="41" fontId="8" fillId="2" borderId="0" xfId="0" applyNumberFormat="1" applyFont="1" applyFill="1">
      <alignment vertical="center"/>
    </xf>
    <xf numFmtId="205" fontId="8" fillId="2" borderId="0" xfId="0" applyNumberFormat="1" applyFont="1" applyFill="1">
      <alignment vertical="center"/>
    </xf>
    <xf numFmtId="9" fontId="0" fillId="3" borderId="0" xfId="0" applyNumberFormat="1" applyFill="1">
      <alignment vertical="center"/>
    </xf>
    <xf numFmtId="10" fontId="0" fillId="3" borderId="0" xfId="0" applyNumberFormat="1" applyFill="1">
      <alignment vertical="center"/>
    </xf>
    <xf numFmtId="184" fontId="0" fillId="3" borderId="0" xfId="2" applyNumberFormat="1" applyFont="1" applyFill="1" applyBorder="1" applyAlignment="1"/>
    <xf numFmtId="184" fontId="0" fillId="3" borderId="0" xfId="2" applyNumberFormat="1" applyFont="1" applyFill="1" applyBorder="1" applyAlignment="1">
      <alignment horizontal="left" wrapText="1"/>
    </xf>
    <xf numFmtId="184" fontId="28" fillId="3" borderId="0" xfId="2" applyNumberFormat="1" applyFont="1" applyFill="1" applyBorder="1" applyAlignment="1">
      <alignment horizontal="left"/>
    </xf>
    <xf numFmtId="184" fontId="29" fillId="3" borderId="0" xfId="2" applyNumberFormat="1" applyFont="1" applyFill="1" applyBorder="1" applyAlignment="1">
      <alignment horizontal="left"/>
    </xf>
    <xf numFmtId="0" fontId="8" fillId="2" borderId="1" xfId="0" applyFont="1" applyFill="1" applyBorder="1" applyAlignment="1">
      <alignment vertical="center" wrapText="1"/>
    </xf>
    <xf numFmtId="0" fontId="4" fillId="2" borderId="2" xfId="0" applyFont="1" applyFill="1" applyBorder="1">
      <alignment vertical="center"/>
    </xf>
    <xf numFmtId="0" fontId="4" fillId="2" borderId="4" xfId="0" applyFont="1" applyFill="1" applyBorder="1">
      <alignment vertical="center"/>
    </xf>
    <xf numFmtId="0" fontId="4" fillId="2" borderId="30" xfId="0" applyFont="1" applyFill="1" applyBorder="1">
      <alignment vertical="center"/>
    </xf>
    <xf numFmtId="0" fontId="4" fillId="2" borderId="31" xfId="0" applyFont="1" applyFill="1" applyBorder="1">
      <alignment vertical="center"/>
    </xf>
    <xf numFmtId="0" fontId="4" fillId="2" borderId="32" xfId="0" applyFont="1" applyFill="1" applyBorder="1">
      <alignment vertical="center"/>
    </xf>
    <xf numFmtId="0" fontId="27" fillId="2" borderId="34" xfId="0" applyFont="1" applyFill="1" applyBorder="1">
      <alignment vertical="center"/>
    </xf>
    <xf numFmtId="0" fontId="27" fillId="2" borderId="33" xfId="0" applyFont="1" applyFill="1" applyBorder="1">
      <alignment vertical="center"/>
    </xf>
    <xf numFmtId="0" fontId="27" fillId="2" borderId="1" xfId="0" applyFont="1" applyFill="1" applyBorder="1" applyAlignment="1">
      <alignment vertical="center" wrapText="1"/>
    </xf>
    <xf numFmtId="0" fontId="27" fillId="2" borderId="29" xfId="0" applyFont="1" applyFill="1" applyBorder="1" applyAlignment="1">
      <alignment vertical="center" wrapText="1"/>
    </xf>
    <xf numFmtId="10" fontId="27" fillId="2" borderId="0" xfId="2" applyNumberFormat="1" applyFont="1" applyFill="1">
      <alignment vertical="center"/>
    </xf>
    <xf numFmtId="206" fontId="0" fillId="3" borderId="0" xfId="0" applyNumberFormat="1" applyFill="1" applyAlignment="1">
      <alignment horizontal="left" vertical="center"/>
    </xf>
    <xf numFmtId="0" fontId="18" fillId="3" borderId="21" xfId="0" applyFont="1" applyFill="1" applyBorder="1">
      <alignment vertical="center"/>
    </xf>
    <xf numFmtId="190" fontId="10" fillId="3" borderId="8" xfId="0" applyNumberFormat="1" applyFont="1" applyFill="1" applyBorder="1">
      <alignment vertical="center"/>
    </xf>
    <xf numFmtId="190" fontId="10" fillId="3" borderId="19" xfId="0" applyNumberFormat="1" applyFont="1" applyFill="1" applyBorder="1">
      <alignment vertical="center"/>
    </xf>
    <xf numFmtId="190" fontId="10" fillId="3" borderId="20" xfId="0" applyNumberFormat="1" applyFont="1" applyFill="1" applyBorder="1">
      <alignment vertical="center"/>
    </xf>
    <xf numFmtId="190" fontId="10" fillId="3" borderId="21" xfId="0" applyNumberFormat="1" applyFont="1" applyFill="1" applyBorder="1">
      <alignment vertical="center"/>
    </xf>
    <xf numFmtId="190" fontId="10" fillId="3" borderId="0" xfId="0" applyNumberFormat="1" applyFont="1" applyFill="1">
      <alignment vertical="center"/>
    </xf>
    <xf numFmtId="184" fontId="10" fillId="3" borderId="8" xfId="2" applyNumberFormat="1" applyFont="1" applyFill="1" applyBorder="1">
      <alignment vertical="center"/>
    </xf>
    <xf numFmtId="184" fontId="10" fillId="3" borderId="19" xfId="2" applyNumberFormat="1" applyFont="1" applyFill="1" applyBorder="1">
      <alignment vertical="center"/>
    </xf>
    <xf numFmtId="184" fontId="10" fillId="3" borderId="20" xfId="2" applyNumberFormat="1" applyFont="1" applyFill="1" applyBorder="1">
      <alignment vertical="center"/>
    </xf>
    <xf numFmtId="184" fontId="10" fillId="3" borderId="21" xfId="2" applyNumberFormat="1" applyFont="1" applyFill="1" applyBorder="1">
      <alignment vertical="center"/>
    </xf>
    <xf numFmtId="184" fontId="10" fillId="3" borderId="0" xfId="2" applyNumberFormat="1" applyFont="1" applyFill="1">
      <alignment vertical="center"/>
    </xf>
    <xf numFmtId="0" fontId="30" fillId="2" borderId="0" xfId="0" applyFont="1" applyFill="1">
      <alignment vertical="center"/>
    </xf>
    <xf numFmtId="9" fontId="31" fillId="2" borderId="0" xfId="0" applyNumberFormat="1" applyFont="1" applyFill="1">
      <alignment vertical="center"/>
    </xf>
    <xf numFmtId="184" fontId="31" fillId="2" borderId="0" xfId="2" applyNumberFormat="1" applyFont="1" applyFill="1">
      <alignment vertical="center"/>
    </xf>
    <xf numFmtId="0" fontId="30" fillId="2" borderId="35" xfId="0" applyFont="1" applyFill="1" applyBorder="1">
      <alignment vertical="center"/>
    </xf>
    <xf numFmtId="10" fontId="31" fillId="2" borderId="35" xfId="0" applyNumberFormat="1" applyFont="1" applyFill="1" applyBorder="1">
      <alignment vertical="center"/>
    </xf>
    <xf numFmtId="184" fontId="31" fillId="2" borderId="35" xfId="2" applyNumberFormat="1" applyFont="1" applyFill="1" applyBorder="1">
      <alignment vertical="center"/>
    </xf>
    <xf numFmtId="10" fontId="31" fillId="2" borderId="0" xfId="0" applyNumberFormat="1" applyFont="1" applyFill="1">
      <alignment vertical="center"/>
    </xf>
    <xf numFmtId="0" fontId="27" fillId="2" borderId="0" xfId="0" applyFont="1" applyFill="1">
      <alignment vertical="center"/>
    </xf>
    <xf numFmtId="0" fontId="27" fillId="2" borderId="1" xfId="0" applyFont="1" applyFill="1" applyBorder="1">
      <alignment vertical="center"/>
    </xf>
    <xf numFmtId="0" fontId="32" fillId="2" borderId="0" xfId="0" applyFont="1" applyFill="1">
      <alignment vertical="center"/>
    </xf>
    <xf numFmtId="184" fontId="31" fillId="2" borderId="0" xfId="2" quotePrefix="1" applyNumberFormat="1" applyFont="1" applyFill="1">
      <alignment vertical="center"/>
    </xf>
    <xf numFmtId="184" fontId="33" fillId="2" borderId="0" xfId="2" applyNumberFormat="1" applyFont="1" applyFill="1">
      <alignment vertical="center"/>
    </xf>
    <xf numFmtId="0" fontId="33" fillId="2" borderId="0" xfId="0" applyFont="1" applyFill="1">
      <alignment vertical="center"/>
    </xf>
    <xf numFmtId="10" fontId="35" fillId="2" borderId="35" xfId="0" applyNumberFormat="1" applyFont="1" applyFill="1" applyBorder="1">
      <alignment vertical="center"/>
    </xf>
    <xf numFmtId="0" fontId="32" fillId="2" borderId="35" xfId="0" applyFont="1" applyFill="1" applyBorder="1">
      <alignment vertical="center"/>
    </xf>
    <xf numFmtId="208" fontId="31" fillId="2" borderId="0" xfId="0" applyNumberFormat="1" applyFont="1" applyFill="1">
      <alignment vertical="center"/>
    </xf>
    <xf numFmtId="0" fontId="32" fillId="2" borderId="0" xfId="0" applyFont="1" applyFill="1" applyAlignment="1">
      <alignment horizontal="right" vertical="center"/>
    </xf>
    <xf numFmtId="0" fontId="38" fillId="2" borderId="0" xfId="0" applyFont="1" applyFill="1">
      <alignment vertical="center"/>
    </xf>
    <xf numFmtId="0" fontId="39" fillId="2" borderId="0" xfId="0" applyFont="1" applyFill="1">
      <alignment vertical="center"/>
    </xf>
    <xf numFmtId="0" fontId="40" fillId="2" borderId="0" xfId="0" applyFont="1" applyFill="1">
      <alignment vertical="center"/>
    </xf>
    <xf numFmtId="0" fontId="36" fillId="2" borderId="36" xfId="0" applyFont="1" applyFill="1" applyBorder="1">
      <alignment vertical="center"/>
    </xf>
    <xf numFmtId="0" fontId="37" fillId="2" borderId="37" xfId="0" applyFont="1" applyFill="1" applyBorder="1">
      <alignment vertical="center"/>
    </xf>
    <xf numFmtId="0" fontId="4" fillId="2" borderId="37" xfId="0" applyFont="1" applyFill="1" applyBorder="1">
      <alignment vertical="center"/>
    </xf>
    <xf numFmtId="207" fontId="36" fillId="2" borderId="36" xfId="1" applyNumberFormat="1" applyFont="1" applyFill="1" applyBorder="1">
      <alignment vertical="center"/>
    </xf>
    <xf numFmtId="41" fontId="31" fillId="2" borderId="0" xfId="1" applyFont="1" applyFill="1" applyBorder="1">
      <alignment vertical="center"/>
    </xf>
    <xf numFmtId="0" fontId="4" fillId="2" borderId="39" xfId="0" applyFont="1" applyFill="1" applyBorder="1">
      <alignment vertical="center"/>
    </xf>
    <xf numFmtId="207" fontId="36" fillId="2" borderId="40" xfId="1" applyNumberFormat="1" applyFont="1" applyFill="1" applyBorder="1">
      <alignment vertical="center"/>
    </xf>
    <xf numFmtId="41" fontId="31" fillId="2" borderId="38" xfId="1" applyFont="1" applyFill="1" applyBorder="1">
      <alignment vertical="center"/>
    </xf>
    <xf numFmtId="0" fontId="27" fillId="2" borderId="3" xfId="0" applyFont="1" applyFill="1" applyBorder="1">
      <alignment vertical="center"/>
    </xf>
    <xf numFmtId="10" fontId="31" fillId="2" borderId="5" xfId="0" applyNumberFormat="1" applyFont="1" applyFill="1" applyBorder="1">
      <alignment vertical="center"/>
    </xf>
    <xf numFmtId="0" fontId="34" fillId="2" borderId="0" xfId="0" applyFont="1" applyFill="1">
      <alignment vertical="center"/>
    </xf>
    <xf numFmtId="10" fontId="31" fillId="2" borderId="42" xfId="0" applyNumberFormat="1" applyFont="1" applyFill="1" applyBorder="1">
      <alignment vertical="center"/>
    </xf>
    <xf numFmtId="10" fontId="32" fillId="2" borderId="0" xfId="0" applyNumberFormat="1" applyFont="1" applyFill="1">
      <alignment vertical="center"/>
    </xf>
    <xf numFmtId="9" fontId="31" fillId="2" borderId="5" xfId="0" applyNumberFormat="1" applyFont="1" applyFill="1" applyBorder="1">
      <alignment vertical="center"/>
    </xf>
    <xf numFmtId="0" fontId="35" fillId="2" borderId="0" xfId="0" applyFont="1" applyFill="1">
      <alignment vertical="center"/>
    </xf>
    <xf numFmtId="9" fontId="31" fillId="2" borderId="42" xfId="0" applyNumberFormat="1" applyFont="1" applyFill="1" applyBorder="1">
      <alignment vertical="center"/>
    </xf>
    <xf numFmtId="0" fontId="30" fillId="2" borderId="0" xfId="0" applyFont="1" applyFill="1" applyAlignment="1">
      <alignment horizontal="right" vertical="center"/>
    </xf>
    <xf numFmtId="209" fontId="31" fillId="2" borderId="0" xfId="0" applyNumberFormat="1" applyFont="1" applyFill="1">
      <alignment vertical="center"/>
    </xf>
    <xf numFmtId="41" fontId="30" fillId="2" borderId="42" xfId="1" applyFont="1" applyFill="1" applyBorder="1">
      <alignment vertical="center"/>
    </xf>
    <xf numFmtId="41" fontId="33" fillId="2" borderId="35" xfId="1" applyFont="1" applyFill="1" applyBorder="1">
      <alignment vertical="center"/>
    </xf>
    <xf numFmtId="41" fontId="37" fillId="2" borderId="41" xfId="1" applyFont="1" applyFill="1" applyBorder="1">
      <alignment vertical="center"/>
    </xf>
    <xf numFmtId="41" fontId="37" fillId="2" borderId="37" xfId="1" applyFont="1" applyFill="1" applyBorder="1">
      <alignment vertical="center"/>
    </xf>
    <xf numFmtId="10" fontId="0" fillId="3" borderId="0" xfId="2" applyNumberFormat="1" applyFont="1" applyFill="1">
      <alignment vertical="center"/>
    </xf>
    <xf numFmtId="176" fontId="0" fillId="3" borderId="0" xfId="2" applyNumberFormat="1" applyFont="1" applyFill="1">
      <alignment vertical="center"/>
    </xf>
    <xf numFmtId="0" fontId="0" fillId="3" borderId="43" xfId="0" applyFill="1" applyBorder="1">
      <alignment vertical="center"/>
    </xf>
    <xf numFmtId="206" fontId="0" fillId="3" borderId="44" xfId="0" applyNumberFormat="1" applyFill="1" applyBorder="1" applyAlignment="1">
      <alignment horizontal="left" vertical="center"/>
    </xf>
    <xf numFmtId="0" fontId="42" fillId="3" borderId="0" xfId="0" applyFont="1" applyFill="1">
      <alignment vertical="center"/>
    </xf>
    <xf numFmtId="0" fontId="0" fillId="3" borderId="0" xfId="0" applyFill="1" applyAlignment="1">
      <alignment horizontal="right" vertical="center"/>
    </xf>
    <xf numFmtId="210" fontId="0" fillId="3" borderId="0" xfId="0" applyNumberFormat="1" applyFill="1">
      <alignment vertical="center"/>
    </xf>
    <xf numFmtId="0" fontId="6" fillId="2" borderId="0" xfId="0" applyFont="1" applyFill="1">
      <alignment vertical="center"/>
    </xf>
    <xf numFmtId="184" fontId="6" fillId="2" borderId="0" xfId="2" applyNumberFormat="1" applyFont="1" applyFill="1">
      <alignment vertical="center"/>
    </xf>
    <xf numFmtId="184" fontId="4" fillId="2" borderId="0" xfId="2" applyNumberFormat="1" applyFont="1" applyFill="1">
      <alignment vertical="center"/>
    </xf>
    <xf numFmtId="184" fontId="4" fillId="2" borderId="23" xfId="2" applyNumberFormat="1" applyFont="1" applyFill="1" applyBorder="1">
      <alignment vertical="center"/>
    </xf>
    <xf numFmtId="10" fontId="27" fillId="2" borderId="0" xfId="2" applyNumberFormat="1" applyFont="1" applyFill="1" applyBorder="1">
      <alignment vertical="center"/>
    </xf>
    <xf numFmtId="0" fontId="44" fillId="2" borderId="0" xfId="0" applyFont="1" applyFill="1" applyAlignment="1"/>
    <xf numFmtId="0" fontId="26" fillId="2" borderId="0" xfId="0" applyFont="1" applyFill="1" applyAlignment="1">
      <alignment horizontal="left"/>
    </xf>
    <xf numFmtId="0" fontId="4" fillId="2" borderId="0" xfId="0" applyFont="1" applyFill="1" applyAlignment="1">
      <alignment horizontal="right" vertical="center"/>
    </xf>
    <xf numFmtId="0" fontId="8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0" fontId="46" fillId="2" borderId="0" xfId="0" applyNumberFormat="1" applyFont="1" applyFill="1">
      <alignment vertical="center"/>
    </xf>
    <xf numFmtId="10" fontId="46" fillId="2" borderId="23" xfId="0" applyNumberFormat="1" applyFont="1" applyFill="1" applyBorder="1">
      <alignment vertical="center"/>
    </xf>
    <xf numFmtId="0" fontId="27" fillId="2" borderId="2" xfId="0" applyFont="1" applyFill="1" applyBorder="1">
      <alignment vertical="center"/>
    </xf>
    <xf numFmtId="10" fontId="27" fillId="2" borderId="4" xfId="0" applyNumberFormat="1" applyFont="1" applyFill="1" applyBorder="1">
      <alignment vertical="center"/>
    </xf>
    <xf numFmtId="10" fontId="27" fillId="2" borderId="24" xfId="0" applyNumberFormat="1" applyFont="1" applyFill="1" applyBorder="1">
      <alignment vertical="center"/>
    </xf>
    <xf numFmtId="0" fontId="8" fillId="2" borderId="0" xfId="0" applyFont="1" applyFill="1">
      <alignment vertical="center"/>
    </xf>
    <xf numFmtId="0" fontId="4" fillId="2" borderId="0" xfId="0" applyFont="1" applyFill="1" applyAlignment="1">
      <alignment vertical="center" wrapText="1"/>
    </xf>
    <xf numFmtId="0" fontId="4" fillId="2" borderId="1" xfId="0" applyFont="1" applyFill="1" applyBorder="1" applyAlignment="1">
      <alignment vertical="center" wrapText="1"/>
    </xf>
    <xf numFmtId="10" fontId="27" fillId="2" borderId="28" xfId="2" applyNumberFormat="1" applyFont="1" applyFill="1" applyBorder="1" applyAlignment="1">
      <alignment horizontal="right" vertical="center"/>
    </xf>
    <xf numFmtId="0" fontId="47" fillId="3" borderId="0" xfId="0" applyFont="1" applyFill="1">
      <alignment vertical="center"/>
    </xf>
    <xf numFmtId="187" fontId="0" fillId="3" borderId="0" xfId="0" applyNumberFormat="1" applyFill="1">
      <alignment vertical="center"/>
    </xf>
    <xf numFmtId="0" fontId="50" fillId="2" borderId="0" xfId="0" applyFont="1" applyFill="1" applyAlignment="1"/>
    <xf numFmtId="0" fontId="48" fillId="2" borderId="0" xfId="3" applyFill="1">
      <alignment vertical="center"/>
    </xf>
    <xf numFmtId="9" fontId="4" fillId="2" borderId="0" xfId="0" applyNumberFormat="1" applyFont="1" applyFill="1">
      <alignment vertical="center"/>
    </xf>
    <xf numFmtId="213" fontId="10" fillId="3" borderId="17" xfId="0" applyNumberFormat="1" applyFont="1" applyFill="1" applyBorder="1">
      <alignment vertical="center"/>
    </xf>
    <xf numFmtId="198" fontId="10" fillId="3" borderId="17" xfId="0" applyNumberFormat="1" applyFont="1" applyFill="1" applyBorder="1">
      <alignment vertical="center"/>
    </xf>
    <xf numFmtId="214" fontId="10" fillId="3" borderId="18" xfId="0" applyNumberFormat="1" applyFont="1" applyFill="1" applyBorder="1">
      <alignment vertical="center"/>
    </xf>
    <xf numFmtId="0" fontId="51" fillId="2" borderId="1" xfId="0" applyFont="1" applyFill="1" applyBorder="1" applyAlignment="1">
      <alignment horizontal="left" vertical="center"/>
    </xf>
    <xf numFmtId="0" fontId="51" fillId="2" borderId="0" xfId="0" applyFont="1" applyFill="1" applyAlignment="1">
      <alignment horizontal="left" vertical="center"/>
    </xf>
    <xf numFmtId="0" fontId="51" fillId="2" borderId="45" xfId="0" applyFont="1" applyFill="1" applyBorder="1" applyAlignment="1">
      <alignment horizontal="left" vertical="center"/>
    </xf>
    <xf numFmtId="10" fontId="52" fillId="2" borderId="45" xfId="0" applyNumberFormat="1" applyFont="1" applyFill="1" applyBorder="1" applyAlignment="1">
      <alignment horizontal="left" vertical="center"/>
    </xf>
    <xf numFmtId="0" fontId="51" fillId="2" borderId="36" xfId="0" applyFont="1" applyFill="1" applyBorder="1" applyAlignment="1">
      <alignment horizontal="left" vertical="center"/>
    </xf>
    <xf numFmtId="10" fontId="52" fillId="2" borderId="36" xfId="0" applyNumberFormat="1" applyFont="1" applyFill="1" applyBorder="1" applyAlignment="1">
      <alignment horizontal="left" vertical="center"/>
    </xf>
    <xf numFmtId="0" fontId="55" fillId="2" borderId="46" xfId="0" applyFont="1" applyFill="1" applyBorder="1" applyAlignment="1">
      <alignment horizontal="left" vertical="center"/>
    </xf>
    <xf numFmtId="0" fontId="55" fillId="2" borderId="47" xfId="0" applyFont="1" applyFill="1" applyBorder="1" applyAlignment="1">
      <alignment horizontal="left" vertical="center"/>
    </xf>
    <xf numFmtId="0" fontId="55" fillId="2" borderId="48" xfId="0" applyFont="1" applyFill="1" applyBorder="1" applyAlignment="1">
      <alignment horizontal="left" vertical="center"/>
    </xf>
    <xf numFmtId="0" fontId="51" fillId="2" borderId="4" xfId="0" applyFont="1" applyFill="1" applyBorder="1" applyAlignment="1">
      <alignment horizontal="left" vertical="center"/>
    </xf>
    <xf numFmtId="0" fontId="51" fillId="2" borderId="5" xfId="0" applyFont="1" applyFill="1" applyBorder="1" applyAlignment="1">
      <alignment horizontal="left" vertical="center"/>
    </xf>
    <xf numFmtId="0" fontId="51" fillId="2" borderId="2" xfId="0" applyFont="1" applyFill="1" applyBorder="1" applyAlignment="1">
      <alignment horizontal="left" vertical="center"/>
    </xf>
    <xf numFmtId="0" fontId="51" fillId="2" borderId="3" xfId="0" applyFont="1" applyFill="1" applyBorder="1" applyAlignment="1">
      <alignment horizontal="left" vertical="center"/>
    </xf>
    <xf numFmtId="10" fontId="52" fillId="2" borderId="0" xfId="0" applyNumberFormat="1" applyFont="1" applyFill="1" applyAlignment="1">
      <alignment horizontal="left" vertical="center"/>
    </xf>
    <xf numFmtId="10" fontId="52" fillId="2" borderId="5" xfId="0" applyNumberFormat="1" applyFont="1" applyFill="1" applyBorder="1" applyAlignment="1">
      <alignment horizontal="left" vertical="center"/>
    </xf>
    <xf numFmtId="0" fontId="51" fillId="2" borderId="49" xfId="0" applyFont="1" applyFill="1" applyBorder="1" applyAlignment="1">
      <alignment horizontal="left" vertical="center"/>
    </xf>
    <xf numFmtId="0" fontId="51" fillId="2" borderId="50" xfId="0" applyFont="1" applyFill="1" applyBorder="1" applyAlignment="1">
      <alignment horizontal="left" vertical="center"/>
    </xf>
    <xf numFmtId="10" fontId="52" fillId="2" borderId="51" xfId="0" applyNumberFormat="1" applyFont="1" applyFill="1" applyBorder="1" applyAlignment="1">
      <alignment horizontal="left" vertical="center"/>
    </xf>
    <xf numFmtId="215" fontId="53" fillId="2" borderId="4" xfId="1" applyNumberFormat="1" applyFont="1" applyFill="1" applyBorder="1" applyAlignment="1">
      <alignment horizontal="left" vertical="center"/>
    </xf>
    <xf numFmtId="215" fontId="54" fillId="2" borderId="0" xfId="1" applyNumberFormat="1" applyFont="1" applyFill="1" applyBorder="1">
      <alignment vertical="center"/>
    </xf>
    <xf numFmtId="215" fontId="54" fillId="2" borderId="5" xfId="1" applyNumberFormat="1" applyFont="1" applyFill="1" applyBorder="1">
      <alignment vertical="center"/>
    </xf>
    <xf numFmtId="215" fontId="37" fillId="2" borderId="4" xfId="1" applyNumberFormat="1" applyFont="1" applyFill="1" applyBorder="1" applyAlignment="1">
      <alignment horizontal="left" vertical="center"/>
    </xf>
    <xf numFmtId="215" fontId="37" fillId="2" borderId="0" xfId="1" applyNumberFormat="1" applyFont="1" applyFill="1" applyBorder="1">
      <alignment vertical="center"/>
    </xf>
    <xf numFmtId="215" fontId="37" fillId="2" borderId="5" xfId="1" applyNumberFormat="1" applyFont="1" applyFill="1" applyBorder="1">
      <alignment vertical="center"/>
    </xf>
    <xf numFmtId="0" fontId="36" fillId="2" borderId="52" xfId="0" applyFont="1" applyFill="1" applyBorder="1" applyAlignment="1">
      <alignment horizontal="left" vertical="center"/>
    </xf>
    <xf numFmtId="0" fontId="36" fillId="2" borderId="35" xfId="0" applyFont="1" applyFill="1" applyBorder="1">
      <alignment vertical="center"/>
    </xf>
    <xf numFmtId="216" fontId="36" fillId="2" borderId="42" xfId="0" applyNumberFormat="1" applyFont="1" applyFill="1" applyBorder="1">
      <alignment vertical="center"/>
    </xf>
    <xf numFmtId="211" fontId="0" fillId="3" borderId="0" xfId="2" applyNumberFormat="1" applyFont="1" applyFill="1" applyAlignment="1">
      <alignment vertical="center" shrinkToFit="1"/>
    </xf>
    <xf numFmtId="212" fontId="0" fillId="3" borderId="0" xfId="1" applyNumberFormat="1" applyFont="1" applyFill="1" applyAlignment="1">
      <alignment vertical="center" shrinkToFit="1"/>
    </xf>
    <xf numFmtId="0" fontId="8" fillId="2" borderId="4" xfId="0" applyFont="1" applyFill="1" applyBorder="1">
      <alignment vertical="center"/>
    </xf>
    <xf numFmtId="0" fontId="4" fillId="2" borderId="43" xfId="0" applyFont="1" applyFill="1" applyBorder="1">
      <alignment vertical="center"/>
    </xf>
    <xf numFmtId="0" fontId="4" fillId="2" borderId="44" xfId="0" applyFont="1" applyFill="1" applyBorder="1">
      <alignment vertical="center"/>
    </xf>
    <xf numFmtId="0" fontId="4" fillId="2" borderId="44" xfId="0" applyFont="1" applyFill="1" applyBorder="1" applyAlignment="1">
      <alignment vertical="center" wrapText="1"/>
    </xf>
    <xf numFmtId="9" fontId="4" fillId="2" borderId="43" xfId="0" applyNumberFormat="1" applyFont="1" applyFill="1" applyBorder="1">
      <alignment vertical="center"/>
    </xf>
    <xf numFmtId="9" fontId="4" fillId="2" borderId="44" xfId="0" applyNumberFormat="1" applyFont="1" applyFill="1" applyBorder="1">
      <alignment vertical="center"/>
    </xf>
    <xf numFmtId="0" fontId="4" fillId="2" borderId="20" xfId="0" applyFont="1" applyFill="1" applyBorder="1">
      <alignment vertical="center"/>
    </xf>
    <xf numFmtId="9" fontId="4" fillId="2" borderId="20" xfId="0" applyNumberFormat="1" applyFont="1" applyFill="1" applyBorder="1">
      <alignment vertical="center"/>
    </xf>
    <xf numFmtId="0" fontId="4" fillId="2" borderId="43" xfId="0" applyFont="1" applyFill="1" applyBorder="1" applyAlignment="1">
      <alignment vertical="center" wrapText="1"/>
    </xf>
    <xf numFmtId="0" fontId="8" fillId="2" borderId="0" xfId="0" applyFont="1" applyFill="1" applyAlignment="1">
      <alignment vertical="center" wrapText="1"/>
    </xf>
    <xf numFmtId="10" fontId="8" fillId="2" borderId="53" xfId="0" applyNumberFormat="1" applyFont="1" applyFill="1" applyBorder="1">
      <alignment vertical="center"/>
    </xf>
    <xf numFmtId="184" fontId="4" fillId="2" borderId="54" xfId="2" applyNumberFormat="1" applyFont="1" applyFill="1" applyBorder="1">
      <alignment vertical="center"/>
    </xf>
    <xf numFmtId="9" fontId="4" fillId="2" borderId="55" xfId="0" applyNumberFormat="1" applyFont="1" applyFill="1" applyBorder="1">
      <alignment vertical="center"/>
    </xf>
    <xf numFmtId="9" fontId="4" fillId="2" borderId="56" xfId="0" applyNumberFormat="1" applyFont="1" applyFill="1" applyBorder="1">
      <alignment vertical="center"/>
    </xf>
    <xf numFmtId="9" fontId="4" fillId="2" borderId="54" xfId="0" applyNumberFormat="1" applyFont="1" applyFill="1" applyBorder="1">
      <alignment vertical="center"/>
    </xf>
    <xf numFmtId="9" fontId="4" fillId="2" borderId="57" xfId="0" applyNumberFormat="1" applyFont="1" applyFill="1" applyBorder="1">
      <alignment vertical="center"/>
    </xf>
    <xf numFmtId="0" fontId="4" fillId="2" borderId="58" xfId="0" applyFont="1" applyFill="1" applyBorder="1">
      <alignment vertical="center"/>
    </xf>
    <xf numFmtId="184" fontId="4" fillId="2" borderId="36" xfId="2" applyNumberFormat="1" applyFont="1" applyFill="1" applyBorder="1">
      <alignment vertical="center"/>
    </xf>
    <xf numFmtId="0" fontId="4" fillId="2" borderId="59" xfId="0" applyFont="1" applyFill="1" applyBorder="1">
      <alignment vertical="center"/>
    </xf>
    <xf numFmtId="0" fontId="4" fillId="2" borderId="60" xfId="0" applyFont="1" applyFill="1" applyBorder="1">
      <alignment vertical="center"/>
    </xf>
    <xf numFmtId="0" fontId="4" fillId="2" borderId="36" xfId="0" applyFont="1" applyFill="1" applyBorder="1">
      <alignment vertical="center"/>
    </xf>
    <xf numFmtId="0" fontId="4" fillId="2" borderId="61" xfId="0" applyFont="1" applyFill="1" applyBorder="1">
      <alignment vertical="center"/>
    </xf>
    <xf numFmtId="41" fontId="4" fillId="2" borderId="54" xfId="1" applyFont="1" applyFill="1" applyBorder="1">
      <alignment vertical="center"/>
    </xf>
    <xf numFmtId="41" fontId="4" fillId="2" borderId="56" xfId="1" applyFont="1" applyFill="1" applyBorder="1">
      <alignment vertical="center"/>
    </xf>
    <xf numFmtId="41" fontId="4" fillId="2" borderId="36" xfId="1" applyFont="1" applyFill="1" applyBorder="1">
      <alignment vertical="center"/>
    </xf>
    <xf numFmtId="41" fontId="4" fillId="2" borderId="60" xfId="1" applyFont="1" applyFill="1" applyBorder="1">
      <alignment vertical="center"/>
    </xf>
    <xf numFmtId="0" fontId="4" fillId="2" borderId="10" xfId="0" applyFont="1" applyFill="1" applyBorder="1">
      <alignment vertical="center"/>
    </xf>
    <xf numFmtId="41" fontId="4" fillId="2" borderId="0" xfId="1" applyFont="1" applyFill="1" applyBorder="1">
      <alignment vertical="center"/>
    </xf>
    <xf numFmtId="0" fontId="38" fillId="2" borderId="0" xfId="0" applyFont="1" applyFill="1" applyAlignment="1"/>
    <xf numFmtId="9" fontId="4" fillId="2" borderId="36" xfId="0" applyNumberFormat="1" applyFont="1" applyFill="1" applyBorder="1">
      <alignment vertical="center"/>
    </xf>
    <xf numFmtId="9" fontId="4" fillId="2" borderId="59" xfId="0" applyNumberFormat="1" applyFont="1" applyFill="1" applyBorder="1">
      <alignment vertical="center"/>
    </xf>
    <xf numFmtId="217" fontId="4" fillId="2" borderId="53" xfId="0" applyNumberFormat="1" applyFont="1" applyFill="1" applyBorder="1">
      <alignment vertical="center"/>
    </xf>
    <xf numFmtId="217" fontId="4" fillId="2" borderId="10" xfId="0" applyNumberFormat="1" applyFont="1" applyFill="1" applyBorder="1">
      <alignment vertical="center"/>
    </xf>
    <xf numFmtId="217" fontId="0" fillId="2" borderId="0" xfId="0" applyNumberFormat="1" applyFill="1">
      <alignment vertical="center"/>
    </xf>
    <xf numFmtId="41" fontId="0" fillId="2" borderId="0" xfId="1" applyFont="1" applyFill="1">
      <alignment vertical="center"/>
    </xf>
    <xf numFmtId="215" fontId="0" fillId="2" borderId="0" xfId="1" applyNumberFormat="1" applyFont="1" applyFill="1">
      <alignment vertical="center"/>
    </xf>
    <xf numFmtId="43" fontId="0" fillId="2" borderId="0" xfId="0" applyNumberFormat="1" applyFill="1">
      <alignment vertical="center"/>
    </xf>
    <xf numFmtId="1" fontId="10" fillId="2" borderId="0" xfId="0" applyNumberFormat="1" applyFont="1" applyFill="1">
      <alignment vertical="center"/>
    </xf>
    <xf numFmtId="41" fontId="0" fillId="2" borderId="0" xfId="1" applyFont="1" applyFill="1" applyAlignment="1">
      <alignment vertical="center" shrinkToFit="1"/>
    </xf>
    <xf numFmtId="0" fontId="57" fillId="2" borderId="0" xfId="0" applyFont="1" applyFill="1">
      <alignment vertical="center"/>
    </xf>
    <xf numFmtId="0" fontId="57" fillId="4" borderId="0" xfId="0" applyFont="1" applyFill="1" applyAlignment="1">
      <alignment horizontal="left" vertical="center"/>
    </xf>
    <xf numFmtId="0" fontId="57" fillId="4" borderId="0" xfId="0" applyFont="1" applyFill="1">
      <alignment vertical="center"/>
    </xf>
    <xf numFmtId="0" fontId="57" fillId="5" borderId="0" xfId="0" applyFont="1" applyFill="1" applyAlignment="1">
      <alignment horizontal="left" vertical="center"/>
    </xf>
    <xf numFmtId="0" fontId="57" fillId="5" borderId="6" xfId="0" applyFont="1" applyFill="1" applyBorder="1">
      <alignment vertical="center"/>
    </xf>
    <xf numFmtId="0" fontId="64" fillId="5" borderId="10" xfId="0" applyFont="1" applyFill="1" applyBorder="1" applyAlignment="1">
      <alignment horizontal="left" vertical="center"/>
    </xf>
    <xf numFmtId="184" fontId="65" fillId="4" borderId="53" xfId="2" applyNumberFormat="1" applyFont="1" applyFill="1" applyBorder="1" applyAlignment="1">
      <alignment horizontal="left" vertical="center"/>
    </xf>
    <xf numFmtId="0" fontId="64" fillId="4" borderId="10" xfId="0" applyFont="1" applyFill="1" applyBorder="1" applyAlignment="1">
      <alignment horizontal="left" vertical="center"/>
    </xf>
    <xf numFmtId="184" fontId="64" fillId="4" borderId="10" xfId="2" applyNumberFormat="1" applyFont="1" applyFill="1" applyBorder="1" applyAlignment="1">
      <alignment horizontal="left" vertical="center"/>
    </xf>
    <xf numFmtId="184" fontId="64" fillId="4" borderId="11" xfId="2" applyNumberFormat="1" applyFont="1" applyFill="1" applyBorder="1" applyAlignment="1">
      <alignment horizontal="left" vertical="center"/>
    </xf>
    <xf numFmtId="184" fontId="64" fillId="5" borderId="10" xfId="2" applyNumberFormat="1" applyFont="1" applyFill="1" applyBorder="1" applyAlignment="1">
      <alignment horizontal="left" vertical="center"/>
    </xf>
    <xf numFmtId="184" fontId="64" fillId="5" borderId="11" xfId="2" applyNumberFormat="1" applyFont="1" applyFill="1" applyBorder="1" applyAlignment="1">
      <alignment horizontal="left" vertical="center"/>
    </xf>
    <xf numFmtId="2" fontId="65" fillId="5" borderId="10" xfId="0" applyNumberFormat="1" applyFont="1" applyFill="1" applyBorder="1" applyAlignment="1">
      <alignment horizontal="left" vertical="center"/>
    </xf>
    <xf numFmtId="0" fontId="64" fillId="5" borderId="10" xfId="0" quotePrefix="1" applyFont="1" applyFill="1" applyBorder="1" applyAlignment="1">
      <alignment horizontal="left" vertical="center"/>
    </xf>
    <xf numFmtId="0" fontId="46" fillId="4" borderId="67" xfId="0" applyFont="1" applyFill="1" applyBorder="1" applyAlignment="1">
      <alignment horizontal="left" vertical="center"/>
    </xf>
    <xf numFmtId="0" fontId="46" fillId="4" borderId="63" xfId="0" applyFont="1" applyFill="1" applyBorder="1" applyAlignment="1">
      <alignment horizontal="left" vertical="center"/>
    </xf>
    <xf numFmtId="0" fontId="46" fillId="4" borderId="64" xfId="0" applyFont="1" applyFill="1" applyBorder="1" applyAlignment="1">
      <alignment horizontal="left" vertical="center"/>
    </xf>
    <xf numFmtId="0" fontId="46" fillId="5" borderId="63" xfId="0" applyFont="1" applyFill="1" applyBorder="1" applyAlignment="1">
      <alignment horizontal="left" vertical="center"/>
    </xf>
    <xf numFmtId="184" fontId="46" fillId="4" borderId="68" xfId="2" applyNumberFormat="1" applyFont="1" applyFill="1" applyBorder="1" applyAlignment="1">
      <alignment horizontal="left" vertical="center"/>
    </xf>
    <xf numFmtId="184" fontId="46" fillId="4" borderId="65" xfId="2" applyNumberFormat="1" applyFont="1" applyFill="1" applyBorder="1" applyAlignment="1">
      <alignment horizontal="left" vertical="center"/>
    </xf>
    <xf numFmtId="184" fontId="46" fillId="4" borderId="66" xfId="2" applyNumberFormat="1" applyFont="1" applyFill="1" applyBorder="1" applyAlignment="1">
      <alignment horizontal="left" vertical="center"/>
    </xf>
    <xf numFmtId="184" fontId="46" fillId="5" borderId="65" xfId="0" applyNumberFormat="1" applyFont="1" applyFill="1" applyBorder="1" applyAlignment="1">
      <alignment horizontal="left" vertical="center"/>
    </xf>
    <xf numFmtId="184" fontId="46" fillId="5" borderId="65" xfId="2" applyNumberFormat="1" applyFont="1" applyFill="1" applyBorder="1" applyAlignment="1">
      <alignment horizontal="left" vertical="center"/>
    </xf>
    <xf numFmtId="0" fontId="46" fillId="4" borderId="0" xfId="0" applyFont="1" applyFill="1" applyAlignment="1">
      <alignment horizontal="left" vertical="center"/>
    </xf>
    <xf numFmtId="0" fontId="46" fillId="4" borderId="0" xfId="0" applyFont="1" applyFill="1">
      <alignment vertical="center"/>
    </xf>
    <xf numFmtId="0" fontId="46" fillId="4" borderId="6" xfId="0" applyFont="1" applyFill="1" applyBorder="1">
      <alignment vertical="center"/>
    </xf>
    <xf numFmtId="0" fontId="46" fillId="5" borderId="0" xfId="0" applyFont="1" applyFill="1" applyAlignment="1">
      <alignment horizontal="left" vertical="center"/>
    </xf>
    <xf numFmtId="0" fontId="46" fillId="5" borderId="0" xfId="0" applyFont="1" applyFill="1">
      <alignment vertical="center"/>
    </xf>
    <xf numFmtId="184" fontId="46" fillId="4" borderId="0" xfId="2" applyNumberFormat="1" applyFont="1" applyFill="1" applyBorder="1" applyAlignment="1">
      <alignment horizontal="left" vertical="center"/>
    </xf>
    <xf numFmtId="184" fontId="46" fillId="5" borderId="0" xfId="0" applyNumberFormat="1" applyFont="1" applyFill="1" applyAlignment="1">
      <alignment horizontal="left" vertical="center"/>
    </xf>
    <xf numFmtId="0" fontId="46" fillId="5" borderId="64" xfId="0" applyFont="1" applyFill="1" applyBorder="1" applyAlignment="1">
      <alignment horizontal="left" vertical="center"/>
    </xf>
    <xf numFmtId="184" fontId="46" fillId="5" borderId="66" xfId="2" applyNumberFormat="1" applyFont="1" applyFill="1" applyBorder="1" applyAlignment="1">
      <alignment horizontal="left" vertical="center"/>
    </xf>
    <xf numFmtId="184" fontId="46" fillId="4" borderId="65" xfId="0" applyNumberFormat="1" applyFont="1" applyFill="1" applyBorder="1" applyAlignment="1">
      <alignment horizontal="left" vertical="center"/>
    </xf>
    <xf numFmtId="0" fontId="46" fillId="5" borderId="6" xfId="0" applyFont="1" applyFill="1" applyBorder="1" applyAlignment="1">
      <alignment horizontal="left" vertical="center"/>
    </xf>
    <xf numFmtId="184" fontId="46" fillId="5" borderId="0" xfId="2" applyNumberFormat="1" applyFont="1" applyFill="1" applyBorder="1" applyAlignment="1">
      <alignment horizontal="left" vertical="center"/>
    </xf>
    <xf numFmtId="184" fontId="46" fillId="5" borderId="6" xfId="2" applyNumberFormat="1" applyFont="1" applyFill="1" applyBorder="1" applyAlignment="1">
      <alignment horizontal="left" vertical="center"/>
    </xf>
    <xf numFmtId="184" fontId="46" fillId="4" borderId="0" xfId="0" applyNumberFormat="1" applyFont="1" applyFill="1" applyAlignment="1">
      <alignment horizontal="left" vertical="center"/>
    </xf>
    <xf numFmtId="184" fontId="46" fillId="4" borderId="0" xfId="2" applyNumberFormat="1" applyFont="1" applyFill="1" applyAlignment="1">
      <alignment horizontal="left" vertical="center"/>
    </xf>
    <xf numFmtId="0" fontId="46" fillId="4" borderId="6" xfId="0" applyFont="1" applyFill="1" applyBorder="1" applyAlignment="1">
      <alignment horizontal="left" vertical="center"/>
    </xf>
    <xf numFmtId="184" fontId="46" fillId="4" borderId="6" xfId="2" applyNumberFormat="1" applyFont="1" applyFill="1" applyBorder="1" applyAlignment="1">
      <alignment horizontal="left" vertical="center"/>
    </xf>
    <xf numFmtId="184" fontId="46" fillId="5" borderId="0" xfId="2" applyNumberFormat="1" applyFont="1" applyFill="1" applyAlignment="1">
      <alignment horizontal="left" vertical="center"/>
    </xf>
    <xf numFmtId="0" fontId="46" fillId="4" borderId="10" xfId="0" applyFont="1" applyFill="1" applyBorder="1" applyAlignment="1">
      <alignment horizontal="left" vertical="center"/>
    </xf>
    <xf numFmtId="184" fontId="46" fillId="4" borderId="11" xfId="2" applyNumberFormat="1" applyFont="1" applyFill="1" applyBorder="1" applyAlignment="1">
      <alignment horizontal="left" vertical="center"/>
    </xf>
    <xf numFmtId="184" fontId="46" fillId="4" borderId="1" xfId="2" applyNumberFormat="1" applyFont="1" applyFill="1" applyBorder="1" applyAlignment="1">
      <alignment horizontal="left" vertical="center"/>
    </xf>
    <xf numFmtId="184" fontId="46" fillId="5" borderId="63" xfId="2" applyNumberFormat="1" applyFont="1" applyFill="1" applyBorder="1" applyAlignment="1">
      <alignment horizontal="left" vertical="center"/>
    </xf>
    <xf numFmtId="0" fontId="46" fillId="5" borderId="63" xfId="0" applyFont="1" applyFill="1" applyBorder="1">
      <alignment vertical="center"/>
    </xf>
    <xf numFmtId="184" fontId="46" fillId="5" borderId="64" xfId="2" applyNumberFormat="1" applyFont="1" applyFill="1" applyBorder="1" applyAlignment="1">
      <alignment horizontal="left" vertical="center"/>
    </xf>
    <xf numFmtId="184" fontId="46" fillId="4" borderId="67" xfId="2" applyNumberFormat="1" applyFont="1" applyFill="1" applyBorder="1" applyAlignment="1">
      <alignment horizontal="left" vertical="center"/>
    </xf>
    <xf numFmtId="184" fontId="46" fillId="4" borderId="63" xfId="2" applyNumberFormat="1" applyFont="1" applyFill="1" applyBorder="1" applyAlignment="1">
      <alignment horizontal="left" vertical="center"/>
    </xf>
    <xf numFmtId="0" fontId="46" fillId="4" borderId="63" xfId="0" applyFont="1" applyFill="1" applyBorder="1">
      <alignment vertical="center"/>
    </xf>
    <xf numFmtId="0" fontId="46" fillId="5" borderId="65" xfId="0" applyFont="1" applyFill="1" applyBorder="1" applyAlignment="1">
      <alignment horizontal="left" vertical="center"/>
    </xf>
    <xf numFmtId="0" fontId="46" fillId="5" borderId="66" xfId="0" applyFont="1" applyFill="1" applyBorder="1" applyAlignment="1">
      <alignment horizontal="left" vertical="center"/>
    </xf>
    <xf numFmtId="0" fontId="46" fillId="4" borderId="68" xfId="0" applyFont="1" applyFill="1" applyBorder="1" applyAlignment="1">
      <alignment horizontal="left" vertical="center"/>
    </xf>
    <xf numFmtId="0" fontId="46" fillId="4" borderId="65" xfId="0" applyFont="1" applyFill="1" applyBorder="1" applyAlignment="1">
      <alignment horizontal="left" vertical="center"/>
    </xf>
    <xf numFmtId="0" fontId="46" fillId="5" borderId="6" xfId="0" applyFont="1" applyFill="1" applyBorder="1">
      <alignment vertical="center"/>
    </xf>
    <xf numFmtId="0" fontId="46" fillId="4" borderId="10" xfId="0" applyFont="1" applyFill="1" applyBorder="1">
      <alignment vertical="center"/>
    </xf>
    <xf numFmtId="184" fontId="46" fillId="4" borderId="10" xfId="2" applyNumberFormat="1" applyFont="1" applyFill="1" applyBorder="1" applyAlignment="1">
      <alignment horizontal="left" vertical="center"/>
    </xf>
    <xf numFmtId="0" fontId="60" fillId="5" borderId="54" xfId="0" applyFont="1" applyFill="1" applyBorder="1" applyAlignment="1">
      <alignment horizontal="left" vertical="center"/>
    </xf>
    <xf numFmtId="0" fontId="60" fillId="5" borderId="54" xfId="0" applyFont="1" applyFill="1" applyBorder="1">
      <alignment vertical="center"/>
    </xf>
    <xf numFmtId="0" fontId="60" fillId="5" borderId="62" xfId="0" applyFont="1" applyFill="1" applyBorder="1" applyAlignment="1">
      <alignment horizontal="left" vertical="center"/>
    </xf>
    <xf numFmtId="2" fontId="60" fillId="5" borderId="0" xfId="0" applyNumberFormat="1" applyFont="1" applyFill="1" applyAlignment="1">
      <alignment horizontal="left" vertical="center"/>
    </xf>
    <xf numFmtId="0" fontId="60" fillId="5" borderId="0" xfId="0" applyFont="1" applyFill="1">
      <alignment vertical="center"/>
    </xf>
    <xf numFmtId="0" fontId="60" fillId="4" borderId="53" xfId="0" applyFont="1" applyFill="1" applyBorder="1" applyAlignment="1">
      <alignment horizontal="left" vertical="center"/>
    </xf>
    <xf numFmtId="0" fontId="60" fillId="4" borderId="54" xfId="0" applyFont="1" applyFill="1" applyBorder="1">
      <alignment vertical="center"/>
    </xf>
    <xf numFmtId="0" fontId="60" fillId="4" borderId="54" xfId="0" applyFont="1" applyFill="1" applyBorder="1" applyAlignment="1">
      <alignment horizontal="left" vertical="center"/>
    </xf>
    <xf numFmtId="2" fontId="60" fillId="4" borderId="10" xfId="0" applyNumberFormat="1" applyFont="1" applyFill="1" applyBorder="1" applyAlignment="1">
      <alignment horizontal="left" vertical="center"/>
    </xf>
    <xf numFmtId="0" fontId="60" fillId="4" borderId="0" xfId="0" applyFont="1" applyFill="1">
      <alignment vertical="center"/>
    </xf>
    <xf numFmtId="2" fontId="60" fillId="4" borderId="0" xfId="0" applyNumberFormat="1" applyFont="1" applyFill="1" applyAlignment="1">
      <alignment horizontal="left" vertical="center"/>
    </xf>
    <xf numFmtId="184" fontId="64" fillId="5" borderId="10" xfId="2" quotePrefix="1" applyNumberFormat="1" applyFont="1" applyFill="1" applyBorder="1" applyAlignment="1">
      <alignment horizontal="left" vertical="center"/>
    </xf>
    <xf numFmtId="184" fontId="60" fillId="5" borderId="54" xfId="2" applyNumberFormat="1" applyFont="1" applyFill="1" applyBorder="1" applyAlignment="1">
      <alignment vertical="center"/>
    </xf>
    <xf numFmtId="184" fontId="60" fillId="4" borderId="54" xfId="2" applyNumberFormat="1" applyFont="1" applyFill="1" applyBorder="1" applyAlignment="1">
      <alignment vertical="center"/>
    </xf>
    <xf numFmtId="184" fontId="60" fillId="5" borderId="54" xfId="2" applyNumberFormat="1" applyFont="1" applyFill="1" applyBorder="1" applyAlignment="1">
      <alignment horizontal="right" vertical="center"/>
    </xf>
    <xf numFmtId="184" fontId="60" fillId="4" borderId="54" xfId="2" applyNumberFormat="1" applyFont="1" applyFill="1" applyBorder="1" applyAlignment="1">
      <alignment horizontal="right" vertical="center"/>
    </xf>
    <xf numFmtId="184" fontId="60" fillId="5" borderId="54" xfId="2" applyNumberFormat="1" applyFont="1" applyFill="1" applyBorder="1" applyAlignment="1">
      <alignment horizontal="left" vertical="center"/>
    </xf>
    <xf numFmtId="184" fontId="60" fillId="5" borderId="62" xfId="2" applyNumberFormat="1" applyFont="1" applyFill="1" applyBorder="1" applyAlignment="1">
      <alignment horizontal="left" vertical="center"/>
    </xf>
    <xf numFmtId="184" fontId="60" fillId="4" borderId="54" xfId="2" applyNumberFormat="1" applyFont="1" applyFill="1" applyBorder="1" applyAlignment="1">
      <alignment horizontal="left" vertical="center"/>
    </xf>
    <xf numFmtId="184" fontId="68" fillId="7" borderId="69" xfId="2" applyNumberFormat="1" applyFont="1" applyFill="1" applyBorder="1" applyAlignment="1">
      <alignment vertical="center"/>
    </xf>
    <xf numFmtId="184" fontId="68" fillId="7" borderId="70" xfId="2" applyNumberFormat="1" applyFont="1" applyFill="1" applyBorder="1" applyAlignment="1">
      <alignment vertical="center"/>
    </xf>
    <xf numFmtId="184" fontId="68" fillId="7" borderId="71" xfId="2" applyNumberFormat="1" applyFont="1" applyFill="1" applyBorder="1" applyAlignment="1">
      <alignment vertical="center"/>
    </xf>
    <xf numFmtId="184" fontId="68" fillId="2" borderId="70" xfId="2" applyNumberFormat="1" applyFont="1" applyFill="1" applyBorder="1" applyAlignment="1">
      <alignment vertical="center"/>
    </xf>
    <xf numFmtId="184" fontId="68" fillId="2" borderId="71" xfId="2" applyNumberFormat="1" applyFont="1" applyFill="1" applyBorder="1" applyAlignment="1">
      <alignment vertical="center"/>
    </xf>
    <xf numFmtId="2" fontId="60" fillId="5" borderId="6" xfId="0" applyNumberFormat="1" applyFont="1" applyFill="1" applyBorder="1" applyAlignment="1">
      <alignment horizontal="left" vertical="center"/>
    </xf>
    <xf numFmtId="0" fontId="63" fillId="4" borderId="58" xfId="0" applyFont="1" applyFill="1" applyBorder="1" applyAlignment="1">
      <alignment horizontal="center" vertical="center"/>
    </xf>
    <xf numFmtId="0" fontId="57" fillId="2" borderId="78" xfId="0" applyFont="1" applyFill="1" applyBorder="1">
      <alignment vertical="center"/>
    </xf>
    <xf numFmtId="0" fontId="60" fillId="4" borderId="77" xfId="0" applyFont="1" applyFill="1" applyBorder="1">
      <alignment vertical="center"/>
    </xf>
    <xf numFmtId="0" fontId="61" fillId="4" borderId="77" xfId="0" applyFont="1" applyFill="1" applyBorder="1">
      <alignment vertical="center"/>
    </xf>
    <xf numFmtId="0" fontId="60" fillId="5" borderId="79" xfId="0" applyFont="1" applyFill="1" applyBorder="1">
      <alignment vertical="center"/>
    </xf>
    <xf numFmtId="0" fontId="61" fillId="5" borderId="77" xfId="0" applyFont="1" applyFill="1" applyBorder="1">
      <alignment vertical="center"/>
    </xf>
    <xf numFmtId="0" fontId="60" fillId="4" borderId="79" xfId="0" applyFont="1" applyFill="1" applyBorder="1">
      <alignment vertical="center"/>
    </xf>
    <xf numFmtId="0" fontId="62" fillId="5" borderId="77" xfId="0" applyFont="1" applyFill="1" applyBorder="1" applyAlignment="1">
      <alignment horizontal="right" vertical="center"/>
    </xf>
    <xf numFmtId="0" fontId="68" fillId="6" borderId="80" xfId="0" applyFont="1" applyFill="1" applyBorder="1">
      <alignment vertical="center"/>
    </xf>
    <xf numFmtId="0" fontId="59" fillId="4" borderId="77" xfId="0" applyFont="1" applyFill="1" applyBorder="1">
      <alignment vertical="center"/>
    </xf>
    <xf numFmtId="0" fontId="7" fillId="4" borderId="77" xfId="0" applyFont="1" applyFill="1" applyBorder="1" applyAlignment="1">
      <alignment horizontal="right" vertical="center"/>
    </xf>
    <xf numFmtId="0" fontId="7" fillId="4" borderId="81" xfId="0" applyFont="1" applyFill="1" applyBorder="1" applyAlignment="1">
      <alignment horizontal="right" vertical="center"/>
    </xf>
    <xf numFmtId="0" fontId="59" fillId="5" borderId="79" xfId="0" applyFont="1" applyFill="1" applyBorder="1">
      <alignment vertical="center"/>
    </xf>
    <xf numFmtId="0" fontId="7" fillId="5" borderId="77" xfId="0" applyFont="1" applyFill="1" applyBorder="1" applyAlignment="1">
      <alignment horizontal="right" vertical="center"/>
    </xf>
    <xf numFmtId="0" fontId="59" fillId="4" borderId="79" xfId="0" applyFont="1" applyFill="1" applyBorder="1">
      <alignment vertical="center"/>
    </xf>
    <xf numFmtId="0" fontId="7" fillId="4" borderId="77" xfId="0" applyFont="1" applyFill="1" applyBorder="1">
      <alignment vertical="center"/>
    </xf>
    <xf numFmtId="0" fontId="60" fillId="5" borderId="0" xfId="0" applyFont="1" applyFill="1" applyAlignment="1">
      <alignment horizontal="left" vertical="center"/>
    </xf>
    <xf numFmtId="0" fontId="60" fillId="4" borderId="0" xfId="0" applyFont="1" applyFill="1" applyAlignment="1">
      <alignment horizontal="left" vertical="center"/>
    </xf>
    <xf numFmtId="0" fontId="71" fillId="5" borderId="10" xfId="0" applyFont="1" applyFill="1" applyBorder="1" applyAlignment="1">
      <alignment horizontal="left" vertical="center"/>
    </xf>
    <xf numFmtId="184" fontId="71" fillId="5" borderId="53" xfId="2" applyNumberFormat="1" applyFont="1" applyFill="1" applyBorder="1" applyAlignment="1">
      <alignment horizontal="left" vertical="center"/>
    </xf>
    <xf numFmtId="184" fontId="71" fillId="4" borderId="53" xfId="2" applyNumberFormat="1" applyFont="1" applyFill="1" applyBorder="1" applyAlignment="1">
      <alignment horizontal="left" vertical="center"/>
    </xf>
    <xf numFmtId="184" fontId="58" fillId="5" borderId="53" xfId="2" applyNumberFormat="1" applyFont="1" applyFill="1" applyBorder="1" applyAlignment="1">
      <alignment horizontal="left" vertical="center"/>
    </xf>
    <xf numFmtId="184" fontId="63" fillId="2" borderId="72" xfId="2" applyNumberFormat="1" applyFont="1" applyFill="1" applyBorder="1" applyAlignment="1">
      <alignment horizontal="left" vertical="center" wrapText="1"/>
    </xf>
    <xf numFmtId="184" fontId="63" fillId="5" borderId="10" xfId="2" applyNumberFormat="1" applyFont="1" applyFill="1" applyBorder="1" applyAlignment="1">
      <alignment horizontal="left" vertical="center"/>
    </xf>
    <xf numFmtId="184" fontId="63" fillId="4" borderId="53" xfId="2" applyNumberFormat="1" applyFont="1" applyFill="1" applyBorder="1" applyAlignment="1">
      <alignment horizontal="left" vertical="center"/>
    </xf>
    <xf numFmtId="184" fontId="63" fillId="5" borderId="53" xfId="2" applyNumberFormat="1" applyFont="1" applyFill="1" applyBorder="1" applyAlignment="1">
      <alignment horizontal="left" vertical="center"/>
    </xf>
    <xf numFmtId="184" fontId="58" fillId="4" borderId="53" xfId="2" applyNumberFormat="1" applyFont="1" applyFill="1" applyBorder="1" applyAlignment="1">
      <alignment horizontal="left" vertical="center"/>
    </xf>
    <xf numFmtId="0" fontId="68" fillId="6" borderId="82" xfId="0" applyFont="1" applyFill="1" applyBorder="1">
      <alignment vertical="center"/>
    </xf>
    <xf numFmtId="184" fontId="68" fillId="2" borderId="83" xfId="2" applyNumberFormat="1" applyFont="1" applyFill="1" applyBorder="1" applyAlignment="1">
      <alignment vertical="center"/>
    </xf>
    <xf numFmtId="184" fontId="68" fillId="7" borderId="83" xfId="2" applyNumberFormat="1" applyFont="1" applyFill="1" applyBorder="1" applyAlignment="1">
      <alignment vertical="center"/>
    </xf>
    <xf numFmtId="0" fontId="68" fillId="6" borderId="86" xfId="0" applyFont="1" applyFill="1" applyBorder="1">
      <alignment vertical="center"/>
    </xf>
    <xf numFmtId="184" fontId="68" fillId="2" borderId="0" xfId="2" applyNumberFormat="1" applyFont="1" applyFill="1" applyBorder="1" applyAlignment="1">
      <alignment vertical="center"/>
    </xf>
    <xf numFmtId="184" fontId="68" fillId="7" borderId="0" xfId="2" applyNumberFormat="1" applyFont="1" applyFill="1" applyBorder="1" applyAlignment="1">
      <alignment vertical="center"/>
    </xf>
    <xf numFmtId="0" fontId="68" fillId="6" borderId="87" xfId="0" applyFont="1" applyFill="1" applyBorder="1">
      <alignment vertical="center"/>
    </xf>
    <xf numFmtId="184" fontId="68" fillId="2" borderId="88" xfId="2" applyNumberFormat="1" applyFont="1" applyFill="1" applyBorder="1" applyAlignment="1">
      <alignment vertical="center"/>
    </xf>
    <xf numFmtId="184" fontId="68" fillId="2" borderId="89" xfId="2" applyNumberFormat="1" applyFont="1" applyFill="1" applyBorder="1" applyAlignment="1">
      <alignment vertical="center"/>
    </xf>
    <xf numFmtId="184" fontId="68" fillId="7" borderId="90" xfId="2" applyNumberFormat="1" applyFont="1" applyFill="1" applyBorder="1" applyAlignment="1">
      <alignment vertical="center"/>
    </xf>
    <xf numFmtId="184" fontId="68" fillId="7" borderId="89" xfId="2" applyNumberFormat="1" applyFont="1" applyFill="1" applyBorder="1" applyAlignment="1">
      <alignment vertical="center"/>
    </xf>
    <xf numFmtId="184" fontId="75" fillId="2" borderId="0" xfId="2" applyNumberFormat="1" applyFont="1" applyFill="1" applyBorder="1" applyAlignment="1">
      <alignment horizontal="right" vertical="center"/>
    </xf>
    <xf numFmtId="184" fontId="68" fillId="2" borderId="0" xfId="2" applyNumberFormat="1" applyFont="1" applyFill="1" applyBorder="1" applyAlignment="1">
      <alignment horizontal="right" vertical="center"/>
    </xf>
    <xf numFmtId="184" fontId="68" fillId="2" borderId="6" xfId="2" applyNumberFormat="1" applyFont="1" applyFill="1" applyBorder="1" applyAlignment="1">
      <alignment horizontal="left" vertical="center"/>
    </xf>
    <xf numFmtId="184" fontId="75" fillId="2" borderId="0" xfId="2" applyNumberFormat="1" applyFont="1" applyFill="1" applyBorder="1" applyAlignment="1">
      <alignment horizontal="left" vertical="center"/>
    </xf>
    <xf numFmtId="184" fontId="68" fillId="7" borderId="0" xfId="2" applyNumberFormat="1" applyFont="1" applyFill="1" applyBorder="1" applyAlignment="1">
      <alignment horizontal="left" vertical="center"/>
    </xf>
    <xf numFmtId="184" fontId="68" fillId="7" borderId="6" xfId="2" applyNumberFormat="1" applyFont="1" applyFill="1" applyBorder="1" applyAlignment="1">
      <alignment horizontal="left" vertical="center"/>
    </xf>
    <xf numFmtId="184" fontId="68" fillId="7" borderId="0" xfId="2" applyNumberFormat="1" applyFont="1" applyFill="1" applyBorder="1" applyAlignment="1">
      <alignment horizontal="right" vertical="center"/>
    </xf>
    <xf numFmtId="184" fontId="68" fillId="7" borderId="10" xfId="2" applyNumberFormat="1" applyFont="1" applyFill="1" applyBorder="1" applyAlignment="1">
      <alignment horizontal="right" vertical="center"/>
    </xf>
    <xf numFmtId="184" fontId="68" fillId="2" borderId="83" xfId="2" applyNumberFormat="1" applyFont="1" applyFill="1" applyBorder="1" applyAlignment="1">
      <alignment horizontal="right" vertical="center"/>
    </xf>
    <xf numFmtId="184" fontId="68" fillId="2" borderId="83" xfId="2" applyNumberFormat="1" applyFont="1" applyFill="1" applyBorder="1" applyAlignment="1">
      <alignment horizontal="left" vertical="center"/>
    </xf>
    <xf numFmtId="184" fontId="68" fillId="2" borderId="84" xfId="2" applyNumberFormat="1" applyFont="1" applyFill="1" applyBorder="1" applyAlignment="1">
      <alignment horizontal="left" vertical="center"/>
    </xf>
    <xf numFmtId="184" fontId="68" fillId="7" borderId="84" xfId="2" applyNumberFormat="1" applyFont="1" applyFill="1" applyBorder="1" applyAlignment="1">
      <alignment horizontal="left" vertical="center"/>
    </xf>
    <xf numFmtId="184" fontId="68" fillId="7" borderId="83" xfId="2" applyNumberFormat="1" applyFont="1" applyFill="1" applyBorder="1" applyAlignment="1">
      <alignment horizontal="left" vertical="center"/>
    </xf>
    <xf numFmtId="184" fontId="68" fillId="7" borderId="83" xfId="2" applyNumberFormat="1" applyFont="1" applyFill="1" applyBorder="1" applyAlignment="1">
      <alignment horizontal="right" vertical="center"/>
    </xf>
    <xf numFmtId="184" fontId="68" fillId="7" borderId="85" xfId="2" applyNumberFormat="1" applyFont="1" applyFill="1" applyBorder="1" applyAlignment="1">
      <alignment horizontal="right" vertical="center"/>
    </xf>
    <xf numFmtId="184" fontId="63" fillId="2" borderId="91" xfId="2" applyNumberFormat="1" applyFont="1" applyFill="1" applyBorder="1" applyAlignment="1">
      <alignment horizontal="left" vertical="center" wrapText="1"/>
    </xf>
    <xf numFmtId="184" fontId="71" fillId="2" borderId="92" xfId="2" applyNumberFormat="1" applyFont="1" applyFill="1" applyBorder="1" applyAlignment="1">
      <alignment horizontal="left" vertical="center" wrapText="1"/>
    </xf>
    <xf numFmtId="184" fontId="76" fillId="2" borderId="93" xfId="2" applyNumberFormat="1" applyFont="1" applyFill="1" applyBorder="1" applyAlignment="1">
      <alignment horizontal="left" vertical="center" wrapText="1"/>
    </xf>
    <xf numFmtId="184" fontId="68" fillId="2" borderId="88" xfId="2" applyNumberFormat="1" applyFont="1" applyFill="1" applyBorder="1" applyAlignment="1">
      <alignment horizontal="right" vertical="center"/>
    </xf>
    <xf numFmtId="184" fontId="68" fillId="7" borderId="88" xfId="2" applyNumberFormat="1" applyFont="1" applyFill="1" applyBorder="1" applyAlignment="1">
      <alignment horizontal="right" vertical="center"/>
    </xf>
    <xf numFmtId="0" fontId="70" fillId="2" borderId="0" xfId="0" applyFont="1" applyFill="1">
      <alignment vertical="center"/>
    </xf>
    <xf numFmtId="0" fontId="66" fillId="2" borderId="0" xfId="0" applyFont="1" applyFill="1" applyAlignment="1">
      <alignment horizontal="left" vertical="center"/>
    </xf>
    <xf numFmtId="184" fontId="57" fillId="2" borderId="0" xfId="0" applyNumberFormat="1" applyFont="1" applyFill="1">
      <alignment vertical="center"/>
    </xf>
    <xf numFmtId="41" fontId="57" fillId="2" borderId="0" xfId="1" applyFont="1" applyFill="1">
      <alignment vertical="center"/>
    </xf>
    <xf numFmtId="43" fontId="57" fillId="2" borderId="0" xfId="0" applyNumberFormat="1" applyFont="1" applyFill="1">
      <alignment vertical="center"/>
    </xf>
    <xf numFmtId="0" fontId="78" fillId="2" borderId="0" xfId="0" applyFont="1" applyFill="1">
      <alignment vertical="center"/>
    </xf>
    <xf numFmtId="0" fontId="79" fillId="2" borderId="94" xfId="0" applyFont="1" applyFill="1" applyBorder="1">
      <alignment vertical="center"/>
    </xf>
    <xf numFmtId="0" fontId="80" fillId="2" borderId="0" xfId="0" applyFont="1" applyFill="1">
      <alignment vertical="center"/>
    </xf>
    <xf numFmtId="218" fontId="79" fillId="2" borderId="0" xfId="2" applyNumberFormat="1" applyFont="1" applyFill="1" applyBorder="1">
      <alignment vertical="center"/>
    </xf>
    <xf numFmtId="0" fontId="57" fillId="2" borderId="1" xfId="0" applyFont="1" applyFill="1" applyBorder="1">
      <alignment vertical="center"/>
    </xf>
    <xf numFmtId="0" fontId="57" fillId="2" borderId="0" xfId="0" applyFont="1" applyFill="1" applyAlignment="1">
      <alignment horizontal="right" vertical="center"/>
    </xf>
    <xf numFmtId="0" fontId="57" fillId="8" borderId="0" xfId="0" applyFont="1" applyFill="1" applyAlignment="1">
      <alignment horizontal="right" vertical="center"/>
    </xf>
    <xf numFmtId="0" fontId="83" fillId="2" borderId="0" xfId="0" applyFont="1" applyFill="1">
      <alignment vertical="center"/>
    </xf>
    <xf numFmtId="0" fontId="57" fillId="2" borderId="0" xfId="0" applyFont="1" applyFill="1" applyAlignment="1">
      <alignment horizontal="left" vertical="center" indent="1"/>
    </xf>
    <xf numFmtId="0" fontId="57" fillId="2" borderId="35" xfId="0" applyFont="1" applyFill="1" applyBorder="1" applyAlignment="1">
      <alignment horizontal="left" vertical="center" indent="1"/>
    </xf>
    <xf numFmtId="0" fontId="57" fillId="2" borderId="1" xfId="0" applyFont="1" applyFill="1" applyBorder="1" applyAlignment="1">
      <alignment horizontal="right" vertical="center"/>
    </xf>
    <xf numFmtId="219" fontId="57" fillId="2" borderId="0" xfId="0" applyNumberFormat="1" applyFont="1" applyFill="1" applyAlignment="1">
      <alignment horizontal="right" vertical="center"/>
    </xf>
    <xf numFmtId="219" fontId="57" fillId="2" borderId="35" xfId="0" applyNumberFormat="1" applyFont="1" applyFill="1" applyBorder="1" applyAlignment="1">
      <alignment horizontal="right" vertical="center"/>
    </xf>
    <xf numFmtId="9" fontId="57" fillId="2" borderId="0" xfId="0" applyNumberFormat="1" applyFont="1" applyFill="1" applyAlignment="1">
      <alignment horizontal="right" vertical="center"/>
    </xf>
    <xf numFmtId="219" fontId="78" fillId="2" borderId="0" xfId="1" applyNumberFormat="1" applyFont="1" applyFill="1" applyAlignment="1">
      <alignment horizontal="right" vertical="center"/>
    </xf>
    <xf numFmtId="219" fontId="78" fillId="2" borderId="0" xfId="0" applyNumberFormat="1" applyFont="1" applyFill="1" applyAlignment="1">
      <alignment horizontal="right" vertical="center"/>
    </xf>
    <xf numFmtId="218" fontId="79" fillId="2" borderId="95" xfId="2" applyNumberFormat="1" applyFont="1" applyFill="1" applyBorder="1" applyAlignment="1">
      <alignment horizontal="right" vertical="center"/>
    </xf>
    <xf numFmtId="218" fontId="79" fillId="2" borderId="96" xfId="2" applyNumberFormat="1" applyFont="1" applyFill="1" applyBorder="1" applyAlignment="1">
      <alignment horizontal="right" vertical="center"/>
    </xf>
    <xf numFmtId="220" fontId="46" fillId="4" borderId="0" xfId="1" applyNumberFormat="1" applyFont="1" applyFill="1" applyBorder="1" applyAlignment="1">
      <alignment horizontal="left" vertical="center"/>
    </xf>
    <xf numFmtId="220" fontId="46" fillId="4" borderId="6" xfId="1" applyNumberFormat="1" applyFont="1" applyFill="1" applyBorder="1" applyAlignment="1">
      <alignment horizontal="left" vertical="center"/>
    </xf>
    <xf numFmtId="220" fontId="46" fillId="5" borderId="0" xfId="1" applyNumberFormat="1" applyFont="1" applyFill="1" applyBorder="1" applyAlignment="1">
      <alignment horizontal="left" vertical="center"/>
    </xf>
    <xf numFmtId="220" fontId="46" fillId="5" borderId="6" xfId="1" applyNumberFormat="1" applyFont="1" applyFill="1" applyBorder="1" applyAlignment="1">
      <alignment horizontal="left" vertical="center"/>
    </xf>
    <xf numFmtId="184" fontId="64" fillId="4" borderId="0" xfId="2" applyNumberFormat="1" applyFont="1" applyFill="1" applyBorder="1" applyAlignment="1">
      <alignment horizontal="left" vertical="center"/>
    </xf>
    <xf numFmtId="0" fontId="63" fillId="4" borderId="36" xfId="0" applyFont="1" applyFill="1" applyBorder="1" applyAlignment="1">
      <alignment horizontal="center" vertical="center"/>
    </xf>
    <xf numFmtId="184" fontId="76" fillId="2" borderId="10" xfId="2" applyNumberFormat="1" applyFont="1" applyFill="1" applyBorder="1" applyAlignment="1">
      <alignment horizontal="left" vertical="center" shrinkToFit="1"/>
    </xf>
    <xf numFmtId="0" fontId="64" fillId="5" borderId="10" xfId="0" quotePrefix="1" applyFont="1" applyFill="1" applyBorder="1" applyAlignment="1">
      <alignment horizontal="left" vertical="center" indent="1"/>
    </xf>
    <xf numFmtId="184" fontId="64" fillId="5" borderId="10" xfId="2" quotePrefix="1" applyNumberFormat="1" applyFont="1" applyFill="1" applyBorder="1" applyAlignment="1">
      <alignment horizontal="left" vertical="center" indent="2"/>
    </xf>
    <xf numFmtId="0" fontId="64" fillId="5" borderId="10" xfId="0" applyFont="1" applyFill="1" applyBorder="1" applyAlignment="1">
      <alignment horizontal="left" vertical="center" indent="1"/>
    </xf>
    <xf numFmtId="0" fontId="64" fillId="5" borderId="10" xfId="0" applyFont="1" applyFill="1" applyBorder="1" applyAlignment="1">
      <alignment horizontal="left" vertical="center" indent="2"/>
    </xf>
    <xf numFmtId="2" fontId="65" fillId="5" borderId="10" xfId="0" applyNumberFormat="1" applyFont="1" applyFill="1" applyBorder="1" applyAlignment="1">
      <alignment horizontal="left" vertical="center" indent="1"/>
    </xf>
    <xf numFmtId="184" fontId="64" fillId="5" borderId="10" xfId="2" applyNumberFormat="1" applyFont="1" applyFill="1" applyBorder="1" applyAlignment="1">
      <alignment horizontal="left" vertical="center" indent="2"/>
    </xf>
    <xf numFmtId="0" fontId="89" fillId="5" borderId="0" xfId="0" applyFont="1" applyFill="1" applyAlignment="1">
      <alignment horizontal="left" vertical="center"/>
    </xf>
    <xf numFmtId="225" fontId="12" fillId="5" borderId="0" xfId="0" applyNumberFormat="1" applyFont="1" applyFill="1" applyAlignment="1">
      <alignment horizontal="left" vertical="center"/>
    </xf>
    <xf numFmtId="184" fontId="90" fillId="4" borderId="54" xfId="2" applyNumberFormat="1" applyFont="1" applyFill="1" applyBorder="1" applyAlignment="1">
      <alignment horizontal="left" vertical="center"/>
    </xf>
    <xf numFmtId="0" fontId="12" fillId="4" borderId="0" xfId="0" applyFont="1" applyFill="1" applyAlignment="1">
      <alignment horizontal="left" vertical="center"/>
    </xf>
    <xf numFmtId="184" fontId="12" fillId="4" borderId="0" xfId="2" applyNumberFormat="1" applyFont="1" applyFill="1" applyBorder="1" applyAlignment="1">
      <alignment horizontal="left" vertical="center"/>
    </xf>
    <xf numFmtId="184" fontId="12" fillId="4" borderId="1" xfId="2" applyNumberFormat="1" applyFont="1" applyFill="1" applyBorder="1" applyAlignment="1">
      <alignment horizontal="left" vertical="center"/>
    </xf>
    <xf numFmtId="184" fontId="89" fillId="5" borderId="54" xfId="2" applyNumberFormat="1" applyFont="1" applyFill="1" applyBorder="1" applyAlignment="1">
      <alignment horizontal="left" vertical="center"/>
    </xf>
    <xf numFmtId="184" fontId="12" fillId="5" borderId="1" xfId="2" applyNumberFormat="1" applyFont="1" applyFill="1" applyBorder="1" applyAlignment="1">
      <alignment horizontal="left" vertical="center"/>
    </xf>
    <xf numFmtId="184" fontId="89" fillId="4" borderId="54" xfId="2" applyNumberFormat="1" applyFont="1" applyFill="1" applyBorder="1" applyAlignment="1">
      <alignment horizontal="left" vertical="center"/>
    </xf>
    <xf numFmtId="224" fontId="12" fillId="4" borderId="0" xfId="2" quotePrefix="1" applyNumberFormat="1" applyFont="1" applyFill="1" applyBorder="1" applyAlignment="1">
      <alignment horizontal="left" vertical="center"/>
    </xf>
    <xf numFmtId="0" fontId="12" fillId="5" borderId="0" xfId="0" quotePrefix="1" applyFont="1" applyFill="1" applyAlignment="1">
      <alignment horizontal="left" vertical="center"/>
    </xf>
    <xf numFmtId="224" fontId="12" fillId="5" borderId="0" xfId="2" quotePrefix="1" applyNumberFormat="1" applyFont="1" applyFill="1" applyBorder="1" applyAlignment="1">
      <alignment horizontal="left" vertical="center"/>
    </xf>
    <xf numFmtId="184" fontId="12" fillId="5" borderId="0" xfId="2" applyNumberFormat="1" applyFont="1" applyFill="1" applyBorder="1" applyAlignment="1">
      <alignment horizontal="left" vertical="center"/>
    </xf>
    <xf numFmtId="184" fontId="89" fillId="5" borderId="0" xfId="2" applyNumberFormat="1" applyFont="1" applyFill="1" applyBorder="1" applyAlignment="1">
      <alignment horizontal="left" vertical="center"/>
    </xf>
    <xf numFmtId="0" fontId="12" fillId="5" borderId="0" xfId="0" applyFont="1" applyFill="1" applyAlignment="1">
      <alignment horizontal="left" vertical="center"/>
    </xf>
    <xf numFmtId="184" fontId="89" fillId="2" borderId="101" xfId="2" applyNumberFormat="1" applyFont="1" applyFill="1" applyBorder="1" applyAlignment="1">
      <alignment horizontal="left" vertical="center" wrapText="1"/>
    </xf>
    <xf numFmtId="221" fontId="89" fillId="4" borderId="54" xfId="2" applyNumberFormat="1" applyFont="1" applyFill="1" applyBorder="1" applyAlignment="1">
      <alignment horizontal="left" vertical="center"/>
    </xf>
    <xf numFmtId="227" fontId="89" fillId="4" borderId="53" xfId="2" applyNumberFormat="1" applyFont="1" applyFill="1" applyBorder="1" applyAlignment="1">
      <alignment horizontal="left" vertical="center"/>
    </xf>
    <xf numFmtId="227" fontId="89" fillId="2" borderId="85" xfId="2" applyNumberFormat="1" applyFont="1" applyFill="1" applyBorder="1" applyAlignment="1">
      <alignment horizontal="left" vertical="center" wrapText="1"/>
    </xf>
    <xf numFmtId="226" fontId="89" fillId="4" borderId="53" xfId="2" applyNumberFormat="1" applyFont="1" applyFill="1" applyBorder="1" applyAlignment="1">
      <alignment horizontal="left" vertical="center"/>
    </xf>
    <xf numFmtId="227" fontId="89" fillId="5" borderId="53" xfId="2" applyNumberFormat="1" applyFont="1" applyFill="1" applyBorder="1" applyAlignment="1">
      <alignment horizontal="left" vertical="center"/>
    </xf>
    <xf numFmtId="228" fontId="89" fillId="4" borderId="53" xfId="2" applyNumberFormat="1" applyFont="1" applyFill="1" applyBorder="1" applyAlignment="1">
      <alignment horizontal="left" vertical="center"/>
    </xf>
    <xf numFmtId="0" fontId="76" fillId="4" borderId="10" xfId="0" applyFont="1" applyFill="1" applyBorder="1" applyAlignment="1">
      <alignment horizontal="left" vertical="center" indent="1"/>
    </xf>
    <xf numFmtId="223" fontId="63" fillId="2" borderId="85" xfId="2" applyNumberFormat="1" applyFont="1" applyFill="1" applyBorder="1" applyAlignment="1">
      <alignment horizontal="left" vertical="center" wrapText="1" indent="1"/>
    </xf>
    <xf numFmtId="222" fontId="63" fillId="2" borderId="90" xfId="2" applyNumberFormat="1" applyFont="1" applyFill="1" applyBorder="1" applyAlignment="1">
      <alignment horizontal="left" vertical="center" wrapText="1" indent="1"/>
    </xf>
    <xf numFmtId="229" fontId="89" fillId="2" borderId="101" xfId="2" applyNumberFormat="1" applyFont="1" applyFill="1" applyBorder="1" applyAlignment="1">
      <alignment horizontal="left" vertical="center" wrapText="1"/>
    </xf>
    <xf numFmtId="229" fontId="89" fillId="2" borderId="103" xfId="2" applyNumberFormat="1" applyFont="1" applyFill="1" applyBorder="1" applyAlignment="1">
      <alignment horizontal="left" vertical="center" wrapText="1"/>
    </xf>
    <xf numFmtId="230" fontId="46" fillId="4" borderId="0" xfId="2" applyNumberFormat="1" applyFont="1" applyFill="1" applyBorder="1" applyAlignment="1">
      <alignment horizontal="left" vertical="center"/>
    </xf>
    <xf numFmtId="230" fontId="46" fillId="4" borderId="6" xfId="2" applyNumberFormat="1" applyFont="1" applyFill="1" applyBorder="1" applyAlignment="1">
      <alignment horizontal="left" vertical="center"/>
    </xf>
    <xf numFmtId="230" fontId="46" fillId="5" borderId="0" xfId="2" applyNumberFormat="1" applyFont="1" applyFill="1" applyBorder="1" applyAlignment="1">
      <alignment horizontal="left" vertical="center"/>
    </xf>
    <xf numFmtId="230" fontId="46" fillId="5" borderId="0" xfId="2" applyNumberFormat="1" applyFont="1" applyFill="1" applyAlignment="1">
      <alignment horizontal="left" vertical="center"/>
    </xf>
    <xf numFmtId="231" fontId="68" fillId="2" borderId="83" xfId="1" applyNumberFormat="1" applyFont="1" applyFill="1" applyBorder="1" applyAlignment="1">
      <alignment horizontal="left" vertical="center"/>
    </xf>
    <xf numFmtId="231" fontId="68" fillId="2" borderId="84" xfId="1" applyNumberFormat="1" applyFont="1" applyFill="1" applyBorder="1" applyAlignment="1">
      <alignment horizontal="left" vertical="center"/>
    </xf>
    <xf numFmtId="231" fontId="68" fillId="7" borderId="83" xfId="2" applyNumberFormat="1" applyFont="1" applyFill="1" applyBorder="1" applyAlignment="1">
      <alignment horizontal="left" vertical="center"/>
    </xf>
    <xf numFmtId="231" fontId="68" fillId="7" borderId="84" xfId="2" applyNumberFormat="1" applyFont="1" applyFill="1" applyBorder="1" applyAlignment="1">
      <alignment horizontal="left" vertical="center"/>
    </xf>
    <xf numFmtId="232" fontId="89" fillId="2" borderId="102" xfId="2" applyNumberFormat="1" applyFont="1" applyFill="1" applyBorder="1" applyAlignment="1">
      <alignment horizontal="left" vertical="center" wrapText="1"/>
    </xf>
    <xf numFmtId="232" fontId="91" fillId="4" borderId="0" xfId="2" applyNumberFormat="1" applyFont="1" applyFill="1" applyBorder="1" applyAlignment="1">
      <alignment horizontal="left" vertical="center"/>
    </xf>
    <xf numFmtId="184" fontId="68" fillId="2" borderId="0" xfId="2" applyNumberFormat="1" applyFont="1" applyFill="1" applyBorder="1" applyAlignment="1">
      <alignment horizontal="left" vertical="center"/>
    </xf>
    <xf numFmtId="231" fontId="68" fillId="2" borderId="83" xfId="2" applyNumberFormat="1" applyFont="1" applyFill="1" applyBorder="1" applyAlignment="1">
      <alignment horizontal="left" vertical="center"/>
    </xf>
    <xf numFmtId="231" fontId="68" fillId="2" borderId="84" xfId="2" applyNumberFormat="1" applyFont="1" applyFill="1" applyBorder="1" applyAlignment="1">
      <alignment horizontal="left" vertical="center"/>
    </xf>
    <xf numFmtId="0" fontId="92" fillId="2" borderId="0" xfId="0" applyFont="1" applyFill="1" applyAlignment="1">
      <alignment horizontal="right" vertical="center"/>
    </xf>
    <xf numFmtId="0" fontId="95" fillId="2" borderId="0" xfId="0" applyFont="1" applyFill="1">
      <alignment vertical="center"/>
    </xf>
    <xf numFmtId="0" fontId="96" fillId="6" borderId="87" xfId="0" applyFont="1" applyFill="1" applyBorder="1">
      <alignment vertic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97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left" vertical="center"/>
    </xf>
    <xf numFmtId="0" fontId="9" fillId="2" borderId="0" xfId="0" applyFont="1" applyFill="1" applyAlignment="1">
      <alignment vertical="top"/>
    </xf>
    <xf numFmtId="0" fontId="98" fillId="2" borderId="0" xfId="0" applyFont="1" applyFill="1" applyAlignment="1">
      <alignment vertical="top"/>
    </xf>
    <xf numFmtId="41" fontId="0" fillId="0" borderId="0" xfId="1" applyFont="1">
      <alignment vertical="center"/>
    </xf>
    <xf numFmtId="9" fontId="0" fillId="0" borderId="0" xfId="0" applyNumberFormat="1">
      <alignment vertical="center"/>
    </xf>
    <xf numFmtId="41" fontId="0" fillId="0" borderId="0" xfId="0" applyNumberFormat="1">
      <alignment vertical="center"/>
    </xf>
    <xf numFmtId="0" fontId="0" fillId="0" borderId="0" xfId="0" applyAlignment="1">
      <alignment horizontal="right" vertical="center"/>
    </xf>
    <xf numFmtId="41" fontId="0" fillId="0" borderId="0" xfId="1" applyFont="1" applyAlignment="1">
      <alignment horizontal="right" vertical="center"/>
    </xf>
    <xf numFmtId="0" fontId="0" fillId="0" borderId="1" xfId="0" applyBorder="1" applyAlignment="1">
      <alignment horizontal="right" vertical="center"/>
    </xf>
    <xf numFmtId="41" fontId="0" fillId="0" borderId="1" xfId="1" applyFont="1" applyBorder="1" applyAlignment="1">
      <alignment horizontal="right" vertical="center"/>
    </xf>
    <xf numFmtId="9" fontId="0" fillId="0" borderId="0" xfId="0" applyNumberFormat="1" applyAlignment="1">
      <alignment horizontal="right" vertical="center"/>
    </xf>
    <xf numFmtId="9" fontId="0" fillId="0" borderId="0" xfId="2" applyFont="1" applyAlignment="1">
      <alignment horizontal="right" vertical="center"/>
    </xf>
    <xf numFmtId="0" fontId="10" fillId="0" borderId="0" xfId="0" applyFont="1">
      <alignment vertical="center"/>
    </xf>
    <xf numFmtId="0" fontId="0" fillId="0" borderId="35" xfId="0" applyBorder="1" applyAlignment="1">
      <alignment horizontal="right" vertical="center"/>
    </xf>
    <xf numFmtId="9" fontId="0" fillId="0" borderId="35" xfId="0" applyNumberFormat="1" applyBorder="1" applyAlignment="1">
      <alignment horizontal="right" vertical="center"/>
    </xf>
    <xf numFmtId="41" fontId="0" fillId="0" borderId="35" xfId="1" applyFont="1" applyBorder="1" applyAlignment="1">
      <alignment horizontal="right" vertical="center"/>
    </xf>
    <xf numFmtId="9" fontId="10" fillId="0" borderId="0" xfId="0" applyNumberFormat="1" applyFont="1">
      <alignment vertical="center"/>
    </xf>
    <xf numFmtId="0" fontId="0" fillId="0" borderId="0" xfId="0" applyAlignment="1">
      <alignment horizontal="left" vertical="center" indent="1"/>
    </xf>
    <xf numFmtId="9" fontId="14" fillId="0" borderId="0" xfId="0" applyNumberFormat="1" applyFont="1">
      <alignment vertical="center"/>
    </xf>
    <xf numFmtId="9" fontId="0" fillId="0" borderId="1" xfId="0" applyNumberFormat="1" applyBorder="1" applyAlignment="1">
      <alignment horizontal="right" vertical="center"/>
    </xf>
    <xf numFmtId="184" fontId="0" fillId="0" borderId="0" xfId="2" applyNumberFormat="1" applyFont="1">
      <alignment vertical="center"/>
    </xf>
    <xf numFmtId="41" fontId="0" fillId="0" borderId="0" xfId="1" applyFont="1" applyAlignment="1">
      <alignment vertical="center" shrinkToFit="1"/>
    </xf>
    <xf numFmtId="0" fontId="0" fillId="0" borderId="106" xfId="0" applyBorder="1" applyAlignment="1">
      <alignment horizontal="right" vertical="center"/>
    </xf>
    <xf numFmtId="9" fontId="0" fillId="0" borderId="106" xfId="0" applyNumberFormat="1" applyBorder="1" applyAlignment="1">
      <alignment horizontal="right" vertical="center"/>
    </xf>
    <xf numFmtId="0" fontId="42" fillId="0" borderId="0" xfId="0" applyFont="1">
      <alignment vertical="center"/>
    </xf>
    <xf numFmtId="0" fontId="0" fillId="0" borderId="108" xfId="0" applyBorder="1">
      <alignment vertical="center"/>
    </xf>
    <xf numFmtId="0" fontId="0" fillId="0" borderId="108" xfId="0" applyBorder="1" applyAlignment="1">
      <alignment horizontal="left" vertical="center" indent="1"/>
    </xf>
    <xf numFmtId="0" fontId="10" fillId="0" borderId="105" xfId="0" applyFont="1" applyBorder="1" applyAlignment="1">
      <alignment horizontal="center" vertical="center"/>
    </xf>
    <xf numFmtId="41" fontId="0" fillId="0" borderId="105" xfId="1" applyFont="1" applyBorder="1" applyAlignment="1">
      <alignment horizontal="right" vertical="center"/>
    </xf>
    <xf numFmtId="41" fontId="0" fillId="0" borderId="0" xfId="1" applyFont="1" applyBorder="1" applyAlignment="1">
      <alignment horizontal="right" vertical="center"/>
    </xf>
    <xf numFmtId="184" fontId="0" fillId="0" borderId="110" xfId="2" applyNumberFormat="1" applyFont="1" applyBorder="1" applyAlignment="1">
      <alignment horizontal="right" vertical="center"/>
    </xf>
    <xf numFmtId="184" fontId="0" fillId="0" borderId="109" xfId="2" applyNumberFormat="1" applyFont="1" applyBorder="1" applyAlignment="1">
      <alignment horizontal="right" vertical="center"/>
    </xf>
    <xf numFmtId="184" fontId="0" fillId="0" borderId="105" xfId="2" applyNumberFormat="1" applyFont="1" applyBorder="1" applyAlignment="1">
      <alignment horizontal="right" vertical="center"/>
    </xf>
    <xf numFmtId="184" fontId="0" fillId="0" borderId="0" xfId="2" applyNumberFormat="1" applyFont="1" applyBorder="1" applyAlignment="1">
      <alignment horizontal="right" vertical="center"/>
    </xf>
    <xf numFmtId="41" fontId="0" fillId="0" borderId="107" xfId="1" applyFont="1" applyBorder="1" applyAlignment="1">
      <alignment horizontal="right" vertical="center"/>
    </xf>
    <xf numFmtId="184" fontId="0" fillId="0" borderId="107" xfId="2" applyNumberFormat="1" applyFont="1" applyBorder="1" applyAlignment="1">
      <alignment horizontal="right" vertical="center"/>
    </xf>
    <xf numFmtId="184" fontId="0" fillId="0" borderId="35" xfId="2" applyNumberFormat="1" applyFont="1" applyBorder="1" applyAlignment="1">
      <alignment horizontal="right" vertical="center"/>
    </xf>
    <xf numFmtId="0" fontId="0" fillId="0" borderId="110" xfId="0" applyBorder="1" applyAlignment="1">
      <alignment horizontal="right" vertical="center"/>
    </xf>
    <xf numFmtId="0" fontId="0" fillId="0" borderId="109" xfId="0" applyBorder="1" applyAlignment="1">
      <alignment horizontal="right" vertical="center"/>
    </xf>
    <xf numFmtId="0" fontId="0" fillId="0" borderId="107" xfId="0" applyBorder="1" applyAlignment="1">
      <alignment horizontal="right" vertical="center"/>
    </xf>
    <xf numFmtId="0" fontId="0" fillId="0" borderId="105" xfId="0" applyBorder="1" applyAlignment="1">
      <alignment horizontal="right" vertical="center"/>
    </xf>
    <xf numFmtId="232" fontId="12" fillId="5" borderId="0" xfId="0" applyNumberFormat="1" applyFont="1" applyFill="1" applyAlignment="1">
      <alignment horizontal="left" vertical="center"/>
    </xf>
    <xf numFmtId="184" fontId="46" fillId="5" borderId="105" xfId="2" applyNumberFormat="1" applyFont="1" applyFill="1" applyBorder="1" applyAlignment="1">
      <alignment horizontal="left" vertical="center"/>
    </xf>
    <xf numFmtId="184" fontId="46" fillId="4" borderId="7" xfId="2" applyNumberFormat="1" applyFont="1" applyFill="1" applyBorder="1" applyAlignment="1">
      <alignment horizontal="left" vertical="center"/>
    </xf>
    <xf numFmtId="184" fontId="99" fillId="9" borderId="106" xfId="2" applyNumberFormat="1" applyFont="1" applyFill="1" applyBorder="1" applyAlignment="1">
      <alignment horizontal="left" vertical="center"/>
    </xf>
    <xf numFmtId="184" fontId="100" fillId="9" borderId="1" xfId="2" applyNumberFormat="1" applyFont="1" applyFill="1" applyBorder="1" applyAlignment="1">
      <alignment horizontal="left" vertical="center"/>
    </xf>
    <xf numFmtId="184" fontId="99" fillId="4" borderId="1" xfId="2" applyNumberFormat="1" applyFont="1" applyFill="1" applyBorder="1" applyAlignment="1">
      <alignment horizontal="left" vertical="center"/>
    </xf>
    <xf numFmtId="184" fontId="100" fillId="4" borderId="1" xfId="2" applyNumberFormat="1" applyFont="1" applyFill="1" applyBorder="1" applyAlignment="1">
      <alignment horizontal="left" vertical="center"/>
    </xf>
    <xf numFmtId="184" fontId="100" fillId="5" borderId="1" xfId="2" applyNumberFormat="1" applyFont="1" applyFill="1" applyBorder="1" applyAlignment="1">
      <alignment horizontal="left" vertical="center"/>
    </xf>
    <xf numFmtId="184" fontId="99" fillId="9" borderId="11" xfId="2" applyNumberFormat="1" applyFont="1" applyFill="1" applyBorder="1" applyAlignment="1">
      <alignment horizontal="left" vertical="center"/>
    </xf>
    <xf numFmtId="184" fontId="99" fillId="2" borderId="1" xfId="2" applyNumberFormat="1" applyFont="1" applyFill="1" applyBorder="1" applyAlignment="1">
      <alignment horizontal="left" vertical="center"/>
    </xf>
    <xf numFmtId="184" fontId="100" fillId="2" borderId="1" xfId="2" applyNumberFormat="1" applyFont="1" applyFill="1" applyBorder="1" applyAlignment="1">
      <alignment horizontal="left" vertical="center"/>
    </xf>
    <xf numFmtId="184" fontId="68" fillId="7" borderId="88" xfId="2" applyNumberFormat="1" applyFont="1" applyFill="1" applyBorder="1" applyAlignment="1">
      <alignment horizontal="left" vertical="center"/>
    </xf>
    <xf numFmtId="184" fontId="60" fillId="4" borderId="54" xfId="2" applyNumberFormat="1" applyFont="1" applyFill="1" applyBorder="1" applyAlignment="1">
      <alignment horizontal="center" vertical="center"/>
    </xf>
    <xf numFmtId="184" fontId="60" fillId="4" borderId="62" xfId="2" applyNumberFormat="1" applyFont="1" applyFill="1" applyBorder="1" applyAlignment="1">
      <alignment horizontal="center" vertical="center"/>
    </xf>
    <xf numFmtId="184" fontId="60" fillId="5" borderId="54" xfId="2" applyNumberFormat="1" applyFont="1" applyFill="1" applyBorder="1" applyAlignment="1">
      <alignment horizontal="center" vertical="center"/>
    </xf>
    <xf numFmtId="0" fontId="66" fillId="2" borderId="0" xfId="0" applyFont="1" applyFill="1" applyAlignment="1">
      <alignment horizontal="left" vertical="center" wrapText="1"/>
    </xf>
    <xf numFmtId="0" fontId="66" fillId="2" borderId="0" xfId="0" applyFont="1" applyFill="1" applyAlignment="1">
      <alignment horizontal="left" vertical="center"/>
    </xf>
    <xf numFmtId="184" fontId="68" fillId="2" borderId="88" xfId="2" applyNumberFormat="1" applyFont="1" applyFill="1" applyBorder="1" applyAlignment="1">
      <alignment horizontal="left" vertical="center"/>
    </xf>
    <xf numFmtId="0" fontId="69" fillId="4" borderId="36" xfId="0" applyFont="1" applyFill="1" applyBorder="1" applyAlignment="1">
      <alignment horizontal="center" vertical="center"/>
    </xf>
    <xf numFmtId="0" fontId="69" fillId="4" borderId="76" xfId="0" applyFont="1" applyFill="1" applyBorder="1" applyAlignment="1">
      <alignment horizontal="center" vertical="center"/>
    </xf>
    <xf numFmtId="0" fontId="69" fillId="5" borderId="58" xfId="0" applyFont="1" applyFill="1" applyBorder="1" applyAlignment="1">
      <alignment horizontal="center" vertical="center"/>
    </xf>
    <xf numFmtId="0" fontId="69" fillId="5" borderId="36" xfId="0" applyFont="1" applyFill="1" applyBorder="1" applyAlignment="1">
      <alignment horizontal="center" vertical="center"/>
    </xf>
    <xf numFmtId="184" fontId="60" fillId="5" borderId="0" xfId="2" applyNumberFormat="1" applyFont="1" applyFill="1" applyBorder="1" applyAlignment="1">
      <alignment horizontal="center" vertical="center"/>
    </xf>
    <xf numFmtId="184" fontId="60" fillId="5" borderId="6" xfId="2" applyNumberFormat="1" applyFont="1" applyFill="1" applyBorder="1" applyAlignment="1">
      <alignment horizontal="center" vertical="center"/>
    </xf>
    <xf numFmtId="184" fontId="60" fillId="4" borderId="73" xfId="2" applyNumberFormat="1" applyFont="1" applyFill="1" applyBorder="1" applyAlignment="1">
      <alignment horizontal="center" vertical="center"/>
    </xf>
    <xf numFmtId="184" fontId="60" fillId="4" borderId="74" xfId="2" applyNumberFormat="1" applyFont="1" applyFill="1" applyBorder="1" applyAlignment="1">
      <alignment horizontal="center" vertical="center"/>
    </xf>
    <xf numFmtId="184" fontId="60" fillId="4" borderId="75" xfId="2" applyNumberFormat="1" applyFont="1" applyFill="1" applyBorder="1" applyAlignment="1">
      <alignment horizontal="center" vertical="center"/>
    </xf>
    <xf numFmtId="184" fontId="68" fillId="7" borderId="83" xfId="2" applyNumberFormat="1" applyFont="1" applyFill="1" applyBorder="1" applyAlignment="1">
      <alignment vertical="center"/>
    </xf>
    <xf numFmtId="184" fontId="68" fillId="7" borderId="88" xfId="2" applyNumberFormat="1" applyFont="1" applyFill="1" applyBorder="1" applyAlignment="1">
      <alignment vertical="center"/>
    </xf>
    <xf numFmtId="184" fontId="68" fillId="7" borderId="84" xfId="2" applyNumberFormat="1" applyFont="1" applyFill="1" applyBorder="1" applyAlignment="1">
      <alignment vertical="center"/>
    </xf>
    <xf numFmtId="184" fontId="68" fillId="7" borderId="89" xfId="2" applyNumberFormat="1" applyFont="1" applyFill="1" applyBorder="1" applyAlignment="1">
      <alignment vertical="center"/>
    </xf>
    <xf numFmtId="0" fontId="68" fillId="6" borderId="82" xfId="0" applyFont="1" applyFill="1" applyBorder="1">
      <alignment vertical="center"/>
    </xf>
    <xf numFmtId="0" fontId="0" fillId="0" borderId="87" xfId="0" applyBorder="1">
      <alignment vertical="center"/>
    </xf>
    <xf numFmtId="184" fontId="76" fillId="2" borderId="90" xfId="2" applyNumberFormat="1" applyFont="1" applyFill="1" applyBorder="1" applyAlignment="1">
      <alignment horizontal="center" vertical="center" shrinkToFit="1"/>
    </xf>
    <xf numFmtId="184" fontId="76" fillId="2" borderId="103" xfId="2" applyNumberFormat="1" applyFont="1" applyFill="1" applyBorder="1" applyAlignment="1">
      <alignment horizontal="center" vertical="center" shrinkToFit="1"/>
    </xf>
    <xf numFmtId="220" fontId="60" fillId="4" borderId="54" xfId="1" applyNumberFormat="1" applyFont="1" applyFill="1" applyBorder="1" applyAlignment="1">
      <alignment horizontal="center" vertical="center"/>
    </xf>
    <xf numFmtId="220" fontId="60" fillId="4" borderId="62" xfId="1" applyNumberFormat="1" applyFont="1" applyFill="1" applyBorder="1" applyAlignment="1">
      <alignment horizontal="center" vertical="center"/>
    </xf>
    <xf numFmtId="220" fontId="60" fillId="5" borderId="97" xfId="1" applyNumberFormat="1" applyFont="1" applyFill="1" applyBorder="1" applyAlignment="1">
      <alignment horizontal="center" vertical="center"/>
    </xf>
    <xf numFmtId="220" fontId="60" fillId="5" borderId="98" xfId="1" applyNumberFormat="1" applyFont="1" applyFill="1" applyBorder="1" applyAlignment="1">
      <alignment horizontal="center" vertical="center"/>
    </xf>
    <xf numFmtId="220" fontId="60" fillId="5" borderId="99" xfId="1" applyNumberFormat="1" applyFont="1" applyFill="1" applyBorder="1" applyAlignment="1">
      <alignment horizontal="center" vertical="center"/>
    </xf>
    <xf numFmtId="231" fontId="68" fillId="2" borderId="88" xfId="1" applyNumberFormat="1" applyFont="1" applyFill="1" applyBorder="1" applyAlignment="1">
      <alignment horizontal="left" vertical="center"/>
    </xf>
    <xf numFmtId="231" fontId="68" fillId="7" borderId="88" xfId="2" applyNumberFormat="1" applyFont="1" applyFill="1" applyBorder="1" applyAlignment="1">
      <alignment horizontal="left" vertical="center"/>
    </xf>
    <xf numFmtId="231" fontId="68" fillId="2" borderId="88" xfId="2" applyNumberFormat="1" applyFont="1" applyFill="1" applyBorder="1" applyAlignment="1">
      <alignment horizontal="left" vertical="center"/>
    </xf>
    <xf numFmtId="184" fontId="60" fillId="5" borderId="111" xfId="2" applyNumberFormat="1" applyFont="1" applyFill="1" applyBorder="1" applyAlignment="1">
      <alignment horizontal="center" vertical="center"/>
    </xf>
    <xf numFmtId="184" fontId="60" fillId="5" borderId="112" xfId="2" applyNumberFormat="1" applyFont="1" applyFill="1" applyBorder="1" applyAlignment="1">
      <alignment horizontal="center" vertical="center"/>
    </xf>
    <xf numFmtId="184" fontId="60" fillId="5" borderId="113" xfId="2" applyNumberFormat="1" applyFont="1" applyFill="1" applyBorder="1" applyAlignment="1">
      <alignment horizontal="center" vertical="center"/>
    </xf>
    <xf numFmtId="184" fontId="60" fillId="5" borderId="53" xfId="2" applyNumberFormat="1" applyFont="1" applyFill="1" applyBorder="1" applyAlignment="1">
      <alignment horizontal="center" vertical="center"/>
    </xf>
    <xf numFmtId="184" fontId="60" fillId="5" borderId="62" xfId="2" applyNumberFormat="1" applyFont="1" applyFill="1" applyBorder="1" applyAlignment="1">
      <alignment horizontal="center" vertical="center"/>
    </xf>
    <xf numFmtId="184" fontId="68" fillId="2" borderId="100" xfId="2" applyNumberFormat="1" applyFont="1" applyFill="1" applyBorder="1" applyAlignment="1">
      <alignment vertical="center"/>
    </xf>
    <xf numFmtId="0" fontId="0" fillId="0" borderId="104" xfId="0" applyBorder="1">
      <alignment vertical="center"/>
    </xf>
    <xf numFmtId="184" fontId="68" fillId="2" borderId="83" xfId="2" applyNumberFormat="1" applyFont="1" applyFill="1" applyBorder="1" applyAlignment="1">
      <alignment vertical="center"/>
    </xf>
    <xf numFmtId="0" fontId="0" fillId="0" borderId="88" xfId="0" applyBorder="1">
      <alignment vertical="center"/>
    </xf>
    <xf numFmtId="184" fontId="68" fillId="2" borderId="84" xfId="2" applyNumberFormat="1" applyFont="1" applyFill="1" applyBorder="1" applyAlignment="1">
      <alignment vertical="center"/>
    </xf>
    <xf numFmtId="0" fontId="0" fillId="0" borderId="89" xfId="0" applyBorder="1">
      <alignment vertical="center"/>
    </xf>
    <xf numFmtId="184" fontId="68" fillId="7" borderId="85" xfId="2" applyNumberFormat="1" applyFont="1" applyFill="1" applyBorder="1" applyAlignment="1">
      <alignment vertical="center"/>
    </xf>
    <xf numFmtId="0" fontId="0" fillId="0" borderId="90" xfId="0" applyBorder="1">
      <alignment vertical="center"/>
    </xf>
    <xf numFmtId="41" fontId="10" fillId="0" borderId="0" xfId="1" applyFont="1" applyAlignment="1">
      <alignment horizontal="center" vertical="center"/>
    </xf>
    <xf numFmtId="41" fontId="10" fillId="0" borderId="77" xfId="1" applyFont="1" applyBorder="1" applyAlignment="1">
      <alignment horizontal="center" vertical="center"/>
    </xf>
    <xf numFmtId="0" fontId="10" fillId="0" borderId="105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77" xfId="0" applyFont="1" applyBorder="1" applyAlignment="1">
      <alignment horizontal="center" vertical="center"/>
    </xf>
    <xf numFmtId="0" fontId="4" fillId="2" borderId="53" xfId="0" applyFont="1" applyFill="1" applyBorder="1" applyAlignment="1">
      <alignment horizontal="center" vertical="center"/>
    </xf>
    <xf numFmtId="0" fontId="4" fillId="2" borderId="54" xfId="0" applyFont="1" applyFill="1" applyBorder="1" applyAlignment="1">
      <alignment horizontal="center" vertical="center"/>
    </xf>
    <xf numFmtId="0" fontId="4" fillId="2" borderId="54" xfId="0" applyFont="1" applyFill="1" applyBorder="1">
      <alignment vertical="center"/>
    </xf>
    <xf numFmtId="0" fontId="4" fillId="2" borderId="62" xfId="0" applyFont="1" applyFill="1" applyBorder="1">
      <alignment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7" xfId="0" applyFont="1" applyFill="1" applyBorder="1">
      <alignment vertical="center"/>
    </xf>
    <xf numFmtId="0" fontId="4" fillId="2" borderId="94" xfId="0" applyFont="1" applyFill="1" applyBorder="1" applyAlignment="1">
      <alignment horizontal="center" vertical="center"/>
    </xf>
    <xf numFmtId="0" fontId="4" fillId="2" borderId="95" xfId="0" applyFont="1" applyFill="1" applyBorder="1" applyAlignment="1">
      <alignment horizontal="center" vertical="center"/>
    </xf>
    <xf numFmtId="0" fontId="4" fillId="2" borderId="95" xfId="0" applyFont="1" applyFill="1" applyBorder="1">
      <alignment vertical="center"/>
    </xf>
    <xf numFmtId="0" fontId="4" fillId="2" borderId="96" xfId="0" applyFont="1" applyFill="1" applyBorder="1">
      <alignment vertical="center"/>
    </xf>
    <xf numFmtId="9" fontId="4" fillId="2" borderId="62" xfId="0" applyNumberFormat="1" applyFont="1" applyFill="1" applyBorder="1">
      <alignment vertical="center"/>
    </xf>
    <xf numFmtId="0" fontId="102" fillId="2" borderId="10" xfId="0" applyFont="1" applyFill="1" applyBorder="1" applyAlignment="1">
      <alignment horizontal="center" vertical="center"/>
    </xf>
    <xf numFmtId="0" fontId="102" fillId="2" borderId="0" xfId="0" applyFont="1" applyFill="1" applyBorder="1" applyAlignment="1">
      <alignment horizontal="center" vertical="center"/>
    </xf>
    <xf numFmtId="10" fontId="103" fillId="2" borderId="0" xfId="0" applyNumberFormat="1" applyFont="1" applyFill="1" applyBorder="1">
      <alignment vertical="center"/>
    </xf>
    <xf numFmtId="10" fontId="103" fillId="2" borderId="6" xfId="0" applyNumberFormat="1" applyFont="1" applyFill="1" applyBorder="1">
      <alignment vertical="center"/>
    </xf>
    <xf numFmtId="0" fontId="102" fillId="2" borderId="11" xfId="0" applyFont="1" applyFill="1" applyBorder="1" applyAlignment="1">
      <alignment horizontal="center" vertical="center"/>
    </xf>
    <xf numFmtId="0" fontId="102" fillId="2" borderId="1" xfId="0" applyFont="1" applyFill="1" applyBorder="1" applyAlignment="1">
      <alignment horizontal="center" vertical="center"/>
    </xf>
    <xf numFmtId="10" fontId="103" fillId="2" borderId="1" xfId="0" applyNumberFormat="1" applyFont="1" applyFill="1" applyBorder="1">
      <alignment vertical="center"/>
    </xf>
    <xf numFmtId="0" fontId="103" fillId="2" borderId="7" xfId="0" applyFont="1" applyFill="1" applyBorder="1">
      <alignment vertical="center"/>
    </xf>
    <xf numFmtId="9" fontId="4" fillId="2" borderId="95" xfId="0" applyNumberFormat="1" applyFont="1" applyFill="1" applyBorder="1">
      <alignment vertical="center"/>
    </xf>
    <xf numFmtId="9" fontId="4" fillId="2" borderId="96" xfId="0" applyNumberFormat="1" applyFont="1" applyFill="1" applyBorder="1">
      <alignment vertical="center"/>
    </xf>
    <xf numFmtId="0" fontId="4" fillId="2" borderId="9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53" xfId="0" applyFont="1" applyFill="1" applyBorder="1">
      <alignment vertical="center"/>
    </xf>
    <xf numFmtId="0" fontId="4" fillId="2" borderId="11" xfId="0" applyFont="1" applyFill="1" applyBorder="1">
      <alignment vertical="center"/>
    </xf>
    <xf numFmtId="0" fontId="80" fillId="2" borderId="0" xfId="0" applyFont="1" applyFill="1" applyBorder="1">
      <alignment vertical="center"/>
    </xf>
    <xf numFmtId="0" fontId="27" fillId="2" borderId="105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27" fillId="2" borderId="114" xfId="0" applyFont="1" applyFill="1" applyBorder="1" applyAlignment="1">
      <alignment horizontal="center" vertical="center"/>
    </xf>
    <xf numFmtId="0" fontId="27" fillId="2" borderId="28" xfId="0" applyFont="1" applyFill="1" applyBorder="1" applyAlignment="1">
      <alignment horizontal="center" vertical="center"/>
    </xf>
    <xf numFmtId="0" fontId="87" fillId="2" borderId="0" xfId="0" applyFont="1" applyFill="1" applyBorder="1">
      <alignment vertical="center"/>
    </xf>
    <xf numFmtId="0" fontId="27" fillId="2" borderId="115" xfId="0" applyFont="1" applyFill="1" applyBorder="1" applyAlignment="1">
      <alignment horizontal="center" vertical="center"/>
    </xf>
    <xf numFmtId="0" fontId="27" fillId="2" borderId="118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right" vertical="center"/>
    </xf>
    <xf numFmtId="0" fontId="4" fillId="2" borderId="106" xfId="0" applyFont="1" applyFill="1" applyBorder="1" applyAlignment="1">
      <alignment horizontal="right" vertical="center"/>
    </xf>
    <xf numFmtId="0" fontId="4" fillId="2" borderId="116" xfId="0" applyFont="1" applyFill="1" applyBorder="1" applyAlignment="1">
      <alignment horizontal="right" vertical="center"/>
    </xf>
    <xf numFmtId="0" fontId="4" fillId="2" borderId="117" xfId="0" applyFont="1" applyFill="1" applyBorder="1" applyAlignment="1">
      <alignment horizontal="right" vertical="center"/>
    </xf>
    <xf numFmtId="0" fontId="4" fillId="2" borderId="29" xfId="0" applyFont="1" applyFill="1" applyBorder="1" applyAlignment="1">
      <alignment horizontal="right" vertical="center"/>
    </xf>
    <xf numFmtId="242" fontId="4" fillId="2" borderId="0" xfId="0" applyNumberFormat="1" applyFont="1" applyFill="1" applyAlignment="1">
      <alignment horizontal="right" vertical="center"/>
    </xf>
    <xf numFmtId="0" fontId="4" fillId="2" borderId="105" xfId="0" applyFont="1" applyFill="1" applyBorder="1" applyAlignment="1">
      <alignment horizontal="right" vertical="center"/>
    </xf>
    <xf numFmtId="0" fontId="4" fillId="2" borderId="115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 vertical="center"/>
    </xf>
    <xf numFmtId="0" fontId="4" fillId="2" borderId="114" xfId="0" applyFont="1" applyFill="1" applyBorder="1" applyAlignment="1">
      <alignment horizontal="right" vertical="center"/>
    </xf>
    <xf numFmtId="0" fontId="4" fillId="2" borderId="28" xfId="0" applyFont="1" applyFill="1" applyBorder="1" applyAlignment="1">
      <alignment horizontal="right" vertical="center"/>
    </xf>
    <xf numFmtId="241" fontId="4" fillId="2" borderId="0" xfId="0" applyNumberFormat="1" applyFont="1" applyFill="1" applyAlignment="1">
      <alignment horizontal="right" vertical="center"/>
    </xf>
    <xf numFmtId="241" fontId="4" fillId="2" borderId="36" xfId="0" applyNumberFormat="1" applyFont="1" applyFill="1" applyBorder="1" applyAlignment="1">
      <alignment horizontal="right" vertical="center"/>
    </xf>
    <xf numFmtId="0" fontId="4" fillId="2" borderId="119" xfId="0" applyFont="1" applyFill="1" applyBorder="1" applyAlignment="1">
      <alignment horizontal="right" vertical="center"/>
    </xf>
    <xf numFmtId="0" fontId="4" fillId="2" borderId="120" xfId="0" applyFont="1" applyFill="1" applyBorder="1" applyAlignment="1">
      <alignment horizontal="right" vertical="center"/>
    </xf>
    <xf numFmtId="0" fontId="4" fillId="2" borderId="36" xfId="0" applyFont="1" applyFill="1" applyBorder="1" applyAlignment="1">
      <alignment horizontal="right" vertical="center"/>
    </xf>
    <xf numFmtId="0" fontId="4" fillId="2" borderId="121" xfId="0" applyFont="1" applyFill="1" applyBorder="1" applyAlignment="1">
      <alignment horizontal="right" vertical="center"/>
    </xf>
    <xf numFmtId="0" fontId="4" fillId="2" borderId="122" xfId="0" applyFont="1" applyFill="1" applyBorder="1" applyAlignment="1">
      <alignment horizontal="right" vertical="center"/>
    </xf>
    <xf numFmtId="243" fontId="4" fillId="2" borderId="105" xfId="1" applyNumberFormat="1" applyFont="1" applyFill="1" applyBorder="1" applyAlignment="1">
      <alignment horizontal="right" vertical="center"/>
    </xf>
    <xf numFmtId="243" fontId="4" fillId="2" borderId="115" xfId="1" applyNumberFormat="1" applyFont="1" applyFill="1" applyBorder="1" applyAlignment="1">
      <alignment horizontal="right" vertical="center"/>
    </xf>
    <xf numFmtId="243" fontId="4" fillId="2" borderId="0" xfId="1" applyNumberFormat="1" applyFont="1" applyFill="1" applyBorder="1" applyAlignment="1">
      <alignment horizontal="right" vertical="center"/>
    </xf>
    <xf numFmtId="243" fontId="4" fillId="2" borderId="114" xfId="1" applyNumberFormat="1" applyFont="1" applyFill="1" applyBorder="1" applyAlignment="1">
      <alignment horizontal="right" vertical="center"/>
    </xf>
    <xf numFmtId="243" fontId="4" fillId="2" borderId="28" xfId="1" applyNumberFormat="1" applyFont="1" applyFill="1" applyBorder="1" applyAlignment="1">
      <alignment horizontal="right" vertical="center"/>
    </xf>
    <xf numFmtId="0" fontId="13" fillId="2" borderId="0" xfId="0" applyFont="1" applyFill="1" applyAlignment="1">
      <alignment horizontal="right" vertical="center"/>
    </xf>
    <xf numFmtId="184" fontId="104" fillId="2" borderId="105" xfId="2" applyNumberFormat="1" applyFont="1" applyFill="1" applyBorder="1">
      <alignment vertical="center"/>
    </xf>
    <xf numFmtId="184" fontId="104" fillId="2" borderId="115" xfId="2" applyNumberFormat="1" applyFont="1" applyFill="1" applyBorder="1">
      <alignment vertical="center"/>
    </xf>
    <xf numFmtId="184" fontId="104" fillId="2" borderId="0" xfId="2" applyNumberFormat="1" applyFont="1" applyFill="1" applyBorder="1">
      <alignment vertical="center"/>
    </xf>
    <xf numFmtId="184" fontId="104" fillId="2" borderId="114" xfId="2" applyNumberFormat="1" applyFont="1" applyFill="1" applyBorder="1">
      <alignment vertical="center"/>
    </xf>
    <xf numFmtId="184" fontId="104" fillId="2" borderId="28" xfId="2" applyNumberFormat="1" applyFont="1" applyFill="1" applyBorder="1">
      <alignment vertical="center"/>
    </xf>
    <xf numFmtId="0" fontId="4" fillId="2" borderId="94" xfId="0" applyFont="1" applyFill="1" applyBorder="1">
      <alignment vertical="center"/>
    </xf>
    <xf numFmtId="0" fontId="103" fillId="2" borderId="10" xfId="0" applyFont="1" applyFill="1" applyBorder="1">
      <alignment vertical="center"/>
    </xf>
    <xf numFmtId="0" fontId="4" fillId="2" borderId="0" xfId="0" applyFont="1" applyFill="1" applyBorder="1">
      <alignment vertical="center"/>
    </xf>
    <xf numFmtId="0" fontId="4" fillId="2" borderId="6" xfId="0" applyFont="1" applyFill="1" applyBorder="1">
      <alignment vertical="center"/>
    </xf>
    <xf numFmtId="0" fontId="103" fillId="2" borderId="11" xfId="0" applyFont="1" applyFill="1" applyBorder="1">
      <alignment vertical="center"/>
    </xf>
  </cellXfs>
  <cellStyles count="4">
    <cellStyle name="백분율" xfId="2" builtinId="5"/>
    <cellStyle name="쉼표 [0]" xfId="1" builtinId="6"/>
    <cellStyle name="표준" xfId="0" builtinId="0"/>
    <cellStyle name="하이퍼링크" xfId="3" builtinId="8"/>
  </cellStyles>
  <dxfs count="88">
    <dxf>
      <font>
        <b/>
        <i val="0"/>
        <color theme="8" tint="-0.499984740745262"/>
      </font>
      <fill>
        <patternFill>
          <bgColor theme="5" tint="0.39994506668294322"/>
        </patternFill>
      </fill>
    </dxf>
    <dxf>
      <font>
        <color rgb="FFC00000"/>
      </font>
      <fill>
        <patternFill>
          <bgColor rgb="FFFFC000"/>
        </patternFill>
      </fill>
    </dxf>
    <dxf>
      <font>
        <b/>
        <i val="0"/>
        <color rgb="FFE8FF09"/>
      </font>
    </dxf>
    <dxf>
      <font>
        <color rgb="FF00B0F0"/>
      </font>
    </dxf>
    <dxf>
      <font>
        <color theme="5"/>
      </font>
    </dxf>
    <dxf>
      <font>
        <color rgb="FF00B0F0"/>
      </font>
    </dxf>
    <dxf>
      <font>
        <color theme="5"/>
      </font>
    </dxf>
    <dxf>
      <font>
        <b/>
        <i val="0"/>
        <color rgb="FF00B0F0"/>
      </font>
      <numFmt numFmtId="233" formatCode="&quot;S&quot;"/>
    </dxf>
    <dxf>
      <font>
        <b/>
        <i val="0"/>
        <color theme="8" tint="-0.24994659260841701"/>
      </font>
      <numFmt numFmtId="234" formatCode="&quot;A&quot;"/>
    </dxf>
    <dxf>
      <font>
        <b/>
        <i val="0"/>
        <color theme="9" tint="-0.24994659260841701"/>
      </font>
      <numFmt numFmtId="235" formatCode="&quot;B&quot;"/>
    </dxf>
    <dxf>
      <font>
        <b/>
        <i val="0"/>
        <color theme="7" tint="-0.24994659260841701"/>
      </font>
      <numFmt numFmtId="236" formatCode="&quot;C&quot;"/>
    </dxf>
    <dxf>
      <font>
        <b/>
        <i val="0"/>
        <color theme="5" tint="-0.499984740745262"/>
      </font>
      <numFmt numFmtId="237" formatCode="&quot;D&quot;"/>
    </dxf>
    <dxf>
      <font>
        <b/>
        <i val="0"/>
        <color rgb="FFC00000"/>
      </font>
      <numFmt numFmtId="238" formatCode="&quot;F&quot;"/>
    </dxf>
    <dxf>
      <font>
        <b/>
        <i val="0"/>
        <color rgb="FF00B0F0"/>
      </font>
      <numFmt numFmtId="233" formatCode="&quot;S&quot;"/>
    </dxf>
    <dxf>
      <font>
        <b/>
        <i val="0"/>
        <color theme="8" tint="-0.24994659260841701"/>
      </font>
      <numFmt numFmtId="234" formatCode="&quot;A&quot;"/>
    </dxf>
    <dxf>
      <font>
        <b/>
        <i val="0"/>
        <color theme="9" tint="-0.24994659260841701"/>
      </font>
      <numFmt numFmtId="235" formatCode="&quot;B&quot;"/>
    </dxf>
    <dxf>
      <font>
        <b/>
        <i val="0"/>
        <color theme="7" tint="-0.24994659260841701"/>
      </font>
      <numFmt numFmtId="236" formatCode="&quot;C&quot;"/>
    </dxf>
    <dxf>
      <font>
        <b/>
        <i val="0"/>
        <color theme="5" tint="-0.499984740745262"/>
      </font>
      <numFmt numFmtId="237" formatCode="&quot;D&quot;"/>
    </dxf>
    <dxf>
      <font>
        <b/>
        <i val="0"/>
        <color rgb="FFC00000"/>
      </font>
      <numFmt numFmtId="238" formatCode="&quot;F&quot;"/>
    </dxf>
    <dxf>
      <fill>
        <patternFill patternType="solid">
          <fgColor indexed="64"/>
          <bgColor theme="2" tint="-0.249977111117893"/>
        </patternFill>
      </fill>
    </dxf>
    <dxf>
      <fill>
        <patternFill patternType="solid">
          <fgColor indexed="64"/>
          <bgColor theme="2" tint="-0.249977111117893"/>
        </patternFill>
      </fill>
    </dxf>
    <dxf>
      <fill>
        <patternFill patternType="solid">
          <fgColor indexed="64"/>
          <bgColor theme="2" tint="-0.249977111117893"/>
        </patternFill>
      </fill>
    </dxf>
    <dxf>
      <fill>
        <patternFill patternType="solid">
          <fgColor indexed="64"/>
          <bgColor theme="2" tint="-0.249977111117893"/>
        </patternFill>
      </fill>
    </dxf>
    <dxf>
      <fill>
        <patternFill patternType="solid">
          <fgColor indexed="64"/>
          <bgColor theme="2" tint="-0.249977111117893"/>
        </patternFill>
      </fill>
    </dxf>
    <dxf>
      <fill>
        <patternFill patternType="solid">
          <fgColor indexed="64"/>
          <bgColor theme="2" tint="-0.249977111117893"/>
        </patternFill>
      </fill>
    </dxf>
    <dxf>
      <fill>
        <patternFill patternType="solid">
          <fgColor indexed="64"/>
          <bgColor theme="2" tint="-0.249977111117893"/>
        </patternFill>
      </fill>
    </dxf>
    <dxf>
      <fill>
        <patternFill patternType="solid">
          <fgColor indexed="64"/>
          <bgColor theme="2" tint="-0.249977111117893"/>
        </patternFill>
      </fill>
    </dxf>
    <dxf>
      <fill>
        <patternFill patternType="solid">
          <fgColor indexed="64"/>
          <bgColor theme="2" tint="-0.249977111117893"/>
        </patternFill>
      </fill>
    </dxf>
    <dxf>
      <fill>
        <patternFill patternType="solid">
          <fgColor indexed="64"/>
          <bgColor theme="2" tint="-0.249977111117893"/>
        </patternFill>
      </fill>
    </dxf>
    <dxf>
      <fill>
        <patternFill patternType="solid">
          <fgColor indexed="64"/>
          <bgColor theme="2" tint="-0.249977111117893"/>
        </patternFill>
      </fill>
    </dxf>
    <dxf>
      <fill>
        <patternFill patternType="solid">
          <fgColor indexed="64"/>
          <bgColor theme="2" tint="-0.249977111117893"/>
        </patternFill>
      </fill>
    </dxf>
    <dxf>
      <fill>
        <patternFill patternType="solid">
          <fgColor indexed="64"/>
          <bgColor theme="2" tint="-0.249977111117893"/>
        </patternFill>
      </fill>
    </dxf>
    <dxf>
      <fill>
        <patternFill patternType="solid">
          <fgColor indexed="64"/>
          <bgColor theme="2" tint="-0.249977111117893"/>
        </patternFill>
      </fill>
    </dxf>
    <dxf>
      <fill>
        <patternFill patternType="solid">
          <fgColor indexed="64"/>
          <bgColor theme="2" tint="-0.249977111117893"/>
        </patternFill>
      </fill>
    </dxf>
    <dxf>
      <fill>
        <patternFill patternType="solid">
          <fgColor indexed="64"/>
          <bgColor theme="2" tint="-0.249977111117893"/>
        </patternFill>
      </fill>
    </dxf>
    <dxf>
      <fill>
        <patternFill patternType="solid">
          <fgColor indexed="64"/>
          <bgColor theme="2" tint="-0.249977111117893"/>
        </patternFill>
      </fill>
    </dxf>
    <dxf>
      <fill>
        <patternFill patternType="solid">
          <fgColor indexed="64"/>
          <bgColor theme="2" tint="-0.249977111117893"/>
        </patternFill>
      </fill>
    </dxf>
    <dxf>
      <fill>
        <patternFill patternType="solid">
          <fgColor indexed="64"/>
          <bgColor theme="2" tint="-0.249977111117893"/>
        </patternFill>
      </fill>
    </dxf>
    <dxf>
      <fill>
        <patternFill patternType="solid">
          <fgColor indexed="64"/>
          <bgColor theme="2" tint="-0.249977111117893"/>
        </patternFill>
      </fill>
    </dxf>
    <dxf>
      <fill>
        <patternFill patternType="solid">
          <fgColor indexed="64"/>
          <bgColor theme="2" tint="-0.249977111117893"/>
        </patternFill>
      </fill>
    </dxf>
    <dxf>
      <fill>
        <patternFill patternType="solid">
          <fgColor indexed="64"/>
          <bgColor theme="2" tint="-0.249977111117893"/>
        </patternFill>
      </fill>
    </dxf>
    <dxf>
      <fill>
        <patternFill patternType="solid">
          <fgColor indexed="64"/>
          <bgColor theme="2" tint="-0.249977111117893"/>
        </patternFill>
      </fill>
    </dxf>
    <dxf>
      <fill>
        <patternFill patternType="solid">
          <fgColor indexed="64"/>
          <bgColor theme="2" tint="-0.249977111117893"/>
        </patternFill>
      </fill>
    </dxf>
    <dxf>
      <fill>
        <patternFill patternType="solid">
          <fgColor indexed="64"/>
          <bgColor theme="2" tint="-0.249977111117893"/>
        </patternFill>
      </fill>
    </dxf>
    <dxf>
      <fill>
        <patternFill patternType="solid">
          <fgColor indexed="64"/>
          <bgColor theme="2" tint="-0.249977111117893"/>
        </patternFill>
      </fill>
    </dxf>
    <dxf>
      <fill>
        <patternFill patternType="solid">
          <fgColor indexed="64"/>
          <bgColor theme="2" tint="-0.249977111117893"/>
        </patternFill>
      </fill>
    </dxf>
    <dxf>
      <fill>
        <patternFill patternType="solid">
          <fgColor indexed="64"/>
          <bgColor theme="2" tint="-0.249977111117893"/>
        </patternFill>
      </fill>
    </dxf>
    <dxf>
      <fill>
        <patternFill patternType="solid">
          <fgColor indexed="64"/>
          <bgColor theme="2" tint="-0.249977111117893"/>
        </patternFill>
      </fill>
    </dxf>
    <dxf>
      <fill>
        <patternFill patternType="solid">
          <fgColor indexed="64"/>
          <bgColor theme="2" tint="-0.249977111117893"/>
        </patternFill>
      </fill>
    </dxf>
    <dxf>
      <fill>
        <patternFill patternType="solid">
          <fgColor indexed="64"/>
          <bgColor theme="2" tint="-0.249977111117893"/>
        </patternFill>
      </fill>
    </dxf>
    <dxf>
      <fill>
        <patternFill patternType="solid">
          <fgColor indexed="64"/>
          <bgColor theme="2" tint="-0.249977111117893"/>
        </patternFill>
      </fill>
    </dxf>
    <dxf>
      <fill>
        <patternFill patternType="solid">
          <fgColor indexed="64"/>
          <bgColor theme="2" tint="-0.249977111117893"/>
        </patternFill>
      </fill>
    </dxf>
    <dxf>
      <fill>
        <patternFill patternType="solid">
          <fgColor indexed="64"/>
          <bgColor theme="2" tint="-0.249977111117893"/>
        </patternFill>
      </fill>
    </dxf>
    <dxf>
      <fill>
        <patternFill patternType="solid">
          <fgColor indexed="64"/>
          <bgColor theme="2" tint="-0.249977111117893"/>
        </patternFill>
      </fill>
    </dxf>
    <dxf>
      <fill>
        <patternFill patternType="solid">
          <fgColor indexed="64"/>
          <bgColor theme="2" tint="-0.249977111117893"/>
        </patternFill>
      </fill>
    </dxf>
    <dxf>
      <fill>
        <patternFill patternType="solid">
          <fgColor indexed="64"/>
          <bgColor theme="2" tint="-0.249977111117893"/>
        </patternFill>
      </fill>
    </dxf>
    <dxf>
      <fill>
        <patternFill patternType="solid">
          <fgColor indexed="64"/>
          <bgColor theme="2" tint="-0.249977111117893"/>
        </patternFill>
      </fill>
    </dxf>
    <dxf>
      <fill>
        <patternFill patternType="solid">
          <fgColor indexed="64"/>
          <bgColor theme="2" tint="-0.249977111117893"/>
        </patternFill>
      </fill>
    </dxf>
    <dxf>
      <fill>
        <patternFill patternType="solid">
          <fgColor indexed="64"/>
          <bgColor theme="2" tint="-0.249977111117893"/>
        </patternFill>
      </fill>
    </dxf>
    <dxf>
      <fill>
        <patternFill patternType="solid">
          <fgColor indexed="64"/>
          <bgColor theme="2" tint="-0.249977111117893"/>
        </patternFill>
      </fill>
    </dxf>
    <dxf>
      <fill>
        <patternFill patternType="solid">
          <fgColor indexed="64"/>
          <bgColor theme="2" tint="-0.249977111117893"/>
        </patternFill>
      </fill>
    </dxf>
    <dxf>
      <fill>
        <patternFill patternType="solid">
          <fgColor indexed="64"/>
          <bgColor theme="2" tint="-0.249977111117893"/>
        </patternFill>
      </fill>
    </dxf>
    <dxf>
      <fill>
        <patternFill patternType="solid">
          <fgColor indexed="64"/>
          <bgColor theme="2" tint="-0.249977111117893"/>
        </patternFill>
      </fill>
    </dxf>
    <dxf>
      <fill>
        <patternFill patternType="solid">
          <fgColor indexed="64"/>
          <bgColor theme="2" tint="-0.249977111117893"/>
        </patternFill>
      </fill>
    </dxf>
    <dxf>
      <fill>
        <patternFill patternType="solid">
          <fgColor indexed="64"/>
          <bgColor theme="2" tint="-0.249977111117893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맑은 고딕"/>
        <family val="3"/>
        <charset val="129"/>
        <scheme val="minor"/>
      </font>
      <numFmt numFmtId="185" formatCode="0.0_ "/>
      <fill>
        <patternFill patternType="solid">
          <fgColor indexed="64"/>
          <bgColor theme="2" tint="-0.249977111117893"/>
        </patternFill>
      </fill>
      <border diagonalUp="0" diagonalDown="0">
        <left style="thin">
          <color auto="1"/>
        </left>
        <right style="medium">
          <color auto="1"/>
        </right>
        <vertical style="thin">
          <color auto="1"/>
        </vertic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맑은 고딕"/>
        <family val="3"/>
        <charset val="129"/>
        <scheme val="minor"/>
      </font>
      <fill>
        <patternFill patternType="solid">
          <fgColor indexed="64"/>
          <bgColor theme="2" tint="-0.249977111117893"/>
        </patternFill>
      </fill>
      <border diagonalUp="0" diagonalDown="0">
        <left style="thin">
          <color auto="1"/>
        </left>
        <right style="thin">
          <color auto="1"/>
        </right>
        <vertical style="thin">
          <color auto="1"/>
        </vertic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맑은 고딕"/>
        <family val="3"/>
        <charset val="129"/>
        <scheme val="minor"/>
      </font>
      <numFmt numFmtId="0" formatCode="General"/>
      <fill>
        <patternFill patternType="solid">
          <fgColor indexed="64"/>
          <bgColor theme="2" tint="-0.249977111117893"/>
        </patternFill>
      </fill>
      <border diagonalUp="0" diagonalDown="0">
        <left style="thin">
          <color auto="1"/>
        </left>
        <right style="thin">
          <color auto="1"/>
        </right>
        <vertical style="thin">
          <color auto="1"/>
        </vertic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맑은 고딕"/>
        <family val="3"/>
        <charset val="129"/>
        <scheme val="minor"/>
      </font>
      <numFmt numFmtId="13" formatCode="0%"/>
      <fill>
        <patternFill patternType="solid">
          <fgColor indexed="64"/>
          <bgColor theme="2" tint="-0.249977111117893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맑은 고딕"/>
        <family val="3"/>
        <charset val="129"/>
        <scheme val="minor"/>
      </font>
      <numFmt numFmtId="187" formatCode="#&quot;개&quot;"/>
      <fill>
        <patternFill patternType="solid">
          <fgColor indexed="64"/>
          <bgColor theme="2" tint="-0.249977111117893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맑은 고딕"/>
        <family val="3"/>
        <charset val="129"/>
        <scheme val="minor"/>
      </font>
      <numFmt numFmtId="182" formatCode="#&quot;단&quot;"/>
      <fill>
        <patternFill patternType="solid">
          <fgColor indexed="64"/>
          <bgColor theme="2" tint="-0.249977111117893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맑은 고딕"/>
        <family val="3"/>
        <charset val="129"/>
        <scheme val="minor"/>
      </font>
      <fill>
        <patternFill patternType="solid">
          <fgColor indexed="64"/>
          <bgColor theme="2" tint="-0.249977111117893"/>
        </patternFill>
      </fill>
      <alignment horizontal="right" vertical="center" textRotation="0" wrapText="0" indent="0" justifyLastLine="0" shrinkToFit="0" readingOrder="0"/>
    </dxf>
    <dxf>
      <fill>
        <patternFill patternType="solid">
          <fgColor indexed="64"/>
          <bgColor theme="2" tint="-0.249977111117893"/>
        </patternFill>
      </fill>
    </dxf>
    <dxf>
      <fill>
        <patternFill patternType="solid">
          <fgColor indexed="64"/>
          <bgColor theme="2" tint="-0.249977111117893"/>
        </patternFill>
      </fill>
    </dxf>
    <dxf>
      <border outline="0">
        <bottom style="medium">
          <color indexed="64"/>
        </bottom>
      </border>
    </dxf>
    <dxf>
      <fill>
        <patternFill patternType="solid">
          <fgColor indexed="64"/>
          <bgColor theme="2" tint="-0.24997711111789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2" tint="-0.249977111117893"/>
        <name val="맑은 고딕"/>
        <family val="2"/>
        <charset val="129"/>
        <scheme val="minor"/>
      </font>
      <fill>
        <patternFill patternType="solid">
          <fgColor indexed="64"/>
          <bgColor theme="2" tint="-0.74999237037263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2" tint="-0.249977111117893"/>
        <name val="맑은 고딕"/>
        <family val="2"/>
        <charset val="129"/>
        <scheme val="minor"/>
      </font>
      <fill>
        <patternFill patternType="solid">
          <fgColor indexed="64"/>
          <bgColor theme="2" tint="-0.74999237037263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2" tint="-0.249977111117893"/>
        <name val="맑은 고딕"/>
        <family val="2"/>
        <charset val="129"/>
        <scheme val="minor"/>
      </font>
      <fill>
        <patternFill patternType="solid">
          <fgColor indexed="64"/>
          <bgColor theme="2" tint="-0.74999237037263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2" tint="-0.249977111117893"/>
        <name val="맑은 고딕"/>
        <family val="2"/>
        <charset val="129"/>
        <scheme val="minor"/>
      </font>
      <fill>
        <patternFill patternType="solid">
          <fgColor indexed="64"/>
          <bgColor theme="2" tint="-0.74999237037263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2" tint="-0.249977111117893"/>
        <name val="맑은 고딕"/>
        <family val="2"/>
        <charset val="129"/>
        <scheme val="minor"/>
      </font>
      <fill>
        <patternFill patternType="solid">
          <fgColor indexed="64"/>
          <bgColor theme="2" tint="-0.749992370372631"/>
        </patternFill>
      </fill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2" tint="-0.249977111117893"/>
        <name val="맑은 고딕"/>
        <family val="2"/>
        <charset val="129"/>
        <scheme val="minor"/>
      </font>
      <fill>
        <patternFill patternType="solid">
          <fgColor indexed="64"/>
          <bgColor theme="2" tint="-0.74999237037263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2" tint="-0.249977111117893"/>
        <name val="맑은 고딕"/>
        <family val="2"/>
        <charset val="129"/>
        <scheme val="minor"/>
      </font>
      <fill>
        <patternFill patternType="solid">
          <fgColor indexed="64"/>
          <bgColor theme="2" tint="-0.74999237037263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2" tint="-0.249977111117893"/>
        <name val="맑은 고딕"/>
        <family val="3"/>
        <charset val="129"/>
        <scheme val="minor"/>
      </font>
      <fill>
        <patternFill patternType="solid">
          <fgColor indexed="64"/>
          <bgColor theme="2" tint="-0.74999237037263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2" tint="-0.249977111117893"/>
        <name val="맑은 고딕"/>
        <family val="3"/>
        <charset val="129"/>
        <scheme val="minor"/>
      </font>
      <fill>
        <patternFill patternType="solid">
          <fgColor indexed="64"/>
          <bgColor theme="2" tint="-0.74999237037263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2" tint="-0.249977111117893"/>
        <name val="맑은 고딕"/>
        <family val="2"/>
        <charset val="129"/>
        <scheme val="minor"/>
      </font>
      <fill>
        <patternFill patternType="solid">
          <fgColor indexed="64"/>
          <bgColor theme="2" tint="-0.74999237037263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2" tint="-0.249977111117893"/>
        <name val="맑은 고딕"/>
        <family val="2"/>
        <charset val="129"/>
        <scheme val="minor"/>
      </font>
      <fill>
        <patternFill patternType="solid">
          <fgColor indexed="64"/>
          <bgColor theme="2" tint="-0.74999237037263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2" tint="-0.249977111117893"/>
        <name val="맑은 고딕"/>
        <family val="2"/>
        <charset val="129"/>
        <scheme val="minor"/>
      </font>
      <fill>
        <patternFill patternType="solid">
          <fgColor indexed="64"/>
          <bgColor theme="2" tint="-0.749992370372631"/>
        </patternFill>
      </fill>
    </dxf>
  </dxfs>
  <tableStyles count="0" defaultTableStyle="TableStyleMedium2" defaultPivotStyle="PivotStyleLight16"/>
  <colors>
    <mruColors>
      <color rgb="FFFC74CF"/>
      <color rgb="FFB800AB"/>
      <color rgb="FFF1FF3B"/>
      <color rgb="FFE8FF09"/>
      <color rgb="FFFA2AB5"/>
      <color rgb="FFC49500"/>
      <color rgb="FF696969"/>
      <color rgb="FF5C5C5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630877</xdr:colOff>
      <xdr:row>4</xdr:row>
      <xdr:rowOff>76200</xdr:rowOff>
    </xdr:from>
    <xdr:to>
      <xdr:col>41</xdr:col>
      <xdr:colOff>598789</xdr:colOff>
      <xdr:row>14</xdr:row>
      <xdr:rowOff>183573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621E120E-50E0-5937-A21B-8F61842B65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0116" b="21316"/>
        <a:stretch/>
      </xdr:blipFill>
      <xdr:spPr>
        <a:xfrm>
          <a:off x="25662577" y="990600"/>
          <a:ext cx="4082712" cy="2393373"/>
        </a:xfrm>
        <a:prstGeom prst="rect">
          <a:avLst/>
        </a:prstGeom>
      </xdr:spPr>
    </xdr:pic>
    <xdr:clientData/>
  </xdr:twoCellAnchor>
  <xdr:twoCellAnchor editAs="oneCell">
    <xdr:from>
      <xdr:col>30</xdr:col>
      <xdr:colOff>196994</xdr:colOff>
      <xdr:row>4</xdr:row>
      <xdr:rowOff>76199</xdr:rowOff>
    </xdr:from>
    <xdr:to>
      <xdr:col>35</xdr:col>
      <xdr:colOff>675954</xdr:colOff>
      <xdr:row>15</xdr:row>
      <xdr:rowOff>24245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36750DC8-C850-744D-DB78-CB42B76BA4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7340" b="5233"/>
        <a:stretch/>
      </xdr:blipFill>
      <xdr:spPr>
        <a:xfrm>
          <a:off x="21799694" y="990599"/>
          <a:ext cx="3907960" cy="2462646"/>
        </a:xfrm>
        <a:prstGeom prst="rect">
          <a:avLst/>
        </a:prstGeom>
      </xdr:spPr>
    </xdr:pic>
    <xdr:clientData/>
  </xdr:twoCellAnchor>
  <xdr:twoCellAnchor editAs="oneCell">
    <xdr:from>
      <xdr:col>24</xdr:col>
      <xdr:colOff>300903</xdr:colOff>
      <xdr:row>4</xdr:row>
      <xdr:rowOff>63210</xdr:rowOff>
    </xdr:from>
    <xdr:to>
      <xdr:col>30</xdr:col>
      <xdr:colOff>165025</xdr:colOff>
      <xdr:row>15</xdr:row>
      <xdr:rowOff>76198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F65E4806-13AC-8878-A620-09E13CD5D8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8978" b="19716"/>
        <a:stretch/>
      </xdr:blipFill>
      <xdr:spPr>
        <a:xfrm>
          <a:off x="17788803" y="977610"/>
          <a:ext cx="3978922" cy="2527588"/>
        </a:xfrm>
        <a:prstGeom prst="rect">
          <a:avLst/>
        </a:prstGeom>
      </xdr:spPr>
    </xdr:pic>
    <xdr:clientData/>
  </xdr:twoCellAnchor>
  <xdr:twoCellAnchor editAs="oneCell">
    <xdr:from>
      <xdr:col>14</xdr:col>
      <xdr:colOff>122464</xdr:colOff>
      <xdr:row>2</xdr:row>
      <xdr:rowOff>47626</xdr:rowOff>
    </xdr:from>
    <xdr:to>
      <xdr:col>22</xdr:col>
      <xdr:colOff>223932</xdr:colOff>
      <xdr:row>35</xdr:row>
      <xdr:rowOff>147804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74DA7B1C-E245-7CFE-B973-D2770068B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338027" y="476251"/>
          <a:ext cx="5625967" cy="7449556"/>
        </a:xfrm>
        <a:prstGeom prst="rect">
          <a:avLst/>
        </a:prstGeom>
      </xdr:spPr>
    </xdr:pic>
    <xdr:clientData/>
  </xdr:twoCellAnchor>
  <xdr:twoCellAnchor editAs="oneCell">
    <xdr:from>
      <xdr:col>27</xdr:col>
      <xdr:colOff>264782</xdr:colOff>
      <xdr:row>16</xdr:row>
      <xdr:rowOff>5937</xdr:rowOff>
    </xdr:from>
    <xdr:to>
      <xdr:col>33</xdr:col>
      <xdr:colOff>183018</xdr:colOff>
      <xdr:row>34</xdr:row>
      <xdr:rowOff>93999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5A41B6B1-0FA7-7260-BDFE-C9F1AB666C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8301"/>
        <a:stretch/>
      </xdr:blipFill>
      <xdr:spPr>
        <a:xfrm>
          <a:off x="19810082" y="3663537"/>
          <a:ext cx="4033036" cy="4469562"/>
        </a:xfrm>
        <a:prstGeom prst="rect">
          <a:avLst/>
        </a:prstGeom>
      </xdr:spPr>
    </xdr:pic>
    <xdr:clientData/>
  </xdr:twoCellAnchor>
  <xdr:twoCellAnchor editAs="oneCell">
    <xdr:from>
      <xdr:col>13</xdr:col>
      <xdr:colOff>335540</xdr:colOff>
      <xdr:row>38</xdr:row>
      <xdr:rowOff>99580</xdr:rowOff>
    </xdr:from>
    <xdr:to>
      <xdr:col>19</xdr:col>
      <xdr:colOff>120408</xdr:colOff>
      <xdr:row>56</xdr:row>
      <xdr:rowOff>144835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C1DC5DE8-3103-E55A-2ED5-B7BF84BDF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241540" y="8429625"/>
          <a:ext cx="3941232" cy="3785983"/>
        </a:xfrm>
        <a:prstGeom prst="rect">
          <a:avLst/>
        </a:prstGeom>
      </xdr:spPr>
    </xdr:pic>
    <xdr:clientData/>
  </xdr:twoCellAnchor>
  <xdr:twoCellAnchor editAs="oneCell">
    <xdr:from>
      <xdr:col>26</xdr:col>
      <xdr:colOff>44596</xdr:colOff>
      <xdr:row>89</xdr:row>
      <xdr:rowOff>102609</xdr:rowOff>
    </xdr:from>
    <xdr:to>
      <xdr:col>32</xdr:col>
      <xdr:colOff>508677</xdr:colOff>
      <xdr:row>116</xdr:row>
      <xdr:rowOff>136040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id="{2743AC45-87C5-B837-7587-94AFC7924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04096" y="20714709"/>
          <a:ext cx="4578881" cy="6205631"/>
        </a:xfrm>
        <a:prstGeom prst="rect">
          <a:avLst/>
        </a:prstGeom>
      </xdr:spPr>
    </xdr:pic>
    <xdr:clientData/>
  </xdr:twoCellAnchor>
  <xdr:twoCellAnchor editAs="oneCell">
    <xdr:from>
      <xdr:col>32</xdr:col>
      <xdr:colOff>529505</xdr:colOff>
      <xdr:row>97</xdr:row>
      <xdr:rowOff>209980</xdr:rowOff>
    </xdr:from>
    <xdr:to>
      <xdr:col>38</xdr:col>
      <xdr:colOff>278431</xdr:colOff>
      <xdr:row>116</xdr:row>
      <xdr:rowOff>108457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id="{84812184-3592-0A32-3A68-DDB0F98CB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503805" y="22650880"/>
          <a:ext cx="3863726" cy="4241877"/>
        </a:xfrm>
        <a:prstGeom prst="rect">
          <a:avLst/>
        </a:prstGeom>
      </xdr:spPr>
    </xdr:pic>
    <xdr:clientData/>
  </xdr:twoCellAnchor>
  <xdr:twoCellAnchor editAs="oneCell">
    <xdr:from>
      <xdr:col>34</xdr:col>
      <xdr:colOff>210354</xdr:colOff>
      <xdr:row>16</xdr:row>
      <xdr:rowOff>121969</xdr:rowOff>
    </xdr:from>
    <xdr:to>
      <xdr:col>40</xdr:col>
      <xdr:colOff>243585</xdr:colOff>
      <xdr:row>32</xdr:row>
      <xdr:rowOff>216040</xdr:rowOff>
    </xdr:to>
    <xdr:pic>
      <xdr:nvPicPr>
        <xdr:cNvPr id="11" name="그림 10">
          <a:extLst>
            <a:ext uri="{FF2B5EF4-FFF2-40B4-BE49-F238E27FC236}">
              <a16:creationId xmlns:a16="http://schemas.microsoft.com/office/drawing/2014/main" id="{92C90F25-606B-6BAE-3741-E4C8F4B72B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9420"/>
        <a:stretch/>
      </xdr:blipFill>
      <xdr:spPr>
        <a:xfrm>
          <a:off x="24556254" y="3779569"/>
          <a:ext cx="4148031" cy="4018371"/>
        </a:xfrm>
        <a:prstGeom prst="rect">
          <a:avLst/>
        </a:prstGeom>
      </xdr:spPr>
    </xdr:pic>
    <xdr:clientData/>
  </xdr:twoCellAnchor>
  <xdr:twoCellAnchor editAs="oneCell">
    <xdr:from>
      <xdr:col>14</xdr:col>
      <xdr:colOff>110404</xdr:colOff>
      <xdr:row>59</xdr:row>
      <xdr:rowOff>69273</xdr:rowOff>
    </xdr:from>
    <xdr:to>
      <xdr:col>20</xdr:col>
      <xdr:colOff>61</xdr:colOff>
      <xdr:row>80</xdr:row>
      <xdr:rowOff>159319</xdr:rowOff>
    </xdr:to>
    <xdr:pic>
      <xdr:nvPicPr>
        <xdr:cNvPr id="12" name="그림 11">
          <a:extLst>
            <a:ext uri="{FF2B5EF4-FFF2-40B4-BE49-F238E27FC236}">
              <a16:creationId xmlns:a16="http://schemas.microsoft.com/office/drawing/2014/main" id="{F6C0B100-A211-4FF1-64F4-579B0CD621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t="16891"/>
        <a:stretch/>
      </xdr:blipFill>
      <xdr:spPr>
        <a:xfrm>
          <a:off x="10709131" y="12763500"/>
          <a:ext cx="4046021" cy="4454228"/>
        </a:xfrm>
        <a:prstGeom prst="rect">
          <a:avLst/>
        </a:prstGeom>
      </xdr:spPr>
    </xdr:pic>
    <xdr:clientData/>
  </xdr:twoCellAnchor>
  <xdr:twoCellAnchor editAs="oneCell">
    <xdr:from>
      <xdr:col>19</xdr:col>
      <xdr:colOff>145041</xdr:colOff>
      <xdr:row>38</xdr:row>
      <xdr:rowOff>82262</xdr:rowOff>
    </xdr:from>
    <xdr:to>
      <xdr:col>24</xdr:col>
      <xdr:colOff>410891</xdr:colOff>
      <xdr:row>57</xdr:row>
      <xdr:rowOff>122243</xdr:rowOff>
    </xdr:to>
    <xdr:pic>
      <xdr:nvPicPr>
        <xdr:cNvPr id="13" name="그림 12">
          <a:extLst>
            <a:ext uri="{FF2B5EF4-FFF2-40B4-BE49-F238E27FC236}">
              <a16:creationId xmlns:a16="http://schemas.microsoft.com/office/drawing/2014/main" id="{002A3F3F-B0CC-4F09-9C38-8EF10CBA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207405" y="8412307"/>
          <a:ext cx="3729486" cy="3988527"/>
        </a:xfrm>
        <a:prstGeom prst="rect">
          <a:avLst/>
        </a:prstGeom>
      </xdr:spPr>
    </xdr:pic>
    <xdr:clientData/>
  </xdr:twoCellAnchor>
  <xdr:twoCellAnchor editAs="oneCell">
    <xdr:from>
      <xdr:col>14</xdr:col>
      <xdr:colOff>356323</xdr:colOff>
      <xdr:row>84</xdr:row>
      <xdr:rowOff>227301</xdr:rowOff>
    </xdr:from>
    <xdr:to>
      <xdr:col>25</xdr:col>
      <xdr:colOff>588721</xdr:colOff>
      <xdr:row>120</xdr:row>
      <xdr:rowOff>104488</xdr:rowOff>
    </xdr:to>
    <xdr:pic>
      <xdr:nvPicPr>
        <xdr:cNvPr id="14" name="그림 13">
          <a:extLst>
            <a:ext uri="{FF2B5EF4-FFF2-40B4-BE49-F238E27FC236}">
              <a16:creationId xmlns:a16="http://schemas.microsoft.com/office/drawing/2014/main" id="{F6D9F5F6-4EC4-7958-FE35-517F60171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986223" y="19696401"/>
          <a:ext cx="7776198" cy="8106787"/>
        </a:xfrm>
        <a:prstGeom prst="rect">
          <a:avLst/>
        </a:prstGeom>
      </xdr:spPr>
    </xdr:pic>
    <xdr:clientData/>
  </xdr:twoCellAnchor>
  <xdr:twoCellAnchor editAs="oneCell">
    <xdr:from>
      <xdr:col>24</xdr:col>
      <xdr:colOff>439449</xdr:colOff>
      <xdr:row>38</xdr:row>
      <xdr:rowOff>82262</xdr:rowOff>
    </xdr:from>
    <xdr:to>
      <xdr:col>30</xdr:col>
      <xdr:colOff>12574</xdr:colOff>
      <xdr:row>57</xdr:row>
      <xdr:rowOff>122243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id="{952D2E73-9A84-8B61-AF9A-A627FEEC4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965449" y="8412307"/>
          <a:ext cx="3729489" cy="3988527"/>
        </a:xfrm>
        <a:prstGeom prst="rect">
          <a:avLst/>
        </a:prstGeom>
      </xdr:spPr>
    </xdr:pic>
    <xdr:clientData/>
  </xdr:twoCellAnchor>
  <xdr:twoCellAnchor editAs="oneCell">
    <xdr:from>
      <xdr:col>20</xdr:col>
      <xdr:colOff>329045</xdr:colOff>
      <xdr:row>59</xdr:row>
      <xdr:rowOff>86591</xdr:rowOff>
    </xdr:from>
    <xdr:to>
      <xdr:col>26</xdr:col>
      <xdr:colOff>145160</xdr:colOff>
      <xdr:row>78</xdr:row>
      <xdr:rowOff>125333</xdr:rowOff>
    </xdr:to>
    <xdr:pic>
      <xdr:nvPicPr>
        <xdr:cNvPr id="16" name="그림 15">
          <a:extLst>
            <a:ext uri="{FF2B5EF4-FFF2-40B4-BE49-F238E27FC236}">
              <a16:creationId xmlns:a16="http://schemas.microsoft.com/office/drawing/2014/main" id="{4A90428B-4A86-2FA6-F248-B6E5659D46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t="13522"/>
        <a:stretch/>
      </xdr:blipFill>
      <xdr:spPr>
        <a:xfrm>
          <a:off x="15084136" y="12780818"/>
          <a:ext cx="3972479" cy="39872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526677</xdr:colOff>
      <xdr:row>1</xdr:row>
      <xdr:rowOff>33618</xdr:rowOff>
    </xdr:from>
    <xdr:to>
      <xdr:col>24</xdr:col>
      <xdr:colOff>414341</xdr:colOff>
      <xdr:row>32</xdr:row>
      <xdr:rowOff>192586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ABC63C51-827E-D446-68D5-410B8ECB9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72883" y="246530"/>
          <a:ext cx="6039693" cy="691611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14B8010-E070-4212-B0FD-B3B5BFD941A9}" name="표2" displayName="표2" ref="A2:J60" totalsRowShown="0" headerRowDxfId="87" dataDxfId="86">
  <autoFilter ref="A2:J60" xr:uid="{814B8010-E070-4212-B0FD-B3B5BFD941A9}">
    <filterColumn colId="0">
      <customFilters>
        <customFilter operator="notEqual" val=" "/>
      </customFilters>
    </filterColumn>
  </autoFilter>
  <sortState xmlns:xlrd2="http://schemas.microsoft.com/office/spreadsheetml/2017/richdata2" ref="A33:J59">
    <sortCondition ref="D2:D59"/>
  </sortState>
  <tableColumns count="10">
    <tableColumn id="13" xr3:uid="{A0D678CA-A2D2-42BA-9F11-7974A304BFDA}" name="시즌구분" dataDxfId="85"/>
    <tableColumn id="1" xr3:uid="{F66E0274-4B0D-4255-A6F4-BAC12E277AFD}" name="이름 영문" dataDxfId="84"/>
    <tableColumn id="2" xr3:uid="{4526A970-B161-4C67-99F4-A144B69F7D54}" name="이름 한글" dataDxfId="83"/>
    <tableColumn id="6" xr3:uid="{9DDA615D-8F88-4516-BFA5-19B6489B87B4}" name="문양 렙업 티어" dataDxfId="82"/>
    <tableColumn id="3" xr3:uid="{19F69576-4B2F-4BF3-AA44-C08D6DEBE327}" name="솔로 경험치 런" dataDxfId="81"/>
    <tableColumn id="4" xr3:uid="{FEA8D824-775B-4E4F-81E1-4892F0174888}" name="그룹 파밍" dataDxfId="80"/>
    <tableColumn id="5" xr3:uid="{8D4EE42F-52F1-489C-A975-A62879808F39}" name="솔로 등산" dataDxfId="79"/>
    <tableColumn id="14" xr3:uid="{4DB0A78B-FA14-4C30-96EB-74611B6791E2}" name="몬스터1" dataDxfId="78"/>
    <tableColumn id="15" xr3:uid="{752215D2-110B-4D37-A28F-BDD6FB76A093}" name="몬스터2" dataDxfId="77"/>
    <tableColumn id="16" xr3:uid="{0803D884-DD10-48AB-9B7C-8ADFE880C177}" name="보스" dataDxfId="76"/>
  </tableColumns>
  <tableStyleInfo name="TableStyleLight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A0B9DE0-B734-4E48-8A1B-3A09A182D2BC}" name="표_악몽던전템위력" displayName="표_악몽던전템위력" ref="A22:BB424" totalsRowShown="0" headerRowDxfId="75" dataDxfId="73" headerRowBorderDxfId="74">
  <autoFilter ref="A22:BB424" xr:uid="{9A0B9DE0-B734-4E48-8A1B-3A09A182D2BC}"/>
  <sortState xmlns:xlrd2="http://schemas.microsoft.com/office/spreadsheetml/2017/richdata2" ref="A23:AW201">
    <sortCondition ref="C22:C201"/>
  </sortState>
  <tableColumns count="54">
    <tableColumn id="49" xr3:uid="{A00B2289-7FE6-49C2-BF04-50D941B6611C}" name="client ver" dataDxfId="72"/>
    <tableColumn id="1" xr3:uid="{D3C93D49-6330-4F4D-A08F-E014B42DB6A9}" name="map" dataDxfId="71"/>
    <tableColumn id="2" xr3:uid="{A27BC1E7-7CB3-49EF-A7FC-6F2D6378D3F2}" name="map tier" dataDxfId="70"/>
    <tableColumn id="40" xr3:uid="{1A2A3CBE-CC0E-4933-A4C2-1F36F25C56D4}" name="unique dropped" dataDxfId="69"/>
    <tableColumn id="39" xr3:uid="{CD4A6DE8-51C9-4A23-B340-204757C51DBD}" name="ancestral ratio" dataDxfId="68">
      <calculatedColumnFormula>표_악몽던전템위력[[#This Row],[ancestral dropped]]/표_악몽던전템위력[[#This Row],[rare+ dropped]]</calculatedColumnFormula>
    </tableColumn>
    <tableColumn id="3" xr3:uid="{F0D73521-4FC9-470C-9D0E-CB2622926DF1}" name="ancestral dropped" dataDxfId="67">
      <calculatedColumnFormula>COUNT(표_악몽던전템위력[[#This Row],[item1]:[item46]])</calculatedColumnFormula>
    </tableColumn>
    <tableColumn id="38" xr3:uid="{929C7DE9-44EE-44D4-B5B0-244895969304}" name="rare+ dropped" dataDxfId="66"/>
    <tableColumn id="4" xr3:uid="{705A469E-E463-4C5C-B1E3-5A11006E246C}" name="avg. power" dataDxfId="65">
      <calculatedColumnFormula>AVERAGE(표_악몽던전템위력[[#This Row],[item1]:[item46]])</calculatedColumnFormula>
    </tableColumn>
    <tableColumn id="5" xr3:uid="{B5E1F841-60CE-4609-ABD5-2FBFEE4963D7}" name="item1" dataDxfId="64"/>
    <tableColumn id="6" xr3:uid="{2C28A5F5-8F9E-4483-8262-F79F975A899F}" name="item2" dataDxfId="63"/>
    <tableColumn id="7" xr3:uid="{0E7F7D6C-7538-4FC4-9742-C0F25BDDCD65}" name="item3" dataDxfId="62"/>
    <tableColumn id="8" xr3:uid="{F9CE2B46-9056-4633-BCF9-3BED12BA90B3}" name="item4" dataDxfId="61"/>
    <tableColumn id="9" xr3:uid="{92990476-3399-4A82-928A-6C46D31C72EE}" name="item5" dataDxfId="60"/>
    <tableColumn id="10" xr3:uid="{5BA3C71F-45F9-4114-AFFA-505D96462386}" name="item6" dataDxfId="59"/>
    <tableColumn id="11" xr3:uid="{CC0CB68E-33D3-4E65-95E0-BEE6022C1E12}" name="item7" dataDxfId="58"/>
    <tableColumn id="12" xr3:uid="{69F22C8D-2268-43F6-AFD1-4DDAA3864CF1}" name="item8" dataDxfId="57"/>
    <tableColumn id="13" xr3:uid="{4ECFDC8B-F295-48E0-947F-052B81C47D2A}" name="item9" dataDxfId="56"/>
    <tableColumn id="14" xr3:uid="{E6DD8778-0EB3-4D99-A362-A8CE6FFEB126}" name="item10" dataDxfId="55"/>
    <tableColumn id="15" xr3:uid="{F6FBA973-3798-447E-B62A-2769894BD6E2}" name="item11" dataDxfId="54"/>
    <tableColumn id="16" xr3:uid="{DCD70275-6612-4692-88A2-087F94031D0F}" name="item12" dataDxfId="53"/>
    <tableColumn id="17" xr3:uid="{00BEC915-F273-42E2-A89A-8DB486611CE0}" name="item13" dataDxfId="52"/>
    <tableColumn id="18" xr3:uid="{34047362-5F55-415E-B92D-DC3C882B5A13}" name="item14" dataDxfId="51"/>
    <tableColumn id="19" xr3:uid="{A7A2BE39-BAD9-417E-A2DB-8A4B13D4FF50}" name="item15" dataDxfId="50"/>
    <tableColumn id="20" xr3:uid="{8E1C69B8-1E5C-43D1-8365-1E37CB10E226}" name="item16" dataDxfId="49"/>
    <tableColumn id="21" xr3:uid="{E696BA84-2AD5-4048-8761-3E3188FF5B64}" name="item17" dataDxfId="48"/>
    <tableColumn id="22" xr3:uid="{F86B9D4D-BFCA-4F37-A04F-9F6E140281E7}" name="item18" dataDxfId="47"/>
    <tableColumn id="23" xr3:uid="{B418115F-7EAD-44EB-B42F-5AE16AC95DCE}" name="item19" dataDxfId="46"/>
    <tableColumn id="24" xr3:uid="{2EFA1D9F-AE59-48F0-8830-82B91C6CC4AC}" name="item20" dataDxfId="45"/>
    <tableColumn id="25" xr3:uid="{551A23E1-CE9D-4396-9423-42345AACDA6F}" name="item21" dataDxfId="44"/>
    <tableColumn id="26" xr3:uid="{C2AF229A-98CF-4FE6-A1F6-5A0E8804EC0A}" name="item22" dataDxfId="43"/>
    <tableColumn id="27" xr3:uid="{E0E6F789-CA73-48EB-9E90-F838BBC701CF}" name="item23" dataDxfId="42"/>
    <tableColumn id="28" xr3:uid="{8D560EEE-1104-4353-958C-EC89C3CA10BD}" name="item24" dataDxfId="41"/>
    <tableColumn id="29" xr3:uid="{9178142E-E475-4BA5-8A55-269029B15149}" name="item25" dataDxfId="40"/>
    <tableColumn id="30" xr3:uid="{91DB1C04-21DE-4E19-B1C4-A19CF2EEFA4D}" name="item26" dataDxfId="39"/>
    <tableColumn id="31" xr3:uid="{23CBB20F-AD8D-4237-94D5-D1CC1F951A63}" name="item27" dataDxfId="38"/>
    <tableColumn id="32" xr3:uid="{3B499CF4-CF5B-4F93-8153-93BCA39297B1}" name="item28" dataDxfId="37"/>
    <tableColumn id="33" xr3:uid="{E2EA5ABC-867F-4099-A84D-44F86DD621C5}" name="item29" dataDxfId="36"/>
    <tableColumn id="34" xr3:uid="{1250FDA3-4E22-4387-A2E4-F6A4A9306069}" name="item30" dataDxfId="35"/>
    <tableColumn id="35" xr3:uid="{DFB12AB6-BA62-4E71-AC5F-E89A83AFDAAA}" name="item31" dataDxfId="34"/>
    <tableColumn id="36" xr3:uid="{37AD4926-EBB6-428B-9D0F-0D2C76399F55}" name="item32" dataDxfId="33"/>
    <tableColumn id="37" xr3:uid="{67C3E4D8-427B-4C92-9B07-278E147828D5}" name="item33" dataDxfId="32"/>
    <tableColumn id="41" xr3:uid="{6D21A99E-4BE5-48C0-8D41-1DDE4E61947D}" name="item34" dataDxfId="31"/>
    <tableColumn id="42" xr3:uid="{AA919C4B-2F02-4C87-A7DE-8947D033CFA3}" name="iterm35" dataDxfId="30"/>
    <tableColumn id="43" xr3:uid="{81BBE47B-E8B5-414F-B024-823096E884CB}" name="item36" dataDxfId="29"/>
    <tableColumn id="44" xr3:uid="{B702B62A-4D24-44E6-A6F6-34516C34633B}" name="item37" dataDxfId="28"/>
    <tableColumn id="45" xr3:uid="{9314448F-C924-4803-AF0F-0E26DF21DB30}" name="item38" dataDxfId="27"/>
    <tableColumn id="46" xr3:uid="{BED72F98-2DFC-4B47-8FEB-D086E321A738}" name="item39" dataDxfId="26"/>
    <tableColumn id="47" xr3:uid="{5D3D4397-0EDF-48B2-A989-9E23A45D1BD6}" name="item40" dataDxfId="25"/>
    <tableColumn id="48" xr3:uid="{C9DEC7C5-3B96-4F69-8AD5-422397CA5B23}" name="item41" dataDxfId="24"/>
    <tableColumn id="54" xr3:uid="{383E0EF1-3169-445B-8392-CC11C3C13B67}" name="item42" dataDxfId="23"/>
    <tableColumn id="53" xr3:uid="{588D95A1-1FAD-4C94-8942-4F4A36142363}" name="item43" dataDxfId="22"/>
    <tableColumn id="52" xr3:uid="{B8D737E5-FE01-4D6C-BF75-D74D7296FEF9}" name="item44" dataDxfId="21"/>
    <tableColumn id="51" xr3:uid="{E3FA3DBC-C673-43B4-AFE7-00CD8FE0B966}" name="item45" dataDxfId="20"/>
    <tableColumn id="50" xr3:uid="{1357F143-A83B-4028-AB7A-2653E263C322}" name="item46" dataDxfId="19"/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reddit.com/r/diablo4/comments/14kdk67/level_150_damage_reduction_armor_resists_and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A1D018-D2F6-4B9A-A56D-8EC597097CF8}">
  <sheetPr>
    <tabColor rgb="FF002060"/>
  </sheetPr>
  <dimension ref="A1:J60"/>
  <sheetViews>
    <sheetView zoomScale="85" zoomScaleNormal="85" workbookViewId="0">
      <pane ySplit="2" topLeftCell="A3" activePane="bottomLeft" state="frozen"/>
      <selection pane="bottomLeft" activeCell="G45" sqref="G45"/>
    </sheetView>
  </sheetViews>
  <sheetFormatPr defaultRowHeight="16.5"/>
  <cols>
    <col min="1" max="1" width="7.75" style="1" customWidth="1"/>
    <col min="2" max="2" width="17" style="1" customWidth="1"/>
    <col min="3" max="6" width="16.5" style="1" customWidth="1"/>
    <col min="7" max="7" width="9" style="1"/>
    <col min="8" max="9" width="27.875" style="512" bestFit="1" customWidth="1"/>
    <col min="10" max="10" width="10.5" style="512" bestFit="1" customWidth="1"/>
    <col min="11" max="16384" width="9" style="1"/>
  </cols>
  <sheetData>
    <row r="1" spans="1:10">
      <c r="A1" s="34" t="s">
        <v>169</v>
      </c>
      <c r="D1" s="1">
        <f>ROUND(C1,0)</f>
        <v>0</v>
      </c>
    </row>
    <row r="2" spans="1:10">
      <c r="A2" s="1" t="s">
        <v>534</v>
      </c>
      <c r="B2" s="1" t="s">
        <v>34</v>
      </c>
      <c r="C2" s="1" t="s">
        <v>35</v>
      </c>
      <c r="D2" s="1" t="s">
        <v>81</v>
      </c>
      <c r="E2" s="1" t="s">
        <v>82</v>
      </c>
      <c r="F2" s="1" t="s">
        <v>83</v>
      </c>
      <c r="G2" s="1" t="s">
        <v>84</v>
      </c>
      <c r="H2" s="512" t="s">
        <v>541</v>
      </c>
      <c r="I2" s="512" t="s">
        <v>542</v>
      </c>
      <c r="J2" s="512" t="s">
        <v>547</v>
      </c>
    </row>
    <row r="3" spans="1:10" ht="20.25" hidden="1">
      <c r="A3" s="511"/>
      <c r="B3" s="25" t="s">
        <v>36</v>
      </c>
      <c r="C3" s="25" t="s">
        <v>0</v>
      </c>
      <c r="D3" s="23">
        <v>2</v>
      </c>
      <c r="E3" s="23">
        <v>1</v>
      </c>
      <c r="F3" s="23">
        <v>1</v>
      </c>
      <c r="G3" s="23">
        <v>1</v>
      </c>
    </row>
    <row r="4" spans="1:10" ht="20.25" hidden="1">
      <c r="A4" s="511"/>
      <c r="B4" s="25" t="s">
        <v>43</v>
      </c>
      <c r="C4" s="25" t="s">
        <v>10</v>
      </c>
      <c r="D4" s="23">
        <v>1</v>
      </c>
      <c r="E4" s="23">
        <v>1</v>
      </c>
      <c r="F4" s="23">
        <v>1</v>
      </c>
      <c r="G4" s="23">
        <v>3</v>
      </c>
    </row>
    <row r="5" spans="1:10" ht="20.25" hidden="1">
      <c r="A5" s="511"/>
      <c r="B5" s="25" t="s">
        <v>59</v>
      </c>
      <c r="C5" s="25" t="s">
        <v>75</v>
      </c>
      <c r="D5" s="23">
        <v>2</v>
      </c>
      <c r="E5" s="23">
        <v>2</v>
      </c>
      <c r="F5" s="23">
        <v>1</v>
      </c>
      <c r="G5" s="23">
        <v>5</v>
      </c>
    </row>
    <row r="6" spans="1:10" ht="20.25" hidden="1">
      <c r="A6" s="511"/>
      <c r="B6" s="25" t="s">
        <v>48</v>
      </c>
      <c r="C6" s="25" t="s">
        <v>71</v>
      </c>
      <c r="D6" s="23">
        <v>1</v>
      </c>
      <c r="E6" s="23">
        <v>2</v>
      </c>
      <c r="F6" s="23">
        <v>1</v>
      </c>
      <c r="G6" s="23">
        <v>4</v>
      </c>
    </row>
    <row r="7" spans="1:10" ht="20.25" hidden="1">
      <c r="A7" s="511"/>
      <c r="B7" s="25" t="s">
        <v>45</v>
      </c>
      <c r="C7" s="25" t="s">
        <v>69</v>
      </c>
      <c r="D7" s="23">
        <v>2</v>
      </c>
      <c r="E7" s="23">
        <v>2</v>
      </c>
      <c r="F7" s="23">
        <v>1</v>
      </c>
      <c r="G7" s="23">
        <v>3</v>
      </c>
    </row>
    <row r="8" spans="1:10" ht="20.25" hidden="1">
      <c r="A8" s="511"/>
      <c r="B8" s="25" t="s">
        <v>55</v>
      </c>
      <c r="C8" s="25" t="s">
        <v>15</v>
      </c>
      <c r="D8" s="23">
        <v>2</v>
      </c>
      <c r="E8" s="23">
        <v>3</v>
      </c>
      <c r="F8" s="23">
        <v>1</v>
      </c>
      <c r="G8" s="23">
        <v>5</v>
      </c>
    </row>
    <row r="9" spans="1:10" ht="20.25" hidden="1">
      <c r="A9" s="511"/>
      <c r="B9" s="25" t="s">
        <v>64</v>
      </c>
      <c r="C9" s="25" t="s">
        <v>77</v>
      </c>
      <c r="D9" s="23">
        <v>5</v>
      </c>
      <c r="E9" s="23">
        <v>1</v>
      </c>
      <c r="F9" s="23">
        <v>2</v>
      </c>
      <c r="G9" s="23">
        <v>6</v>
      </c>
    </row>
    <row r="10" spans="1:10" ht="20.25" hidden="1">
      <c r="A10" s="511"/>
      <c r="B10" s="25" t="s">
        <v>49</v>
      </c>
      <c r="C10" s="25" t="s">
        <v>80</v>
      </c>
      <c r="D10" s="23">
        <v>3</v>
      </c>
      <c r="E10" s="23">
        <v>2</v>
      </c>
      <c r="F10" s="23">
        <v>2</v>
      </c>
      <c r="G10" s="23">
        <v>4</v>
      </c>
    </row>
    <row r="11" spans="1:10" ht="20.25" hidden="1">
      <c r="A11" s="511"/>
      <c r="B11" s="25" t="s">
        <v>41</v>
      </c>
      <c r="C11" s="25" t="s">
        <v>67</v>
      </c>
      <c r="D11" s="23">
        <v>2</v>
      </c>
      <c r="E11" s="23">
        <v>2</v>
      </c>
      <c r="F11" s="24">
        <v>2</v>
      </c>
      <c r="G11" s="23">
        <v>2</v>
      </c>
    </row>
    <row r="12" spans="1:10" ht="20.25" hidden="1">
      <c r="A12" s="511"/>
      <c r="B12" s="25" t="s">
        <v>53</v>
      </c>
      <c r="C12" s="25" t="s">
        <v>73</v>
      </c>
      <c r="D12" s="23">
        <v>2</v>
      </c>
      <c r="E12" s="23">
        <v>2</v>
      </c>
      <c r="F12" s="23">
        <v>2</v>
      </c>
      <c r="G12" s="23">
        <v>5</v>
      </c>
    </row>
    <row r="13" spans="1:10" ht="20.25" hidden="1">
      <c r="A13" s="511"/>
      <c r="B13" s="25" t="s">
        <v>57</v>
      </c>
      <c r="C13" s="25" t="s">
        <v>3</v>
      </c>
      <c r="D13" s="23">
        <v>5</v>
      </c>
      <c r="E13" s="23">
        <v>2</v>
      </c>
      <c r="F13" s="24">
        <v>2</v>
      </c>
      <c r="G13" s="23">
        <v>5</v>
      </c>
    </row>
    <row r="14" spans="1:10" ht="20.25" hidden="1">
      <c r="A14" s="511"/>
      <c r="B14" s="25" t="s">
        <v>38</v>
      </c>
      <c r="C14" s="25" t="s">
        <v>1</v>
      </c>
      <c r="D14" s="23">
        <v>6</v>
      </c>
      <c r="E14" s="23">
        <v>2</v>
      </c>
      <c r="F14" s="23">
        <v>2</v>
      </c>
      <c r="G14" s="23">
        <v>2</v>
      </c>
    </row>
    <row r="15" spans="1:10" ht="20.25" hidden="1">
      <c r="A15" s="511"/>
      <c r="B15" s="25" t="s">
        <v>40</v>
      </c>
      <c r="C15" s="25" t="s">
        <v>2</v>
      </c>
      <c r="D15" s="23">
        <v>2</v>
      </c>
      <c r="E15" s="23">
        <v>3</v>
      </c>
      <c r="F15" s="23">
        <v>2</v>
      </c>
      <c r="G15" s="23">
        <v>2</v>
      </c>
    </row>
    <row r="16" spans="1:10" ht="20.25" hidden="1">
      <c r="A16" s="511"/>
      <c r="B16" s="25" t="s">
        <v>52</v>
      </c>
      <c r="C16" s="25" t="s">
        <v>13</v>
      </c>
      <c r="D16" s="23">
        <v>5</v>
      </c>
      <c r="E16" s="23">
        <v>3</v>
      </c>
      <c r="F16" s="24">
        <v>2</v>
      </c>
      <c r="G16" s="23">
        <v>4</v>
      </c>
    </row>
    <row r="17" spans="1:7" ht="20.25" hidden="1">
      <c r="A17" s="511"/>
      <c r="B17" s="25" t="s">
        <v>51</v>
      </c>
      <c r="C17" s="25" t="s">
        <v>7</v>
      </c>
      <c r="D17" s="23">
        <v>2</v>
      </c>
      <c r="E17" s="23">
        <v>3</v>
      </c>
      <c r="F17" s="23">
        <v>2</v>
      </c>
      <c r="G17" s="23">
        <v>4</v>
      </c>
    </row>
    <row r="18" spans="1:7" ht="20.25" hidden="1">
      <c r="A18" s="511"/>
      <c r="B18" s="25" t="s">
        <v>42</v>
      </c>
      <c r="C18" s="25" t="s">
        <v>68</v>
      </c>
      <c r="D18" s="23">
        <v>4</v>
      </c>
      <c r="E18" s="23">
        <v>2</v>
      </c>
      <c r="F18" s="23">
        <v>3</v>
      </c>
      <c r="G18" s="23">
        <v>2</v>
      </c>
    </row>
    <row r="19" spans="1:7" ht="20.25" hidden="1">
      <c r="A19" s="511"/>
      <c r="B19" s="25" t="s">
        <v>44</v>
      </c>
      <c r="C19" s="25" t="s">
        <v>6</v>
      </c>
      <c r="D19" s="23">
        <v>2</v>
      </c>
      <c r="E19" s="23">
        <v>3</v>
      </c>
      <c r="F19" s="23">
        <v>3</v>
      </c>
      <c r="G19" s="23">
        <v>3</v>
      </c>
    </row>
    <row r="20" spans="1:7" ht="20.25" hidden="1">
      <c r="A20" s="511"/>
      <c r="B20" s="25" t="s">
        <v>65</v>
      </c>
      <c r="C20" s="25" t="s">
        <v>5</v>
      </c>
      <c r="D20" s="23">
        <v>4</v>
      </c>
      <c r="E20" s="23">
        <v>3</v>
      </c>
      <c r="F20" s="23">
        <v>3</v>
      </c>
      <c r="G20" s="23">
        <v>6</v>
      </c>
    </row>
    <row r="21" spans="1:7" ht="20.25" hidden="1">
      <c r="A21" s="511"/>
      <c r="B21" s="25" t="s">
        <v>58</v>
      </c>
      <c r="C21" s="25" t="s">
        <v>4</v>
      </c>
      <c r="D21" s="23">
        <v>5</v>
      </c>
      <c r="E21" s="23">
        <v>3</v>
      </c>
      <c r="F21" s="23">
        <v>3</v>
      </c>
      <c r="G21" s="23">
        <v>5</v>
      </c>
    </row>
    <row r="22" spans="1:7" ht="20.25" hidden="1">
      <c r="A22" s="511"/>
      <c r="B22" s="25" t="s">
        <v>47</v>
      </c>
      <c r="C22" s="25" t="s">
        <v>9</v>
      </c>
      <c r="D22" s="23">
        <v>5</v>
      </c>
      <c r="E22" s="23">
        <v>3</v>
      </c>
      <c r="F22" s="24">
        <v>3</v>
      </c>
      <c r="G22" s="23">
        <v>4</v>
      </c>
    </row>
    <row r="23" spans="1:7" ht="20.25" hidden="1">
      <c r="A23" s="511"/>
      <c r="B23" s="25" t="s">
        <v>54</v>
      </c>
      <c r="C23" s="25" t="s">
        <v>11</v>
      </c>
      <c r="D23" s="23">
        <v>2</v>
      </c>
      <c r="E23" s="23">
        <v>4</v>
      </c>
      <c r="F23" s="23">
        <v>3</v>
      </c>
      <c r="G23" s="23">
        <v>5</v>
      </c>
    </row>
    <row r="24" spans="1:7" ht="20.25" hidden="1">
      <c r="A24" s="511"/>
      <c r="B24" s="25" t="s">
        <v>56</v>
      </c>
      <c r="C24" s="25" t="s">
        <v>74</v>
      </c>
      <c r="D24" s="23">
        <v>4</v>
      </c>
      <c r="E24" s="23">
        <v>4</v>
      </c>
      <c r="F24" s="24">
        <v>3</v>
      </c>
      <c r="G24" s="23">
        <v>5</v>
      </c>
    </row>
    <row r="25" spans="1:7" ht="20.25" hidden="1">
      <c r="A25" s="511"/>
      <c r="B25" s="25" t="s">
        <v>50</v>
      </c>
      <c r="C25" s="25" t="s">
        <v>72</v>
      </c>
      <c r="D25" s="23">
        <v>3</v>
      </c>
      <c r="E25" s="23">
        <v>1</v>
      </c>
      <c r="F25" s="23">
        <v>4</v>
      </c>
      <c r="G25" s="23">
        <v>4</v>
      </c>
    </row>
    <row r="26" spans="1:7" ht="20.25" hidden="1">
      <c r="A26" s="511"/>
      <c r="B26" s="25" t="s">
        <v>62</v>
      </c>
      <c r="C26" s="25" t="s">
        <v>76</v>
      </c>
      <c r="D26" s="23">
        <v>5</v>
      </c>
      <c r="E26" s="23">
        <v>1</v>
      </c>
      <c r="F26" s="24">
        <v>4</v>
      </c>
      <c r="G26" s="23">
        <v>6</v>
      </c>
    </row>
    <row r="27" spans="1:7" ht="20.25" hidden="1">
      <c r="A27" s="511"/>
      <c r="B27" s="25" t="s">
        <v>60</v>
      </c>
      <c r="C27" s="25" t="s">
        <v>78</v>
      </c>
      <c r="D27" s="23">
        <v>5</v>
      </c>
      <c r="E27" s="23">
        <v>2</v>
      </c>
      <c r="F27" s="23">
        <v>4</v>
      </c>
      <c r="G27" s="23">
        <v>6</v>
      </c>
    </row>
    <row r="28" spans="1:7" ht="20.25" hidden="1">
      <c r="A28" s="511"/>
      <c r="B28" s="25" t="s">
        <v>63</v>
      </c>
      <c r="C28" s="25" t="s">
        <v>8</v>
      </c>
      <c r="D28" s="23">
        <v>5</v>
      </c>
      <c r="E28" s="23">
        <v>4</v>
      </c>
      <c r="F28" s="23">
        <v>4</v>
      </c>
      <c r="G28" s="23">
        <v>6</v>
      </c>
    </row>
    <row r="29" spans="1:7" ht="20.25" hidden="1">
      <c r="A29" s="511"/>
      <c r="B29" s="25" t="s">
        <v>46</v>
      </c>
      <c r="C29" s="25" t="s">
        <v>70</v>
      </c>
      <c r="D29" s="23">
        <v>4</v>
      </c>
      <c r="E29" s="23">
        <v>4</v>
      </c>
      <c r="F29" s="23">
        <v>4</v>
      </c>
      <c r="G29" s="23">
        <v>3</v>
      </c>
    </row>
    <row r="30" spans="1:7" ht="20.25" hidden="1">
      <c r="A30" s="511"/>
      <c r="B30" s="25" t="s">
        <v>61</v>
      </c>
      <c r="C30" s="25" t="s">
        <v>14</v>
      </c>
      <c r="D30" s="23">
        <v>5</v>
      </c>
      <c r="E30" s="23">
        <v>5</v>
      </c>
      <c r="F30" s="23">
        <v>4</v>
      </c>
      <c r="G30" s="23">
        <v>6</v>
      </c>
    </row>
    <row r="31" spans="1:7" ht="20.25" hidden="1">
      <c r="A31" s="511"/>
      <c r="B31" s="25" t="s">
        <v>37</v>
      </c>
      <c r="C31" s="25" t="s">
        <v>66</v>
      </c>
      <c r="D31" s="23">
        <v>5</v>
      </c>
      <c r="E31" s="23">
        <v>5</v>
      </c>
      <c r="F31" s="24">
        <v>4</v>
      </c>
      <c r="G31" s="23">
        <v>1</v>
      </c>
    </row>
    <row r="32" spans="1:7" ht="20.25" hidden="1">
      <c r="A32" s="511"/>
      <c r="B32" s="25" t="s">
        <v>39</v>
      </c>
      <c r="C32" s="25" t="s">
        <v>79</v>
      </c>
      <c r="D32" s="23">
        <v>4</v>
      </c>
      <c r="E32" s="23">
        <v>4</v>
      </c>
      <c r="F32" s="24">
        <v>5</v>
      </c>
      <c r="G32" s="23">
        <v>2</v>
      </c>
    </row>
    <row r="33" spans="1:10" ht="20.25">
      <c r="A33" s="511">
        <v>1</v>
      </c>
      <c r="B33" s="25" t="s">
        <v>585</v>
      </c>
      <c r="C33" s="516" t="s">
        <v>536</v>
      </c>
      <c r="D33" s="23">
        <v>1</v>
      </c>
      <c r="E33" s="23">
        <v>1</v>
      </c>
      <c r="F33" s="23">
        <v>3</v>
      </c>
      <c r="G33" s="23">
        <v>1</v>
      </c>
      <c r="H33" s="512" t="s">
        <v>544</v>
      </c>
      <c r="J33" s="512" t="s">
        <v>545</v>
      </c>
    </row>
    <row r="34" spans="1:10" ht="20.25">
      <c r="A34" s="511">
        <v>1</v>
      </c>
      <c r="B34" s="25"/>
      <c r="C34" s="25" t="s">
        <v>555</v>
      </c>
      <c r="D34" s="23">
        <v>1</v>
      </c>
      <c r="E34" s="23">
        <v>3</v>
      </c>
      <c r="F34" s="23"/>
      <c r="G34" s="23">
        <v>2</v>
      </c>
      <c r="H34" s="514" t="s">
        <v>599</v>
      </c>
      <c r="J34" s="512" t="s">
        <v>556</v>
      </c>
    </row>
    <row r="35" spans="1:10" ht="20.25">
      <c r="A35" s="511">
        <v>1</v>
      </c>
      <c r="B35" s="25"/>
      <c r="C35" s="25" t="s">
        <v>535</v>
      </c>
      <c r="D35" s="23">
        <v>3</v>
      </c>
      <c r="E35" s="23">
        <v>6</v>
      </c>
      <c r="F35" s="23">
        <v>4</v>
      </c>
      <c r="G35" s="23">
        <v>3</v>
      </c>
      <c r="H35" s="512" t="s">
        <v>567</v>
      </c>
    </row>
    <row r="36" spans="1:10" ht="20.25">
      <c r="A36" s="511">
        <v>1</v>
      </c>
      <c r="B36" s="25"/>
      <c r="C36" s="516" t="s">
        <v>533</v>
      </c>
      <c r="D36" s="23">
        <v>1</v>
      </c>
      <c r="E36" s="23"/>
      <c r="F36" s="23">
        <v>1</v>
      </c>
      <c r="G36" s="23"/>
      <c r="H36" s="512" t="s">
        <v>558</v>
      </c>
    </row>
    <row r="37" spans="1:10" ht="20.25">
      <c r="A37" s="511">
        <v>1</v>
      </c>
      <c r="B37" s="25"/>
      <c r="C37" s="25" t="s">
        <v>559</v>
      </c>
      <c r="D37" s="23">
        <v>3</v>
      </c>
      <c r="E37" s="23">
        <v>2</v>
      </c>
      <c r="F37" s="23"/>
      <c r="G37" s="23">
        <v>4</v>
      </c>
      <c r="H37" s="514" t="s">
        <v>589</v>
      </c>
      <c r="I37" s="514" t="s">
        <v>590</v>
      </c>
      <c r="J37" s="512" t="s">
        <v>550</v>
      </c>
    </row>
    <row r="38" spans="1:10" ht="20.25">
      <c r="A38" s="511">
        <v>1</v>
      </c>
      <c r="B38" s="25"/>
      <c r="C38" s="25" t="s">
        <v>581</v>
      </c>
      <c r="D38" s="23">
        <v>2</v>
      </c>
      <c r="E38" s="23">
        <v>3</v>
      </c>
      <c r="F38" s="23"/>
      <c r="G38" s="23">
        <v>3</v>
      </c>
      <c r="H38" s="514" t="s">
        <v>588</v>
      </c>
      <c r="J38" s="512" t="s">
        <v>582</v>
      </c>
    </row>
    <row r="39" spans="1:10" ht="20.25">
      <c r="A39" s="511">
        <v>1</v>
      </c>
      <c r="B39" s="25"/>
      <c r="C39" s="25" t="s">
        <v>561</v>
      </c>
      <c r="D39" s="23">
        <v>3</v>
      </c>
      <c r="E39" s="23">
        <v>4</v>
      </c>
      <c r="F39" s="23"/>
      <c r="G39" s="23">
        <v>5</v>
      </c>
      <c r="H39" s="513" t="s">
        <v>562</v>
      </c>
      <c r="I39" s="512" t="s">
        <v>122</v>
      </c>
      <c r="J39" s="512" t="s">
        <v>563</v>
      </c>
    </row>
    <row r="40" spans="1:10" ht="20.25">
      <c r="A40" s="511">
        <v>1</v>
      </c>
      <c r="B40" s="25" t="s">
        <v>586</v>
      </c>
      <c r="C40" s="25" t="s">
        <v>570</v>
      </c>
      <c r="D40" s="23">
        <v>3</v>
      </c>
      <c r="E40" s="23">
        <v>2</v>
      </c>
      <c r="F40" s="23"/>
      <c r="G40" s="23">
        <v>3</v>
      </c>
      <c r="H40" s="514" t="s">
        <v>594</v>
      </c>
      <c r="I40" s="513" t="s">
        <v>572</v>
      </c>
      <c r="J40" s="512" t="s">
        <v>571</v>
      </c>
    </row>
    <row r="41" spans="1:10" ht="20.25">
      <c r="A41" s="511">
        <v>1</v>
      </c>
      <c r="B41" s="25"/>
      <c r="C41" s="25" t="s">
        <v>560</v>
      </c>
      <c r="D41" s="23">
        <v>3</v>
      </c>
      <c r="E41" s="23">
        <v>1</v>
      </c>
      <c r="F41" s="23"/>
      <c r="G41" s="23"/>
      <c r="H41" s="512" t="s">
        <v>598</v>
      </c>
      <c r="J41" s="512" t="s">
        <v>556</v>
      </c>
    </row>
    <row r="42" spans="1:10" ht="20.25">
      <c r="A42" s="511">
        <v>1</v>
      </c>
      <c r="B42" s="25"/>
      <c r="C42" s="25" t="s">
        <v>577</v>
      </c>
      <c r="D42" s="23">
        <v>3</v>
      </c>
      <c r="E42" s="23">
        <v>2</v>
      </c>
      <c r="F42" s="23"/>
      <c r="G42" s="23"/>
      <c r="H42" s="512" t="s">
        <v>543</v>
      </c>
      <c r="I42" s="512" t="s">
        <v>578</v>
      </c>
    </row>
    <row r="43" spans="1:10" ht="20.25">
      <c r="A43" s="511">
        <v>1</v>
      </c>
      <c r="B43" s="25"/>
      <c r="C43" s="25" t="s">
        <v>548</v>
      </c>
      <c r="D43" s="23">
        <v>3</v>
      </c>
      <c r="E43" s="23">
        <v>2</v>
      </c>
      <c r="F43" s="23">
        <v>3</v>
      </c>
      <c r="G43" s="23">
        <v>2</v>
      </c>
      <c r="H43" s="512" t="s">
        <v>549</v>
      </c>
      <c r="I43" s="512" t="s">
        <v>551</v>
      </c>
      <c r="J43" s="512" t="s">
        <v>550</v>
      </c>
    </row>
    <row r="44" spans="1:10" ht="20.25">
      <c r="A44" s="511">
        <v>1</v>
      </c>
      <c r="B44" s="25"/>
      <c r="C44" s="25" t="s">
        <v>557</v>
      </c>
      <c r="D44" s="23">
        <v>3</v>
      </c>
      <c r="E44" s="23">
        <v>3</v>
      </c>
      <c r="F44" s="23"/>
      <c r="G44" s="23">
        <v>6</v>
      </c>
      <c r="H44" s="514" t="s">
        <v>596</v>
      </c>
      <c r="I44" s="512" t="s">
        <v>597</v>
      </c>
    </row>
    <row r="45" spans="1:10" ht="20.25">
      <c r="A45" s="511">
        <v>1</v>
      </c>
      <c r="B45" s="25" t="s">
        <v>584</v>
      </c>
      <c r="C45" s="25" t="s">
        <v>569</v>
      </c>
      <c r="D45" s="23">
        <v>3</v>
      </c>
      <c r="E45" s="23">
        <v>3</v>
      </c>
      <c r="F45" s="23"/>
      <c r="G45" s="23">
        <v>4</v>
      </c>
      <c r="H45" s="514" t="s">
        <v>592</v>
      </c>
    </row>
    <row r="46" spans="1:10" ht="20.25">
      <c r="A46" s="511">
        <v>1</v>
      </c>
      <c r="B46" s="25"/>
      <c r="C46" s="25" t="s">
        <v>603</v>
      </c>
      <c r="D46" s="23">
        <v>3</v>
      </c>
      <c r="E46" s="23">
        <v>3</v>
      </c>
      <c r="F46" s="23"/>
      <c r="G46" s="23">
        <v>3</v>
      </c>
      <c r="H46" s="512" t="s">
        <v>543</v>
      </c>
      <c r="I46" s="512" t="s">
        <v>604</v>
      </c>
    </row>
    <row r="47" spans="1:10" ht="20.25">
      <c r="A47" s="511">
        <v>1</v>
      </c>
      <c r="B47" s="25"/>
      <c r="C47" s="25" t="s">
        <v>552</v>
      </c>
      <c r="D47" s="23">
        <v>3</v>
      </c>
      <c r="E47" s="23">
        <v>4</v>
      </c>
      <c r="F47" s="23">
        <v>4</v>
      </c>
      <c r="G47" s="23">
        <v>4</v>
      </c>
      <c r="H47" s="513" t="s">
        <v>553</v>
      </c>
      <c r="I47" s="512" t="s">
        <v>554</v>
      </c>
    </row>
    <row r="48" spans="1:10" ht="20.25">
      <c r="A48" s="511">
        <v>1</v>
      </c>
      <c r="B48" s="25"/>
      <c r="C48" s="515" t="s">
        <v>583</v>
      </c>
      <c r="D48" s="23">
        <v>4</v>
      </c>
      <c r="E48" s="23">
        <v>3</v>
      </c>
      <c r="F48" s="23"/>
      <c r="G48" s="23">
        <v>3</v>
      </c>
      <c r="H48" s="514" t="s">
        <v>595</v>
      </c>
      <c r="J48" s="512" t="s">
        <v>571</v>
      </c>
    </row>
    <row r="49" spans="1:10" ht="20.25">
      <c r="A49" s="511">
        <v>1</v>
      </c>
      <c r="B49" s="25"/>
      <c r="C49" s="515" t="s">
        <v>564</v>
      </c>
      <c r="D49" s="23">
        <v>4</v>
      </c>
      <c r="E49" s="23">
        <v>6</v>
      </c>
      <c r="F49" s="23"/>
      <c r="G49" s="23">
        <v>6</v>
      </c>
      <c r="H49" s="513" t="s">
        <v>539</v>
      </c>
      <c r="J49" s="512" t="s">
        <v>565</v>
      </c>
    </row>
    <row r="50" spans="1:10" ht="20.25">
      <c r="A50" s="511">
        <v>1</v>
      </c>
      <c r="B50" s="25"/>
      <c r="C50" s="515" t="s">
        <v>600</v>
      </c>
      <c r="D50" s="23">
        <v>4</v>
      </c>
      <c r="E50" s="23">
        <v>6</v>
      </c>
      <c r="F50" s="23"/>
      <c r="G50" s="23">
        <v>6</v>
      </c>
      <c r="H50" s="512" t="s">
        <v>601</v>
      </c>
      <c r="I50" s="512" t="s">
        <v>602</v>
      </c>
      <c r="J50" s="512" t="s">
        <v>571</v>
      </c>
    </row>
    <row r="51" spans="1:10" ht="20.25">
      <c r="A51" s="511">
        <v>1</v>
      </c>
      <c r="B51" s="25"/>
      <c r="C51" s="515" t="s">
        <v>566</v>
      </c>
      <c r="D51" s="23">
        <v>5</v>
      </c>
      <c r="E51" s="23">
        <v>3</v>
      </c>
      <c r="F51" s="23"/>
      <c r="G51" s="23">
        <v>4</v>
      </c>
      <c r="H51" s="512" t="s">
        <v>567</v>
      </c>
      <c r="I51" s="512" t="s">
        <v>567</v>
      </c>
      <c r="J51" s="512" t="s">
        <v>568</v>
      </c>
    </row>
    <row r="52" spans="1:10" ht="20.25">
      <c r="A52" s="511">
        <v>1</v>
      </c>
      <c r="B52" s="25"/>
      <c r="C52" s="515" t="s">
        <v>576</v>
      </c>
      <c r="D52" s="23">
        <v>5</v>
      </c>
      <c r="E52" s="23">
        <v>6</v>
      </c>
      <c r="F52" s="23">
        <v>6</v>
      </c>
      <c r="G52" s="23">
        <v>6</v>
      </c>
      <c r="H52" s="512" t="s">
        <v>587</v>
      </c>
      <c r="I52" s="512" t="s">
        <v>587</v>
      </c>
    </row>
    <row r="53" spans="1:10" ht="20.25">
      <c r="A53" s="511">
        <v>1</v>
      </c>
      <c r="B53" s="25"/>
      <c r="C53" s="515" t="s">
        <v>605</v>
      </c>
      <c r="D53" s="23">
        <v>5</v>
      </c>
      <c r="E53" s="23">
        <v>6</v>
      </c>
      <c r="F53" s="23"/>
      <c r="G53" s="23">
        <v>6</v>
      </c>
      <c r="H53" s="512" t="s">
        <v>539</v>
      </c>
      <c r="I53" s="512" t="s">
        <v>539</v>
      </c>
      <c r="J53" s="512" t="s">
        <v>571</v>
      </c>
    </row>
    <row r="54" spans="1:10" ht="20.25">
      <c r="A54" s="511">
        <v>1</v>
      </c>
      <c r="B54" s="25"/>
      <c r="C54" s="515" t="s">
        <v>538</v>
      </c>
      <c r="D54" s="23">
        <v>6</v>
      </c>
      <c r="E54" s="23">
        <v>2</v>
      </c>
      <c r="F54" s="23">
        <v>5</v>
      </c>
      <c r="G54" s="23">
        <v>3</v>
      </c>
      <c r="H54" s="512" t="s">
        <v>543</v>
      </c>
      <c r="I54" s="512" t="s">
        <v>121</v>
      </c>
    </row>
    <row r="55" spans="1:10" ht="20.25">
      <c r="A55" s="511">
        <v>1</v>
      </c>
      <c r="B55" s="25"/>
      <c r="C55" s="515" t="s">
        <v>537</v>
      </c>
      <c r="D55" s="23">
        <v>6</v>
      </c>
      <c r="E55" s="23">
        <v>6</v>
      </c>
      <c r="F55" s="23">
        <v>6</v>
      </c>
      <c r="G55" s="23">
        <v>6</v>
      </c>
      <c r="H55" s="513" t="s">
        <v>539</v>
      </c>
      <c r="I55" s="513" t="s">
        <v>540</v>
      </c>
    </row>
    <row r="56" spans="1:10" ht="20.25">
      <c r="A56" s="511">
        <v>1</v>
      </c>
      <c r="B56" s="25"/>
      <c r="C56" s="515" t="s">
        <v>579</v>
      </c>
      <c r="D56" s="23">
        <v>6</v>
      </c>
      <c r="E56" s="23">
        <v>6</v>
      </c>
      <c r="F56" s="23">
        <v>6</v>
      </c>
      <c r="G56" s="23">
        <v>6</v>
      </c>
      <c r="H56" s="513" t="s">
        <v>580</v>
      </c>
    </row>
    <row r="57" spans="1:10" ht="20.25">
      <c r="A57" s="511">
        <v>1</v>
      </c>
      <c r="B57" s="25"/>
      <c r="C57" s="515" t="s">
        <v>573</v>
      </c>
      <c r="D57" s="23">
        <v>6</v>
      </c>
      <c r="E57" s="23">
        <v>6</v>
      </c>
      <c r="F57" s="23">
        <v>6</v>
      </c>
      <c r="G57" s="23">
        <v>6</v>
      </c>
      <c r="H57" s="513" t="s">
        <v>574</v>
      </c>
      <c r="I57" s="512" t="s">
        <v>591</v>
      </c>
      <c r="J57" s="512" t="s">
        <v>575</v>
      </c>
    </row>
    <row r="58" spans="1:10" ht="20.25">
      <c r="A58" s="511">
        <v>1</v>
      </c>
      <c r="B58" s="25"/>
      <c r="C58" s="515" t="s">
        <v>546</v>
      </c>
      <c r="D58" s="23">
        <v>6</v>
      </c>
      <c r="E58" s="23">
        <v>6</v>
      </c>
      <c r="F58" s="23">
        <v>6</v>
      </c>
      <c r="G58" s="23">
        <v>6</v>
      </c>
      <c r="H58" s="512" t="s">
        <v>593</v>
      </c>
      <c r="I58" s="512" t="s">
        <v>593</v>
      </c>
    </row>
    <row r="59" spans="1:10" ht="20.25">
      <c r="A59" s="511">
        <v>1</v>
      </c>
      <c r="B59" s="25"/>
      <c r="C59" s="25" t="s">
        <v>606</v>
      </c>
      <c r="D59" s="23">
        <v>2</v>
      </c>
      <c r="E59" s="23">
        <v>4</v>
      </c>
      <c r="F59" s="23"/>
      <c r="G59" s="23">
        <v>3</v>
      </c>
      <c r="H59" s="512" t="s">
        <v>539</v>
      </c>
    </row>
    <row r="60" spans="1:10" ht="20.25">
      <c r="A60" s="511">
        <v>1</v>
      </c>
      <c r="B60" s="25"/>
      <c r="C60" s="25" t="s">
        <v>658</v>
      </c>
      <c r="D60" s="23">
        <v>2</v>
      </c>
      <c r="E60" s="23">
        <v>6</v>
      </c>
      <c r="F60" s="23"/>
      <c r="G60" s="23">
        <v>4</v>
      </c>
      <c r="H60" s="512" t="s">
        <v>659</v>
      </c>
      <c r="I60" s="512" t="s">
        <v>660</v>
      </c>
      <c r="J60" s="512" t="s">
        <v>556</v>
      </c>
    </row>
  </sheetData>
  <phoneticPr fontId="2" type="noConversion"/>
  <conditionalFormatting sqref="D3:D60">
    <cfRule type="expression" dxfId="18" priority="1">
      <formula>D3=6</formula>
    </cfRule>
    <cfRule type="expression" dxfId="17" priority="2">
      <formula>D3=5</formula>
    </cfRule>
    <cfRule type="expression" dxfId="16" priority="3">
      <formula>D3=4</formula>
    </cfRule>
    <cfRule type="expression" dxfId="15" priority="4">
      <formula>D3=3</formula>
    </cfRule>
    <cfRule type="expression" dxfId="14" priority="5">
      <formula>D3=2</formula>
    </cfRule>
    <cfRule type="expression" dxfId="13" priority="6">
      <formula>D3=1</formula>
    </cfRule>
  </conditionalFormatting>
  <conditionalFormatting sqref="E3:G60">
    <cfRule type="expression" dxfId="12" priority="7">
      <formula>E3=6</formula>
    </cfRule>
    <cfRule type="expression" dxfId="11" priority="8">
      <formula>E3=5</formula>
    </cfRule>
    <cfRule type="expression" dxfId="10" priority="9">
      <formula>E3=4</formula>
    </cfRule>
    <cfRule type="expression" dxfId="9" priority="10">
      <formula>E3=3</formula>
    </cfRule>
    <cfRule type="expression" dxfId="8" priority="11">
      <formula>E3=2</formula>
    </cfRule>
    <cfRule type="expression" dxfId="7" priority="12">
      <formula>E3=1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2FD85-122F-4E86-8778-59C74C8359D0}">
  <sheetPr>
    <tabColor rgb="FFFFC000"/>
  </sheetPr>
  <dimension ref="A3:CD42"/>
  <sheetViews>
    <sheetView showGridLines="0" topLeftCell="V1" zoomScale="85" zoomScaleNormal="85" workbookViewId="0">
      <selection activeCell="AO8" sqref="AO8"/>
    </sheetView>
  </sheetViews>
  <sheetFormatPr defaultRowHeight="16.5"/>
  <cols>
    <col min="1" max="1" width="15.75" style="2" customWidth="1"/>
    <col min="2" max="2" width="16.75" style="2" bestFit="1" customWidth="1"/>
    <col min="3" max="4" width="10.125" style="2" customWidth="1"/>
    <col min="5" max="6" width="11" style="2" customWidth="1"/>
    <col min="7" max="7" width="12" style="2" bestFit="1" customWidth="1"/>
    <col min="8" max="8" width="9.5" style="2" bestFit="1" customWidth="1"/>
    <col min="9" max="9" width="9.875" style="2" bestFit="1" customWidth="1"/>
    <col min="10" max="11" width="6.75" style="2" bestFit="1" customWidth="1"/>
    <col min="12" max="12" width="11.25" style="2" bestFit="1" customWidth="1"/>
    <col min="13" max="13" width="9.875" style="2" customWidth="1"/>
    <col min="14" max="14" width="12.5" style="2" bestFit="1" customWidth="1"/>
    <col min="15" max="15" width="9.875" style="2" customWidth="1"/>
    <col min="16" max="16" width="11" style="2" bestFit="1" customWidth="1"/>
    <col min="17" max="19" width="9.875" style="2" customWidth="1"/>
    <col min="20" max="22" width="10.25" style="2" customWidth="1"/>
    <col min="23" max="32" width="10.375" style="2" customWidth="1"/>
    <col min="33" max="38" width="8.5" style="2" customWidth="1"/>
    <col min="39" max="41" width="9" style="2"/>
    <col min="42" max="42" width="12" style="2" customWidth="1"/>
    <col min="43" max="43" width="11.5" style="2" customWidth="1"/>
    <col min="44" max="44" width="9.875" style="2" customWidth="1"/>
    <col min="45" max="45" width="6.25" style="2" bestFit="1" customWidth="1"/>
    <col min="46" max="46" width="7.125" style="2" bestFit="1" customWidth="1"/>
    <col min="47" max="47" width="11" style="2" bestFit="1" customWidth="1"/>
    <col min="48" max="48" width="9" style="2"/>
    <col min="49" max="49" width="11" style="2" bestFit="1" customWidth="1"/>
    <col min="50" max="50" width="6.25" style="2" bestFit="1" customWidth="1"/>
    <col min="51" max="51" width="9" style="2"/>
    <col min="52" max="53" width="10.25" style="2" customWidth="1"/>
    <col min="54" max="54" width="11" style="2" bestFit="1" customWidth="1"/>
    <col min="55" max="55" width="13" style="2" bestFit="1" customWidth="1"/>
    <col min="56" max="56" width="11" style="2" bestFit="1" customWidth="1"/>
    <col min="57" max="57" width="12.5" style="2" bestFit="1" customWidth="1"/>
    <col min="58" max="58" width="9" style="2"/>
    <col min="59" max="59" width="13" style="2" bestFit="1" customWidth="1"/>
    <col min="60" max="60" width="11.5" style="2" bestFit="1" customWidth="1"/>
    <col min="61" max="61" width="12.625" style="2" bestFit="1" customWidth="1"/>
    <col min="62" max="66" width="13.125" style="2" customWidth="1"/>
    <col min="67" max="71" width="9" style="2"/>
    <col min="72" max="72" width="13" style="2" bestFit="1" customWidth="1"/>
    <col min="73" max="75" width="11.5" style="2" bestFit="1" customWidth="1"/>
    <col min="76" max="76" width="12.625" style="2" bestFit="1" customWidth="1"/>
    <col min="77" max="77" width="13" style="2" bestFit="1" customWidth="1"/>
    <col min="78" max="80" width="11.5" style="2" bestFit="1" customWidth="1"/>
    <col min="81" max="82" width="12.625" style="2" bestFit="1" customWidth="1"/>
    <col min="83" max="16384" width="9" style="2"/>
  </cols>
  <sheetData>
    <row r="3" spans="1:82" s="9" customFormat="1" ht="26.25">
      <c r="A3" s="104" t="s">
        <v>170</v>
      </c>
      <c r="BT3" s="254"/>
      <c r="BY3" s="279"/>
    </row>
    <row r="4" spans="1:82" s="9" customFormat="1">
      <c r="G4" s="9" t="s">
        <v>346</v>
      </c>
      <c r="M4" s="9" t="s">
        <v>347</v>
      </c>
      <c r="Y4" s="253" t="s">
        <v>348</v>
      </c>
      <c r="Z4" s="212"/>
      <c r="AA4" s="212"/>
      <c r="AB4" s="212"/>
      <c r="AC4" s="212"/>
      <c r="AD4" s="212"/>
      <c r="AE4" s="212"/>
      <c r="AJ4" s="9" t="s">
        <v>153</v>
      </c>
      <c r="AU4" s="127" t="s">
        <v>32</v>
      </c>
      <c r="AV4" s="212"/>
      <c r="BF4" s="254" t="s">
        <v>354</v>
      </c>
      <c r="BG4" s="255"/>
      <c r="BH4" s="9" t="s">
        <v>355</v>
      </c>
      <c r="BJ4" s="259" t="s">
        <v>356</v>
      </c>
      <c r="BK4" s="9" t="s">
        <v>357</v>
      </c>
      <c r="BP4" s="254" t="s">
        <v>360</v>
      </c>
      <c r="BT4" s="255"/>
      <c r="BU4" s="254" t="s">
        <v>312</v>
      </c>
      <c r="BZ4" s="279"/>
    </row>
    <row r="5" spans="1:82" s="9" customFormat="1" ht="149.25" thickBot="1">
      <c r="A5" s="105"/>
      <c r="B5" s="105" t="s">
        <v>255</v>
      </c>
      <c r="C5" s="105" t="s">
        <v>215</v>
      </c>
      <c r="D5" s="105" t="s">
        <v>256</v>
      </c>
      <c r="E5" s="14" t="s">
        <v>26</v>
      </c>
      <c r="F5" s="14" t="s">
        <v>27</v>
      </c>
      <c r="G5" s="209" t="s">
        <v>20</v>
      </c>
      <c r="H5" s="55" t="s">
        <v>139</v>
      </c>
      <c r="I5" s="55" t="s">
        <v>140</v>
      </c>
      <c r="J5" s="55" t="s">
        <v>141</v>
      </c>
      <c r="K5" s="3" t="s">
        <v>21</v>
      </c>
      <c r="L5" s="3" t="s">
        <v>22</v>
      </c>
      <c r="M5" s="15" t="s">
        <v>23</v>
      </c>
      <c r="N5" s="55" t="s">
        <v>349</v>
      </c>
      <c r="O5" s="55" t="s">
        <v>350</v>
      </c>
      <c r="P5" s="55" t="s">
        <v>341</v>
      </c>
      <c r="Q5" s="3" t="s">
        <v>342</v>
      </c>
      <c r="R5" s="55" t="s">
        <v>343</v>
      </c>
      <c r="S5" s="55" t="s">
        <v>344</v>
      </c>
      <c r="T5" s="55" t="s">
        <v>351</v>
      </c>
      <c r="U5" s="55" t="s">
        <v>352</v>
      </c>
      <c r="V5" s="55" t="s">
        <v>353</v>
      </c>
      <c r="W5" s="55" t="s">
        <v>371</v>
      </c>
      <c r="X5" s="3" t="s">
        <v>345</v>
      </c>
      <c r="Y5" s="15" t="s">
        <v>16</v>
      </c>
      <c r="Z5" s="55" t="s">
        <v>349</v>
      </c>
      <c r="AA5" s="55" t="s">
        <v>350</v>
      </c>
      <c r="AB5" s="55" t="s">
        <v>341</v>
      </c>
      <c r="AC5" s="3" t="s">
        <v>342</v>
      </c>
      <c r="AD5" s="55" t="s">
        <v>343</v>
      </c>
      <c r="AE5" s="55" t="s">
        <v>344</v>
      </c>
      <c r="AF5" s="55" t="s">
        <v>351</v>
      </c>
      <c r="AG5" s="55" t="s">
        <v>352</v>
      </c>
      <c r="AH5" s="55" t="s">
        <v>353</v>
      </c>
      <c r="AI5" s="3" t="s">
        <v>345</v>
      </c>
      <c r="AJ5" s="15" t="s">
        <v>142</v>
      </c>
      <c r="AK5" s="14" t="s">
        <v>324</v>
      </c>
      <c r="AL5" s="14" t="s">
        <v>325</v>
      </c>
      <c r="AM5" s="14" t="s">
        <v>297</v>
      </c>
      <c r="AN5" s="125" t="s">
        <v>326</v>
      </c>
      <c r="AO5" s="125" t="s">
        <v>327</v>
      </c>
      <c r="AP5" s="14" t="s">
        <v>328</v>
      </c>
      <c r="AQ5" s="125" t="s">
        <v>329</v>
      </c>
      <c r="AR5" s="14" t="s">
        <v>330</v>
      </c>
      <c r="AS5" s="14" t="s">
        <v>192</v>
      </c>
      <c r="AT5" s="13" t="s">
        <v>143</v>
      </c>
      <c r="AU5" s="14" t="s">
        <v>33</v>
      </c>
      <c r="AV5" s="14" t="s">
        <v>262</v>
      </c>
      <c r="AW5" s="14" t="s">
        <v>263</v>
      </c>
      <c r="AX5" s="14" t="s">
        <v>264</v>
      </c>
      <c r="AY5" s="14" t="s">
        <v>265</v>
      </c>
      <c r="AZ5" s="14" t="s">
        <v>266</v>
      </c>
      <c r="BA5" s="75" t="s">
        <v>154</v>
      </c>
      <c r="BB5" s="76" t="s">
        <v>155</v>
      </c>
      <c r="BC5" s="77" t="s">
        <v>156</v>
      </c>
      <c r="BD5" s="262" t="s">
        <v>179</v>
      </c>
      <c r="BE5" s="213" t="s">
        <v>267</v>
      </c>
      <c r="BF5" s="254" t="s">
        <v>285</v>
      </c>
      <c r="BG5" s="256" t="s">
        <v>331</v>
      </c>
      <c r="BH5" s="9" t="s">
        <v>332</v>
      </c>
      <c r="BI5" s="9" t="s">
        <v>333</v>
      </c>
      <c r="BJ5" s="259" t="s">
        <v>334</v>
      </c>
      <c r="BK5" s="9" t="s">
        <v>336</v>
      </c>
      <c r="BL5" s="9" t="s">
        <v>337</v>
      </c>
      <c r="BM5" s="9" t="s">
        <v>338</v>
      </c>
      <c r="BN5" s="213" t="s">
        <v>358</v>
      </c>
      <c r="BO5" s="213"/>
      <c r="BP5" s="254">
        <v>1</v>
      </c>
      <c r="BQ5" s="9">
        <v>2</v>
      </c>
      <c r="BR5" s="9">
        <v>3</v>
      </c>
      <c r="BS5" s="213">
        <v>4</v>
      </c>
      <c r="BT5" s="256">
        <v>5</v>
      </c>
      <c r="BU5" s="261" t="s">
        <v>339</v>
      </c>
      <c r="BV5" s="213" t="s">
        <v>340</v>
      </c>
      <c r="BW5" s="9" t="s">
        <v>335</v>
      </c>
      <c r="BX5" s="9" t="s">
        <v>335</v>
      </c>
      <c r="BZ5" s="279" t="s">
        <v>286</v>
      </c>
      <c r="CA5" s="213" t="s">
        <v>287</v>
      </c>
      <c r="CB5" s="213" t="s">
        <v>288</v>
      </c>
      <c r="CC5" s="9" t="s">
        <v>289</v>
      </c>
      <c r="CD5" s="9" t="s">
        <v>290</v>
      </c>
    </row>
    <row r="6" spans="1:82" s="9" customFormat="1">
      <c r="A6" s="9" t="s">
        <v>19</v>
      </c>
      <c r="B6" s="9">
        <f>C6*D6+C6</f>
        <v>1.6099999999999999</v>
      </c>
      <c r="C6" s="197">
        <v>1.1499999999999999</v>
      </c>
      <c r="D6" s="198">
        <v>0.4</v>
      </c>
      <c r="E6" s="17">
        <v>536</v>
      </c>
      <c r="F6" s="17">
        <v>1072</v>
      </c>
      <c r="G6" s="210">
        <f>SUM(H6:L6)</f>
        <v>0.65920000000000001</v>
      </c>
      <c r="H6" s="4">
        <f>E6*0.0002</f>
        <v>0.1072</v>
      </c>
      <c r="I6" s="4">
        <v>0.26200000000000001</v>
      </c>
      <c r="J6" s="4">
        <v>0.05</v>
      </c>
      <c r="K6" s="4">
        <v>0</v>
      </c>
      <c r="L6" s="4">
        <v>0.24</v>
      </c>
      <c r="M6" s="18">
        <f>SUM(N6:X6)+0.5</f>
        <v>3.6439999999999997</v>
      </c>
      <c r="N6" s="207">
        <v>0.27700000000000002</v>
      </c>
      <c r="O6" s="207"/>
      <c r="P6" s="207">
        <v>0.26200000000000001</v>
      </c>
      <c r="Q6" s="207"/>
      <c r="R6" s="207">
        <v>0.63</v>
      </c>
      <c r="S6" s="207">
        <v>0.52500000000000002</v>
      </c>
      <c r="T6" s="207"/>
      <c r="U6" s="207">
        <v>0.97</v>
      </c>
      <c r="V6" s="207"/>
      <c r="W6" s="207">
        <v>0.48</v>
      </c>
      <c r="X6" s="207"/>
      <c r="Y6" s="18">
        <f>SUM(Z6:AI6)+0.2</f>
        <v>3.4240000000000004</v>
      </c>
      <c r="Z6" s="207">
        <v>0.27</v>
      </c>
      <c r="AA6" s="207">
        <v>0.32300000000000001</v>
      </c>
      <c r="AB6" s="207">
        <v>0.32300000000000001</v>
      </c>
      <c r="AC6" s="207"/>
      <c r="AD6" s="207">
        <v>1.26</v>
      </c>
      <c r="AE6" s="207">
        <v>1.048</v>
      </c>
      <c r="AF6" s="207"/>
      <c r="AG6" s="207"/>
      <c r="AH6" s="207"/>
      <c r="AI6" s="207"/>
      <c r="AJ6" s="56">
        <v>0.55000000000000004</v>
      </c>
      <c r="AK6" s="57">
        <v>0.56000000000000005</v>
      </c>
      <c r="AL6" s="57">
        <v>1.5349999999999999</v>
      </c>
      <c r="AM6" s="57">
        <v>0.92200000000000004</v>
      </c>
      <c r="AN6" s="57">
        <v>0.57499999999999996</v>
      </c>
      <c r="AO6" s="57">
        <v>0.36499999999999999</v>
      </c>
      <c r="AP6" s="57">
        <v>0.16500000000000001</v>
      </c>
      <c r="AQ6" s="57">
        <v>0.22500000000000001</v>
      </c>
      <c r="AR6" s="57">
        <v>0.59399999999999997</v>
      </c>
      <c r="AS6" s="57"/>
      <c r="AT6" s="58"/>
      <c r="AU6" s="22">
        <v>0</v>
      </c>
      <c r="AV6" s="22">
        <v>0</v>
      </c>
      <c r="AW6" s="22"/>
      <c r="AX6" s="22"/>
      <c r="AY6" s="22"/>
      <c r="AZ6" s="22"/>
      <c r="BA6" s="78">
        <f>(1+F6*0.001)*(((1+M6)*MIN(G6,1))+(1-MIN(G6,1)))*(1+Y6)</f>
        <v>31.185672238694405</v>
      </c>
      <c r="BB6" s="79">
        <f>(1+SUM(AJ6:AT6))</f>
        <v>6.4910000000000005</v>
      </c>
      <c r="BC6" s="80">
        <f>SUM(AU6:AZ6,1)</f>
        <v>1</v>
      </c>
      <c r="BD6" s="263">
        <f>BA6*BB6*BC6</f>
        <v>202.42619850136541</v>
      </c>
      <c r="BE6" s="264">
        <f>BD6*B6</f>
        <v>325.90617958719827</v>
      </c>
      <c r="BF6" s="265">
        <v>1.54</v>
      </c>
      <c r="BG6" s="266">
        <v>1.08</v>
      </c>
      <c r="BH6" s="267">
        <v>1.6</v>
      </c>
      <c r="BI6" s="267">
        <v>1.25</v>
      </c>
      <c r="BJ6" s="268">
        <f>0.34*0.3+1</f>
        <v>1.1020000000000001</v>
      </c>
      <c r="BK6" s="267">
        <f t="shared" ref="BK6:BT6" si="0">BK7+1</f>
        <v>1.23</v>
      </c>
      <c r="BL6" s="267">
        <f t="shared" si="0"/>
        <v>1.25</v>
      </c>
      <c r="BM6" s="267">
        <f t="shared" si="0"/>
        <v>1.25</v>
      </c>
      <c r="BN6" s="267">
        <f t="shared" si="0"/>
        <v>1.1499999999999999</v>
      </c>
      <c r="BO6" s="267">
        <f t="shared" si="0"/>
        <v>1</v>
      </c>
      <c r="BP6" s="265">
        <f t="shared" si="0"/>
        <v>1.1000000000000001</v>
      </c>
      <c r="BQ6" s="267">
        <f t="shared" si="0"/>
        <v>1.2</v>
      </c>
      <c r="BR6" s="267">
        <f t="shared" si="0"/>
        <v>1</v>
      </c>
      <c r="BS6" s="267">
        <f t="shared" si="0"/>
        <v>1</v>
      </c>
      <c r="BT6" s="266">
        <f t="shared" si="0"/>
        <v>1</v>
      </c>
      <c r="BU6" s="265">
        <f>1.09*1.15</f>
        <v>1.2535000000000001</v>
      </c>
      <c r="BV6" s="267">
        <v>1.3</v>
      </c>
      <c r="BW6" s="267">
        <v>1</v>
      </c>
      <c r="BX6" s="267">
        <v>1</v>
      </c>
      <c r="BY6" s="267">
        <v>1</v>
      </c>
      <c r="BZ6" s="284">
        <f>BD6*BF6*BG6*BH6*BI6*BJ6*BK6*BL6*BM6*BN6*BO6*BP6*BQ6*BR6*BS6*BT6*BU6*BV6*BW6*BX6*BY6</f>
        <v>3527.6653994209964</v>
      </c>
      <c r="CA6" s="275">
        <f>BZ6*SUM(C12,E12)</f>
        <v>6258078.4185728477</v>
      </c>
      <c r="CB6" s="275">
        <f>BZ6*SUM(D12,F12)</f>
        <v>9390645.2932586931</v>
      </c>
      <c r="CC6" s="275">
        <f>CA6*B6/2</f>
        <v>5037753.1269511422</v>
      </c>
      <c r="CD6" s="276">
        <f>CB6*B6/2</f>
        <v>7559469.4610732477</v>
      </c>
    </row>
    <row r="7" spans="1:82" s="9" customFormat="1" ht="17.25" thickBot="1">
      <c r="A7" s="9" t="s">
        <v>18</v>
      </c>
      <c r="D7" s="199"/>
      <c r="G7" s="210"/>
      <c r="H7" s="4"/>
      <c r="I7" s="4"/>
      <c r="J7" s="4"/>
      <c r="K7" s="4"/>
      <c r="L7" s="4"/>
      <c r="M7" s="18"/>
      <c r="N7" s="207"/>
      <c r="O7" s="207"/>
      <c r="P7" s="207"/>
      <c r="Q7" s="207"/>
      <c r="R7" s="207"/>
      <c r="S7" s="207"/>
      <c r="T7" s="207"/>
      <c r="U7" s="207"/>
      <c r="V7" s="207"/>
      <c r="W7" s="207"/>
      <c r="X7" s="207"/>
      <c r="Y7" s="18"/>
      <c r="Z7" s="207"/>
      <c r="AA7" s="207"/>
      <c r="AB7" s="207"/>
      <c r="AC7" s="207"/>
      <c r="AD7" s="207"/>
      <c r="AE7" s="207">
        <v>1.048</v>
      </c>
      <c r="AF7" s="207"/>
      <c r="AG7" s="207"/>
      <c r="AH7" s="207"/>
      <c r="AI7" s="207"/>
      <c r="AJ7" s="56"/>
      <c r="AK7" s="57"/>
      <c r="AL7" s="57">
        <v>1.5349999999999999</v>
      </c>
      <c r="AM7" s="57"/>
      <c r="AN7" s="57"/>
      <c r="AO7" s="57"/>
      <c r="AP7" s="57"/>
      <c r="AQ7" s="57"/>
      <c r="AR7" s="57">
        <v>0.59399999999999997</v>
      </c>
      <c r="AS7" s="57"/>
      <c r="AT7" s="58"/>
      <c r="AU7" s="22"/>
      <c r="AV7" s="22"/>
      <c r="AW7" s="22"/>
      <c r="AX7" s="22"/>
      <c r="AY7" s="22"/>
      <c r="AZ7" s="22"/>
      <c r="BA7" s="81"/>
      <c r="BB7" s="82"/>
      <c r="BC7" s="83"/>
      <c r="BD7" s="269"/>
      <c r="BE7" s="270"/>
      <c r="BF7" s="271"/>
      <c r="BG7" s="272"/>
      <c r="BH7" s="273"/>
      <c r="BI7" s="273"/>
      <c r="BJ7" s="274"/>
      <c r="BK7" s="282">
        <v>0.23</v>
      </c>
      <c r="BL7" s="282">
        <v>0.25</v>
      </c>
      <c r="BM7" s="282">
        <v>0.25</v>
      </c>
      <c r="BN7" s="282">
        <v>0.15</v>
      </c>
      <c r="BO7" s="273"/>
      <c r="BP7" s="283">
        <v>0.1</v>
      </c>
      <c r="BQ7" s="282">
        <v>0.2</v>
      </c>
      <c r="BR7" s="282"/>
      <c r="BS7" s="273"/>
      <c r="BT7" s="272"/>
      <c r="BU7" s="271"/>
      <c r="BV7" s="273"/>
      <c r="BW7" s="273"/>
      <c r="BX7" s="273"/>
      <c r="BY7" s="273"/>
      <c r="BZ7" s="269"/>
      <c r="CA7" s="273"/>
      <c r="CB7" s="273"/>
      <c r="CC7" s="277"/>
      <c r="CD7" s="278"/>
    </row>
    <row r="8" spans="1:82" s="9" customFormat="1" ht="17.25" thickTop="1">
      <c r="A8" s="106" t="s">
        <v>17</v>
      </c>
      <c r="B8" s="106"/>
      <c r="C8" s="106"/>
      <c r="D8" s="200"/>
      <c r="E8" s="106">
        <v>1</v>
      </c>
      <c r="F8" s="106">
        <v>-8</v>
      </c>
      <c r="G8" s="211"/>
      <c r="H8" s="108"/>
      <c r="I8" s="108"/>
      <c r="J8" s="108"/>
      <c r="K8" s="108"/>
      <c r="L8" s="108"/>
      <c r="M8" s="107"/>
      <c r="N8" s="208"/>
      <c r="O8" s="208"/>
      <c r="P8" s="208"/>
      <c r="Q8" s="208"/>
      <c r="R8" s="208"/>
      <c r="S8" s="208"/>
      <c r="T8" s="208">
        <v>0.35</v>
      </c>
      <c r="U8" s="208"/>
      <c r="V8" s="208"/>
      <c r="W8" s="208"/>
      <c r="X8" s="208"/>
      <c r="Y8" s="107"/>
      <c r="Z8" s="208"/>
      <c r="AA8" s="208"/>
      <c r="AB8" s="208"/>
      <c r="AC8" s="208"/>
      <c r="AD8" s="208"/>
      <c r="AE8" s="208">
        <v>0.93</v>
      </c>
      <c r="AF8" s="208"/>
      <c r="AG8" s="208"/>
      <c r="AH8" s="208"/>
      <c r="AI8" s="208"/>
      <c r="AJ8" s="109"/>
      <c r="AK8" s="110"/>
      <c r="AL8" s="110">
        <v>1.835</v>
      </c>
      <c r="AM8" s="110"/>
      <c r="AN8" s="110"/>
      <c r="AO8" s="110"/>
      <c r="AP8" s="110"/>
      <c r="AQ8" s="110"/>
      <c r="AR8" s="110">
        <v>0.52800000000000002</v>
      </c>
      <c r="AS8" s="110"/>
      <c r="AT8" s="111"/>
      <c r="AU8" s="112"/>
      <c r="AV8" s="112"/>
      <c r="AW8" s="112"/>
      <c r="AX8" s="112"/>
      <c r="AY8" s="112"/>
      <c r="AZ8" s="112"/>
      <c r="BA8" s="113"/>
      <c r="BB8" s="114"/>
      <c r="BC8" s="115"/>
      <c r="BE8" s="199"/>
      <c r="BF8" s="254"/>
      <c r="BG8" s="255"/>
      <c r="BJ8" s="259"/>
      <c r="BK8" s="220">
        <v>0.23</v>
      </c>
      <c r="BL8" s="220">
        <v>0.25</v>
      </c>
      <c r="BM8" s="220">
        <v>0.25</v>
      </c>
      <c r="BN8" s="220">
        <v>0.15</v>
      </c>
      <c r="BP8" s="257">
        <v>0.1</v>
      </c>
      <c r="BQ8" s="220">
        <v>0.2</v>
      </c>
      <c r="BR8" s="220"/>
      <c r="BS8" s="220"/>
      <c r="BT8" s="255"/>
      <c r="BU8" s="254"/>
      <c r="BZ8" s="279"/>
      <c r="CC8" s="280"/>
      <c r="CD8" s="280"/>
    </row>
    <row r="9" spans="1:82" s="9" customFormat="1">
      <c r="A9" s="9" t="s">
        <v>257</v>
      </c>
      <c r="B9" s="9">
        <f>C9*D9+C9</f>
        <v>1.6099999999999999</v>
      </c>
      <c r="C9" s="197">
        <f>C8-C7+C6</f>
        <v>1.1499999999999999</v>
      </c>
      <c r="D9" s="198">
        <f>D8-D7+D6</f>
        <v>0.4</v>
      </c>
      <c r="E9" s="116">
        <f>E8-E7+E6</f>
        <v>537</v>
      </c>
      <c r="F9" s="117">
        <f>(F8-F7)+F6</f>
        <v>1064</v>
      </c>
      <c r="G9" s="210">
        <f>SUM(H9:L9)</f>
        <v>0.65939999999999999</v>
      </c>
      <c r="H9" s="4">
        <f>E9*0.0002</f>
        <v>0.10740000000000001</v>
      </c>
      <c r="I9" s="4">
        <f>I8-I7+I6</f>
        <v>0.26200000000000001</v>
      </c>
      <c r="J9" s="4">
        <f>J8-J7+J6</f>
        <v>0.05</v>
      </c>
      <c r="K9" s="4">
        <f>K8-K7+K6</f>
        <v>0</v>
      </c>
      <c r="L9" s="4">
        <f>L8-L7+L6</f>
        <v>0.24</v>
      </c>
      <c r="M9" s="18">
        <f>SUM(N9:X9)+0.5</f>
        <v>3.9940000000000002</v>
      </c>
      <c r="N9" s="207">
        <f t="shared" ref="N9:AZ9" si="1">N8-N7+N6</f>
        <v>0.27700000000000002</v>
      </c>
      <c r="O9" s="207">
        <f t="shared" si="1"/>
        <v>0</v>
      </c>
      <c r="P9" s="207">
        <f t="shared" si="1"/>
        <v>0.26200000000000001</v>
      </c>
      <c r="Q9" s="207">
        <f t="shared" si="1"/>
        <v>0</v>
      </c>
      <c r="R9" s="207">
        <f t="shared" si="1"/>
        <v>0.63</v>
      </c>
      <c r="S9" s="207">
        <f t="shared" si="1"/>
        <v>0.52500000000000002</v>
      </c>
      <c r="T9" s="207">
        <f t="shared" si="1"/>
        <v>0.35</v>
      </c>
      <c r="U9" s="207">
        <f t="shared" si="1"/>
        <v>0.97</v>
      </c>
      <c r="V9" s="207">
        <f t="shared" si="1"/>
        <v>0</v>
      </c>
      <c r="W9" s="207">
        <f t="shared" si="1"/>
        <v>0.48</v>
      </c>
      <c r="X9" s="207">
        <f t="shared" si="1"/>
        <v>0</v>
      </c>
      <c r="Y9" s="18">
        <f>SUM(Z9:AI9)+0.2</f>
        <v>3.3060000000000005</v>
      </c>
      <c r="Z9" s="207">
        <f t="shared" ref="Z9:AI9" si="2">Z8-Z7+Z6</f>
        <v>0.27</v>
      </c>
      <c r="AA9" s="207">
        <f t="shared" si="2"/>
        <v>0.32300000000000001</v>
      </c>
      <c r="AB9" s="207">
        <f t="shared" si="2"/>
        <v>0.32300000000000001</v>
      </c>
      <c r="AC9" s="207">
        <f t="shared" si="2"/>
        <v>0</v>
      </c>
      <c r="AD9" s="207">
        <f t="shared" si="2"/>
        <v>1.26</v>
      </c>
      <c r="AE9" s="207">
        <f t="shared" si="2"/>
        <v>0.93</v>
      </c>
      <c r="AF9" s="207">
        <f t="shared" si="2"/>
        <v>0</v>
      </c>
      <c r="AG9" s="207">
        <f t="shared" si="2"/>
        <v>0</v>
      </c>
      <c r="AH9" s="207">
        <f t="shared" si="2"/>
        <v>0</v>
      </c>
      <c r="AI9" s="207">
        <f t="shared" si="2"/>
        <v>0</v>
      </c>
      <c r="AJ9" s="56">
        <f t="shared" si="1"/>
        <v>0.55000000000000004</v>
      </c>
      <c r="AK9" s="57">
        <f t="shared" si="1"/>
        <v>0.56000000000000005</v>
      </c>
      <c r="AL9" s="57">
        <f t="shared" si="1"/>
        <v>1.835</v>
      </c>
      <c r="AM9" s="57">
        <f t="shared" si="1"/>
        <v>0.92200000000000004</v>
      </c>
      <c r="AN9" s="57">
        <f t="shared" si="1"/>
        <v>0.57499999999999996</v>
      </c>
      <c r="AO9" s="57">
        <f t="shared" si="1"/>
        <v>0.36499999999999999</v>
      </c>
      <c r="AP9" s="57">
        <f t="shared" si="1"/>
        <v>0.16500000000000001</v>
      </c>
      <c r="AQ9" s="57">
        <f t="shared" si="1"/>
        <v>0.22500000000000001</v>
      </c>
      <c r="AR9" s="57">
        <f t="shared" si="1"/>
        <v>0.52800000000000002</v>
      </c>
      <c r="AS9" s="57">
        <f t="shared" si="1"/>
        <v>0</v>
      </c>
      <c r="AT9" s="58">
        <f t="shared" si="1"/>
        <v>0</v>
      </c>
      <c r="AU9" s="22">
        <f t="shared" si="1"/>
        <v>0</v>
      </c>
      <c r="AV9" s="22">
        <f t="shared" si="1"/>
        <v>0</v>
      </c>
      <c r="AW9" s="22">
        <f t="shared" si="1"/>
        <v>0</v>
      </c>
      <c r="AX9" s="22">
        <f t="shared" si="1"/>
        <v>0</v>
      </c>
      <c r="AY9" s="22">
        <f t="shared" si="1"/>
        <v>0</v>
      </c>
      <c r="AZ9" s="22">
        <f t="shared" si="1"/>
        <v>0</v>
      </c>
      <c r="BA9" s="78">
        <f>(1+F9*0.001)*(((1+M9)*MIN(G9,1))+(1-MIN(G9,1)))*(1+Y9)</f>
        <v>32.294312721062411</v>
      </c>
      <c r="BB9" s="79">
        <f>(1+SUM(AJ9:AT9))</f>
        <v>6.7249999999999996</v>
      </c>
      <c r="BC9" s="80">
        <f>SUM(AU9:AZ9,1)</f>
        <v>1</v>
      </c>
      <c r="BD9" s="16">
        <f>BA9*BB9*BC9</f>
        <v>217.17925304914471</v>
      </c>
      <c r="BE9" s="199">
        <f>BD9*B9</f>
        <v>349.65859740912293</v>
      </c>
      <c r="BF9" s="257">
        <f>BF8-BF7+BF6</f>
        <v>1.54</v>
      </c>
      <c r="BG9" s="258">
        <f>BG8-BG7+BG6</f>
        <v>1.08</v>
      </c>
      <c r="BH9" s="220">
        <f>BH8-BH7+BH6</f>
        <v>1.6</v>
      </c>
      <c r="BI9" s="220">
        <f>BI8-BI7+BI6</f>
        <v>1.25</v>
      </c>
      <c r="BJ9" s="260">
        <f>0.34*0.3+1</f>
        <v>1.1020000000000001</v>
      </c>
      <c r="BK9" s="220">
        <f t="shared" ref="BK9:BT9" si="3">BK8+1</f>
        <v>1.23</v>
      </c>
      <c r="BL9" s="220">
        <f t="shared" si="3"/>
        <v>1.25</v>
      </c>
      <c r="BM9" s="220">
        <f t="shared" si="3"/>
        <v>1.25</v>
      </c>
      <c r="BN9" s="220">
        <f t="shared" si="3"/>
        <v>1.1499999999999999</v>
      </c>
      <c r="BO9" s="220">
        <f t="shared" si="3"/>
        <v>1</v>
      </c>
      <c r="BP9" s="257">
        <f t="shared" si="3"/>
        <v>1.1000000000000001</v>
      </c>
      <c r="BQ9" s="220">
        <f t="shared" si="3"/>
        <v>1.2</v>
      </c>
      <c r="BR9" s="220">
        <f t="shared" si="3"/>
        <v>1</v>
      </c>
      <c r="BS9" s="220">
        <f t="shared" si="3"/>
        <v>1</v>
      </c>
      <c r="BT9" s="258">
        <f t="shared" si="3"/>
        <v>1</v>
      </c>
      <c r="BU9" s="257">
        <f>BU8-BU7+BU6</f>
        <v>1.2535000000000001</v>
      </c>
      <c r="BV9" s="220">
        <f>BV8-BV7+BV6</f>
        <v>1.3</v>
      </c>
      <c r="BW9" s="220">
        <f>BW8-BW7+BW6</f>
        <v>1</v>
      </c>
      <c r="BX9" s="220">
        <f>BX8-BX7+BX6</f>
        <v>1</v>
      </c>
      <c r="BY9" s="220">
        <v>1</v>
      </c>
      <c r="BZ9" s="285">
        <f>BD9*BF9*BG9*BH9*BI9*BJ9*BK9*BL9*BM9*BN9*BO9*BP9*BQ9*BR9*BS9*BT9*BU9*BV9*BW9*BX9*BY9</f>
        <v>3784.7657177062338</v>
      </c>
      <c r="CA9" s="280">
        <f>BZ9*SUM(C13,E13)</f>
        <v>6714174.3832108583</v>
      </c>
      <c r="CB9" s="280">
        <f>BZ9*SUM(D13,F13)</f>
        <v>10075046.340533994</v>
      </c>
      <c r="CC9" s="280">
        <f>CA9*B9/2</f>
        <v>5404910.3784847409</v>
      </c>
      <c r="CD9" s="280">
        <f>CB9*B9/2</f>
        <v>8110412.304129865</v>
      </c>
    </row>
    <row r="10" spans="1:82" s="9" customFormat="1" ht="62.25" customHeight="1">
      <c r="A10" s="281" t="s">
        <v>359</v>
      </c>
      <c r="C10" s="202" t="s">
        <v>260</v>
      </c>
      <c r="M10" s="218" t="s">
        <v>277</v>
      </c>
    </row>
    <row r="11" spans="1:82" s="9" customFormat="1" ht="50.25" thickBot="1">
      <c r="B11" s="214" t="s">
        <v>268</v>
      </c>
      <c r="C11" s="126" t="s">
        <v>180</v>
      </c>
      <c r="D11" s="105" t="s">
        <v>181</v>
      </c>
      <c r="E11" s="130" t="s">
        <v>180</v>
      </c>
      <c r="F11" s="105" t="s">
        <v>181</v>
      </c>
      <c r="G11" s="131" t="s">
        <v>182</v>
      </c>
      <c r="H11" s="133" t="s">
        <v>269</v>
      </c>
      <c r="I11" s="134" t="s">
        <v>183</v>
      </c>
      <c r="M11" s="9" t="s">
        <v>271</v>
      </c>
      <c r="N11" s="9" t="s">
        <v>276</v>
      </c>
      <c r="O11" s="9" t="s">
        <v>272</v>
      </c>
      <c r="P11" s="9" t="s">
        <v>273</v>
      </c>
      <c r="Q11" s="9" t="s">
        <v>274</v>
      </c>
      <c r="R11" s="9" t="s">
        <v>275</v>
      </c>
      <c r="S11" s="9" t="s">
        <v>279</v>
      </c>
    </row>
    <row r="12" spans="1:82" s="9" customFormat="1">
      <c r="A12" s="204" t="s">
        <v>258</v>
      </c>
      <c r="B12" s="205" t="str">
        <f>TEXT(BZ6/BZ9-1,"[파랑]+0.00%;[빨강]-0.00%")</f>
        <v>-6.79%</v>
      </c>
      <c r="C12" s="127">
        <v>943</v>
      </c>
      <c r="D12" s="9">
        <v>1415</v>
      </c>
      <c r="E12" s="128">
        <v>831</v>
      </c>
      <c r="F12" s="9">
        <v>1247</v>
      </c>
      <c r="G12" s="132">
        <f>SUM(C12:F12)</f>
        <v>4436</v>
      </c>
      <c r="H12" s="135">
        <f>G12/G13</f>
        <v>1</v>
      </c>
      <c r="I12" s="215" t="str">
        <f>TEXT(H12*(1+B12)-1,"[파랑]+0.00%;[빨강]-0.00%")</f>
        <v>-6.79%</v>
      </c>
      <c r="L12" s="219" t="s">
        <v>278</v>
      </c>
      <c r="M12" s="9">
        <v>95</v>
      </c>
      <c r="N12" s="9">
        <v>100</v>
      </c>
      <c r="O12" s="9">
        <v>80</v>
      </c>
      <c r="P12" s="9">
        <v>220</v>
      </c>
      <c r="Q12" s="9">
        <v>12600</v>
      </c>
      <c r="R12" s="9">
        <f>MIN((Q12^2)/(N12^2*O12+P12)/100,0.85)</f>
        <v>0.85</v>
      </c>
      <c r="S12" s="9" t="s">
        <v>280</v>
      </c>
    </row>
    <row r="13" spans="1:82">
      <c r="A13" s="204" t="s">
        <v>259</v>
      </c>
      <c r="B13" s="206" t="str">
        <f>TEXT(BZ9/BZ6-1,"[파랑]+0.00%;[빨강]-0.00%")</f>
        <v>+7.29%</v>
      </c>
      <c r="C13" s="127">
        <v>943</v>
      </c>
      <c r="D13" s="9">
        <v>1415</v>
      </c>
      <c r="E13" s="129">
        <v>831</v>
      </c>
      <c r="F13" s="9">
        <v>1247</v>
      </c>
      <c r="G13" s="132">
        <f>SUM(C13:F13)</f>
        <v>4436</v>
      </c>
      <c r="H13" s="135">
        <f>G13/G12</f>
        <v>1</v>
      </c>
      <c r="I13" s="215" t="str">
        <f>TEXT(H13*(1+B13)-1,"[파랑]+0.00%;[빨강]-0.00%")</f>
        <v>+7.29%</v>
      </c>
      <c r="P13" s="2" t="s">
        <v>281</v>
      </c>
      <c r="Q13" s="9">
        <f>239*(N12+54)^0.792</f>
        <v>12909.645356874395</v>
      </c>
    </row>
    <row r="14" spans="1:82" ht="68.25" customHeight="1">
      <c r="A14" s="203" t="s">
        <v>261</v>
      </c>
      <c r="B14" s="9"/>
      <c r="C14" s="9"/>
      <c r="D14" s="9"/>
      <c r="E14" s="9"/>
      <c r="F14" s="9"/>
      <c r="G14" s="155"/>
      <c r="H14" s="135"/>
      <c r="I14" s="201"/>
      <c r="P14" s="2" t="s">
        <v>282</v>
      </c>
      <c r="Q14" s="2">
        <f>Q13/1.5</f>
        <v>8606.4302379162636</v>
      </c>
      <c r="R14" s="74"/>
      <c r="S14" s="5"/>
      <c r="T14" s="74"/>
      <c r="U14" s="5"/>
    </row>
    <row r="15" spans="1:82">
      <c r="B15" s="6" t="s">
        <v>25</v>
      </c>
      <c r="C15" s="6"/>
      <c r="I15" s="5"/>
      <c r="J15" s="74"/>
      <c r="K15" s="74"/>
      <c r="R15" s="2" t="s">
        <v>361</v>
      </c>
    </row>
    <row r="16" spans="1:82" ht="17.25" thickBot="1">
      <c r="A16" s="9" t="s">
        <v>24</v>
      </c>
      <c r="B16" s="7"/>
      <c r="C16" s="7">
        <f>$BD$6</f>
        <v>202.42619850136541</v>
      </c>
      <c r="M16" s="230" t="s">
        <v>317</v>
      </c>
      <c r="N16" s="231" t="s">
        <v>320</v>
      </c>
      <c r="O16" s="231" t="s">
        <v>313</v>
      </c>
      <c r="P16" s="232" t="s">
        <v>182</v>
      </c>
      <c r="S16" s="2" t="s">
        <v>299</v>
      </c>
      <c r="T16" s="2" t="s">
        <v>300</v>
      </c>
    </row>
    <row r="17" spans="1:20" ht="17.25" thickTop="1">
      <c r="A17" s="20">
        <v>41</v>
      </c>
      <c r="B17" s="8">
        <f>E6+A17</f>
        <v>577</v>
      </c>
      <c r="C17" s="7">
        <f t="dataTable" ref="C17" dt2D="0" dtr="0" r1="E6" ca="1"/>
        <v>204.20410410676223</v>
      </c>
      <c r="D17" s="5"/>
      <c r="E17" s="4"/>
      <c r="F17" s="4"/>
      <c r="G17" s="4"/>
      <c r="H17" s="4"/>
      <c r="I17" s="4"/>
      <c r="J17" s="5"/>
      <c r="K17" s="5"/>
      <c r="L17" s="74"/>
      <c r="M17" s="233" t="s">
        <v>305</v>
      </c>
      <c r="N17" s="225" t="s">
        <v>319</v>
      </c>
      <c r="O17" s="225">
        <v>1019</v>
      </c>
      <c r="P17" s="234">
        <f>SUM(O17:O21)</f>
        <v>3909</v>
      </c>
      <c r="Q17" s="5"/>
      <c r="R17" s="2" t="s">
        <v>370</v>
      </c>
      <c r="S17" s="5">
        <v>0.14399999999999999</v>
      </c>
      <c r="T17" s="5">
        <v>0.14399999999999999</v>
      </c>
    </row>
    <row r="18" spans="1:20">
      <c r="A18" s="19">
        <f>C17/$BD$6-1</f>
        <v>8.7829817412929945E-3</v>
      </c>
      <c r="B18" s="7"/>
      <c r="C18" s="7">
        <f>$BD$6</f>
        <v>202.42619850136541</v>
      </c>
      <c r="D18" s="5"/>
      <c r="E18" s="4">
        <f>(1+A18)*(1+A20)*(1+A26)</f>
        <v>1.0747429796746939</v>
      </c>
      <c r="F18" s="4"/>
      <c r="G18" s="4"/>
      <c r="H18" s="4"/>
      <c r="I18" s="4"/>
      <c r="J18" s="5"/>
      <c r="K18" s="5"/>
      <c r="L18" s="74"/>
      <c r="M18" s="233"/>
      <c r="N18" s="225" t="s">
        <v>306</v>
      </c>
      <c r="O18" s="225">
        <v>1325</v>
      </c>
      <c r="P18" s="234"/>
      <c r="Q18" s="5"/>
      <c r="R18" s="2" t="s">
        <v>362</v>
      </c>
      <c r="S18" s="5">
        <v>0.20799999999999999</v>
      </c>
      <c r="T18" s="5">
        <v>0.20799999999999999</v>
      </c>
    </row>
    <row r="19" spans="1:20">
      <c r="A19" s="21">
        <v>40</v>
      </c>
      <c r="B19" s="8">
        <f>F6+A19</f>
        <v>1112</v>
      </c>
      <c r="C19" s="7">
        <f t="dataTable" ref="C19" dt2D="0" dtr="0" r1="F6" ca="1"/>
        <v>206.33404017127592</v>
      </c>
      <c r="D19" s="5"/>
      <c r="J19" s="5"/>
      <c r="K19" s="5"/>
      <c r="L19" s="5"/>
      <c r="M19" s="233"/>
      <c r="N19" s="225" t="s">
        <v>307</v>
      </c>
      <c r="O19" s="225">
        <v>396</v>
      </c>
      <c r="P19" s="234"/>
      <c r="Q19" s="5"/>
      <c r="R19" s="2" t="s">
        <v>348</v>
      </c>
      <c r="T19" s="5">
        <v>0.13300000000000001</v>
      </c>
    </row>
    <row r="20" spans="1:20">
      <c r="A20" s="19">
        <f>C19/$BD$6-1</f>
        <v>1.9305019305019266E-2</v>
      </c>
      <c r="B20" s="7"/>
      <c r="C20" s="7">
        <f>$BD$6</f>
        <v>202.42619850136541</v>
      </c>
      <c r="D20" s="5"/>
      <c r="J20" s="5"/>
      <c r="K20" s="5"/>
      <c r="L20" s="5"/>
      <c r="M20" s="233"/>
      <c r="N20" s="225" t="s">
        <v>308</v>
      </c>
      <c r="O20" s="225">
        <v>805</v>
      </c>
      <c r="P20" s="234"/>
      <c r="Q20" s="5"/>
      <c r="R20" s="2" t="s">
        <v>363</v>
      </c>
      <c r="S20" s="5">
        <v>0.41499999999999998</v>
      </c>
      <c r="T20" s="5">
        <v>0.41499999999999998</v>
      </c>
    </row>
    <row r="21" spans="1:20" ht="17.25" thickBot="1">
      <c r="A21" s="10">
        <v>4.4999999999999998E-2</v>
      </c>
      <c r="B21" s="7">
        <f>G6+A21</f>
        <v>0.70420000000000005</v>
      </c>
      <c r="C21" s="7">
        <f t="dataTable" ref="C21" dt2D="0" dtr="0" r1="G6" ca="1"/>
        <v>212.18299755537245</v>
      </c>
      <c r="M21" s="235"/>
      <c r="N21" s="224" t="s">
        <v>309</v>
      </c>
      <c r="O21" s="224">
        <v>364</v>
      </c>
      <c r="P21" s="236"/>
      <c r="R21" s="2" t="s">
        <v>298</v>
      </c>
      <c r="S21" s="5">
        <v>0.251</v>
      </c>
      <c r="T21" s="5">
        <v>0.251</v>
      </c>
    </row>
    <row r="22" spans="1:20" ht="17.25" thickBot="1">
      <c r="A22" s="19">
        <f>C21/$BD$6-1</f>
        <v>4.8199290043680953E-2</v>
      </c>
      <c r="B22" s="7"/>
      <c r="C22" s="7">
        <f>$BD$6</f>
        <v>202.42619850136541</v>
      </c>
      <c r="M22" s="235" t="s">
        <v>310</v>
      </c>
      <c r="N22" s="224" t="s">
        <v>311</v>
      </c>
      <c r="O22" s="224">
        <v>283</v>
      </c>
      <c r="P22" s="236">
        <f>O22</f>
        <v>283</v>
      </c>
      <c r="R22" s="2" t="s">
        <v>364</v>
      </c>
      <c r="S22" s="5">
        <v>0.221</v>
      </c>
      <c r="T22" s="5">
        <v>0.21</v>
      </c>
    </row>
    <row r="23" spans="1:20">
      <c r="A23" s="11">
        <v>0.35</v>
      </c>
      <c r="B23" s="7">
        <f>M6+A23</f>
        <v>3.9939999999999998</v>
      </c>
      <c r="C23" s="7">
        <f t="dataTable" ref="C23" dt2D="0" dtr="0" r1="M6" ca="1"/>
        <v>216.15402310034395</v>
      </c>
      <c r="M23" s="233" t="s">
        <v>312</v>
      </c>
      <c r="N23" s="225">
        <v>100</v>
      </c>
      <c r="O23" s="225">
        <v>5</v>
      </c>
      <c r="P23" s="234">
        <f>SUMPRODUCT(N23:N24,O23:O24)</f>
        <v>750</v>
      </c>
      <c r="R23" s="2" t="s">
        <v>365</v>
      </c>
      <c r="S23" s="74">
        <v>0.1</v>
      </c>
      <c r="T23" s="74">
        <v>0.1</v>
      </c>
    </row>
    <row r="24" spans="1:20" ht="17.25" thickBot="1">
      <c r="A24" s="19">
        <f>C23/$BD$6-1</f>
        <v>6.7816442242212727E-2</v>
      </c>
      <c r="B24" s="7"/>
      <c r="C24" s="7">
        <f>$BD$6</f>
        <v>202.42619850136541</v>
      </c>
      <c r="M24" s="235"/>
      <c r="N24" s="224">
        <v>50</v>
      </c>
      <c r="O24" s="224">
        <v>5</v>
      </c>
      <c r="P24" s="236"/>
      <c r="R24" s="2" t="s">
        <v>366</v>
      </c>
      <c r="S24" s="74">
        <v>0.1</v>
      </c>
    </row>
    <row r="25" spans="1:20" ht="17.25" thickBot="1">
      <c r="A25" s="12">
        <v>0.2</v>
      </c>
      <c r="B25" s="7">
        <f>Y6+A25</f>
        <v>3.6240000000000006</v>
      </c>
      <c r="C25" s="7">
        <f t="dataTable" ref="C25" dt2D="0" dtr="0" r1="Y6" ca="1"/>
        <v>211.5774732979913</v>
      </c>
      <c r="M25" s="235" t="s">
        <v>314</v>
      </c>
      <c r="N25" s="224">
        <v>250</v>
      </c>
      <c r="O25" s="224">
        <v>3</v>
      </c>
      <c r="P25" s="236">
        <f>N25*O25</f>
        <v>750</v>
      </c>
      <c r="R25" s="2" t="s">
        <v>367</v>
      </c>
    </row>
    <row r="26" spans="1:20">
      <c r="A26" s="19">
        <f>C25/$BD$6-1</f>
        <v>4.5207956600361587E-2</v>
      </c>
      <c r="B26" s="7"/>
      <c r="C26" s="7">
        <f>$BD$6</f>
        <v>202.42619850136541</v>
      </c>
      <c r="M26" s="233" t="s">
        <v>316</v>
      </c>
      <c r="N26" s="225" t="s">
        <v>306</v>
      </c>
      <c r="O26" s="237">
        <v>0.109</v>
      </c>
      <c r="P26" s="238">
        <f>SUM(O26:O28)</f>
        <v>0.27900000000000003</v>
      </c>
      <c r="R26" s="2" t="s">
        <v>368</v>
      </c>
    </row>
    <row r="27" spans="1:20">
      <c r="A27" s="118">
        <v>0.36</v>
      </c>
      <c r="B27" s="7">
        <f>BB6+A27</f>
        <v>6.8510000000000009</v>
      </c>
      <c r="C27" s="7">
        <f t="dataTable" ref="C27" dt2D="0" dtr="0" r1="BB6" ca="1"/>
        <v>213.6530405072954</v>
      </c>
      <c r="M27" s="233"/>
      <c r="N27" s="225" t="s">
        <v>308</v>
      </c>
      <c r="O27" s="237">
        <v>9.6000000000000002E-2</v>
      </c>
      <c r="P27" s="234"/>
      <c r="R27" s="2" t="s">
        <v>369</v>
      </c>
    </row>
    <row r="28" spans="1:20">
      <c r="A28" s="19">
        <f>C27/$BD$6-1</f>
        <v>5.5461408103528065E-2</v>
      </c>
      <c r="B28" s="6"/>
      <c r="C28" s="6"/>
      <c r="M28" s="233"/>
      <c r="N28" s="226" t="s">
        <v>319</v>
      </c>
      <c r="O28" s="227">
        <v>7.3999999999999996E-2</v>
      </c>
      <c r="P28" s="239"/>
    </row>
    <row r="29" spans="1:20" ht="17.25" thickBot="1">
      <c r="B29" s="6"/>
      <c r="C29" s="6"/>
      <c r="M29" s="240"/>
      <c r="N29" s="228" t="s">
        <v>315</v>
      </c>
      <c r="O29" s="229">
        <v>0.20300000000000001</v>
      </c>
      <c r="P29" s="241">
        <f>O29</f>
        <v>0.20300000000000001</v>
      </c>
    </row>
    <row r="30" spans="1:20" ht="17.25" thickTop="1">
      <c r="M30" s="242" t="s">
        <v>318</v>
      </c>
      <c r="N30" s="243"/>
      <c r="O30" s="243"/>
      <c r="P30" s="244">
        <f>SUM(P17:P25)*(1+P26)*(1+P29)</f>
        <v>8757.9218039999996</v>
      </c>
    </row>
    <row r="31" spans="1:20">
      <c r="M31" s="245" t="s">
        <v>321</v>
      </c>
      <c r="N31" s="246"/>
      <c r="O31" s="246"/>
      <c r="P31" s="247">
        <f>(239*(154)^0.792)/1.5</f>
        <v>8606.4302379162636</v>
      </c>
    </row>
    <row r="32" spans="1:20">
      <c r="M32" s="248" t="s">
        <v>322</v>
      </c>
      <c r="N32" s="249"/>
      <c r="O32" s="249"/>
      <c r="P32" s="250">
        <f>(P30-P31)/(1+P29)/(1+P26)</f>
        <v>98.458288786592263</v>
      </c>
    </row>
    <row r="36" spans="1:8">
      <c r="C36" s="2" t="s">
        <v>378</v>
      </c>
      <c r="D36" s="2" t="s">
        <v>377</v>
      </c>
      <c r="E36" s="2" t="s">
        <v>376</v>
      </c>
    </row>
    <row r="37" spans="1:8">
      <c r="D37" s="74">
        <v>1.54</v>
      </c>
      <c r="F37" s="2">
        <v>0.7</v>
      </c>
      <c r="G37" s="2">
        <v>0.3</v>
      </c>
    </row>
    <row r="38" spans="1:8">
      <c r="A38" s="2" t="s">
        <v>374</v>
      </c>
      <c r="B38" s="286">
        <f>(G6*(M6+1)+(1-G6))*(1+Y6)*SUM(AJ6:AT6,1)*BG6*BI6*BK6*BL6*BM6*BN6*BP6*BQ6*BR6*BS6*BT6*BU6*BV6*BW6*BY6*BX6</f>
        <v>627.01125460230742</v>
      </c>
      <c r="C38" s="74">
        <v>0.6</v>
      </c>
      <c r="D38" s="74">
        <v>1.05</v>
      </c>
      <c r="E38" s="74">
        <f>1.3*1.3</f>
        <v>1.6900000000000002</v>
      </c>
      <c r="F38" s="2">
        <f>B38*SUM(C38:E38)</f>
        <v>2094.2175903717066</v>
      </c>
      <c r="G38" s="2">
        <f>B38*SUM(C38,D37,E38)*1.34</f>
        <v>3217.9471608699623</v>
      </c>
      <c r="H38" s="290">
        <f>SUMPRODUCT(F37:G37,F38:G38)</f>
        <v>2431.3364615211831</v>
      </c>
    </row>
    <row r="39" spans="1:8">
      <c r="A39" s="2" t="s">
        <v>375</v>
      </c>
      <c r="B39" s="288">
        <f>(G6*SUM(N6:T6,V6:W6,1)+(1-G6))*SUM(Z6:AF6,AH6:AI6,1)*SUM(AJ6:AP6,1)*BG6*BI6*BK6*BL6*BM6*BN6*BP6*BQ6*BU6*BV6*1.05</f>
        <v>392.83294281455693</v>
      </c>
      <c r="C39" s="74">
        <v>1.05</v>
      </c>
      <c r="F39" s="289"/>
      <c r="H39" s="290">
        <f>B39*C39</f>
        <v>412.47458995528478</v>
      </c>
    </row>
    <row r="40" spans="1:8">
      <c r="B40" s="2" t="s">
        <v>255</v>
      </c>
      <c r="C40" s="2" t="s">
        <v>379</v>
      </c>
      <c r="D40" s="2" t="s">
        <v>380</v>
      </c>
      <c r="E40" s="2" t="s">
        <v>381</v>
      </c>
    </row>
    <row r="41" spans="1:8">
      <c r="A41" s="2" t="s">
        <v>372</v>
      </c>
      <c r="B41" s="2">
        <f>AVERAGE(1.15*SUM(1,0.15,0.25),1.15*SUM(1,0.15,0.25,0.78,0.126))</f>
        <v>2.1309499999999995</v>
      </c>
      <c r="C41" s="287">
        <v>1009</v>
      </c>
      <c r="D41" s="2">
        <v>2218</v>
      </c>
      <c r="E41" s="291">
        <f>F41*D41</f>
        <v>15810266.606823416</v>
      </c>
      <c r="F41" s="289">
        <f>AVERAGE($H$38*1.2,$H$39)*B41*(C41/1000+1)</f>
        <v>7128.1634836895473</v>
      </c>
    </row>
    <row r="42" spans="1:8">
      <c r="A42" s="2" t="s">
        <v>373</v>
      </c>
      <c r="B42" s="2">
        <f>AVERAGE(1.15*SUM(1,0.15,0.25),1.15*SUM(1,0.15,0.25,0.78,0.126,0.3))</f>
        <v>2.3034499999999998</v>
      </c>
      <c r="C42" s="287">
        <v>1009</v>
      </c>
      <c r="E42" s="291">
        <f>F42*D41</f>
        <v>14594560.129259527</v>
      </c>
      <c r="F42" s="289">
        <f>AVERAGE($H$38:$H$39)*B42*(C42/1000+1)</f>
        <v>6580.0541610728251</v>
      </c>
    </row>
  </sheetData>
  <scenarios current="0" show="0">
    <scenario name="if increased 1% int" locked="1" count="1" user="songak" comment="만든 사람 songak 날짜 2023-06-13">
      <inputCells r="E9" val="462*1.01"/>
    </scenario>
  </scenarios>
  <phoneticPr fontId="2" type="noConversion"/>
  <conditionalFormatting sqref="A20 A18 A22 A24 A26 A28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{7CD4005B-7B10-4299-8DFA-6A7AC4BAE560}</x14:id>
        </ext>
      </extLst>
    </cfRule>
  </conditionalFormatting>
  <hyperlinks>
    <hyperlink ref="L12" r:id="rId1" display="a 안 (링크)" xr:uid="{F1D9D686-11F6-4601-A9D4-D8411245A2AA}"/>
  </hyperlinks>
  <pageMargins left="0.7" right="0.7" top="0.75" bottom="0.75" header="0.3" footer="0.3"/>
  <pageSetup paperSize="9" orientation="portrait"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CD4005B-7B10-4299-8DFA-6A7AC4BAE56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A20 A18 A22 A24 A26 A28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EED5A-108B-448A-B37F-254AA2D5AE6D}">
  <sheetPr>
    <tabColor rgb="FF00B0F0"/>
  </sheetPr>
  <dimension ref="A1:N58"/>
  <sheetViews>
    <sheetView zoomScale="85" zoomScaleNormal="85" workbookViewId="0">
      <pane xSplit="2" ySplit="2" topLeftCell="C31" activePane="bottomRight" state="frozen"/>
      <selection pane="topRight" activeCell="C1" sqref="C1"/>
      <selection pane="bottomLeft" activeCell="A3" sqref="A3"/>
      <selection pane="bottomRight" activeCell="I48" sqref="I48"/>
    </sheetView>
  </sheetViews>
  <sheetFormatPr defaultRowHeight="16.5"/>
  <cols>
    <col min="1" max="1" width="13" style="292" bestFit="1" customWidth="1"/>
    <col min="2" max="2" width="16.125" style="292" customWidth="1"/>
    <col min="3" max="12" width="14.125" style="292" customWidth="1"/>
    <col min="13" max="13" width="19.25" style="292" customWidth="1"/>
    <col min="14" max="14" width="47.625" style="292" customWidth="1"/>
    <col min="15" max="16384" width="9" style="292"/>
  </cols>
  <sheetData>
    <row r="1" spans="1:14" ht="53.25" customHeight="1">
      <c r="B1" s="509" t="s">
        <v>528</v>
      </c>
    </row>
    <row r="2" spans="1:14" ht="54" customHeight="1" thickBot="1">
      <c r="B2" s="375"/>
      <c r="C2" s="573" t="s">
        <v>481</v>
      </c>
      <c r="D2" s="573"/>
      <c r="E2" s="573"/>
      <c r="F2" s="573"/>
      <c r="G2" s="574"/>
      <c r="H2" s="575" t="s">
        <v>259</v>
      </c>
      <c r="I2" s="576"/>
      <c r="J2" s="576"/>
      <c r="K2" s="576"/>
      <c r="L2" s="576"/>
      <c r="M2" s="374" t="s">
        <v>423</v>
      </c>
      <c r="N2" s="460"/>
    </row>
    <row r="3" spans="1:14" ht="21" thickTop="1">
      <c r="A3" s="437" t="s">
        <v>524</v>
      </c>
      <c r="B3" s="376" t="s">
        <v>455</v>
      </c>
      <c r="C3" s="295" t="s">
        <v>26</v>
      </c>
      <c r="D3" s="390" t="s">
        <v>27</v>
      </c>
      <c r="E3" s="295"/>
      <c r="F3" s="295"/>
      <c r="G3" s="296"/>
      <c r="H3" s="293" t="s">
        <v>647</v>
      </c>
      <c r="I3" s="391" t="s">
        <v>648</v>
      </c>
      <c r="J3" s="293"/>
      <c r="K3" s="293"/>
      <c r="L3" s="294"/>
      <c r="M3" s="488">
        <f>N4</f>
        <v>-4.0614709110867175E-2</v>
      </c>
      <c r="N3" s="468"/>
    </row>
    <row r="4" spans="1:14" ht="21" thickBot="1">
      <c r="A4" s="437" t="s">
        <v>525</v>
      </c>
      <c r="B4" s="377"/>
      <c r="C4" s="295">
        <v>491</v>
      </c>
      <c r="D4" s="390">
        <v>822</v>
      </c>
      <c r="E4" s="295"/>
      <c r="F4" s="295"/>
      <c r="G4" s="296"/>
      <c r="H4" s="293">
        <f>C4</f>
        <v>491</v>
      </c>
      <c r="I4" s="391">
        <f>D4-74</f>
        <v>748</v>
      </c>
      <c r="J4" s="293"/>
      <c r="K4" s="293"/>
      <c r="L4" s="294"/>
      <c r="M4" s="297" t="s">
        <v>501</v>
      </c>
      <c r="N4" s="469">
        <f>(1000+I4)/(1000+D4)-1</f>
        <v>-4.0614709110867175E-2</v>
      </c>
    </row>
    <row r="5" spans="1:14" ht="20.25">
      <c r="A5" s="437"/>
      <c r="B5" s="378" t="s">
        <v>454</v>
      </c>
      <c r="C5" s="567">
        <f>SUM(C6:G9)</f>
        <v>0.6462</v>
      </c>
      <c r="D5" s="567"/>
      <c r="E5" s="567"/>
      <c r="F5" s="567"/>
      <c r="G5" s="568"/>
      <c r="H5" s="598">
        <f>SUM(H6:L9)</f>
        <v>0.6462</v>
      </c>
      <c r="I5" s="599"/>
      <c r="J5" s="599"/>
      <c r="K5" s="599"/>
      <c r="L5" s="600"/>
      <c r="M5" s="489">
        <f>H5-C5</f>
        <v>0</v>
      </c>
      <c r="N5" s="470"/>
    </row>
    <row r="6" spans="1:14" ht="20.25">
      <c r="B6" s="379"/>
      <c r="C6" s="307" t="s">
        <v>382</v>
      </c>
      <c r="D6" s="307" t="s">
        <v>386</v>
      </c>
      <c r="E6" s="307" t="s">
        <v>384</v>
      </c>
      <c r="F6" s="307" t="s">
        <v>383</v>
      </c>
      <c r="G6" s="308" t="s">
        <v>385</v>
      </c>
      <c r="H6" s="309" t="s">
        <v>649</v>
      </c>
      <c r="I6" s="309" t="s">
        <v>650</v>
      </c>
      <c r="J6" s="309" t="s">
        <v>486</v>
      </c>
      <c r="K6" s="309" t="s">
        <v>487</v>
      </c>
      <c r="L6" s="309" t="s">
        <v>651</v>
      </c>
      <c r="M6" s="299"/>
      <c r="N6" s="471"/>
    </row>
    <row r="7" spans="1:14" ht="20.25">
      <c r="B7" s="379"/>
      <c r="C7" s="311">
        <f>C4*0.0002</f>
        <v>9.820000000000001E-2</v>
      </c>
      <c r="D7" s="311">
        <v>0.05</v>
      </c>
      <c r="E7" s="311">
        <v>6.3E-2</v>
      </c>
      <c r="F7" s="311">
        <v>7.4999999999999997E-2</v>
      </c>
      <c r="G7" s="312">
        <v>0.12</v>
      </c>
      <c r="H7" s="313">
        <f>H4*0.0002</f>
        <v>9.820000000000001E-2</v>
      </c>
      <c r="I7" s="314">
        <v>0.05</v>
      </c>
      <c r="J7" s="314">
        <v>6.3E-2</v>
      </c>
      <c r="K7" s="314">
        <v>7.4999999999999997E-2</v>
      </c>
      <c r="L7" s="314">
        <v>0.12</v>
      </c>
      <c r="M7" s="300"/>
      <c r="N7" s="472"/>
    </row>
    <row r="8" spans="1:14" ht="20.25">
      <c r="B8" s="379"/>
      <c r="C8" s="315" t="s">
        <v>387</v>
      </c>
      <c r="D8" s="315" t="s">
        <v>388</v>
      </c>
      <c r="E8" s="316" t="s">
        <v>530</v>
      </c>
      <c r="F8" s="315"/>
      <c r="G8" s="317"/>
      <c r="H8" s="318" t="s">
        <v>652</v>
      </c>
      <c r="I8" s="318" t="s">
        <v>653</v>
      </c>
      <c r="J8" s="319" t="s">
        <v>654</v>
      </c>
      <c r="K8" s="318"/>
      <c r="L8" s="319"/>
      <c r="M8" s="299"/>
      <c r="N8" s="471"/>
    </row>
    <row r="9" spans="1:14" ht="21" thickBot="1">
      <c r="B9" s="379"/>
      <c r="C9" s="320">
        <v>0.12</v>
      </c>
      <c r="D9" s="320">
        <v>0.12</v>
      </c>
      <c r="E9" s="316"/>
      <c r="F9" s="320"/>
      <c r="G9" s="317"/>
      <c r="H9" s="321">
        <v>0.12</v>
      </c>
      <c r="I9" s="321">
        <v>0.12</v>
      </c>
      <c r="J9" s="319"/>
      <c r="K9" s="321"/>
      <c r="L9" s="319"/>
      <c r="M9" s="301"/>
      <c r="N9" s="473"/>
    </row>
    <row r="10" spans="1:14" ht="20.25">
      <c r="B10" s="380" t="s">
        <v>453</v>
      </c>
      <c r="C10" s="363" t="s">
        <v>409</v>
      </c>
      <c r="D10" s="365">
        <f>SUM(C11:G14)</f>
        <v>3.863</v>
      </c>
      <c r="E10" s="361"/>
      <c r="F10" s="363" t="s">
        <v>412</v>
      </c>
      <c r="G10" s="366">
        <f>SUM(C11:G12,C13:F14)</f>
        <v>3.863</v>
      </c>
      <c r="H10" s="364" t="s">
        <v>408</v>
      </c>
      <c r="I10" s="367">
        <f>SUM(H11:L14)</f>
        <v>3.871</v>
      </c>
      <c r="J10" s="362"/>
      <c r="K10" s="364" t="s">
        <v>411</v>
      </c>
      <c r="L10" s="367">
        <f>SUM(H11:L12,H13:K14)</f>
        <v>3.871</v>
      </c>
      <c r="M10" s="488">
        <f>N11</f>
        <v>2.0709293295366749E-3</v>
      </c>
      <c r="N10" s="474"/>
    </row>
    <row r="11" spans="1:14" ht="20.25">
      <c r="B11" s="377"/>
      <c r="C11" s="309" t="s">
        <v>389</v>
      </c>
      <c r="D11" s="309" t="s">
        <v>384</v>
      </c>
      <c r="E11" s="309" t="s">
        <v>383</v>
      </c>
      <c r="F11" s="309" t="s">
        <v>390</v>
      </c>
      <c r="G11" s="322" t="s">
        <v>341</v>
      </c>
      <c r="H11" s="307" t="s">
        <v>485</v>
      </c>
      <c r="I11" s="307" t="s">
        <v>486</v>
      </c>
      <c r="J11" s="307" t="s">
        <v>487</v>
      </c>
      <c r="K11" s="307" t="s">
        <v>488</v>
      </c>
      <c r="L11" s="307" t="s">
        <v>489</v>
      </c>
      <c r="M11" s="464" t="s">
        <v>502</v>
      </c>
      <c r="N11" s="555">
        <f>SUM(H11:L14)/SUM(C11:G14)-1</f>
        <v>2.0709293295366749E-3</v>
      </c>
    </row>
    <row r="12" spans="1:14" ht="20.25">
      <c r="B12" s="377"/>
      <c r="C12" s="314">
        <v>0.5</v>
      </c>
      <c r="D12" s="314">
        <v>0.23300000000000001</v>
      </c>
      <c r="E12" s="314">
        <v>0.19500000000000001</v>
      </c>
      <c r="F12" s="314">
        <v>0.51</v>
      </c>
      <c r="G12" s="323">
        <v>0.22500000000000001</v>
      </c>
      <c r="H12" s="324">
        <v>0.5</v>
      </c>
      <c r="I12" s="311">
        <v>0.23300000000000001</v>
      </c>
      <c r="J12" s="311">
        <v>0.19500000000000001</v>
      </c>
      <c r="K12" s="311">
        <v>0.51</v>
      </c>
      <c r="L12" s="311">
        <v>0.23300000000000001</v>
      </c>
      <c r="M12" s="465" t="s">
        <v>409</v>
      </c>
      <c r="N12" s="555">
        <f>I10/D10-1</f>
        <v>2.0709293295366749E-3</v>
      </c>
    </row>
    <row r="13" spans="1:14" ht="20.25">
      <c r="B13" s="377"/>
      <c r="C13" s="318" t="s">
        <v>391</v>
      </c>
      <c r="D13" s="318" t="s">
        <v>314</v>
      </c>
      <c r="E13" s="318" t="s">
        <v>392</v>
      </c>
      <c r="F13" s="318" t="s">
        <v>662</v>
      </c>
      <c r="G13" s="318" t="s">
        <v>532</v>
      </c>
      <c r="H13" s="315" t="s">
        <v>482</v>
      </c>
      <c r="I13" s="315" t="s">
        <v>483</v>
      </c>
      <c r="J13" s="315" t="s">
        <v>484</v>
      </c>
      <c r="K13" s="315" t="s">
        <v>661</v>
      </c>
      <c r="L13" s="315" t="s">
        <v>655</v>
      </c>
      <c r="M13" s="465" t="s">
        <v>412</v>
      </c>
      <c r="N13" s="555">
        <f>L10/G10-1</f>
        <v>2.0709293295366749E-3</v>
      </c>
    </row>
    <row r="14" spans="1:14" ht="21" thickBot="1">
      <c r="B14" s="377"/>
      <c r="C14" s="326"/>
      <c r="D14" s="326">
        <v>0.48</v>
      </c>
      <c r="E14" s="326">
        <f>0.525+0.495+0.35</f>
        <v>1.37</v>
      </c>
      <c r="F14" s="326">
        <v>0.35</v>
      </c>
      <c r="G14" s="327"/>
      <c r="H14" s="328"/>
      <c r="I14" s="329">
        <v>0.48</v>
      </c>
      <c r="J14" s="329">
        <v>1.37</v>
      </c>
      <c r="K14" s="329">
        <v>0.35</v>
      </c>
      <c r="L14" s="329"/>
      <c r="M14" s="303"/>
      <c r="N14" s="475"/>
    </row>
    <row r="15" spans="1:14" ht="20.25">
      <c r="B15" s="378" t="s">
        <v>452</v>
      </c>
      <c r="C15" s="567">
        <f>SUM(C16:G19)</f>
        <v>1.3980000000000001</v>
      </c>
      <c r="D15" s="567"/>
      <c r="E15" s="567"/>
      <c r="F15" s="567"/>
      <c r="G15" s="568"/>
      <c r="H15" s="598">
        <f>SUM(H16:L19)</f>
        <v>1.5409999999999999</v>
      </c>
      <c r="I15" s="599"/>
      <c r="J15" s="599"/>
      <c r="K15" s="599"/>
      <c r="L15" s="600"/>
      <c r="M15" s="485">
        <f>N16</f>
        <v>5.9633027522935755E-2</v>
      </c>
      <c r="N15" s="476"/>
    </row>
    <row r="16" spans="1:14" ht="20.25">
      <c r="B16" s="379"/>
      <c r="C16" s="307" t="s">
        <v>389</v>
      </c>
      <c r="D16" s="307" t="s">
        <v>384</v>
      </c>
      <c r="E16" s="307" t="s">
        <v>383</v>
      </c>
      <c r="F16" s="307" t="s">
        <v>390</v>
      </c>
      <c r="G16" s="308" t="s">
        <v>341</v>
      </c>
      <c r="H16" s="309" t="s">
        <v>485</v>
      </c>
      <c r="I16" s="309" t="s">
        <v>486</v>
      </c>
      <c r="J16" s="309" t="s">
        <v>487</v>
      </c>
      <c r="K16" s="309" t="s">
        <v>488</v>
      </c>
      <c r="L16" s="309" t="s">
        <v>489</v>
      </c>
      <c r="M16" s="299" t="s">
        <v>507</v>
      </c>
      <c r="N16" s="477">
        <f>SUM(1,H16:L19)/SUM(1,C16:G19)-1</f>
        <v>5.9633027522935755E-2</v>
      </c>
    </row>
    <row r="17" spans="1:14" ht="20.25">
      <c r="B17" s="379"/>
      <c r="C17" s="311">
        <v>0.2</v>
      </c>
      <c r="D17" s="311"/>
      <c r="E17" s="311"/>
      <c r="F17" s="311">
        <v>0.56999999999999995</v>
      </c>
      <c r="G17" s="312"/>
      <c r="H17" s="313">
        <v>0.2</v>
      </c>
      <c r="I17" s="314"/>
      <c r="J17" s="314"/>
      <c r="K17" s="314">
        <v>0.56999999999999995</v>
      </c>
      <c r="L17" s="314">
        <v>0.14299999999999999</v>
      </c>
      <c r="M17" s="300"/>
      <c r="N17" s="472"/>
    </row>
    <row r="18" spans="1:14" ht="20.25">
      <c r="B18" s="379"/>
      <c r="C18" s="315" t="s">
        <v>391</v>
      </c>
      <c r="D18" s="315" t="s">
        <v>392</v>
      </c>
      <c r="E18" s="315"/>
      <c r="F18" s="315"/>
      <c r="G18" s="330"/>
      <c r="H18" s="318" t="s">
        <v>482</v>
      </c>
      <c r="I18" s="318" t="s">
        <v>484</v>
      </c>
      <c r="J18" s="318"/>
      <c r="K18" s="318"/>
      <c r="L18" s="318"/>
      <c r="M18" s="299"/>
      <c r="N18" s="471"/>
    </row>
    <row r="19" spans="1:14" ht="21" thickBot="1">
      <c r="B19" s="379"/>
      <c r="C19" s="320"/>
      <c r="D19" s="320">
        <v>0.628</v>
      </c>
      <c r="E19" s="320"/>
      <c r="F19" s="320"/>
      <c r="G19" s="331"/>
      <c r="H19" s="321"/>
      <c r="I19" s="332">
        <v>0.628</v>
      </c>
      <c r="J19" s="332"/>
      <c r="K19" s="332"/>
      <c r="L19" s="332"/>
      <c r="M19" s="301"/>
      <c r="N19" s="473"/>
    </row>
    <row r="20" spans="1:14" ht="20.25">
      <c r="B20" s="380" t="s">
        <v>451</v>
      </c>
      <c r="C20" s="363" t="s">
        <v>409</v>
      </c>
      <c r="D20" s="365">
        <f>SUM(C21:G24)</f>
        <v>3.9870000000000005</v>
      </c>
      <c r="E20" s="361"/>
      <c r="F20" s="363" t="s">
        <v>412</v>
      </c>
      <c r="G20" s="366">
        <f>SUM(C21:G22,C23:D24)</f>
        <v>3.4160000000000004</v>
      </c>
      <c r="H20" s="364" t="s">
        <v>408</v>
      </c>
      <c r="I20" s="367">
        <f>SUM(H21:L24)</f>
        <v>4.0250000000000004</v>
      </c>
      <c r="J20" s="362"/>
      <c r="K20" s="364" t="s">
        <v>411</v>
      </c>
      <c r="L20" s="367">
        <f>SUM(H21:L22,H23:I24)</f>
        <v>3.4540000000000002</v>
      </c>
      <c r="M20" s="488">
        <f>N22</f>
        <v>9.5309756709305304E-3</v>
      </c>
      <c r="N20" s="474"/>
    </row>
    <row r="21" spans="1:14" ht="20.25">
      <c r="B21" s="377"/>
      <c r="C21" s="309" t="s">
        <v>142</v>
      </c>
      <c r="D21" s="309" t="s">
        <v>324</v>
      </c>
      <c r="E21" s="309" t="s">
        <v>325</v>
      </c>
      <c r="F21" s="309" t="s">
        <v>297</v>
      </c>
      <c r="G21" s="322" t="s">
        <v>364</v>
      </c>
      <c r="H21" s="307" t="s">
        <v>394</v>
      </c>
      <c r="I21" s="307" t="s">
        <v>395</v>
      </c>
      <c r="J21" s="307" t="s">
        <v>396</v>
      </c>
      <c r="K21" s="307" t="s">
        <v>397</v>
      </c>
      <c r="L21" s="307" t="s">
        <v>398</v>
      </c>
      <c r="M21" s="462" t="s">
        <v>510</v>
      </c>
      <c r="N21" s="478"/>
    </row>
    <row r="22" spans="1:14" ht="20.25">
      <c r="B22" s="377"/>
      <c r="C22" s="314">
        <v>0.55000000000000004</v>
      </c>
      <c r="D22" s="314">
        <v>0.4</v>
      </c>
      <c r="E22" s="314">
        <f>0.914+0.247</f>
        <v>1.161</v>
      </c>
      <c r="F22" s="314">
        <v>0.6</v>
      </c>
      <c r="G22" s="323">
        <v>0.25</v>
      </c>
      <c r="H22" s="324">
        <v>0.55000000000000004</v>
      </c>
      <c r="I22" s="311">
        <v>0.4</v>
      </c>
      <c r="J22" s="311">
        <v>0.91400000000000003</v>
      </c>
      <c r="K22" s="311">
        <v>0.88500000000000001</v>
      </c>
      <c r="L22" s="311">
        <v>0.25</v>
      </c>
      <c r="M22" s="463" t="s">
        <v>509</v>
      </c>
      <c r="N22" s="479">
        <f>I20/D20-1</f>
        <v>9.5309756709305304E-3</v>
      </c>
    </row>
    <row r="23" spans="1:14" ht="20.25">
      <c r="B23" s="377"/>
      <c r="C23" s="318" t="s">
        <v>327</v>
      </c>
      <c r="D23" s="318" t="s">
        <v>328</v>
      </c>
      <c r="E23" s="318" t="s">
        <v>402</v>
      </c>
      <c r="F23" s="318" t="s">
        <v>404</v>
      </c>
      <c r="G23" s="325"/>
      <c r="H23" s="315" t="s">
        <v>399</v>
      </c>
      <c r="I23" s="315" t="s">
        <v>400</v>
      </c>
      <c r="J23" s="315" t="s">
        <v>401</v>
      </c>
      <c r="K23" s="315" t="s">
        <v>403</v>
      </c>
      <c r="L23" s="315"/>
      <c r="M23" s="465" t="s">
        <v>508</v>
      </c>
      <c r="N23" s="479">
        <f>L20/G20-1</f>
        <v>1.1124121779859442E-2</v>
      </c>
    </row>
    <row r="24" spans="1:14" ht="21" thickBot="1">
      <c r="B24" s="377"/>
      <c r="C24" s="326">
        <v>0.2</v>
      </c>
      <c r="D24" s="326">
        <v>0.255</v>
      </c>
      <c r="E24" s="326">
        <v>0.27</v>
      </c>
      <c r="F24" s="326">
        <v>0.30099999999999999</v>
      </c>
      <c r="G24" s="327"/>
      <c r="H24" s="328">
        <v>0.2</v>
      </c>
      <c r="I24" s="329">
        <v>0.255</v>
      </c>
      <c r="J24" s="329">
        <v>0.27</v>
      </c>
      <c r="K24" s="329">
        <v>0.30099999999999999</v>
      </c>
      <c r="L24" s="329"/>
      <c r="M24" s="302"/>
      <c r="N24" s="480"/>
    </row>
    <row r="25" spans="1:14" ht="20.25">
      <c r="B25" s="378" t="s">
        <v>511</v>
      </c>
      <c r="C25" s="567">
        <f>PRODUCT(C27+C28,D27+D28,E27+E28,F27+F28,G27+G28)</f>
        <v>2.7626953125</v>
      </c>
      <c r="D25" s="567"/>
      <c r="E25" s="567"/>
      <c r="F25" s="567"/>
      <c r="G25" s="568"/>
      <c r="H25" s="601">
        <f>PRODUCT(H27+H28,I27+I28,J27+J28,K27+K28,L27+L28)</f>
        <v>2.7626953125</v>
      </c>
      <c r="I25" s="569"/>
      <c r="J25" s="569"/>
      <c r="K25" s="569"/>
      <c r="L25" s="602"/>
      <c r="M25" s="485">
        <f>H25/C25-1</f>
        <v>0</v>
      </c>
      <c r="N25" s="476"/>
    </row>
    <row r="26" spans="1:14">
      <c r="B26" s="381"/>
      <c r="C26" s="315" t="s">
        <v>337</v>
      </c>
      <c r="D26" s="315" t="s">
        <v>336</v>
      </c>
      <c r="E26" s="315" t="s">
        <v>358</v>
      </c>
      <c r="F26" s="315" t="s">
        <v>338</v>
      </c>
      <c r="G26" s="330" t="s">
        <v>333</v>
      </c>
      <c r="H26" s="318" t="s">
        <v>656</v>
      </c>
      <c r="I26" s="318" t="s">
        <v>657</v>
      </c>
      <c r="J26" s="318" t="s">
        <v>358</v>
      </c>
      <c r="K26" s="318" t="s">
        <v>338</v>
      </c>
      <c r="L26" s="318" t="s">
        <v>333</v>
      </c>
      <c r="M26" s="299" t="str">
        <f>C26&amp;" 득실"</f>
        <v>영업비밀 득실</v>
      </c>
      <c r="N26" s="471"/>
    </row>
    <row r="27" spans="1:14">
      <c r="B27" s="381"/>
      <c r="C27" s="320">
        <v>0.25</v>
      </c>
      <c r="D27" s="320">
        <v>0.23</v>
      </c>
      <c r="E27" s="320">
        <v>0.15</v>
      </c>
      <c r="F27" s="320">
        <v>0.25</v>
      </c>
      <c r="G27" s="331">
        <v>0.25</v>
      </c>
      <c r="H27" s="326">
        <v>0.25</v>
      </c>
      <c r="I27" s="332">
        <v>0.23</v>
      </c>
      <c r="J27" s="332">
        <v>0.15</v>
      </c>
      <c r="K27" s="332">
        <v>0.25</v>
      </c>
      <c r="L27" s="332">
        <v>0.25</v>
      </c>
      <c r="M27" s="299" t="str">
        <f>D26&amp;" 득실"</f>
        <v>치명적인매복 득실</v>
      </c>
      <c r="N27" s="471"/>
    </row>
    <row r="28" spans="1:14" ht="17.25" thickBot="1">
      <c r="B28" s="381"/>
      <c r="C28" s="495">
        <v>1</v>
      </c>
      <c r="D28" s="495">
        <v>1</v>
      </c>
      <c r="E28" s="495">
        <v>1</v>
      </c>
      <c r="F28" s="495">
        <v>1</v>
      </c>
      <c r="G28" s="496">
        <v>1</v>
      </c>
      <c r="H28" s="497">
        <v>1</v>
      </c>
      <c r="I28" s="498">
        <v>1</v>
      </c>
      <c r="J28" s="498">
        <v>1</v>
      </c>
      <c r="K28" s="498">
        <v>1</v>
      </c>
      <c r="L28" s="498">
        <v>1</v>
      </c>
      <c r="M28" s="300" t="str">
        <f>E26&amp;" 득실"</f>
        <v>약점노출 득실</v>
      </c>
      <c r="N28" s="472"/>
    </row>
    <row r="29" spans="1:14" ht="24.75" customHeight="1" thickTop="1">
      <c r="A29" s="508" t="s">
        <v>515</v>
      </c>
      <c r="B29" s="586" t="s">
        <v>523</v>
      </c>
      <c r="C29" s="603" t="s">
        <v>409</v>
      </c>
      <c r="D29" s="605">
        <f>(D4/1000+1)*((1+D10)*C5+(1-C5))*(1+C15)*(1+D20)*C25</f>
        <v>210.46260844485451</v>
      </c>
      <c r="E29" s="605"/>
      <c r="F29" s="605" t="s">
        <v>412</v>
      </c>
      <c r="G29" s="607">
        <f>(D4/1000+1)*((1+G10)*C5+(1-C5))*(1+C15)*(1+G20)*C25</f>
        <v>186.36512510376531</v>
      </c>
      <c r="H29" s="609" t="s">
        <v>409</v>
      </c>
      <c r="I29" s="582">
        <f>(I4/1000+1)*((1+I10)*H5+(1-H5))*(1+H15)*(1+I20)*H25</f>
        <v>215.90458431176793</v>
      </c>
      <c r="J29" s="582"/>
      <c r="K29" s="582" t="s">
        <v>411</v>
      </c>
      <c r="L29" s="584">
        <f>(I4/1000+1)*((1+L10)*H5+(1-H5))*(1+H15)*(1+L20)*H25</f>
        <v>191.37094896012226</v>
      </c>
      <c r="M29" s="491" t="s">
        <v>459</v>
      </c>
      <c r="N29" s="493">
        <f>I29/D29-1</f>
        <v>2.5857210015238108E-2</v>
      </c>
    </row>
    <row r="30" spans="1:14" ht="24.75" customHeight="1" thickBot="1">
      <c r="A30" s="442" t="s">
        <v>526</v>
      </c>
      <c r="B30" s="587"/>
      <c r="C30" s="604"/>
      <c r="D30" s="606"/>
      <c r="E30" s="606"/>
      <c r="F30" s="606"/>
      <c r="G30" s="608"/>
      <c r="H30" s="610"/>
      <c r="I30" s="583"/>
      <c r="J30" s="583"/>
      <c r="K30" s="583"/>
      <c r="L30" s="585"/>
      <c r="M30" s="492" t="s">
        <v>412</v>
      </c>
      <c r="N30" s="494">
        <f>L29/G29-1</f>
        <v>2.6860303683802433E-2</v>
      </c>
    </row>
    <row r="31" spans="1:14" ht="21" thickTop="1">
      <c r="A31" s="442"/>
      <c r="B31" s="383" t="s">
        <v>446</v>
      </c>
      <c r="C31" s="577">
        <f>SUM(C32:F33)*G33+SUM(C34:F35)*G35</f>
        <v>4.3523519999999998</v>
      </c>
      <c r="D31" s="577"/>
      <c r="E31" s="577"/>
      <c r="F31" s="577"/>
      <c r="G31" s="578"/>
      <c r="H31" s="579">
        <f>SUM(H32:K33)*L33+SUM(H34:K35)*L35</f>
        <v>4.3523519999999998</v>
      </c>
      <c r="I31" s="580"/>
      <c r="J31" s="580"/>
      <c r="K31" s="580"/>
      <c r="L31" s="581"/>
      <c r="M31" s="488">
        <f>N32</f>
        <v>0</v>
      </c>
      <c r="N31" s="481"/>
    </row>
    <row r="32" spans="1:14">
      <c r="B32" s="384" t="s">
        <v>447</v>
      </c>
      <c r="C32" s="309" t="s">
        <v>439</v>
      </c>
      <c r="D32" s="309" t="s">
        <v>410</v>
      </c>
      <c r="E32" s="309" t="s">
        <v>405</v>
      </c>
      <c r="F32" s="309" t="s">
        <v>406</v>
      </c>
      <c r="G32" s="322" t="s">
        <v>407</v>
      </c>
      <c r="H32" s="306" t="s">
        <v>439</v>
      </c>
      <c r="I32" s="307" t="s">
        <v>410</v>
      </c>
      <c r="J32" s="307" t="s">
        <v>405</v>
      </c>
      <c r="K32" s="307" t="s">
        <v>406</v>
      </c>
      <c r="L32" s="307" t="s">
        <v>407</v>
      </c>
      <c r="M32" s="464" t="s">
        <v>505</v>
      </c>
      <c r="N32" s="479">
        <f>H31/C31-1</f>
        <v>0</v>
      </c>
    </row>
    <row r="33" spans="1:14">
      <c r="B33" s="384"/>
      <c r="C33" s="314">
        <v>1.04</v>
      </c>
      <c r="D33" s="314">
        <f>1.3*1.3</f>
        <v>1.6900000000000002</v>
      </c>
      <c r="E33" s="314">
        <f>D33*0.3</f>
        <v>0.50700000000000001</v>
      </c>
      <c r="F33" s="314">
        <f>D33*0.3</f>
        <v>0.50700000000000001</v>
      </c>
      <c r="G33" s="323">
        <v>0.7</v>
      </c>
      <c r="H33" s="310">
        <v>1.04</v>
      </c>
      <c r="I33" s="311">
        <f>1.3*1.3</f>
        <v>1.6900000000000002</v>
      </c>
      <c r="J33" s="311">
        <f>I33*0.3</f>
        <v>0.50700000000000001</v>
      </c>
      <c r="K33" s="311">
        <f>I33*0.3</f>
        <v>0.50700000000000001</v>
      </c>
      <c r="L33" s="311">
        <v>0.7</v>
      </c>
      <c r="M33" s="467" t="s">
        <v>506</v>
      </c>
      <c r="N33" s="479">
        <f>SUM(H32:K33)/SUM(C32:F33)-1</f>
        <v>0</v>
      </c>
    </row>
    <row r="34" spans="1:14">
      <c r="B34" s="384" t="s">
        <v>440</v>
      </c>
      <c r="C34" s="318" t="s">
        <v>439</v>
      </c>
      <c r="D34" s="318" t="s">
        <v>410</v>
      </c>
      <c r="E34" s="318" t="s">
        <v>405</v>
      </c>
      <c r="F34" s="318" t="s">
        <v>406</v>
      </c>
      <c r="G34" s="325" t="s">
        <v>407</v>
      </c>
      <c r="H34" s="333" t="s">
        <v>439</v>
      </c>
      <c r="I34" s="307" t="s">
        <v>410</v>
      </c>
      <c r="J34" s="315" t="s">
        <v>663</v>
      </c>
      <c r="K34" s="315" t="s">
        <v>664</v>
      </c>
      <c r="L34" s="315" t="s">
        <v>407</v>
      </c>
      <c r="M34" s="465" t="s">
        <v>440</v>
      </c>
      <c r="N34" s="479">
        <f>SUM(H34:K36)/SUM(C34:F36)-1</f>
        <v>0</v>
      </c>
    </row>
    <row r="35" spans="1:14">
      <c r="B35" s="384"/>
      <c r="C35" s="556">
        <f>1.54*(1+D36)</f>
        <v>2.0943999999999998</v>
      </c>
      <c r="D35" s="326">
        <f>1.3*1.3*(1+D36)</f>
        <v>2.2984</v>
      </c>
      <c r="E35" s="326">
        <f>$D$35*$F$36</f>
        <v>0.68952000000000002</v>
      </c>
      <c r="F35" s="326">
        <f>$D$35*$F$36</f>
        <v>0.68952000000000002</v>
      </c>
      <c r="G35" s="327">
        <v>0.3</v>
      </c>
      <c r="H35" s="348">
        <f>1.54*(1+I36)</f>
        <v>2.0943999999999998</v>
      </c>
      <c r="I35" s="320">
        <f>1.3*1.3*(1+I36)</f>
        <v>2.2984</v>
      </c>
      <c r="J35" s="320">
        <f>$I$35*$K$36</f>
        <v>0.68952000000000002</v>
      </c>
      <c r="K35" s="320">
        <f>$I$35*$K$36</f>
        <v>0.68952000000000002</v>
      </c>
      <c r="L35" s="331">
        <v>0.3</v>
      </c>
      <c r="M35" s="465"/>
      <c r="N35" s="479"/>
    </row>
    <row r="36" spans="1:14" ht="17.25" thickBot="1">
      <c r="B36" s="385" t="s">
        <v>465</v>
      </c>
      <c r="C36" s="558" t="s">
        <v>665</v>
      </c>
      <c r="D36" s="559">
        <v>0.36</v>
      </c>
      <c r="E36" s="560" t="s">
        <v>666</v>
      </c>
      <c r="F36" s="561">
        <v>0.3</v>
      </c>
      <c r="G36" s="562"/>
      <c r="H36" s="563" t="s">
        <v>665</v>
      </c>
      <c r="I36" s="559">
        <v>0.36</v>
      </c>
      <c r="J36" s="564" t="s">
        <v>666</v>
      </c>
      <c r="K36" s="565">
        <v>0.3</v>
      </c>
      <c r="L36" s="557"/>
      <c r="M36" s="303"/>
      <c r="N36" s="475"/>
    </row>
    <row r="37" spans="1:14" ht="20.25">
      <c r="B37" s="386" t="s">
        <v>445</v>
      </c>
      <c r="C37" s="567">
        <f>SUM(C38:G39)</f>
        <v>1.05</v>
      </c>
      <c r="D37" s="567"/>
      <c r="E37" s="567"/>
      <c r="F37" s="567"/>
      <c r="G37" s="568"/>
      <c r="H37" s="569">
        <f>SUM(H38:L39)</f>
        <v>1.05</v>
      </c>
      <c r="I37" s="569"/>
      <c r="J37" s="569"/>
      <c r="K37" s="569"/>
      <c r="L37" s="569"/>
      <c r="M37" s="487">
        <f>H37/C37-1</f>
        <v>0</v>
      </c>
      <c r="N37" s="476"/>
    </row>
    <row r="38" spans="1:14">
      <c r="B38" s="387" t="s">
        <v>412</v>
      </c>
      <c r="C38" s="315" t="s">
        <v>413</v>
      </c>
      <c r="D38" s="315"/>
      <c r="E38" s="315"/>
      <c r="F38" s="315"/>
      <c r="G38" s="330"/>
      <c r="H38" s="318" t="s">
        <v>413</v>
      </c>
      <c r="I38" s="318"/>
      <c r="J38" s="318"/>
      <c r="K38" s="318"/>
      <c r="L38" s="318"/>
      <c r="M38" s="299"/>
      <c r="N38" s="471"/>
    </row>
    <row r="39" spans="1:14" ht="17.25" thickBot="1">
      <c r="B39" s="387" t="s">
        <v>432</v>
      </c>
      <c r="C39" s="320">
        <v>1.05</v>
      </c>
      <c r="D39" s="320"/>
      <c r="E39" s="320"/>
      <c r="F39" s="320"/>
      <c r="G39" s="331"/>
      <c r="H39" s="326">
        <v>1.05</v>
      </c>
      <c r="I39" s="332"/>
      <c r="J39" s="332"/>
      <c r="K39" s="332"/>
      <c r="L39" s="332"/>
      <c r="M39" s="300" t="s">
        <v>435</v>
      </c>
      <c r="N39" s="472"/>
    </row>
    <row r="40" spans="1:14" ht="21" thickTop="1">
      <c r="A40" s="508" t="s">
        <v>516</v>
      </c>
      <c r="B40" s="401" t="s">
        <v>462</v>
      </c>
      <c r="C40" s="420" t="s">
        <v>459</v>
      </c>
      <c r="D40" s="421">
        <f>D29*C31</f>
        <v>916.00735479017942</v>
      </c>
      <c r="E40" s="402"/>
      <c r="F40" s="420" t="s">
        <v>412</v>
      </c>
      <c r="G40" s="422">
        <f>G29*C37</f>
        <v>195.68338135895357</v>
      </c>
      <c r="H40" s="426" t="s">
        <v>459</v>
      </c>
      <c r="I40" s="424">
        <f>I29*H31</f>
        <v>939.69274933849169</v>
      </c>
      <c r="J40" s="403"/>
      <c r="K40" s="425" t="s">
        <v>411</v>
      </c>
      <c r="L40" s="423">
        <f>L29*H37</f>
        <v>200.93949640812838</v>
      </c>
      <c r="M40" s="486">
        <f>N41</f>
        <v>2.6033777791240498E-2</v>
      </c>
      <c r="N40" s="483"/>
    </row>
    <row r="41" spans="1:14" ht="20.25">
      <c r="A41" s="442" t="s">
        <v>527</v>
      </c>
      <c r="B41" s="404" t="s">
        <v>669</v>
      </c>
      <c r="C41" s="413" t="s">
        <v>457</v>
      </c>
      <c r="D41" s="505">
        <f>D40/SUM(C40:G40)</f>
        <v>0.82397678149518849</v>
      </c>
      <c r="E41" s="405"/>
      <c r="F41" s="413" t="s">
        <v>457</v>
      </c>
      <c r="G41" s="414">
        <f>G40/SUM(C40:G40)</f>
        <v>0.17602321850481148</v>
      </c>
      <c r="H41" s="419" t="s">
        <v>457</v>
      </c>
      <c r="I41" s="416">
        <f>I40/SUM(H40:L40)</f>
        <v>0.82383498523961152</v>
      </c>
      <c r="J41" s="406"/>
      <c r="K41" s="418" t="s">
        <v>457</v>
      </c>
      <c r="L41" s="417">
        <f>L40/SUM(H40:L40)</f>
        <v>0.17616501476038846</v>
      </c>
      <c r="M41" s="461" t="s">
        <v>499</v>
      </c>
      <c r="N41" s="503">
        <f>J42/E42-1</f>
        <v>2.6033777791240498E-2</v>
      </c>
    </row>
    <row r="42" spans="1:14" ht="35.25" customHeight="1" thickBot="1">
      <c r="B42" s="407" t="s">
        <v>668</v>
      </c>
      <c r="C42" s="408"/>
      <c r="D42" s="430" t="s">
        <v>182</v>
      </c>
      <c r="E42" s="572">
        <f>D40+G40</f>
        <v>1111.690736149133</v>
      </c>
      <c r="F42" s="572"/>
      <c r="G42" s="409"/>
      <c r="H42" s="410"/>
      <c r="I42" s="431" t="s">
        <v>458</v>
      </c>
      <c r="J42" s="566">
        <f>I40+L40</f>
        <v>1140.6322457466201</v>
      </c>
      <c r="K42" s="566"/>
      <c r="L42" s="411"/>
      <c r="M42" s="588" t="s">
        <v>500</v>
      </c>
      <c r="N42" s="589"/>
    </row>
    <row r="43" spans="1:14" ht="21" thickTop="1">
      <c r="B43" s="386" t="s">
        <v>490</v>
      </c>
      <c r="C43" s="590">
        <f>AVERAGE(C45+E45,D45+F45)</f>
        <v>2192</v>
      </c>
      <c r="D43" s="590"/>
      <c r="E43" s="590"/>
      <c r="F43" s="590"/>
      <c r="G43" s="591"/>
      <c r="H43" s="592">
        <f>AVERAGE(H45+J45,I45+K45)</f>
        <v>2268</v>
      </c>
      <c r="I43" s="593"/>
      <c r="J43" s="593"/>
      <c r="K43" s="593"/>
      <c r="L43" s="594"/>
      <c r="M43" s="485">
        <f>N44</f>
        <v>3.4671532846715314E-2</v>
      </c>
      <c r="N43" s="484"/>
    </row>
    <row r="44" spans="1:14" ht="17.25">
      <c r="B44" s="387" t="s">
        <v>412</v>
      </c>
      <c r="C44" s="315" t="s">
        <v>492</v>
      </c>
      <c r="D44" s="315" t="s">
        <v>494</v>
      </c>
      <c r="E44" s="315" t="s">
        <v>496</v>
      </c>
      <c r="F44" s="315" t="s">
        <v>498</v>
      </c>
      <c r="G44" s="330"/>
      <c r="H44" s="318" t="s">
        <v>491</v>
      </c>
      <c r="I44" s="318" t="s">
        <v>493</v>
      </c>
      <c r="J44" s="318" t="s">
        <v>495</v>
      </c>
      <c r="K44" s="318" t="s">
        <v>497</v>
      </c>
      <c r="L44" s="325"/>
      <c r="M44" s="490" t="s">
        <v>503</v>
      </c>
      <c r="N44" s="504">
        <f>H43/C43-1</f>
        <v>3.4671532846715314E-2</v>
      </c>
    </row>
    <row r="45" spans="1:14" ht="17.25" thickBot="1">
      <c r="B45" s="387" t="s">
        <v>432</v>
      </c>
      <c r="C45" s="455">
        <v>932</v>
      </c>
      <c r="D45" s="455">
        <v>1398</v>
      </c>
      <c r="E45" s="455">
        <v>822</v>
      </c>
      <c r="F45" s="455">
        <v>1232</v>
      </c>
      <c r="G45" s="456"/>
      <c r="H45" s="457">
        <v>993</v>
      </c>
      <c r="I45" s="457">
        <v>1489</v>
      </c>
      <c r="J45" s="457">
        <v>822</v>
      </c>
      <c r="K45" s="457">
        <v>1232</v>
      </c>
      <c r="L45" s="458"/>
      <c r="M45" s="299"/>
      <c r="N45" s="459"/>
    </row>
    <row r="46" spans="1:14" ht="21" thickTop="1">
      <c r="A46" s="508" t="s">
        <v>518</v>
      </c>
      <c r="B46" s="401" t="s">
        <v>512</v>
      </c>
      <c r="C46" s="420" t="s">
        <v>459</v>
      </c>
      <c r="D46" s="499">
        <f>D40*C43</f>
        <v>2007888.1217000734</v>
      </c>
      <c r="E46" s="402"/>
      <c r="F46" s="420" t="s">
        <v>412</v>
      </c>
      <c r="G46" s="500">
        <f>G40*C43</f>
        <v>428937.9719388262</v>
      </c>
      <c r="H46" s="426" t="s">
        <v>459</v>
      </c>
      <c r="I46" s="501">
        <f>I40*H43</f>
        <v>2131223.1554996991</v>
      </c>
      <c r="J46" s="403"/>
      <c r="K46" s="425" t="s">
        <v>411</v>
      </c>
      <c r="L46" s="502">
        <f>L40*H43</f>
        <v>455730.77785363514</v>
      </c>
      <c r="M46" s="486">
        <f>N47</f>
        <v>6.1607941619768791E-2</v>
      </c>
      <c r="N46" s="483"/>
    </row>
    <row r="47" spans="1:14" ht="20.25">
      <c r="A47" s="442" t="s">
        <v>517</v>
      </c>
      <c r="B47" s="404" t="s">
        <v>513</v>
      </c>
      <c r="C47" s="413" t="s">
        <v>457</v>
      </c>
      <c r="D47" s="505">
        <f>D46/SUM(C46:G46)</f>
        <v>0.82397678149518849</v>
      </c>
      <c r="E47" s="405"/>
      <c r="F47" s="413" t="s">
        <v>457</v>
      </c>
      <c r="G47" s="505">
        <f>G46/SUM(C46:G46)</f>
        <v>0.17602321850481145</v>
      </c>
      <c r="H47" s="419" t="s">
        <v>457</v>
      </c>
      <c r="I47" s="416">
        <f>I46/SUM(H46:L46)</f>
        <v>0.82383498523961152</v>
      </c>
      <c r="J47" s="406"/>
      <c r="K47" s="418" t="s">
        <v>457</v>
      </c>
      <c r="L47" s="417">
        <f>L46/SUM(H46:L46)</f>
        <v>0.17616501476038848</v>
      </c>
      <c r="M47" s="461" t="s">
        <v>499</v>
      </c>
      <c r="N47" s="503">
        <f>J48/E48-1</f>
        <v>6.1607941619768791E-2</v>
      </c>
    </row>
    <row r="48" spans="1:14" ht="35.25" customHeight="1" thickBot="1">
      <c r="A48" s="442"/>
      <c r="B48" s="407" t="s">
        <v>514</v>
      </c>
      <c r="C48" s="408"/>
      <c r="D48" s="430" t="s">
        <v>182</v>
      </c>
      <c r="E48" s="595">
        <f>D46+G46</f>
        <v>2436826.0936388997</v>
      </c>
      <c r="F48" s="595"/>
      <c r="G48" s="409"/>
      <c r="H48" s="410"/>
      <c r="I48" s="431" t="s">
        <v>458</v>
      </c>
      <c r="J48" s="596">
        <f>I46+L46</f>
        <v>2586953.9333533342</v>
      </c>
      <c r="K48" s="596"/>
      <c r="L48" s="411"/>
      <c r="M48" s="588" t="s">
        <v>667</v>
      </c>
      <c r="N48" s="589"/>
    </row>
    <row r="49" spans="1:14" ht="21" thickTop="1">
      <c r="B49" s="388" t="s">
        <v>422</v>
      </c>
      <c r="C49" s="349" t="s">
        <v>416</v>
      </c>
      <c r="D49" s="350"/>
      <c r="E49" s="349" t="s">
        <v>415</v>
      </c>
      <c r="F49" s="350"/>
      <c r="G49" s="351" t="s">
        <v>419</v>
      </c>
      <c r="H49" s="354" t="s">
        <v>416</v>
      </c>
      <c r="I49" s="355"/>
      <c r="J49" s="356" t="s">
        <v>415</v>
      </c>
      <c r="K49" s="355"/>
      <c r="L49" s="356" t="s">
        <v>419</v>
      </c>
      <c r="M49" s="488">
        <f>L50/G50-1</f>
        <v>0</v>
      </c>
      <c r="N49" s="474"/>
    </row>
    <row r="50" spans="1:14" ht="20.25">
      <c r="B50" s="389"/>
      <c r="C50" s="352">
        <f>E52*SUM(1,C53:D54)</f>
        <v>1.6099999999999999</v>
      </c>
      <c r="D50" s="353"/>
      <c r="E50" s="352">
        <f>E52*SUM(1,C53:E54)</f>
        <v>1.6996999999999998</v>
      </c>
      <c r="F50" s="353"/>
      <c r="G50" s="373">
        <f>AVERAGE(C50:F50)</f>
        <v>1.6548499999999997</v>
      </c>
      <c r="H50" s="357">
        <f>J52*SUM(1,H53:I54)</f>
        <v>1.6099999999999999</v>
      </c>
      <c r="I50" s="358"/>
      <c r="J50" s="359">
        <f>J52*SUM(1,H53:J54)</f>
        <v>1.6996999999999998</v>
      </c>
      <c r="K50" s="358"/>
      <c r="L50" s="359">
        <f>AVERAGE(H50:K50)</f>
        <v>1.6548499999999997</v>
      </c>
      <c r="M50" s="466" t="s">
        <v>419</v>
      </c>
      <c r="N50" s="479">
        <f>L50/G50-1</f>
        <v>0</v>
      </c>
    </row>
    <row r="51" spans="1:14">
      <c r="B51" s="384" t="s">
        <v>215</v>
      </c>
      <c r="C51" s="336" t="s">
        <v>418</v>
      </c>
      <c r="D51" s="336" t="s">
        <v>414</v>
      </c>
      <c r="E51" s="337" t="s">
        <v>419</v>
      </c>
      <c r="F51" s="336"/>
      <c r="G51" s="338"/>
      <c r="H51" s="339" t="s">
        <v>418</v>
      </c>
      <c r="I51" s="340" t="s">
        <v>414</v>
      </c>
      <c r="J51" s="341" t="s">
        <v>419</v>
      </c>
      <c r="K51" s="340"/>
      <c r="L51" s="340"/>
      <c r="M51" s="467" t="s">
        <v>504</v>
      </c>
      <c r="N51" s="479">
        <f>H50/C50-1</f>
        <v>0</v>
      </c>
    </row>
    <row r="52" spans="1:14">
      <c r="B52" s="389"/>
      <c r="C52" s="342">
        <v>1.1000000000000001</v>
      </c>
      <c r="D52" s="342">
        <v>1.2</v>
      </c>
      <c r="E52" s="342">
        <f>AVERAGE(C52:D52)</f>
        <v>1.1499999999999999</v>
      </c>
      <c r="F52" s="342"/>
      <c r="G52" s="343"/>
      <c r="H52" s="344">
        <v>1.1000000000000001</v>
      </c>
      <c r="I52" s="345">
        <v>1.2</v>
      </c>
      <c r="J52" s="345">
        <f>AVERAGE(H52:I52)</f>
        <v>1.1499999999999999</v>
      </c>
      <c r="K52" s="345"/>
      <c r="L52" s="345"/>
      <c r="M52" s="465" t="s">
        <v>415</v>
      </c>
      <c r="N52" s="479">
        <f>J50/E50-1</f>
        <v>0</v>
      </c>
    </row>
    <row r="53" spans="1:14">
      <c r="B53" s="384" t="s">
        <v>256</v>
      </c>
      <c r="C53" s="319" t="s">
        <v>385</v>
      </c>
      <c r="D53" s="319" t="s">
        <v>417</v>
      </c>
      <c r="E53" s="319" t="s">
        <v>420</v>
      </c>
      <c r="F53" s="319"/>
      <c r="G53" s="346"/>
      <c r="H53" s="347" t="s">
        <v>385</v>
      </c>
      <c r="I53" s="316" t="s">
        <v>417</v>
      </c>
      <c r="J53" s="316" t="s">
        <v>420</v>
      </c>
      <c r="K53" s="316"/>
      <c r="L53" s="316"/>
      <c r="M53" s="297"/>
      <c r="N53" s="482"/>
    </row>
    <row r="54" spans="1:14" ht="17.25" thickBot="1">
      <c r="B54" s="389"/>
      <c r="C54" s="326">
        <v>0.15</v>
      </c>
      <c r="D54" s="326">
        <v>0.25</v>
      </c>
      <c r="E54" s="326">
        <v>7.8E-2</v>
      </c>
      <c r="F54" s="326"/>
      <c r="G54" s="346"/>
      <c r="H54" s="348">
        <v>0.15</v>
      </c>
      <c r="I54" s="320">
        <v>0.25</v>
      </c>
      <c r="J54" s="320">
        <v>7.8E-2</v>
      </c>
      <c r="K54" s="320"/>
      <c r="L54" s="316"/>
      <c r="M54" s="303"/>
      <c r="N54" s="475"/>
    </row>
    <row r="55" spans="1:14" ht="21" thickTop="1">
      <c r="A55" s="508" t="s">
        <v>520</v>
      </c>
      <c r="B55" s="401" t="s">
        <v>522</v>
      </c>
      <c r="C55" s="420" t="s">
        <v>459</v>
      </c>
      <c r="D55" s="506">
        <f>D46*(G50/2)</f>
        <v>1661376.8290976828</v>
      </c>
      <c r="E55" s="402"/>
      <c r="F55" s="420" t="s">
        <v>412</v>
      </c>
      <c r="G55" s="507">
        <f>G46*(G50/2)</f>
        <v>354914.00143148319</v>
      </c>
      <c r="H55" s="426" t="s">
        <v>459</v>
      </c>
      <c r="I55" s="501">
        <f>I46*(L50/2)</f>
        <v>1763427.3194393383</v>
      </c>
      <c r="J55" s="403"/>
      <c r="K55" s="425" t="s">
        <v>411</v>
      </c>
      <c r="L55" s="502">
        <f>L46*(L50/2)</f>
        <v>377083.03886554402</v>
      </c>
      <c r="M55" s="486">
        <f>N56</f>
        <v>6.1607941619769013E-2</v>
      </c>
      <c r="N55" s="483"/>
    </row>
    <row r="56" spans="1:14" ht="20.25">
      <c r="A56" s="442" t="s">
        <v>519</v>
      </c>
      <c r="B56" s="404" t="s">
        <v>521</v>
      </c>
      <c r="C56" s="413" t="s">
        <v>457</v>
      </c>
      <c r="D56" s="505">
        <f>D55/SUM(C55:G55)</f>
        <v>0.8239767814951886</v>
      </c>
      <c r="E56" s="405"/>
      <c r="F56" s="413" t="s">
        <v>457</v>
      </c>
      <c r="G56" s="414">
        <f>G55/SUM(C55:G55)</f>
        <v>0.17602321850481148</v>
      </c>
      <c r="H56" s="419" t="s">
        <v>457</v>
      </c>
      <c r="I56" s="416">
        <f>I55/SUM(H55:L55)</f>
        <v>0.82383498523961152</v>
      </c>
      <c r="J56" s="406"/>
      <c r="K56" s="418" t="s">
        <v>457</v>
      </c>
      <c r="L56" s="417">
        <f>L55/SUM(H55:L55)</f>
        <v>0.17616501476038846</v>
      </c>
      <c r="M56" s="461" t="s">
        <v>499</v>
      </c>
      <c r="N56" s="503">
        <f>J57/E57-1</f>
        <v>6.1607941619769013E-2</v>
      </c>
    </row>
    <row r="57" spans="1:14" ht="35.25" customHeight="1" thickBot="1">
      <c r="B57" s="510" t="s">
        <v>531</v>
      </c>
      <c r="C57" s="408"/>
      <c r="D57" s="430" t="s">
        <v>182</v>
      </c>
      <c r="E57" s="597">
        <f>D55+G55</f>
        <v>2016290.8305291659</v>
      </c>
      <c r="F57" s="597"/>
      <c r="G57" s="409"/>
      <c r="H57" s="410"/>
      <c r="I57" s="431" t="s">
        <v>458</v>
      </c>
      <c r="J57" s="596">
        <f>I55+L55</f>
        <v>2140510.3583048824</v>
      </c>
      <c r="K57" s="596"/>
      <c r="L57" s="411"/>
      <c r="M57" s="588" t="s">
        <v>670</v>
      </c>
      <c r="N57" s="589"/>
    </row>
    <row r="58" spans="1:14" ht="161.25" customHeight="1" thickTop="1">
      <c r="B58" s="570" t="s">
        <v>529</v>
      </c>
      <c r="C58" s="571"/>
      <c r="D58" s="571"/>
      <c r="E58" s="571"/>
      <c r="F58" s="571"/>
      <c r="G58" s="571"/>
      <c r="H58" s="571"/>
      <c r="I58" s="571"/>
      <c r="J58" s="571"/>
      <c r="K58" s="571"/>
      <c r="L58" s="571"/>
      <c r="M58" s="571"/>
      <c r="N58" s="433"/>
    </row>
  </sheetData>
  <mergeCells count="35">
    <mergeCell ref="C2:G2"/>
    <mergeCell ref="H2:L2"/>
    <mergeCell ref="C5:G5"/>
    <mergeCell ref="H5:L5"/>
    <mergeCell ref="C37:G37"/>
    <mergeCell ref="H37:L37"/>
    <mergeCell ref="C15:G15"/>
    <mergeCell ref="H15:L15"/>
    <mergeCell ref="C25:G25"/>
    <mergeCell ref="H25:L25"/>
    <mergeCell ref="C29:C30"/>
    <mergeCell ref="D29:D30"/>
    <mergeCell ref="E29:E30"/>
    <mergeCell ref="F29:F30"/>
    <mergeCell ref="G29:G30"/>
    <mergeCell ref="H29:H30"/>
    <mergeCell ref="B58:M58"/>
    <mergeCell ref="C43:G43"/>
    <mergeCell ref="H43:L43"/>
    <mergeCell ref="E48:F48"/>
    <mergeCell ref="J48:K48"/>
    <mergeCell ref="M48:N48"/>
    <mergeCell ref="M57:N57"/>
    <mergeCell ref="E57:F57"/>
    <mergeCell ref="J57:K57"/>
    <mergeCell ref="C31:G31"/>
    <mergeCell ref="H31:L31"/>
    <mergeCell ref="E42:F42"/>
    <mergeCell ref="J42:K42"/>
    <mergeCell ref="M42:N42"/>
    <mergeCell ref="I29:I30"/>
    <mergeCell ref="J29:J30"/>
    <mergeCell ref="K29:K30"/>
    <mergeCell ref="L29:L30"/>
    <mergeCell ref="B29:B30"/>
  </mergeCells>
  <phoneticPr fontId="2" type="noConversion"/>
  <conditionalFormatting sqref="M3 N3:N41 M5 M10 M15 M20 M25 M31 M37 M40 M43 N43:N44 M49 N49:N56 M55">
    <cfRule type="cellIs" dxfId="6" priority="3" operator="lessThan">
      <formula>0</formula>
    </cfRule>
    <cfRule type="cellIs" dxfId="5" priority="4" operator="greaterThan">
      <formula>0</formula>
    </cfRule>
  </conditionalFormatting>
  <conditionalFormatting sqref="M46 N46:N47">
    <cfRule type="cellIs" dxfId="4" priority="1" operator="lessThan">
      <formula>0</formula>
    </cfRule>
    <cfRule type="cellIs" dxfId="3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0CE17-EE6F-49DF-8882-F1D751443113}">
  <sheetPr>
    <tabColor rgb="FF00B050"/>
  </sheetPr>
  <dimension ref="A1:BB424"/>
  <sheetViews>
    <sheetView zoomScale="70" zoomScaleNormal="70" workbookViewId="0">
      <pane ySplit="22" topLeftCell="A420" activePane="bottomLeft" state="frozen"/>
      <selection pane="bottomLeft" activeCell="AC14" sqref="AC14"/>
    </sheetView>
  </sheetViews>
  <sheetFormatPr defaultRowHeight="16.5"/>
  <cols>
    <col min="1" max="1" width="15.625" style="26" customWidth="1"/>
    <col min="2" max="17" width="11.75" style="26" customWidth="1"/>
    <col min="18" max="18" width="10.875" style="26" bestFit="1" customWidth="1"/>
    <col min="19" max="49" width="8.5" style="26" customWidth="1"/>
    <col min="50" max="16384" width="9" style="26"/>
  </cols>
  <sheetData>
    <row r="1" spans="1:41" ht="38.25" customHeight="1">
      <c r="A1" s="86" t="s">
        <v>158</v>
      </c>
      <c r="E1" s="103"/>
      <c r="F1" s="103" t="s">
        <v>184</v>
      </c>
      <c r="P1" s="216" t="s">
        <v>323</v>
      </c>
      <c r="V1" s="194" t="s">
        <v>252</v>
      </c>
      <c r="AB1" s="194" t="s">
        <v>253</v>
      </c>
      <c r="AF1" s="217">
        <f>SUM(표_악몽던전템위력[unique dropped])</f>
        <v>41</v>
      </c>
      <c r="AL1" s="26" t="s">
        <v>172</v>
      </c>
      <c r="AM1" s="120">
        <v>0.32</v>
      </c>
      <c r="AN1" s="26" t="s">
        <v>173</v>
      </c>
      <c r="AO1" s="120">
        <v>0.14599999999999999</v>
      </c>
    </row>
    <row r="2" spans="1:41">
      <c r="A2" s="61" t="s">
        <v>85</v>
      </c>
      <c r="B2" s="62" t="s">
        <v>168</v>
      </c>
      <c r="G2" s="102" t="s">
        <v>167</v>
      </c>
      <c r="Q2" s="62" t="s">
        <v>134</v>
      </c>
      <c r="S2" s="26">
        <v>31</v>
      </c>
      <c r="T2" s="136">
        <f>COUNTIF(표_악몽던전템위력[map tier],S2)</f>
        <v>3</v>
      </c>
      <c r="U2" s="192">
        <v>49</v>
      </c>
      <c r="V2" s="193">
        <f>COUNTIF(표_악몽던전템위력[map tier],U2)</f>
        <v>1</v>
      </c>
      <c r="W2" s="192">
        <v>67</v>
      </c>
      <c r="X2" s="193">
        <f>COUNTIF(표_악몽던전템위력[map tier],W2)</f>
        <v>7</v>
      </c>
      <c r="Y2" s="26">
        <v>85</v>
      </c>
      <c r="Z2" s="136">
        <f>COUNTIF(표_악몽던전템위력[map tier],Y2)</f>
        <v>3</v>
      </c>
      <c r="AB2" s="190">
        <f>SUM(표_악몽던전템위력[unique dropped])/B17</f>
        <v>4.0445891289336098E-3</v>
      </c>
      <c r="AC2" s="26" t="s">
        <v>246</v>
      </c>
      <c r="AL2" s="26" t="s">
        <v>171</v>
      </c>
      <c r="AM2" s="119">
        <v>0.15</v>
      </c>
    </row>
    <row r="3" spans="1:41" ht="17.25" thickBot="1">
      <c r="A3" s="35" t="s">
        <v>148</v>
      </c>
      <c r="B3" s="88">
        <v>30</v>
      </c>
      <c r="C3" s="89">
        <v>35</v>
      </c>
      <c r="D3" s="90">
        <v>40</v>
      </c>
      <c r="E3" s="91">
        <v>45</v>
      </c>
      <c r="F3" s="98">
        <v>50</v>
      </c>
      <c r="G3" s="92">
        <v>55</v>
      </c>
      <c r="H3" s="99">
        <v>60</v>
      </c>
      <c r="I3" s="93">
        <v>65</v>
      </c>
      <c r="J3" s="100">
        <v>70</v>
      </c>
      <c r="K3" s="94">
        <v>75</v>
      </c>
      <c r="L3" s="101">
        <v>80</v>
      </c>
      <c r="M3" s="95">
        <v>85</v>
      </c>
      <c r="N3" s="221">
        <v>90</v>
      </c>
      <c r="O3" s="222">
        <v>95</v>
      </c>
      <c r="P3" s="223">
        <v>100</v>
      </c>
      <c r="Q3" s="96">
        <v>76</v>
      </c>
      <c r="R3" s="97">
        <v>76</v>
      </c>
      <c r="S3" s="26">
        <v>32</v>
      </c>
      <c r="T3" s="136">
        <f>COUNTIF(표_악몽던전템위력[map tier],S3)</f>
        <v>4</v>
      </c>
      <c r="U3" s="192">
        <v>50</v>
      </c>
      <c r="V3" s="193">
        <f>COUNTIF(표_악몽던전템위력[map tier],U3)</f>
        <v>4</v>
      </c>
      <c r="W3" s="192">
        <v>68</v>
      </c>
      <c r="X3" s="193">
        <f>COUNTIF(표_악몽던전템위력[map tier],W3)</f>
        <v>4</v>
      </c>
      <c r="Y3" s="26">
        <v>86</v>
      </c>
      <c r="Z3" s="136">
        <f>COUNTIF(표_악몽던전템위력[map tier],Y3)</f>
        <v>2</v>
      </c>
      <c r="AB3" s="191">
        <f>COUNTIF(표_악몽던전템위력[[item1]:[item46]],820)/B17</f>
        <v>1.9729703067968826E-4</v>
      </c>
      <c r="AC3" s="26" t="s">
        <v>245</v>
      </c>
      <c r="AM3" s="26">
        <f>8*AM2</f>
        <v>1.2</v>
      </c>
    </row>
    <row r="4" spans="1:41">
      <c r="A4" s="36">
        <v>720</v>
      </c>
      <c r="B4" s="38">
        <f t="array" ref="B4:B15">ROUND(FREQUENCY(표_악몽던전템위력[[item1]:[item46]],$A$4:$A$15)/B$16,3)</f>
        <v>1E-3</v>
      </c>
      <c r="C4" s="49">
        <f t="array" ref="C4:C15">ROUND(FREQUENCY(_xlfn._xlws.FILTER(표_악몽던전템위력[[item1]:[item46]],(표_악몽던전템위력[map tier]&gt;B3)*(표_악몽던전템위력[map tier]&lt;=C3)),$A$4:$A$15)/C$16,3)</f>
        <v>4.1000000000000002E-2</v>
      </c>
      <c r="D4" s="50">
        <f t="array" ref="D4:D15">ROUND(FREQUENCY(_xlfn._xlws.FILTER(표_악몽던전템위력[[item1]:[item46]],(표_악몽던전템위력[map tier]&gt;C3)*(표_악몽던전템위력[map tier]&lt;=D3)),$A$4:$A$15)/D$16,3)</f>
        <v>0</v>
      </c>
      <c r="E4" s="50">
        <f t="array" ref="E4:E15">ROUND(FREQUENCY(_xlfn._xlws.FILTER(표_악몽던전템위력[[item1]:[item46]],(표_악몽던전템위력[map tier]&gt;D3)*(표_악몽던전템위력[map tier]&lt;=E3)),$A$4:$A$15)/E$16,3)</f>
        <v>0</v>
      </c>
      <c r="F4" s="50">
        <f t="array" ref="F4:F15">ROUND(FREQUENCY(_xlfn._xlws.FILTER(표_악몽던전템위력[[item1]:[item46]],(표_악몽던전템위력[map tier]&gt;E3)*(표_악몽던전템위력[map tier]&lt;=F3)),$A$4:$A$15)/F$16,3)</f>
        <v>0</v>
      </c>
      <c r="G4" s="50">
        <f t="array" ref="G4:G15">ROUND(FREQUENCY(_xlfn._xlws.FILTER(표_악몽던전템위력[[item1]:[item46]],(표_악몽던전템위력[map tier]&gt;F3)*(표_악몽던전템위력[map tier]&lt;=G3)),$A$4:$A$15)/G$16,3)</f>
        <v>0</v>
      </c>
      <c r="H4" s="50">
        <f t="array" ref="H4:H15">ROUND(FREQUENCY(_xlfn._xlws.FILTER(표_악몽던전템위력[[item1]:[item46]],(표_악몽던전템위력[map tier]&gt;G3)*(표_악몽던전템위력[map tier]&lt;=H3)),$A$4:$A$15)/H$16,3)</f>
        <v>0</v>
      </c>
      <c r="I4" s="50">
        <f t="array" ref="I4:I15">ROUND(FREQUENCY(_xlfn._xlws.FILTER(표_악몽던전템위력[[item1]:[item46]],(표_악몽던전템위력[map tier]&gt;H3)*(표_악몽던전템위력[map tier]&lt;=I3)),$A$4:$A$15)/I$16,3)</f>
        <v>0</v>
      </c>
      <c r="J4" s="50">
        <f t="array" ref="J4:J15">ROUND(FREQUENCY(_xlfn._xlws.FILTER(표_악몽던전템위력[[item1]:[item46]],(표_악몽던전템위력[map tier]&gt;I3)*(표_악몽던전템위력[map tier]&lt;=J3)),$A$4:$A$15)/J$16,3)</f>
        <v>0</v>
      </c>
      <c r="K4" s="50">
        <f t="array" ref="K4:K15">ROUND(FREQUENCY(_xlfn._xlws.FILTER(표_악몽던전템위력[[item1]:[item46]],(표_악몽던전템위력[map tier]&gt;J3)*(표_악몽던전템위력[map tier]&lt;=K3)),$A$4:$A$15)/K$16,3)</f>
        <v>0</v>
      </c>
      <c r="L4" s="50">
        <f t="array" ref="L4:L15">ROUND(FREQUENCY(_xlfn._xlws.FILTER(표_악몽던전템위력[[item1]:[item46]],(표_악몽던전템위력[map tier]&gt;K3)*(표_악몽던전템위력[map tier]&lt;=L3)),$A$4:$A$15)/L$16,3)</f>
        <v>0</v>
      </c>
      <c r="M4" s="50">
        <f t="array" ref="M4:M15">ROUND(FREQUENCY(_xlfn._xlws.FILTER(표_악몽던전템위력[[item1]:[item46]],(표_악몽던전템위력[map tier]&gt;L3)*(표_악몽던전템위력[map tier]&lt;=M3)),$A$4:$A$15)/M$16,3)</f>
        <v>0</v>
      </c>
      <c r="N4" s="50">
        <f t="array" ref="N4:N15">ROUND(FREQUENCY(_xlfn._xlws.FILTER(표_악몽던전템위력[[item1]:[item46]],(표_악몽던전템위력[map tier]&gt;M3)*(표_악몽던전템위력[map tier]&lt;=N3)),$A$4:$A$15)/N$16,3)</f>
        <v>0</v>
      </c>
      <c r="O4" s="50">
        <f t="array" ref="O4:O15">ROUND(FREQUENCY(_xlfn._xlws.FILTER(표_악몽던전템위력[[item1]:[item46]],(표_악몽던전템위력[map tier]&gt;N3)*(표_악몽던전템위력[map tier]&lt;=O3)),$A$4:$A$15)/O$16,3)</f>
        <v>0</v>
      </c>
      <c r="P4" s="51">
        <f t="array" ref="P4:P15">ROUND(FREQUENCY(_xlfn._xlws.FILTER(표_악몽던전템위력[[item1]:[item46]],(표_악몽던전템위력[map tier]&gt;O3)*(표_악몽던전템위력[map tier]&lt;=P3)),$A$4:$A$15)/P$16,3)</f>
        <v>0</v>
      </c>
      <c r="Q4" s="42">
        <f t="array" ref="Q4:Q15">ROUND(FREQUENCY(_xlfn._xlws.FILTER(표_악몽던전템위력[[item1]:[item46]],(표_악몽던전템위력[map tier]&gt;=Q3)*(표_악몽던전템위력[map tier]&lt;=R3)),$A$4:$A$15)/Q$16,3)</f>
        <v>0</v>
      </c>
      <c r="S4" s="26">
        <v>33</v>
      </c>
      <c r="T4" s="136">
        <f>COUNTIF(표_악몽던전템위력[map tier],S4)</f>
        <v>3</v>
      </c>
      <c r="U4" s="192">
        <v>51</v>
      </c>
      <c r="V4" s="193">
        <f>COUNTIF(표_악몽던전템위력[map tier],U4)</f>
        <v>5</v>
      </c>
      <c r="W4" s="192">
        <v>69</v>
      </c>
      <c r="X4" s="193">
        <f>COUNTIF(표_악몽던전템위력[map tier],W4)</f>
        <v>8</v>
      </c>
      <c r="Y4" s="26">
        <v>87</v>
      </c>
      <c r="Z4" s="136">
        <f>COUNTIF(표_악몽던전템위력[map tier],Y4)</f>
        <v>3</v>
      </c>
      <c r="AB4" s="251">
        <f>AB2*AB3</f>
        <v>7.9798542545794803E-7</v>
      </c>
      <c r="AC4" s="26" t="s">
        <v>247</v>
      </c>
      <c r="AL4" s="26" t="s">
        <v>174</v>
      </c>
      <c r="AM4" s="26">
        <v>20</v>
      </c>
    </row>
    <row r="5" spans="1:41">
      <c r="A5" s="36">
        <v>730</v>
      </c>
      <c r="B5" s="38">
        <v>6.0000000000000001E-3</v>
      </c>
      <c r="C5" s="49">
        <v>2.4E-2</v>
      </c>
      <c r="D5" s="50">
        <v>2.1999999999999999E-2</v>
      </c>
      <c r="E5" s="50">
        <v>0.01</v>
      </c>
      <c r="F5" s="50">
        <v>1.2E-2</v>
      </c>
      <c r="G5" s="50">
        <v>4.0000000000000001E-3</v>
      </c>
      <c r="H5" s="50">
        <v>0</v>
      </c>
      <c r="I5" s="50">
        <v>3.0000000000000001E-3</v>
      </c>
      <c r="J5" s="50">
        <v>5.0000000000000001E-3</v>
      </c>
      <c r="K5" s="50">
        <v>3.0000000000000001E-3</v>
      </c>
      <c r="L5" s="50">
        <v>4.0000000000000001E-3</v>
      </c>
      <c r="M5" s="50">
        <v>7.0000000000000001E-3</v>
      </c>
      <c r="N5" s="50">
        <v>0</v>
      </c>
      <c r="O5" s="50">
        <v>4.0000000000000001E-3</v>
      </c>
      <c r="P5" s="51">
        <v>0</v>
      </c>
      <c r="Q5" s="42">
        <v>0</v>
      </c>
      <c r="S5" s="26">
        <v>34</v>
      </c>
      <c r="T5" s="136">
        <f>COUNTIF(표_악몽던전템위력[map tier],S5)</f>
        <v>5</v>
      </c>
      <c r="U5" s="192">
        <v>52</v>
      </c>
      <c r="V5" s="193">
        <f>COUNTIF(표_악몽던전템위력[map tier],U5)</f>
        <v>11</v>
      </c>
      <c r="W5" s="192">
        <v>70</v>
      </c>
      <c r="X5" s="193">
        <f>COUNTIF(표_악몽던전템위력[map tier],W5)</f>
        <v>6</v>
      </c>
      <c r="Y5" s="26">
        <v>88</v>
      </c>
      <c r="Z5" s="136">
        <f>COUNTIF(표_악몽던전템위력[map tier],Y5)</f>
        <v>4</v>
      </c>
      <c r="AB5" s="252">
        <f>1/AB4</f>
        <v>1253155.7195121951</v>
      </c>
      <c r="AC5" s="26" t="s">
        <v>254</v>
      </c>
      <c r="AL5" s="26" t="s">
        <v>248</v>
      </c>
      <c r="AM5" s="26">
        <f>AM4*(1-AM1-AO1)</f>
        <v>10.679999999999998</v>
      </c>
    </row>
    <row r="6" spans="1:41">
      <c r="A6" s="36">
        <v>740</v>
      </c>
      <c r="B6" s="38">
        <v>3.3000000000000002E-2</v>
      </c>
      <c r="C6" s="49">
        <v>8.1000000000000003E-2</v>
      </c>
      <c r="D6" s="50">
        <v>4.7E-2</v>
      </c>
      <c r="E6" s="50">
        <v>0.04</v>
      </c>
      <c r="F6" s="50">
        <v>0.03</v>
      </c>
      <c r="G6" s="50">
        <v>1.9E-2</v>
      </c>
      <c r="H6" s="50">
        <v>0.03</v>
      </c>
      <c r="I6" s="50">
        <v>3.2000000000000001E-2</v>
      </c>
      <c r="J6" s="50">
        <v>2.5999999999999999E-2</v>
      </c>
      <c r="K6" s="50">
        <v>2.8000000000000001E-2</v>
      </c>
      <c r="L6" s="50">
        <v>3.7999999999999999E-2</v>
      </c>
      <c r="M6" s="50">
        <v>2.7E-2</v>
      </c>
      <c r="N6" s="50">
        <v>2.4E-2</v>
      </c>
      <c r="O6" s="50">
        <v>4.9000000000000002E-2</v>
      </c>
      <c r="P6" s="51">
        <v>2.4E-2</v>
      </c>
      <c r="Q6" s="42">
        <v>2.3E-2</v>
      </c>
      <c r="S6" s="26">
        <v>35</v>
      </c>
      <c r="T6" s="136">
        <f>COUNTIF(표_악몽던전템위력[map tier],S6)</f>
        <v>4</v>
      </c>
      <c r="U6" s="192">
        <v>53</v>
      </c>
      <c r="V6" s="193">
        <f>COUNTIF(표_악몽던전템위력[map tier],U6)</f>
        <v>6</v>
      </c>
      <c r="W6" s="192">
        <v>71</v>
      </c>
      <c r="X6" s="193">
        <f>COUNTIF(표_악몽던전템위력[map tier],W6)</f>
        <v>8</v>
      </c>
      <c r="Y6" s="26">
        <v>89</v>
      </c>
      <c r="Z6" s="136">
        <f>COUNTIF(표_악몽던전템위력[map tier],Y6)</f>
        <v>4</v>
      </c>
      <c r="AB6" s="191">
        <f>B17/AB5</f>
        <v>8.0891782578672196E-3</v>
      </c>
      <c r="AC6" s="26" t="s">
        <v>270</v>
      </c>
      <c r="AL6" s="26" t="s">
        <v>249</v>
      </c>
      <c r="AM6" s="26">
        <f>AM4*(1-AM1)*(1-AO1)</f>
        <v>11.614399999999998</v>
      </c>
      <c r="AN6" s="102" t="s">
        <v>250</v>
      </c>
    </row>
    <row r="7" spans="1:41">
      <c r="A7" s="36">
        <v>750</v>
      </c>
      <c r="B7" s="38">
        <v>8.5000000000000006E-2</v>
      </c>
      <c r="C7" s="49">
        <v>0.122</v>
      </c>
      <c r="D7" s="50">
        <v>0.109</v>
      </c>
      <c r="E7" s="50">
        <v>6.8000000000000005E-2</v>
      </c>
      <c r="F7" s="50">
        <v>9.0999999999999998E-2</v>
      </c>
      <c r="G7" s="50">
        <v>7.4999999999999997E-2</v>
      </c>
      <c r="H7" s="50">
        <v>7.8E-2</v>
      </c>
      <c r="I7" s="50">
        <v>7.9000000000000001E-2</v>
      </c>
      <c r="J7" s="50">
        <v>8.5999999999999993E-2</v>
      </c>
      <c r="K7" s="50">
        <v>8.8999999999999996E-2</v>
      </c>
      <c r="L7" s="50">
        <v>7.4999999999999997E-2</v>
      </c>
      <c r="M7" s="50">
        <v>9.4E-2</v>
      </c>
      <c r="N7" s="50">
        <v>0.11</v>
      </c>
      <c r="O7" s="50">
        <v>5.6000000000000001E-2</v>
      </c>
      <c r="P7" s="51">
        <v>6.6000000000000003E-2</v>
      </c>
      <c r="Q7" s="42">
        <v>9.1999999999999998E-2</v>
      </c>
      <c r="S7" s="26">
        <v>36</v>
      </c>
      <c r="T7" s="136">
        <f>COUNTIF(표_악몽던전템위력[map tier],S7)</f>
        <v>6</v>
      </c>
      <c r="U7" s="192">
        <v>54</v>
      </c>
      <c r="V7" s="193">
        <f>COUNTIF(표_악몽던전템위력[map tier],U7)</f>
        <v>11</v>
      </c>
      <c r="W7" s="192">
        <v>72</v>
      </c>
      <c r="X7" s="193">
        <f>COUNTIF(표_악몽던전템위력[map tier],W7)</f>
        <v>5</v>
      </c>
      <c r="Y7" s="26">
        <v>90</v>
      </c>
      <c r="Z7" s="136">
        <f>COUNTIF(표_악몽던전템위력[map tier],Y7)</f>
        <v>2</v>
      </c>
    </row>
    <row r="8" spans="1:41">
      <c r="A8" s="36">
        <v>760</v>
      </c>
      <c r="B8" s="38">
        <v>0.13900000000000001</v>
      </c>
      <c r="C8" s="49">
        <v>0.183</v>
      </c>
      <c r="D8" s="50">
        <v>0.124</v>
      </c>
      <c r="E8" s="50">
        <v>0.13200000000000001</v>
      </c>
      <c r="F8" s="50">
        <v>0.124</v>
      </c>
      <c r="G8" s="50">
        <v>0.127</v>
      </c>
      <c r="H8" s="50">
        <v>0.16200000000000001</v>
      </c>
      <c r="I8" s="50">
        <v>0.152</v>
      </c>
      <c r="J8" s="50">
        <v>0.14699999999999999</v>
      </c>
      <c r="K8" s="50">
        <v>0.114</v>
      </c>
      <c r="L8" s="50">
        <v>0.14099999999999999</v>
      </c>
      <c r="M8" s="50">
        <v>0.11600000000000001</v>
      </c>
      <c r="N8" s="50">
        <v>0.115</v>
      </c>
      <c r="O8" s="50">
        <v>0.13900000000000001</v>
      </c>
      <c r="P8" s="51">
        <v>0.17100000000000001</v>
      </c>
      <c r="Q8" s="42">
        <v>0.20699999999999999</v>
      </c>
      <c r="S8" s="26">
        <v>37</v>
      </c>
      <c r="T8" s="136">
        <f>COUNTIF(표_악몽던전템위력[map tier],S8)</f>
        <v>4</v>
      </c>
      <c r="U8" s="192">
        <v>55</v>
      </c>
      <c r="V8" s="193">
        <f>COUNTIF(표_악몽던전템위력[map tier],U8)</f>
        <v>9</v>
      </c>
      <c r="W8" s="192">
        <v>73</v>
      </c>
      <c r="X8" s="193">
        <f>COUNTIF(표_악몽던전템위력[map tier],W8)</f>
        <v>4</v>
      </c>
      <c r="Y8" s="26">
        <v>91</v>
      </c>
      <c r="Z8" s="136">
        <f>COUNTIF(표_악몽던전템위력[map tier],Y8)</f>
        <v>3</v>
      </c>
    </row>
    <row r="9" spans="1:41">
      <c r="A9" s="36">
        <v>770</v>
      </c>
      <c r="B9" s="38">
        <v>0.18099999999999999</v>
      </c>
      <c r="C9" s="49">
        <v>0.159</v>
      </c>
      <c r="D9" s="50">
        <v>0.157</v>
      </c>
      <c r="E9" s="50">
        <v>0.17699999999999999</v>
      </c>
      <c r="F9" s="50">
        <v>0.17299999999999999</v>
      </c>
      <c r="G9" s="50">
        <v>0.17399999999999999</v>
      </c>
      <c r="H9" s="50">
        <v>0.17699999999999999</v>
      </c>
      <c r="I9" s="50">
        <v>0.17499999999999999</v>
      </c>
      <c r="J9" s="50">
        <v>0.17799999999999999</v>
      </c>
      <c r="K9" s="50">
        <v>0.188</v>
      </c>
      <c r="L9" s="50">
        <v>0.24399999999999999</v>
      </c>
      <c r="M9" s="50">
        <v>0.189</v>
      </c>
      <c r="N9" s="50">
        <v>0.19800000000000001</v>
      </c>
      <c r="O9" s="50">
        <v>0.187</v>
      </c>
      <c r="P9" s="51">
        <v>0.17499999999999999</v>
      </c>
      <c r="Q9" s="42">
        <v>0.17199999999999999</v>
      </c>
      <c r="S9" s="26">
        <v>38</v>
      </c>
      <c r="T9" s="136">
        <f>COUNTIF(표_악몽던전템위력[map tier],S9)</f>
        <v>11</v>
      </c>
      <c r="U9" s="192">
        <v>56</v>
      </c>
      <c r="V9" s="193">
        <f>COUNTIF(표_악몽던전템위력[map tier],U9)</f>
        <v>4</v>
      </c>
      <c r="W9" s="192">
        <v>74</v>
      </c>
      <c r="X9" s="193">
        <f>COUNTIF(표_악몽던전템위력[map tier],W9)</f>
        <v>6</v>
      </c>
      <c r="Y9" s="26">
        <v>92</v>
      </c>
      <c r="Z9" s="136">
        <f>COUNTIF(표_악몽던전템위력[map tier],Y9)</f>
        <v>2</v>
      </c>
    </row>
    <row r="10" spans="1:41">
      <c r="A10" s="36">
        <v>780</v>
      </c>
      <c r="B10" s="38">
        <v>0.19600000000000001</v>
      </c>
      <c r="C10" s="49">
        <v>0.122</v>
      </c>
      <c r="D10" s="50">
        <v>0.20200000000000001</v>
      </c>
      <c r="E10" s="50">
        <v>0.17499999999999999</v>
      </c>
      <c r="F10" s="50">
        <v>0.185</v>
      </c>
      <c r="G10" s="50">
        <v>0.23100000000000001</v>
      </c>
      <c r="H10" s="50">
        <v>0.20200000000000001</v>
      </c>
      <c r="I10" s="50">
        <v>0.19800000000000001</v>
      </c>
      <c r="J10" s="50">
        <v>0.187</v>
      </c>
      <c r="K10" s="50">
        <v>0.221</v>
      </c>
      <c r="L10" s="50">
        <v>0.18</v>
      </c>
      <c r="M10" s="50">
        <v>0.187</v>
      </c>
      <c r="N10" s="50">
        <v>0.185</v>
      </c>
      <c r="O10" s="50">
        <v>0.221</v>
      </c>
      <c r="P10" s="51">
        <v>0.20899999999999999</v>
      </c>
      <c r="Q10" s="42">
        <v>0.19500000000000001</v>
      </c>
      <c r="S10" s="26">
        <v>39</v>
      </c>
      <c r="T10" s="136">
        <f>COUNTIF(표_악몽던전템위력[map tier],S10)</f>
        <v>7</v>
      </c>
      <c r="U10" s="192">
        <v>57</v>
      </c>
      <c r="V10" s="193">
        <f>COUNTIF(표_악몽던전템위력[map tier],U10)</f>
        <v>6</v>
      </c>
      <c r="W10" s="192">
        <v>75</v>
      </c>
      <c r="X10" s="193">
        <f>COUNTIF(표_악몽던전템위력[map tier],W10)</f>
        <v>6</v>
      </c>
      <c r="Y10" s="26">
        <v>93</v>
      </c>
      <c r="Z10" s="136">
        <f>COUNTIF(표_악몽던전템위력[map tier],Y10)</f>
        <v>3</v>
      </c>
      <c r="AN10" s="26">
        <v>44</v>
      </c>
    </row>
    <row r="11" spans="1:41">
      <c r="A11" s="36">
        <v>790</v>
      </c>
      <c r="B11" s="38">
        <v>0.17699999999999999</v>
      </c>
      <c r="C11" s="49">
        <v>0.16700000000000001</v>
      </c>
      <c r="D11" s="50">
        <v>0.14099999999999999</v>
      </c>
      <c r="E11" s="50">
        <v>0.19900000000000001</v>
      </c>
      <c r="F11" s="50">
        <v>0.222</v>
      </c>
      <c r="G11" s="50">
        <v>0.182</v>
      </c>
      <c r="H11" s="50">
        <v>0.16700000000000001</v>
      </c>
      <c r="I11" s="50">
        <v>0.182</v>
      </c>
      <c r="J11" s="50">
        <v>0.17899999999999999</v>
      </c>
      <c r="K11" s="50">
        <v>0.18099999999999999</v>
      </c>
      <c r="L11" s="50">
        <v>0.14699999999999999</v>
      </c>
      <c r="M11" s="50">
        <v>0.20799999999999999</v>
      </c>
      <c r="N11" s="50">
        <v>0.16600000000000001</v>
      </c>
      <c r="O11" s="50">
        <v>0.17599999999999999</v>
      </c>
      <c r="P11" s="51">
        <v>0.14199999999999999</v>
      </c>
      <c r="Q11" s="42">
        <v>0.161</v>
      </c>
      <c r="S11" s="26">
        <v>40</v>
      </c>
      <c r="T11" s="136">
        <f>COUNTIF(표_악몽던전템위력[map tier],S11)</f>
        <v>7</v>
      </c>
      <c r="U11" s="192">
        <v>58</v>
      </c>
      <c r="V11" s="193">
        <f>COUNTIF(표_악몽던전템위력[map tier],U11)</f>
        <v>6</v>
      </c>
      <c r="W11" s="192">
        <v>76</v>
      </c>
      <c r="X11" s="193">
        <f>COUNTIF(표_악몽던전템위력[map tier],W11)</f>
        <v>4</v>
      </c>
      <c r="Y11" s="26">
        <v>94</v>
      </c>
      <c r="Z11" s="136">
        <f>COUNTIF(표_악몽던전템위력[map tier],Y11)</f>
        <v>2</v>
      </c>
      <c r="AK11" s="26">
        <f>$AN$10*(1-AL11)</f>
        <v>32.339999999999996</v>
      </c>
      <c r="AL11" s="120">
        <v>0.26500000000000001</v>
      </c>
      <c r="AM11" s="119">
        <v>0.75</v>
      </c>
      <c r="AN11" s="196">
        <f>(1-AL11)*(1-AM11)</f>
        <v>0.18375</v>
      </c>
      <c r="AO11" s="26">
        <f>$AN$10*AN11</f>
        <v>8.0849999999999991</v>
      </c>
    </row>
    <row r="12" spans="1:41">
      <c r="A12" s="36">
        <v>800</v>
      </c>
      <c r="B12" s="38">
        <v>0.114</v>
      </c>
      <c r="C12" s="49">
        <v>6.0999999999999999E-2</v>
      </c>
      <c r="D12" s="50">
        <v>0.11899999999999999</v>
      </c>
      <c r="E12" s="50">
        <v>0.13700000000000001</v>
      </c>
      <c r="F12" s="50">
        <v>0.11700000000000001</v>
      </c>
      <c r="G12" s="50">
        <v>0.112</v>
      </c>
      <c r="H12" s="50">
        <v>0.111</v>
      </c>
      <c r="I12" s="50">
        <v>0.114</v>
      </c>
      <c r="J12" s="50">
        <v>0.11700000000000001</v>
      </c>
      <c r="K12" s="50">
        <v>0.114</v>
      </c>
      <c r="L12" s="50">
        <v>9.7000000000000003E-2</v>
      </c>
      <c r="M12" s="50">
        <v>0.121</v>
      </c>
      <c r="N12" s="50">
        <v>0.121</v>
      </c>
      <c r="O12" s="50">
        <v>9.7000000000000003E-2</v>
      </c>
      <c r="P12" s="51">
        <v>0.13300000000000001</v>
      </c>
      <c r="Q12" s="42">
        <v>9.1999999999999998E-2</v>
      </c>
      <c r="S12" s="26">
        <v>41</v>
      </c>
      <c r="T12" s="136">
        <f>COUNTIF(표_악몽던전템위력[map tier],S12)</f>
        <v>4</v>
      </c>
      <c r="U12" s="192">
        <v>59</v>
      </c>
      <c r="V12" s="193">
        <f>COUNTIF(표_악몽던전템위력[map tier],U12)</f>
        <v>5</v>
      </c>
      <c r="W12" s="192">
        <v>77</v>
      </c>
      <c r="X12" s="193">
        <f>COUNTIF(표_악몽던전템위력[map tier],W12)</f>
        <v>3</v>
      </c>
      <c r="Y12" s="26">
        <v>95</v>
      </c>
      <c r="Z12" s="136">
        <f>COUNTIF(표_악몽던전템위력[map tier],Y12)</f>
        <v>2</v>
      </c>
      <c r="AK12" s="26">
        <f>$AN$10*(1-AL12)</f>
        <v>30.404000000000003</v>
      </c>
      <c r="AL12" s="120">
        <v>0.309</v>
      </c>
      <c r="AM12" s="119">
        <v>0.72</v>
      </c>
      <c r="AN12" s="196">
        <f>(1-AL12)*(1-AM12)</f>
        <v>0.19348000000000004</v>
      </c>
      <c r="AO12" s="26">
        <f>$AN$10*AN12</f>
        <v>8.5131200000000025</v>
      </c>
    </row>
    <row r="13" spans="1:41">
      <c r="A13" s="36">
        <v>810</v>
      </c>
      <c r="B13" s="38">
        <v>5.5E-2</v>
      </c>
      <c r="C13" s="49">
        <v>2.8000000000000001E-2</v>
      </c>
      <c r="D13" s="50">
        <v>6.2E-2</v>
      </c>
      <c r="E13" s="50">
        <v>5.5E-2</v>
      </c>
      <c r="F13" s="50">
        <v>3.6999999999999998E-2</v>
      </c>
      <c r="G13" s="50">
        <v>5.8999999999999997E-2</v>
      </c>
      <c r="H13" s="50">
        <v>5.8999999999999997E-2</v>
      </c>
      <c r="I13" s="50">
        <v>5.2999999999999999E-2</v>
      </c>
      <c r="J13" s="50">
        <v>5.8999999999999997E-2</v>
      </c>
      <c r="K13" s="50">
        <v>5.6000000000000001E-2</v>
      </c>
      <c r="L13" s="50">
        <v>5.5E-2</v>
      </c>
      <c r="M13" s="50">
        <v>4.1000000000000002E-2</v>
      </c>
      <c r="N13" s="50">
        <v>7.1999999999999995E-2</v>
      </c>
      <c r="O13" s="50">
        <v>5.1999999999999998E-2</v>
      </c>
      <c r="P13" s="51">
        <v>5.7000000000000002E-2</v>
      </c>
      <c r="Q13" s="42">
        <v>3.4000000000000002E-2</v>
      </c>
      <c r="S13" s="26">
        <v>42</v>
      </c>
      <c r="T13" s="136">
        <f>COUNTIF(표_악몽던전템위력[map tier],S13)</f>
        <v>10</v>
      </c>
      <c r="U13" s="192">
        <v>60</v>
      </c>
      <c r="V13" s="193">
        <f>COUNTIF(표_악몽던전템위력[map tier],U13)</f>
        <v>6</v>
      </c>
      <c r="W13" s="192">
        <v>78</v>
      </c>
      <c r="X13" s="193">
        <f>COUNTIF(표_악몽던전템위력[map tier],W13)</f>
        <v>7</v>
      </c>
      <c r="Y13" s="26">
        <v>96</v>
      </c>
      <c r="Z13" s="136">
        <f>COUNTIF(표_악몽던전템위력[map tier],Y13)</f>
        <v>3</v>
      </c>
    </row>
    <row r="14" spans="1:41">
      <c r="A14" s="36">
        <v>815</v>
      </c>
      <c r="B14" s="38">
        <v>0.01</v>
      </c>
      <c r="C14" s="49">
        <v>1.2E-2</v>
      </c>
      <c r="D14" s="50">
        <v>1.4E-2</v>
      </c>
      <c r="E14" s="50">
        <v>7.0000000000000001E-3</v>
      </c>
      <c r="F14" s="50">
        <v>5.0000000000000001E-3</v>
      </c>
      <c r="G14" s="50">
        <v>1.2999999999999999E-2</v>
      </c>
      <c r="H14" s="50">
        <v>1.2999999999999999E-2</v>
      </c>
      <c r="I14" s="50">
        <v>8.0000000000000002E-3</v>
      </c>
      <c r="J14" s="50">
        <v>1.2999999999999999E-2</v>
      </c>
      <c r="K14" s="50">
        <v>4.0000000000000001E-3</v>
      </c>
      <c r="L14" s="50">
        <v>1.7999999999999999E-2</v>
      </c>
      <c r="M14" s="50">
        <v>2E-3</v>
      </c>
      <c r="N14" s="50">
        <v>8.0000000000000002E-3</v>
      </c>
      <c r="O14" s="50">
        <v>7.0000000000000001E-3</v>
      </c>
      <c r="P14" s="51">
        <v>2.4E-2</v>
      </c>
      <c r="Q14" s="42">
        <v>2.3E-2</v>
      </c>
      <c r="S14" s="26">
        <v>43</v>
      </c>
      <c r="T14" s="136">
        <f>COUNTIF(표_악몽던전템위력[map tier],S14)</f>
        <v>4</v>
      </c>
      <c r="U14" s="192">
        <v>61</v>
      </c>
      <c r="V14" s="193">
        <f>COUNTIF(표_악몽던전템위력[map tier],U14)</f>
        <v>6</v>
      </c>
      <c r="W14" s="192">
        <v>79</v>
      </c>
      <c r="X14" s="193">
        <f>COUNTIF(표_악몽던전템위력[map tier],W14)</f>
        <v>4</v>
      </c>
      <c r="Y14" s="26">
        <v>97</v>
      </c>
      <c r="Z14" s="136">
        <f>COUNTIF(표_악몽던전템위력[map tier],Y14)</f>
        <v>2</v>
      </c>
    </row>
    <row r="15" spans="1:41" ht="17.25" thickBot="1">
      <c r="A15" s="37">
        <v>820</v>
      </c>
      <c r="B15" s="39">
        <v>3.0000000000000001E-3</v>
      </c>
      <c r="C15" s="52">
        <v>0</v>
      </c>
      <c r="D15" s="53">
        <v>3.0000000000000001E-3</v>
      </c>
      <c r="E15" s="53">
        <v>0</v>
      </c>
      <c r="F15" s="53">
        <v>2E-3</v>
      </c>
      <c r="G15" s="53">
        <v>4.0000000000000001E-3</v>
      </c>
      <c r="H15" s="53">
        <v>0</v>
      </c>
      <c r="I15" s="53">
        <v>3.0000000000000001E-3</v>
      </c>
      <c r="J15" s="53">
        <v>3.0000000000000001E-3</v>
      </c>
      <c r="K15" s="53">
        <v>1E-3</v>
      </c>
      <c r="L15" s="53">
        <v>2E-3</v>
      </c>
      <c r="M15" s="53">
        <v>7.0000000000000001E-3</v>
      </c>
      <c r="N15" s="53">
        <v>0</v>
      </c>
      <c r="O15" s="53">
        <v>1.0999999999999999E-2</v>
      </c>
      <c r="P15" s="54">
        <v>0</v>
      </c>
      <c r="Q15" s="43">
        <v>0</v>
      </c>
      <c r="S15" s="26">
        <v>44</v>
      </c>
      <c r="T15" s="136">
        <f>COUNTIF(표_악몽던전템위력[map tier],S15)</f>
        <v>7</v>
      </c>
      <c r="U15" s="192">
        <v>62</v>
      </c>
      <c r="V15" s="193">
        <f>COUNTIF(표_악몽던전템위력[map tier],U15)</f>
        <v>17</v>
      </c>
      <c r="W15" s="192">
        <v>80</v>
      </c>
      <c r="X15" s="193">
        <f>COUNTIF(표_악몽던전템위력[map tier],W15)</f>
        <v>4</v>
      </c>
      <c r="Y15" s="26">
        <v>98</v>
      </c>
      <c r="Z15" s="136">
        <f>COUNTIF(표_악몽던전템위력[map tier],Y15)</f>
        <v>2</v>
      </c>
    </row>
    <row r="16" spans="1:41">
      <c r="A16" s="68" t="s">
        <v>187</v>
      </c>
      <c r="B16" s="69">
        <f>COUNT(표_악몽던전템위력[[item1]:[item46]])</f>
        <v>8187</v>
      </c>
      <c r="C16" s="70">
        <f>SUMIFS(표_악몽던전템위력[ancestral dropped],표_악몽던전템위력[map tier],"&lt;="&amp;C3,표_악몽던전템위력[map tier],"&gt;"&amp;B3)</f>
        <v>246</v>
      </c>
      <c r="D16" s="71">
        <f>SUMIFS(표_악몽던전템위력[ancestral dropped],표_악몽던전템위력[map tier],"&lt;="&amp;D3,표_악몽던전템위력[map tier],"&gt;"&amp;C3)</f>
        <v>580</v>
      </c>
      <c r="E16" s="71">
        <f>SUMIFS(표_악몽던전템위력[ancestral dropped],표_악몽던전템위력[map tier],"&lt;="&amp;E3,표_악몽던전템위력[map tier],"&gt;"&amp;D3)</f>
        <v>577</v>
      </c>
      <c r="F16" s="71">
        <f>SUMIFS(표_악몽던전템위력[ancestral dropped],표_악몽던전템위력[map tier],"&lt;="&amp;F3,표_악몽던전템위력[map tier],"&gt;"&amp;E3)</f>
        <v>427</v>
      </c>
      <c r="G16" s="71">
        <f>SUMIFS(표_악몽던전템위력[ancestral dropped],표_악몽던전템위력[map tier],"&lt;="&amp;G3,표_악몽던전템위력[map tier],"&gt;"&amp;F3)</f>
        <v>743</v>
      </c>
      <c r="H16" s="71">
        <f>SUMIFS(표_악몽던전템위력[ancestral dropped],표_악몽던전템위력[map tier],"&lt;="&amp;H3,표_악몽던전템위력[map tier],"&gt;"&amp;G3)</f>
        <v>628</v>
      </c>
      <c r="I16" s="71">
        <f>SUMIFS(표_악몽던전템위력[ancestral dropped],표_악몽던전템위력[map tier],"&lt;="&amp;I3,표_악몽던전템위력[map tier],"&gt;"&amp;H3)</f>
        <v>1391</v>
      </c>
      <c r="J16" s="71">
        <f>SUMIFS(표_악몽던전템위력[ancestral dropped],표_악몽던전템위력[map tier],"&lt;="&amp;J3,표_악몽던전템위력[map tier],"&gt;"&amp;I3)</f>
        <v>1126</v>
      </c>
      <c r="K16" s="71">
        <f>SUMIFS(표_악몽던전템위력[ancestral dropped],표_악몽던전템위력[map tier],"&lt;="&amp;K3,표_악몽던전템위력[map tier],"&gt;"&amp;J3)</f>
        <v>675</v>
      </c>
      <c r="L16" s="71">
        <f>SUMIFS(표_악몽던전템위력[ancestral dropped],표_악몽던전템위력[map tier],"&lt;="&amp;L3,표_악몽던전템위력[map tier],"&gt;"&amp;K3)</f>
        <v>505</v>
      </c>
      <c r="M16" s="71">
        <f>SUMIFS(표_악몽던전템위력[ancestral dropped],표_악몽던전템위력[map tier],"&lt;="&amp;M3,표_악몽던전템위력[map tier],"&gt;"&amp;L3)</f>
        <v>438</v>
      </c>
      <c r="N16" s="71">
        <f>SUMIFS(표_악몽던전템위력[ancestral dropped],표_악몽던전템위력[map tier],"&lt;="&amp;N3,표_악몽던전템위력[map tier],"&gt;"&amp;M3)</f>
        <v>373</v>
      </c>
      <c r="O16" s="71">
        <f>SUMIFS(표_악몽던전템위력[ancestral dropped],표_악몽던전템위력[map tier],"&lt;="&amp;O3,표_악몽던전템위력[map tier],"&gt;"&amp;N3)</f>
        <v>267</v>
      </c>
      <c r="P16" s="72">
        <f>SUMIFS(표_악몽던전템위력[ancestral dropped],표_악몽던전템위력[map tier],"&lt;="&amp;P3,표_악몽던전템위력[map tier],"&gt;"&amp;O3)</f>
        <v>211</v>
      </c>
      <c r="Q16" s="73">
        <f>SUMIFS(표_악몽던전템위력[ancestral dropped],표_악몽던전템위력[map tier],"&gt;="&amp;Q3,표_악몽던전템위력[map tier],"&lt;="&amp;R3)</f>
        <v>87</v>
      </c>
      <c r="S16" s="26">
        <v>45</v>
      </c>
      <c r="T16" s="136">
        <f>COUNTIF(표_악몽던전템위력[map tier],S16)</f>
        <v>7</v>
      </c>
      <c r="U16" s="192">
        <v>63</v>
      </c>
      <c r="V16" s="193">
        <f>COUNTIF(표_악몽던전템위력[map tier],U16)</f>
        <v>15</v>
      </c>
      <c r="W16" s="192">
        <v>81</v>
      </c>
      <c r="X16" s="193">
        <f>COUNTIF(표_악몽던전템위력[map tier],W16)</f>
        <v>5</v>
      </c>
      <c r="Y16" s="26">
        <v>99</v>
      </c>
      <c r="Z16" s="136">
        <f>COUNTIF(표_악몽던전템위력[map tier],Y16)</f>
        <v>2</v>
      </c>
    </row>
    <row r="17" spans="1:54">
      <c r="A17" s="68" t="s">
        <v>188</v>
      </c>
      <c r="B17" s="69">
        <f>SUM(표_악몽던전템위력[rare+ dropped])</f>
        <v>10137</v>
      </c>
      <c r="C17" s="70">
        <f>SUMIFS(표_악몽던전템위력[rare+ dropped],표_악몽던전템위력[map tier],"&lt;="&amp;C3,표_악몽던전템위력[map tier],"&gt;"&amp;B3)</f>
        <v>464</v>
      </c>
      <c r="D17" s="71">
        <f>SUMIFS(표_악몽던전템위력[rare+ dropped],표_악몽던전템위력[map tier],"&lt;="&amp;D3,표_악몽던전템위력[map tier],"&gt;"&amp;C3)</f>
        <v>938</v>
      </c>
      <c r="E17" s="71">
        <f>SUMIFS(표_악몽던전템위력[rare+ dropped],표_악몽던전템위력[map tier],"&lt;="&amp;E3,표_악몽던전템위력[map tier],"&gt;"&amp;D3)</f>
        <v>881</v>
      </c>
      <c r="F17" s="71">
        <f>SUMIFS(표_악몽던전템위력[rare+ dropped],표_악몽던전템위력[map tier],"&lt;="&amp;F3,표_악몽던전템위력[map tier],"&gt;"&amp;E3)</f>
        <v>616</v>
      </c>
      <c r="G17" s="71">
        <f>SUMIFS(표_악몽던전템위력[rare+ dropped],표_악몽던전템위력[map tier],"&lt;="&amp;G3,표_악몽던전템위력[map tier],"&gt;"&amp;F3)</f>
        <v>1003</v>
      </c>
      <c r="H17" s="71">
        <f>SUMIFS(표_악몽던전템위력[rare+ dropped],표_악몽던전템위력[map tier],"&lt;="&amp;H3,표_악몽던전템위력[map tier],"&gt;"&amp;G3)</f>
        <v>776</v>
      </c>
      <c r="I17" s="71">
        <f>SUMIFS(표_악몽던전템위력[rare+ dropped],표_악몽던전템위력[map tier],"&lt;="&amp;I3,표_악몽던전템위력[map tier],"&gt;"&amp;H3)</f>
        <v>1626</v>
      </c>
      <c r="J17" s="71">
        <f>SUMIFS(표_악몽던전템위력[rare+ dropped],표_악몽던전템위력[map tier],"&lt;="&amp;J3,표_악몽던전템위력[map tier],"&gt;"&amp;I3)</f>
        <v>1265</v>
      </c>
      <c r="K17" s="71">
        <f>SUMIFS(표_악몽던전템위력[rare+ dropped],표_악몽던전템위력[map tier],"&lt;="&amp;K3,표_악몽던전템위력[map tier],"&gt;"&amp;J3)</f>
        <v>727</v>
      </c>
      <c r="L17" s="71">
        <f>SUMIFS(표_악몽던전템위력[rare+ dropped],표_악몽던전템위력[map tier],"&lt;="&amp;L3,표_악몽던전템위력[map tier],"&gt;"&amp;K3)</f>
        <v>517</v>
      </c>
      <c r="M17" s="71">
        <f>SUMIFS(표_악몽던전템위력[rare+ dropped],표_악몽던전템위력[map tier],"&lt;="&amp;M3,표_악몽던전템위력[map tier],"&gt;"&amp;L3)</f>
        <v>451</v>
      </c>
      <c r="N17" s="71">
        <f>SUMIFS(표_악몽던전템위력[rare+ dropped],표_악몽던전템위력[map tier],"&lt;="&amp;N3,표_악몽던전템위력[map tier],"&gt;"&amp;M3)</f>
        <v>385</v>
      </c>
      <c r="O17" s="71">
        <f>SUMIFS(표_악몽던전템위력[rare+ dropped],표_악몽던전템위력[map tier],"&lt;="&amp;O3,표_악몽던전템위력[map tier],"&gt;"&amp;N3)</f>
        <v>273</v>
      </c>
      <c r="P17" s="137">
        <f>SUMIFS(표_악몽던전템위력[rare+ dropped],표_악몽던전템위력[map tier],"&lt;="&amp;P3,표_악몽던전템위력[map tier],"&gt;"&amp;O3)</f>
        <v>215</v>
      </c>
      <c r="Q17" s="73">
        <f>SUMIFS(표_악몽던전템위력[rare+ dropped],표_악몽던전템위력[map tier],"&lt;="&amp;R3,표_악몽던전템위력[map tier],"&gt;="&amp;Q3)</f>
        <v>90</v>
      </c>
      <c r="S17" s="26">
        <v>46</v>
      </c>
      <c r="T17" s="136">
        <f>COUNTIF(표_악몽던전템위력[map tier],S17)</f>
        <v>2</v>
      </c>
      <c r="U17" s="192">
        <v>64</v>
      </c>
      <c r="V17" s="193">
        <f>COUNTIF(표_악몽던전템위력[map tier],U17)</f>
        <v>11</v>
      </c>
      <c r="W17" s="192">
        <v>82</v>
      </c>
      <c r="X17" s="193">
        <f>COUNTIF(표_악몽던전템위력[map tier],W17)</f>
        <v>4</v>
      </c>
      <c r="Y17" s="26">
        <v>100</v>
      </c>
      <c r="Z17" s="136">
        <f>COUNTIF(표_악몽던전템위력[map tier],Y17)</f>
        <v>4</v>
      </c>
    </row>
    <row r="18" spans="1:54">
      <c r="A18" s="59" t="s">
        <v>152</v>
      </c>
      <c r="B18" s="138">
        <f>AVERAGE(표_악몽던전템위력[[item1]:[item46]])</f>
        <v>772.93013313790152</v>
      </c>
      <c r="C18" s="139" cm="1">
        <f t="array" ref="C18">AVERAGE(_xlfn._xlws.FILTER(표_악몽던전템위력[[item1]:[item46]],(표_악몽던전템위력[map tier]&gt;B3)*(표_악몽던전템위력[map tier]&lt;=C3)))</f>
        <v>763.88617886178861</v>
      </c>
      <c r="D18" s="140" cm="1">
        <f t="array" ref="D18">AVERAGE(_xlfn._xlws.FILTER(표_악몽던전템위력[[item1]:[item46]],(표_악몽던전템위력[map tier]&gt;C3)*(표_악몽던전템위력[map tier]&lt;=D3)))</f>
        <v>771.73103448275867</v>
      </c>
      <c r="E18" s="140" cm="1">
        <f t="array" ref="E18">AVERAGE(_xlfn._xlws.FILTER(표_악몽던전템위력[[item1]:[item46]],(표_악몽던전템위력[map tier]&gt;D3)*(표_악몽던전템위력[map tier]&lt;=E3)))</f>
        <v>773.51126516464467</v>
      </c>
      <c r="F18" s="140" cm="1">
        <f t="array" ref="F18">AVERAGE(_xlfn._xlws.FILTER(표_악몽던전템위력[[item1]:[item46]],(표_악몽던전템위력[map tier]&gt;E3)*(표_악몽던전템위력[map tier]&lt;=F3)))</f>
        <v>772.64402810304455</v>
      </c>
      <c r="G18" s="140" cm="1">
        <f t="array" ref="G18">AVERAGE(_xlfn._xlws.FILTER(표_악몽던전템위력[[item1]:[item46]],(표_악몽던전템위력[map tier]&gt;F3)*(표_악몽던전템위력[map tier]&lt;=G3)))</f>
        <v>774.69851951547776</v>
      </c>
      <c r="H18" s="140" cm="1">
        <f t="array" ref="H18">AVERAGE(_xlfn._xlws.FILTER(표_악몽던전템위력[[item1]:[item46]],(표_악몽던전템위력[map tier]&gt;G3)*(표_악몽던전템위력[map tier]&lt;=H3)))</f>
        <v>772.98566878980887</v>
      </c>
      <c r="I18" s="140" cm="1">
        <f t="array" ref="I18">AVERAGE(_xlfn._xlws.FILTER(표_악몽던전템위력[[item1]:[item46]],(표_악몽던전템위력[map tier]&gt;H3)*(표_악몽던전템위력[map tier]&lt;=I3)))</f>
        <v>773.07620416966211</v>
      </c>
      <c r="J18" s="140" cm="1">
        <f t="array" ref="J18">AVERAGE(_xlfn._xlws.FILTER(표_악몽던전템위력[[item1]:[item46]],(표_악몽던전템위력[map tier]&gt;I3)*(표_악몽던전템위력[map tier]&lt;=J3)))</f>
        <v>773.55328596802838</v>
      </c>
      <c r="K18" s="140" cm="1">
        <f t="array" ref="K18">AVERAGE(_xlfn._xlws.FILTER(표_악몽던전템위력[[item1]:[item46]],(표_악몽던전템위력[map tier]&gt;J3)*(표_악몽던전템위력[map tier]&lt;=K3)))</f>
        <v>773.45037037037036</v>
      </c>
      <c r="L18" s="140" cm="1">
        <f t="array" ref="L18">AVERAGE(_xlfn._xlws.FILTER(표_악몽던전템위력[[item1]:[item46]],(표_악몽던전템위력[map tier]&gt;K3)*(표_악몽던전템위력[map tier]&lt;=L3)))</f>
        <v>772.08316831683169</v>
      </c>
      <c r="M18" s="140" cm="1">
        <f t="array" ref="M18">AVERAGE(_xlfn._xlws.FILTER(표_악몽던전템위력[[item1]:[item46]],(표_악몽던전템위력[map tier]&gt;L3)*(표_악몽던전템위력[map tier]&lt;=M3)))</f>
        <v>773.15753424657532</v>
      </c>
      <c r="N18" s="140" cm="1">
        <f t="array" ref="N18">AVERAGE(_xlfn._xlws.FILTER(표_악몽던전템위력[[item1]:[item46]],(표_악몽던전템위력[map tier]&gt;M3)*(표_악몽던전템위력[map tier]&lt;=N3)))</f>
        <v>773.18766756032176</v>
      </c>
      <c r="O18" s="140" cm="1">
        <f t="array" ref="O18">AVERAGE(_xlfn._xlws.FILTER(표_악몽던전템위력[[item1]:[item46]],(표_악몽던전템위력[map tier]&gt;N3)*(표_악몽던전템위력[map tier]&lt;=O3)))</f>
        <v>773.35205992509361</v>
      </c>
      <c r="P18" s="141" cm="1">
        <f t="array" ref="P18">AVERAGE(_xlfn._xlws.FILTER(표_악몽던전템위력[[item1]:[item46]],(표_악몽던전템위력[map tier]&gt;O3)*(표_악몽던전템위력[map tier]&lt;=P3)))</f>
        <v>773.98104265402844</v>
      </c>
      <c r="Q18" s="142" cm="1">
        <f t="array" ref="Q18">AVERAGE(_xlfn._xlws.FILTER(표_악몽던전템위력[[item1]:[item46]],(표_악몽던전템위력[map tier]&gt;=Q3)*(표_악몽던전템위력[map tier]&lt;=R3)))</f>
        <v>771.080459770115</v>
      </c>
      <c r="S18" s="26">
        <v>47</v>
      </c>
      <c r="T18" s="136">
        <f>COUNTIF(표_악몽던전템위력[map tier],S18)</f>
        <v>8</v>
      </c>
      <c r="U18" s="192">
        <v>65</v>
      </c>
      <c r="V18" s="193">
        <f>COUNTIF(표_악몽던전템위력[map tier],U18)</f>
        <v>17</v>
      </c>
      <c r="W18" s="192">
        <v>83</v>
      </c>
      <c r="X18" s="193">
        <f>COUNTIF(표_악몽던전템위력[map tier],W18)</f>
        <v>3</v>
      </c>
      <c r="Y18" s="195" t="s">
        <v>182</v>
      </c>
      <c r="Z18" s="136">
        <f>SUM(T2:T19,V2:V19,X2:X19,Z2:Z17)</f>
        <v>402</v>
      </c>
    </row>
    <row r="19" spans="1:54">
      <c r="A19" s="59" t="s">
        <v>147</v>
      </c>
      <c r="B19" s="63">
        <f>AVERAGE(표_악몽던전템위력[ancestral dropped])</f>
        <v>20.365671641791046</v>
      </c>
      <c r="C19" s="64" cm="1">
        <f t="array" ref="C19">AVERAGE(_xlfn._xlws.FILTER(표_악몽던전템위력[ancestral dropped],(표_악몽던전템위력[map tier]&gt;B3)*(표_악몽던전템위력[map tier]&lt;=C3)))</f>
        <v>12.947368421052632</v>
      </c>
      <c r="D19" s="65" cm="1">
        <f t="array" ref="D19">AVERAGE(_xlfn._xlws.FILTER(표_악몽던전템위력[ancestral dropped],(표_악몽던전템위력[map tier]&gt;C3)*(표_악몽던전템위력[map tier]&lt;=D3)))</f>
        <v>16.571428571428573</v>
      </c>
      <c r="E19" s="65" cm="1">
        <f t="array" ref="E19">AVERAGE(_xlfn._xlws.FILTER(표_악몽던전템위력[ancestral dropped],(표_악몽던전템위력[map tier]&gt;D3)*(표_악몽던전템위력[map tier]&lt;=E3)))</f>
        <v>18.03125</v>
      </c>
      <c r="F19" s="65" cm="1">
        <f t="array" ref="F19">AVERAGE(_xlfn._xlws.FILTER(표_악몽던전템위력[ancestral dropped],(표_악몽던전템위력[map tier]&gt;E3)*(표_악몽던전템위력[map tier]&lt;=F3)))</f>
        <v>20.333333333333332</v>
      </c>
      <c r="G19" s="65" cm="1">
        <f t="array" ref="G19">AVERAGE(_xlfn._xlws.FILTER(표_악몽던전템위력[ancestral dropped],(표_악몽던전템위력[map tier]&gt;F3)*(표_악몽던전템위력[map tier]&lt;=G3)))</f>
        <v>17.69047619047619</v>
      </c>
      <c r="H19" s="65" cm="1">
        <f t="array" ref="H19">AVERAGE(_xlfn._xlws.FILTER(표_악몽던전템위력[ancestral dropped],(표_악몽던전템위력[map tier]&gt;G3)*(표_악몽던전템위력[map tier]&lt;=H3)))</f>
        <v>23.25925925925926</v>
      </c>
      <c r="I19" s="65" cm="1">
        <f t="array" ref="I19">AVERAGE(_xlfn._xlws.FILTER(표_악몽던전템위력[ancestral dropped],(표_악몽던전템위력[map tier]&gt;H3)*(표_악몽던전템위력[map tier]&lt;=I3)))</f>
        <v>21.075757575757574</v>
      </c>
      <c r="J19" s="65" cm="1">
        <f t="array" ref="J19">AVERAGE(_xlfn._xlws.FILTER(표_악몽던전템위력[ancestral dropped],(표_악몽던전템위력[map tier]&gt;I3)*(표_악몽던전템위력[map tier]&lt;=J3)))</f>
        <v>22.979591836734695</v>
      </c>
      <c r="K19" s="65" cm="1">
        <f t="array" ref="K19">AVERAGE(_xlfn._xlws.FILTER(표_악몽던전템위력[ancestral dropped],(표_악몽던전템위력[map tier]&gt;J3)*(표_악몽던전템위력[map tier]&lt;=K3)))</f>
        <v>23.275862068965516</v>
      </c>
      <c r="L19" s="65" cm="1">
        <f t="array" ref="L19">AVERAGE(_xlfn._xlws.FILTER(표_악몽던전템위력[ancestral dropped],(표_악몽던전템위력[map tier]&gt;K3)*(표_악몽던전템위력[map tier]&lt;=L3)))</f>
        <v>22.954545454545453</v>
      </c>
      <c r="M19" s="65" cm="1">
        <f t="array" ref="M19">AVERAGE(_xlfn._xlws.FILTER(표_악몽던전템위력[ancestral dropped],(표_악몽던전템위력[map tier]&gt;L3)*(표_악몽던전템위력[map tier]&lt;=M3)))</f>
        <v>21.9</v>
      </c>
      <c r="N19" s="65" cm="1">
        <f t="array" ref="N19">AVERAGE(_xlfn._xlws.FILTER(표_악몽던전템위력[ancestral dropped],(표_악몽던전템위력[map tier]&gt;M3)*(표_악몽던전템위력[map tier]&lt;=N3)))</f>
        <v>24.866666666666667</v>
      </c>
      <c r="O19" s="65" cm="1">
        <f t="array" ref="O19">AVERAGE(_xlfn._xlws.FILTER(표_악몽던전템위력[ancestral dropped],(표_악몽던전템위력[map tier]&gt;N3)*(표_악몽던전템위력[map tier]&lt;=O3)))</f>
        <v>22.25</v>
      </c>
      <c r="P19" s="66" cm="1">
        <f t="array" ref="P19">AVERAGE(_xlfn._xlws.FILTER(표_악몽던전템위력[ancestral dropped],(표_악몽던전템위력[map tier]&gt;O3)*(표_악몽던전템위력[map tier]&lt;=P3)))</f>
        <v>16.23076923076923</v>
      </c>
      <c r="Q19" s="67" cm="1">
        <f t="array" ref="Q19">AVERAGE(_xlfn._xlws.FILTER(표_악몽던전템위력[ancestral dropped],(표_악몽던전템위력[map tier]&gt;=Q3)*(표_악몽던전템위력[map tier]&lt;=R3)))</f>
        <v>21.75</v>
      </c>
      <c r="S19" s="26">
        <v>48</v>
      </c>
      <c r="T19" s="136">
        <f>COUNTIF(표_악몽던전템위력[map tier],S19)</f>
        <v>6</v>
      </c>
      <c r="U19" s="192">
        <v>66</v>
      </c>
      <c r="V19" s="193">
        <f>COUNTIF(표_악몽던전템위력[map tier],U19)</f>
        <v>24</v>
      </c>
      <c r="W19" s="192">
        <v>84</v>
      </c>
      <c r="X19" s="193">
        <f>COUNTIF(표_악몽던전템위력[map tier],W19)</f>
        <v>5</v>
      </c>
    </row>
    <row r="20" spans="1:54">
      <c r="A20" s="60" t="s">
        <v>149</v>
      </c>
      <c r="B20" s="143">
        <f t="shared" ref="B20:Q20" si="0">B16/B17</f>
        <v>0.80763539508730398</v>
      </c>
      <c r="C20" s="144">
        <f t="shared" si="0"/>
        <v>0.53017241379310343</v>
      </c>
      <c r="D20" s="145">
        <f t="shared" si="0"/>
        <v>0.61833688699360345</v>
      </c>
      <c r="E20" s="145">
        <f t="shared" si="0"/>
        <v>0.65493757094211125</v>
      </c>
      <c r="F20" s="145">
        <f t="shared" si="0"/>
        <v>0.69318181818181823</v>
      </c>
      <c r="G20" s="145">
        <f t="shared" si="0"/>
        <v>0.74077766699900294</v>
      </c>
      <c r="H20" s="145">
        <f t="shared" si="0"/>
        <v>0.80927835051546393</v>
      </c>
      <c r="I20" s="145">
        <f t="shared" si="0"/>
        <v>0.85547355473554731</v>
      </c>
      <c r="J20" s="145">
        <f t="shared" si="0"/>
        <v>0.89011857707509878</v>
      </c>
      <c r="K20" s="145">
        <f t="shared" si="0"/>
        <v>0.92847317744154056</v>
      </c>
      <c r="L20" s="145">
        <f t="shared" si="0"/>
        <v>0.97678916827853002</v>
      </c>
      <c r="M20" s="145">
        <f t="shared" si="0"/>
        <v>0.97117516629711753</v>
      </c>
      <c r="N20" s="145">
        <f>N16/N17</f>
        <v>0.96883116883116882</v>
      </c>
      <c r="O20" s="145">
        <f>O16/O17</f>
        <v>0.97802197802197799</v>
      </c>
      <c r="P20" s="146">
        <f>P16/P17</f>
        <v>0.98139534883720925</v>
      </c>
      <c r="Q20" s="147">
        <f t="shared" si="0"/>
        <v>0.96666666666666667</v>
      </c>
    </row>
    <row r="21" spans="1:54" ht="42" customHeight="1">
      <c r="A21" s="85" t="s">
        <v>157</v>
      </c>
      <c r="B21" s="84"/>
      <c r="C21" s="84"/>
      <c r="E21" s="123" t="s">
        <v>175</v>
      </c>
      <c r="F21" s="124" t="s">
        <v>175</v>
      </c>
      <c r="G21" s="122" t="s">
        <v>176</v>
      </c>
      <c r="H21" s="124" t="s">
        <v>175</v>
      </c>
      <c r="I21" s="121" t="s">
        <v>177</v>
      </c>
      <c r="J21" s="84"/>
      <c r="K21" s="41"/>
      <c r="T21" s="40"/>
      <c r="AG21" s="87" t="s">
        <v>251</v>
      </c>
    </row>
    <row r="22" spans="1:54" ht="33.75" thickBot="1">
      <c r="A22" s="29" t="s">
        <v>186</v>
      </c>
      <c r="B22" s="29" t="s">
        <v>119</v>
      </c>
      <c r="C22" s="31" t="s">
        <v>29</v>
      </c>
      <c r="D22" s="31" t="s">
        <v>135</v>
      </c>
      <c r="E22" s="31" t="s">
        <v>283</v>
      </c>
      <c r="F22" s="45" t="s">
        <v>284</v>
      </c>
      <c r="G22" s="45" t="s">
        <v>136</v>
      </c>
      <c r="H22" s="46" t="s">
        <v>137</v>
      </c>
      <c r="I22" s="28" t="s">
        <v>86</v>
      </c>
      <c r="J22" s="28" t="s">
        <v>87</v>
      </c>
      <c r="K22" s="28" t="s">
        <v>88</v>
      </c>
      <c r="L22" s="28" t="s">
        <v>89</v>
      </c>
      <c r="M22" s="28" t="s">
        <v>90</v>
      </c>
      <c r="N22" s="28" t="s">
        <v>91</v>
      </c>
      <c r="O22" s="28" t="s">
        <v>92</v>
      </c>
      <c r="P22" s="28" t="s">
        <v>93</v>
      </c>
      <c r="Q22" s="28" t="s">
        <v>94</v>
      </c>
      <c r="R22" s="28" t="s">
        <v>95</v>
      </c>
      <c r="S22" s="28" t="s">
        <v>96</v>
      </c>
      <c r="T22" s="28" t="s">
        <v>97</v>
      </c>
      <c r="U22" s="28" t="s">
        <v>98</v>
      </c>
      <c r="V22" s="28" t="s">
        <v>99</v>
      </c>
      <c r="W22" s="28" t="s">
        <v>100</v>
      </c>
      <c r="X22" s="28" t="s">
        <v>101</v>
      </c>
      <c r="Y22" s="28" t="s">
        <v>102</v>
      </c>
      <c r="Z22" s="28" t="s">
        <v>103</v>
      </c>
      <c r="AA22" s="28" t="s">
        <v>104</v>
      </c>
      <c r="AB22" s="28" t="s">
        <v>105</v>
      </c>
      <c r="AC22" s="28" t="s">
        <v>106</v>
      </c>
      <c r="AD22" s="28" t="s">
        <v>107</v>
      </c>
      <c r="AE22" s="28" t="s">
        <v>108</v>
      </c>
      <c r="AF22" s="28" t="s">
        <v>109</v>
      </c>
      <c r="AG22" s="28" t="s">
        <v>110</v>
      </c>
      <c r="AH22" s="28" t="s">
        <v>111</v>
      </c>
      <c r="AI22" s="28" t="s">
        <v>112</v>
      </c>
      <c r="AJ22" s="28" t="s">
        <v>113</v>
      </c>
      <c r="AK22" s="28" t="s">
        <v>114</v>
      </c>
      <c r="AL22" s="28" t="s">
        <v>115</v>
      </c>
      <c r="AM22" s="28" t="s">
        <v>116</v>
      </c>
      <c r="AN22" s="28" t="s">
        <v>117</v>
      </c>
      <c r="AO22" s="28" t="s">
        <v>118</v>
      </c>
      <c r="AP22" s="28" t="s">
        <v>160</v>
      </c>
      <c r="AQ22" s="28" t="s">
        <v>161</v>
      </c>
      <c r="AR22" s="28" t="s">
        <v>162</v>
      </c>
      <c r="AS22" s="28" t="s">
        <v>163</v>
      </c>
      <c r="AT22" s="28" t="s">
        <v>164</v>
      </c>
      <c r="AU22" s="28" t="s">
        <v>165</v>
      </c>
      <c r="AV22" s="28" t="s">
        <v>166</v>
      </c>
      <c r="AW22" s="28" t="s">
        <v>178</v>
      </c>
      <c r="AX22" s="28" t="s">
        <v>292</v>
      </c>
      <c r="AY22" s="28" t="s">
        <v>293</v>
      </c>
      <c r="AZ22" s="28" t="s">
        <v>294</v>
      </c>
      <c r="BA22" s="28" t="s">
        <v>295</v>
      </c>
      <c r="BB22" s="28" t="s">
        <v>296</v>
      </c>
    </row>
    <row r="23" spans="1:54">
      <c r="A23" s="30">
        <v>102</v>
      </c>
      <c r="B23" s="30" t="s">
        <v>123</v>
      </c>
      <c r="C23" s="27">
        <v>31</v>
      </c>
      <c r="D23" s="44"/>
      <c r="E23" s="33">
        <f>표_악몽던전템위력[[#This Row],[ancestral dropped]]/표_악몽던전템위력[[#This Row],[rare+ dropped]]</f>
        <v>0.5</v>
      </c>
      <c r="F23" s="47">
        <f>COUNT(표_악몽던전템위력[[#This Row],[item1]:[item46]])</f>
        <v>12</v>
      </c>
      <c r="G23" s="47">
        <v>24</v>
      </c>
      <c r="H23" s="48">
        <f>AVERAGE(표_악몽던전템위력[[#This Row],[item1]:[item46]])</f>
        <v>751.16666666666663</v>
      </c>
      <c r="I23" s="26">
        <v>761</v>
      </c>
      <c r="J23" s="26">
        <v>746</v>
      </c>
      <c r="K23" s="26">
        <v>711</v>
      </c>
      <c r="L23" s="26">
        <v>760</v>
      </c>
      <c r="M23" s="26">
        <v>747</v>
      </c>
      <c r="N23" s="26">
        <v>756</v>
      </c>
      <c r="O23" s="26">
        <v>733</v>
      </c>
      <c r="P23" s="26">
        <v>750</v>
      </c>
      <c r="Q23" s="26">
        <v>800</v>
      </c>
      <c r="R23" s="26">
        <v>746</v>
      </c>
      <c r="S23" s="26">
        <v>740</v>
      </c>
      <c r="T23" s="26">
        <v>764</v>
      </c>
    </row>
    <row r="24" spans="1:54">
      <c r="A24" s="30">
        <v>102</v>
      </c>
      <c r="B24" s="30" t="s">
        <v>150</v>
      </c>
      <c r="C24" s="27">
        <v>31</v>
      </c>
      <c r="D24" s="44"/>
      <c r="E24" s="33">
        <f>표_악몽던전템위력[[#This Row],[ancestral dropped]]/표_악몽던전템위력[[#This Row],[rare+ dropped]]</f>
        <v>0.4838709677419355</v>
      </c>
      <c r="F24" s="47">
        <f>COUNT(표_악몽던전템위력[[#This Row],[item1]:[item46]])</f>
        <v>15</v>
      </c>
      <c r="G24" s="47">
        <v>31</v>
      </c>
      <c r="H24" s="48">
        <f>AVERAGE(표_악몽던전템위력[[#This Row],[item1]:[item46]])</f>
        <v>755.5333333333333</v>
      </c>
      <c r="I24" s="26">
        <v>786</v>
      </c>
      <c r="J24" s="26">
        <v>753</v>
      </c>
      <c r="K24" s="26">
        <v>781</v>
      </c>
      <c r="L24" s="26">
        <v>754</v>
      </c>
      <c r="M24" s="26">
        <v>792</v>
      </c>
      <c r="N24" s="26">
        <v>775</v>
      </c>
      <c r="O24" s="26">
        <v>754</v>
      </c>
      <c r="P24" s="26">
        <v>718</v>
      </c>
      <c r="Q24" s="26">
        <v>751</v>
      </c>
      <c r="R24" s="26">
        <v>782</v>
      </c>
      <c r="S24" s="26">
        <v>710</v>
      </c>
      <c r="T24" s="26">
        <v>749</v>
      </c>
      <c r="U24" s="26">
        <v>708</v>
      </c>
      <c r="V24" s="26">
        <v>753</v>
      </c>
      <c r="W24" s="26">
        <v>767</v>
      </c>
    </row>
    <row r="25" spans="1:54">
      <c r="A25" s="30">
        <v>102</v>
      </c>
      <c r="B25" s="30" t="s">
        <v>124</v>
      </c>
      <c r="C25" s="27">
        <v>31</v>
      </c>
      <c r="D25" s="44"/>
      <c r="E25" s="33">
        <f>표_악몽던전템위력[[#This Row],[ancestral dropped]]/표_악몽던전템위력[[#This Row],[rare+ dropped]]</f>
        <v>0.58333333333333337</v>
      </c>
      <c r="F25" s="47">
        <f>COUNT(표_악몽던전템위력[[#This Row],[item1]:[item46]])</f>
        <v>14</v>
      </c>
      <c r="G25" s="47">
        <v>24</v>
      </c>
      <c r="H25" s="48">
        <f>AVERAGE(표_악몽던전템위력[[#This Row],[item1]:[item46]])</f>
        <v>771.28571428571433</v>
      </c>
      <c r="I25" s="26">
        <v>756</v>
      </c>
      <c r="J25" s="26">
        <v>739</v>
      </c>
      <c r="K25" s="26">
        <v>813</v>
      </c>
      <c r="L25" s="26">
        <v>801</v>
      </c>
      <c r="M25" s="26">
        <v>787</v>
      </c>
      <c r="N25" s="26">
        <v>784</v>
      </c>
      <c r="O25" s="26">
        <v>778</v>
      </c>
      <c r="P25" s="26">
        <v>768</v>
      </c>
      <c r="Q25" s="26">
        <v>741</v>
      </c>
      <c r="R25" s="26">
        <v>778</v>
      </c>
      <c r="S25" s="26">
        <v>760</v>
      </c>
      <c r="T25" s="26">
        <v>737</v>
      </c>
      <c r="U25" s="26">
        <v>785</v>
      </c>
      <c r="V25" s="26">
        <v>771</v>
      </c>
    </row>
    <row r="26" spans="1:54">
      <c r="A26" s="30">
        <v>102</v>
      </c>
      <c r="B26" s="30" t="s">
        <v>0</v>
      </c>
      <c r="C26" s="27">
        <v>32</v>
      </c>
      <c r="D26" s="44"/>
      <c r="E26" s="33">
        <f>표_악몽던전템위력[[#This Row],[ancestral dropped]]/표_악몽던전템위력[[#This Row],[rare+ dropped]]</f>
        <v>0.47368421052631576</v>
      </c>
      <c r="F26" s="47">
        <f>COUNT(표_악몽던전템위력[[#This Row],[item1]:[item46]])</f>
        <v>9</v>
      </c>
      <c r="G26" s="47">
        <v>19</v>
      </c>
      <c r="H26" s="48">
        <f>AVERAGE(표_악몽던전템위력[[#This Row],[item1]:[item46]])</f>
        <v>750.44444444444446</v>
      </c>
      <c r="I26" s="26">
        <v>733</v>
      </c>
      <c r="J26" s="26">
        <v>759</v>
      </c>
      <c r="K26" s="26">
        <v>770</v>
      </c>
      <c r="L26" s="26">
        <v>761</v>
      </c>
      <c r="M26" s="26">
        <v>751</v>
      </c>
      <c r="N26" s="26">
        <v>733</v>
      </c>
      <c r="O26" s="26">
        <v>736</v>
      </c>
      <c r="P26" s="26">
        <v>755</v>
      </c>
      <c r="Q26" s="26">
        <v>756</v>
      </c>
    </row>
    <row r="27" spans="1:54">
      <c r="A27" s="30">
        <v>102</v>
      </c>
      <c r="B27" s="30" t="s">
        <v>126</v>
      </c>
      <c r="C27" s="27">
        <v>32</v>
      </c>
      <c r="D27" s="44"/>
      <c r="E27" s="33">
        <f>표_악몽던전템위력[[#This Row],[ancestral dropped]]/표_악몽던전템위력[[#This Row],[rare+ dropped]]</f>
        <v>0.38709677419354838</v>
      </c>
      <c r="F27" s="47">
        <f>COUNT(표_악몽던전템위력[[#This Row],[item1]:[item46]])</f>
        <v>12</v>
      </c>
      <c r="G27" s="47">
        <v>31</v>
      </c>
      <c r="H27" s="48">
        <f>AVERAGE(표_악몽던전템위력[[#This Row],[item1]:[item46]])</f>
        <v>760.83333333333337</v>
      </c>
      <c r="I27" s="26">
        <v>788</v>
      </c>
      <c r="J27" s="26">
        <v>786</v>
      </c>
      <c r="K27" s="26">
        <v>784</v>
      </c>
      <c r="L27" s="26">
        <v>769</v>
      </c>
      <c r="M27" s="26">
        <v>751</v>
      </c>
      <c r="N27" s="26">
        <v>794</v>
      </c>
      <c r="O27" s="26">
        <v>744</v>
      </c>
      <c r="P27" s="26">
        <v>731</v>
      </c>
      <c r="Q27" s="26">
        <v>768</v>
      </c>
      <c r="R27" s="26">
        <v>719</v>
      </c>
      <c r="S27" s="26">
        <v>709</v>
      </c>
      <c r="T27" s="26">
        <v>787</v>
      </c>
    </row>
    <row r="28" spans="1:54">
      <c r="A28" s="30">
        <v>102</v>
      </c>
      <c r="B28" s="30" t="s">
        <v>121</v>
      </c>
      <c r="C28" s="27">
        <v>32</v>
      </c>
      <c r="D28" s="44">
        <v>1</v>
      </c>
      <c r="E28" s="33">
        <f>표_악몽던전템위력[[#This Row],[ancestral dropped]]/표_악몽던전템위력[[#This Row],[rare+ dropped]]</f>
        <v>0.46666666666666667</v>
      </c>
      <c r="F28" s="47">
        <f>COUNT(표_악몽던전템위력[[#This Row],[item1]:[item46]])</f>
        <v>7</v>
      </c>
      <c r="G28" s="47">
        <v>15</v>
      </c>
      <c r="H28" s="48">
        <f>AVERAGE(표_악몽던전템위력[[#This Row],[item1]:[item46]])</f>
        <v>766.85714285714289</v>
      </c>
      <c r="I28" s="26">
        <v>762</v>
      </c>
      <c r="J28" s="26">
        <v>748</v>
      </c>
      <c r="K28" s="26">
        <v>747</v>
      </c>
      <c r="L28" s="26">
        <v>800</v>
      </c>
      <c r="M28" s="26">
        <v>766</v>
      </c>
      <c r="N28" s="26">
        <v>749</v>
      </c>
      <c r="O28" s="26">
        <v>796</v>
      </c>
    </row>
    <row r="29" spans="1:54">
      <c r="A29" s="30">
        <v>102</v>
      </c>
      <c r="B29" s="30" t="s">
        <v>145</v>
      </c>
      <c r="C29" s="27">
        <v>32</v>
      </c>
      <c r="D29" s="44"/>
      <c r="E29" s="33">
        <f>표_악몽던전템위력[[#This Row],[ancestral dropped]]/표_악몽던전템위력[[#This Row],[rare+ dropped]]</f>
        <v>0.59090909090909094</v>
      </c>
      <c r="F29" s="47">
        <f>COUNT(표_악몽던전템위력[[#This Row],[item1]:[item46]])</f>
        <v>13</v>
      </c>
      <c r="G29" s="47">
        <v>22</v>
      </c>
      <c r="H29" s="48">
        <f>AVERAGE(표_악몽던전템위력[[#This Row],[item1]:[item46]])</f>
        <v>760.38461538461536</v>
      </c>
      <c r="I29" s="26">
        <v>731</v>
      </c>
      <c r="J29" s="26">
        <v>719</v>
      </c>
      <c r="K29" s="26">
        <v>768</v>
      </c>
      <c r="L29" s="26">
        <v>726</v>
      </c>
      <c r="M29" s="26">
        <v>747</v>
      </c>
      <c r="N29" s="26">
        <v>747</v>
      </c>
      <c r="O29" s="26">
        <v>790</v>
      </c>
      <c r="P29" s="26">
        <v>788</v>
      </c>
      <c r="Q29" s="26">
        <v>753</v>
      </c>
      <c r="R29" s="26">
        <v>787</v>
      </c>
      <c r="S29" s="26">
        <v>786</v>
      </c>
      <c r="T29" s="26">
        <v>763</v>
      </c>
      <c r="U29" s="26">
        <v>780</v>
      </c>
    </row>
    <row r="30" spans="1:54">
      <c r="A30" s="30">
        <v>102</v>
      </c>
      <c r="B30" s="30" t="s">
        <v>31</v>
      </c>
      <c r="C30" s="27">
        <v>33</v>
      </c>
      <c r="D30" s="44"/>
      <c r="E30" s="33">
        <f>표_악몽던전템위력[[#This Row],[ancestral dropped]]/표_악몽던전템위력[[#This Row],[rare+ dropped]]</f>
        <v>0.51851851851851849</v>
      </c>
      <c r="F30" s="47">
        <f>COUNT(표_악몽던전템위력[[#This Row],[item1]:[item46]])</f>
        <v>14</v>
      </c>
      <c r="G30" s="47">
        <v>27</v>
      </c>
      <c r="H30" s="48">
        <f>AVERAGE(표_악몽던전템위력[[#This Row],[item1]:[item46]])</f>
        <v>764.78571428571433</v>
      </c>
      <c r="I30" s="26">
        <v>807</v>
      </c>
      <c r="J30" s="26">
        <v>745</v>
      </c>
      <c r="K30" s="26">
        <v>753</v>
      </c>
      <c r="L30" s="26">
        <v>807</v>
      </c>
      <c r="M30" s="26">
        <v>775</v>
      </c>
      <c r="N30" s="26">
        <v>769</v>
      </c>
      <c r="O30" s="26">
        <v>716</v>
      </c>
      <c r="P30" s="26">
        <v>756</v>
      </c>
      <c r="Q30" s="26">
        <v>741</v>
      </c>
      <c r="R30" s="26">
        <v>767</v>
      </c>
      <c r="S30" s="26">
        <v>731</v>
      </c>
      <c r="T30" s="26">
        <v>765</v>
      </c>
      <c r="U30" s="26">
        <v>797</v>
      </c>
      <c r="V30" s="26">
        <v>778</v>
      </c>
    </row>
    <row r="31" spans="1:54">
      <c r="A31" s="30">
        <v>102</v>
      </c>
      <c r="B31" s="30" t="s">
        <v>145</v>
      </c>
      <c r="C31" s="27">
        <v>33</v>
      </c>
      <c r="D31" s="44"/>
      <c r="E31" s="33">
        <f>표_악몽던전템위력[[#This Row],[ancestral dropped]]/표_악몽던전템위력[[#This Row],[rare+ dropped]]</f>
        <v>0.46666666666666667</v>
      </c>
      <c r="F31" s="47">
        <f>COUNT(표_악몽던전템위력[[#This Row],[item1]:[item46]])</f>
        <v>14</v>
      </c>
      <c r="G31" s="47">
        <v>30</v>
      </c>
      <c r="H31" s="48">
        <f>AVERAGE(표_악몽던전템위력[[#This Row],[item1]:[item46]])</f>
        <v>763.64285714285711</v>
      </c>
      <c r="I31" s="26">
        <v>769</v>
      </c>
      <c r="J31" s="26">
        <v>760</v>
      </c>
      <c r="K31" s="26">
        <v>756</v>
      </c>
      <c r="L31" s="26">
        <v>735</v>
      </c>
      <c r="M31" s="26">
        <v>725</v>
      </c>
      <c r="N31" s="26">
        <v>791</v>
      </c>
      <c r="O31" s="26">
        <v>782</v>
      </c>
      <c r="P31" s="26">
        <v>770</v>
      </c>
      <c r="Q31" s="26">
        <v>733</v>
      </c>
      <c r="R31" s="26">
        <v>798</v>
      </c>
      <c r="S31" s="26">
        <v>779</v>
      </c>
      <c r="T31" s="26">
        <v>771</v>
      </c>
      <c r="U31" s="26">
        <v>769</v>
      </c>
      <c r="V31" s="26">
        <v>753</v>
      </c>
    </row>
    <row r="32" spans="1:54">
      <c r="A32" s="30">
        <v>102</v>
      </c>
      <c r="B32" s="30" t="s">
        <v>129</v>
      </c>
      <c r="C32" s="27">
        <v>33</v>
      </c>
      <c r="D32" s="44"/>
      <c r="E32" s="33">
        <f>표_악몽던전템위력[[#This Row],[ancestral dropped]]/표_악몽던전템위력[[#This Row],[rare+ dropped]]</f>
        <v>0.57692307692307687</v>
      </c>
      <c r="F32" s="47">
        <f>COUNT(표_악몽던전템위력[[#This Row],[item1]:[item46]])</f>
        <v>15</v>
      </c>
      <c r="G32" s="47">
        <v>26</v>
      </c>
      <c r="H32" s="48">
        <f>AVERAGE(표_악몽던전템위력[[#This Row],[item1]:[item46]])</f>
        <v>766.66666666666663</v>
      </c>
      <c r="I32" s="26">
        <v>789</v>
      </c>
      <c r="J32" s="26">
        <v>780</v>
      </c>
      <c r="K32" s="26">
        <v>761</v>
      </c>
      <c r="L32" s="26">
        <v>734</v>
      </c>
      <c r="M32" s="26">
        <v>726</v>
      </c>
      <c r="N32" s="26">
        <v>788</v>
      </c>
      <c r="O32" s="26">
        <v>753</v>
      </c>
      <c r="P32" s="26">
        <v>808</v>
      </c>
      <c r="Q32" s="26">
        <v>793</v>
      </c>
      <c r="R32" s="26">
        <v>789</v>
      </c>
      <c r="S32" s="26">
        <v>755</v>
      </c>
      <c r="T32" s="26">
        <v>782</v>
      </c>
      <c r="U32" s="26">
        <v>756</v>
      </c>
      <c r="V32" s="26">
        <v>720</v>
      </c>
      <c r="W32" s="26">
        <v>766</v>
      </c>
    </row>
    <row r="33" spans="1:31">
      <c r="A33" s="30">
        <v>102</v>
      </c>
      <c r="B33" s="30" t="s">
        <v>31</v>
      </c>
      <c r="C33" s="27">
        <v>34</v>
      </c>
      <c r="D33" s="44"/>
      <c r="E33" s="33">
        <f>표_악몽던전템위력[[#This Row],[ancestral dropped]]/표_악몽던전템위력[[#This Row],[rare+ dropped]]</f>
        <v>0.48148148148148145</v>
      </c>
      <c r="F33" s="47">
        <f>COUNT(표_악몽던전템위력[[#This Row],[item1]:[item46]])</f>
        <v>13</v>
      </c>
      <c r="G33" s="47">
        <v>27</v>
      </c>
      <c r="H33" s="48">
        <f>AVERAGE(표_악몽던전템위력[[#This Row],[item1]:[item46]])</f>
        <v>762.61538461538464</v>
      </c>
      <c r="I33" s="26">
        <v>780</v>
      </c>
      <c r="J33" s="26">
        <v>787</v>
      </c>
      <c r="K33" s="26">
        <v>764</v>
      </c>
      <c r="L33" s="26">
        <v>741</v>
      </c>
      <c r="M33" s="26">
        <v>729</v>
      </c>
      <c r="N33" s="26">
        <v>774</v>
      </c>
      <c r="O33" s="26">
        <v>764</v>
      </c>
      <c r="P33" s="26">
        <v>782</v>
      </c>
      <c r="Q33" s="26">
        <v>766</v>
      </c>
      <c r="R33" s="26">
        <v>787</v>
      </c>
      <c r="S33" s="26">
        <v>780</v>
      </c>
      <c r="T33" s="26">
        <v>742</v>
      </c>
      <c r="U33" s="26">
        <v>718</v>
      </c>
    </row>
    <row r="34" spans="1:31">
      <c r="A34" s="30">
        <v>102</v>
      </c>
      <c r="B34" s="30" t="s">
        <v>120</v>
      </c>
      <c r="C34" s="27">
        <v>34</v>
      </c>
      <c r="D34" s="44"/>
      <c r="E34" s="33">
        <f>표_악몽던전템위력[[#This Row],[ancestral dropped]]/표_악몽던전템위력[[#This Row],[rare+ dropped]]</f>
        <v>0.68181818181818177</v>
      </c>
      <c r="F34" s="47">
        <f>COUNT(표_악몽던전템위력[[#This Row],[item1]:[item46]])</f>
        <v>15</v>
      </c>
      <c r="G34" s="47">
        <v>22</v>
      </c>
      <c r="H34" s="48">
        <f>AVERAGE(표_악몽던전템위력[[#This Row],[item1]:[item46]])</f>
        <v>774.33333333333337</v>
      </c>
      <c r="I34" s="26">
        <v>790</v>
      </c>
      <c r="J34" s="26">
        <v>782</v>
      </c>
      <c r="K34" s="26">
        <v>773</v>
      </c>
      <c r="L34" s="26">
        <v>783</v>
      </c>
      <c r="M34" s="26">
        <v>783</v>
      </c>
      <c r="N34" s="26">
        <v>777</v>
      </c>
      <c r="O34" s="26">
        <v>767</v>
      </c>
      <c r="P34" s="26">
        <v>799</v>
      </c>
      <c r="Q34" s="26">
        <v>740</v>
      </c>
      <c r="R34" s="26">
        <v>787</v>
      </c>
      <c r="S34" s="26">
        <v>776</v>
      </c>
      <c r="T34" s="26">
        <v>770</v>
      </c>
      <c r="U34" s="26">
        <v>775</v>
      </c>
      <c r="V34" s="26">
        <v>756</v>
      </c>
      <c r="W34" s="26">
        <v>757</v>
      </c>
    </row>
    <row r="35" spans="1:31">
      <c r="A35" s="30">
        <v>102</v>
      </c>
      <c r="B35" s="30" t="s">
        <v>145</v>
      </c>
      <c r="C35" s="27">
        <v>34</v>
      </c>
      <c r="D35" s="44"/>
      <c r="E35" s="33">
        <f>표_악몽던전템위력[[#This Row],[ancestral dropped]]/표_악몽던전템위력[[#This Row],[rare+ dropped]]</f>
        <v>0.69696969696969702</v>
      </c>
      <c r="F35" s="47">
        <f>COUNT(표_악몽던전템위력[[#This Row],[item1]:[item46]])</f>
        <v>23</v>
      </c>
      <c r="G35" s="47">
        <v>33</v>
      </c>
      <c r="H35" s="48">
        <f>AVERAGE(표_악몽던전템위력[[#This Row],[item1]:[item46]])</f>
        <v>767.95652173913038</v>
      </c>
      <c r="I35" s="26">
        <v>787</v>
      </c>
      <c r="J35" s="26">
        <v>778</v>
      </c>
      <c r="K35" s="26">
        <v>751</v>
      </c>
      <c r="L35" s="26">
        <v>815</v>
      </c>
      <c r="M35" s="26">
        <v>787</v>
      </c>
      <c r="N35" s="26">
        <v>785</v>
      </c>
      <c r="O35" s="26">
        <v>782</v>
      </c>
      <c r="P35" s="26">
        <v>753</v>
      </c>
      <c r="Q35" s="26">
        <v>748</v>
      </c>
      <c r="R35" s="26">
        <v>769</v>
      </c>
      <c r="S35" s="26">
        <v>770</v>
      </c>
      <c r="T35" s="26">
        <v>765</v>
      </c>
      <c r="U35" s="26">
        <v>751</v>
      </c>
      <c r="V35" s="26">
        <v>747</v>
      </c>
      <c r="W35" s="26">
        <v>776</v>
      </c>
      <c r="X35" s="26">
        <v>772</v>
      </c>
      <c r="Y35" s="26">
        <v>757</v>
      </c>
      <c r="Z35" s="26">
        <v>746</v>
      </c>
      <c r="AA35" s="26">
        <v>784</v>
      </c>
      <c r="AB35" s="26">
        <v>784</v>
      </c>
      <c r="AC35" s="26">
        <v>755</v>
      </c>
      <c r="AD35" s="26">
        <v>744</v>
      </c>
      <c r="AE35" s="26">
        <v>757</v>
      </c>
    </row>
    <row r="36" spans="1:31">
      <c r="A36" s="30">
        <v>102</v>
      </c>
      <c r="B36" s="30" t="s">
        <v>127</v>
      </c>
      <c r="C36" s="27">
        <v>34</v>
      </c>
      <c r="D36" s="44"/>
      <c r="E36" s="33">
        <f>표_악몽던전템위력[[#This Row],[ancestral dropped]]/표_악몽던전템위력[[#This Row],[rare+ dropped]]</f>
        <v>0.66666666666666663</v>
      </c>
      <c r="F36" s="47">
        <f>COUNT(표_악몽던전템위력[[#This Row],[item1]:[item46]])</f>
        <v>18</v>
      </c>
      <c r="G36" s="47">
        <v>27</v>
      </c>
      <c r="H36" s="48">
        <f>AVERAGE(표_악몽던전템위력[[#This Row],[item1]:[item46]])</f>
        <v>768.38888888888891</v>
      </c>
      <c r="I36" s="26">
        <v>777</v>
      </c>
      <c r="J36" s="26">
        <v>754</v>
      </c>
      <c r="K36" s="26">
        <v>729</v>
      </c>
      <c r="L36" s="26">
        <v>761</v>
      </c>
      <c r="M36" s="26">
        <v>745</v>
      </c>
      <c r="N36" s="26">
        <v>809</v>
      </c>
      <c r="O36" s="26">
        <v>806</v>
      </c>
      <c r="P36" s="26">
        <v>791</v>
      </c>
      <c r="Q36" s="26">
        <v>773</v>
      </c>
      <c r="R36" s="26">
        <v>742</v>
      </c>
      <c r="S36" s="26">
        <v>739</v>
      </c>
      <c r="T36" s="26">
        <v>755</v>
      </c>
      <c r="U36" s="26">
        <v>792</v>
      </c>
      <c r="V36" s="26">
        <v>788</v>
      </c>
      <c r="W36" s="26">
        <v>781</v>
      </c>
      <c r="X36" s="26">
        <v>751</v>
      </c>
      <c r="Y36" s="26">
        <v>752</v>
      </c>
      <c r="Z36" s="26">
        <v>786</v>
      </c>
    </row>
    <row r="37" spans="1:31">
      <c r="A37" s="30">
        <v>102</v>
      </c>
      <c r="B37" s="30" t="s">
        <v>150</v>
      </c>
      <c r="C37" s="27">
        <v>34</v>
      </c>
      <c r="D37" s="44"/>
      <c r="E37" s="33">
        <f>표_악몽던전템위력[[#This Row],[ancestral dropped]]/표_악몽던전템위력[[#This Row],[rare+ dropped]]</f>
        <v>0.47826086956521741</v>
      </c>
      <c r="F37" s="47">
        <f>COUNT(표_악몽던전템위력[[#This Row],[item1]:[item46]])</f>
        <v>11</v>
      </c>
      <c r="G37" s="47">
        <v>23</v>
      </c>
      <c r="H37" s="48">
        <f>AVERAGE(표_악몽던전템위력[[#This Row],[item1]:[item46]])</f>
        <v>766.36363636363637</v>
      </c>
      <c r="I37" s="26">
        <v>750</v>
      </c>
      <c r="J37" s="26">
        <v>790</v>
      </c>
      <c r="K37" s="26">
        <v>750</v>
      </c>
      <c r="L37" s="26">
        <v>786</v>
      </c>
      <c r="M37" s="26">
        <v>774</v>
      </c>
      <c r="N37" s="26">
        <v>765</v>
      </c>
      <c r="O37" s="26">
        <v>756</v>
      </c>
      <c r="P37" s="26">
        <v>743</v>
      </c>
      <c r="Q37" s="26">
        <v>728</v>
      </c>
      <c r="R37" s="26">
        <v>795</v>
      </c>
      <c r="S37" s="26">
        <v>793</v>
      </c>
    </row>
    <row r="38" spans="1:31">
      <c r="A38" s="30">
        <v>102</v>
      </c>
      <c r="B38" s="30" t="s">
        <v>124</v>
      </c>
      <c r="C38" s="27">
        <v>35</v>
      </c>
      <c r="D38" s="44"/>
      <c r="E38" s="33">
        <f>표_악몽던전템위력[[#This Row],[ancestral dropped]]/표_악몽던전템위력[[#This Row],[rare+ dropped]]</f>
        <v>0.4</v>
      </c>
      <c r="F38" s="47">
        <f>COUNT(표_악몽던전템위력[[#This Row],[item1]:[item46]])</f>
        <v>4</v>
      </c>
      <c r="G38" s="47">
        <v>10</v>
      </c>
      <c r="H38" s="48">
        <f>AVERAGE(표_악몽던전템위력[[#This Row],[item1]:[item46]])</f>
        <v>772.75</v>
      </c>
      <c r="I38" s="26">
        <v>807</v>
      </c>
      <c r="J38" s="26">
        <v>758</v>
      </c>
      <c r="K38" s="26">
        <v>743</v>
      </c>
      <c r="L38" s="26">
        <v>783</v>
      </c>
    </row>
    <row r="39" spans="1:31">
      <c r="A39" s="30">
        <v>102</v>
      </c>
      <c r="B39" s="30" t="s">
        <v>120</v>
      </c>
      <c r="C39" s="27">
        <v>35</v>
      </c>
      <c r="D39" s="44"/>
      <c r="E39" s="33">
        <f>표_악몽던전템위력[[#This Row],[ancestral dropped]]/표_악몽던전템위력[[#This Row],[rare+ dropped]]</f>
        <v>0.55000000000000004</v>
      </c>
      <c r="F39" s="47">
        <f>COUNT(표_악몽던전템위력[[#This Row],[item1]:[item46]])</f>
        <v>11</v>
      </c>
      <c r="G39" s="47">
        <v>20</v>
      </c>
      <c r="H39" s="48">
        <f>AVERAGE(표_악몽던전템위력[[#This Row],[item1]:[item46]])</f>
        <v>763.18181818181813</v>
      </c>
      <c r="I39" s="26">
        <v>770</v>
      </c>
      <c r="J39" s="26">
        <v>739</v>
      </c>
      <c r="K39" s="26">
        <v>776</v>
      </c>
      <c r="L39" s="26">
        <v>773</v>
      </c>
      <c r="M39" s="26">
        <v>769</v>
      </c>
      <c r="N39" s="26">
        <v>763</v>
      </c>
      <c r="O39" s="26">
        <v>732</v>
      </c>
      <c r="P39" s="26">
        <v>747</v>
      </c>
      <c r="Q39" s="26">
        <v>783</v>
      </c>
      <c r="R39" s="26">
        <v>774</v>
      </c>
      <c r="S39" s="26">
        <v>769</v>
      </c>
    </row>
    <row r="40" spans="1:31">
      <c r="A40" s="30">
        <v>102</v>
      </c>
      <c r="B40" s="30" t="s">
        <v>146</v>
      </c>
      <c r="C40" s="27">
        <v>35</v>
      </c>
      <c r="D40" s="44"/>
      <c r="E40" s="33">
        <f>표_악몽던전템위력[[#This Row],[ancestral dropped]]/표_악몽던전템위력[[#This Row],[rare+ dropped]]</f>
        <v>0.59090909090909094</v>
      </c>
      <c r="F40" s="47">
        <f>COUNT(표_악몽던전템위력[[#This Row],[item1]:[item46]])</f>
        <v>13</v>
      </c>
      <c r="G40" s="47">
        <v>22</v>
      </c>
      <c r="H40" s="48">
        <f>AVERAGE(표_악몽던전템위력[[#This Row],[item1]:[item46]])</f>
        <v>763.76923076923072</v>
      </c>
      <c r="I40" s="26">
        <v>792</v>
      </c>
      <c r="J40" s="26">
        <v>765</v>
      </c>
      <c r="K40" s="26">
        <v>743</v>
      </c>
      <c r="L40" s="26">
        <v>754</v>
      </c>
      <c r="M40" s="26">
        <v>753</v>
      </c>
      <c r="N40" s="26">
        <v>811</v>
      </c>
      <c r="O40" s="26">
        <v>767</v>
      </c>
      <c r="P40" s="26">
        <v>748</v>
      </c>
      <c r="Q40" s="26">
        <v>754</v>
      </c>
      <c r="R40" s="26">
        <v>776</v>
      </c>
      <c r="S40" s="26">
        <v>734</v>
      </c>
      <c r="T40" s="26">
        <v>774</v>
      </c>
      <c r="U40" s="26">
        <v>758</v>
      </c>
    </row>
    <row r="41" spans="1:31">
      <c r="A41" s="30">
        <v>102</v>
      </c>
      <c r="B41" s="30" t="s">
        <v>159</v>
      </c>
      <c r="C41" s="27">
        <v>35</v>
      </c>
      <c r="D41" s="44"/>
      <c r="E41" s="33">
        <f>표_악몽던전템위력[[#This Row],[ancestral dropped]]/표_악몽던전템위력[[#This Row],[rare+ dropped]]</f>
        <v>0.41935483870967744</v>
      </c>
      <c r="F41" s="47">
        <f>COUNT(표_악몽던전템위력[[#This Row],[item1]:[item46]])</f>
        <v>13</v>
      </c>
      <c r="G41" s="47">
        <v>31</v>
      </c>
      <c r="H41" s="48">
        <f>AVERAGE(표_악몽던전템위력[[#This Row],[item1]:[item46]])</f>
        <v>759.07692307692309</v>
      </c>
      <c r="I41" s="26">
        <v>764</v>
      </c>
      <c r="J41" s="26">
        <v>755</v>
      </c>
      <c r="K41" s="26">
        <v>767</v>
      </c>
      <c r="L41" s="26">
        <v>777</v>
      </c>
      <c r="M41" s="26">
        <v>773</v>
      </c>
      <c r="N41" s="26">
        <v>736</v>
      </c>
      <c r="O41" s="26">
        <v>781</v>
      </c>
      <c r="P41" s="26">
        <v>770</v>
      </c>
      <c r="Q41" s="26">
        <v>756</v>
      </c>
      <c r="R41" s="26">
        <v>753</v>
      </c>
      <c r="S41" s="26">
        <v>757</v>
      </c>
      <c r="T41" s="26">
        <v>745</v>
      </c>
      <c r="U41" s="26">
        <v>734</v>
      </c>
    </row>
    <row r="42" spans="1:31">
      <c r="A42" s="30">
        <v>102</v>
      </c>
      <c r="B42" s="30" t="s">
        <v>10</v>
      </c>
      <c r="C42" s="27">
        <v>36</v>
      </c>
      <c r="D42" s="44"/>
      <c r="E42" s="33">
        <f>표_악몽던전템위력[[#This Row],[ancestral dropped]]/표_악몽던전템위력[[#This Row],[rare+ dropped]]</f>
        <v>0.46875</v>
      </c>
      <c r="F42" s="47">
        <f>COUNT(표_악몽던전템위력[[#This Row],[item1]:[item46]])</f>
        <v>15</v>
      </c>
      <c r="G42" s="47">
        <v>32</v>
      </c>
      <c r="H42" s="48">
        <f>AVERAGE(표_악몽던전템위력[[#This Row],[item1]:[item46]])</f>
        <v>758.2</v>
      </c>
      <c r="I42" s="26">
        <v>776</v>
      </c>
      <c r="J42" s="26">
        <v>755</v>
      </c>
      <c r="K42" s="26">
        <v>743</v>
      </c>
      <c r="L42" s="26">
        <v>756</v>
      </c>
      <c r="M42" s="26">
        <v>775</v>
      </c>
      <c r="N42" s="26">
        <v>769</v>
      </c>
      <c r="O42" s="26">
        <v>762</v>
      </c>
      <c r="P42" s="26">
        <v>760</v>
      </c>
      <c r="Q42" s="26">
        <v>758</v>
      </c>
      <c r="R42" s="26">
        <v>734</v>
      </c>
      <c r="S42" s="26">
        <v>723</v>
      </c>
      <c r="T42" s="26">
        <v>776</v>
      </c>
      <c r="U42" s="26">
        <v>754</v>
      </c>
      <c r="V42" s="26">
        <v>780</v>
      </c>
      <c r="W42" s="26">
        <v>752</v>
      </c>
    </row>
    <row r="43" spans="1:31">
      <c r="A43" s="30">
        <v>102</v>
      </c>
      <c r="B43" s="30" t="s">
        <v>150</v>
      </c>
      <c r="C43" s="27">
        <v>36</v>
      </c>
      <c r="D43" s="44"/>
      <c r="E43" s="33">
        <f>표_악몽던전템위력[[#This Row],[ancestral dropped]]/표_악몽던전템위력[[#This Row],[rare+ dropped]]</f>
        <v>0.62068965517241381</v>
      </c>
      <c r="F43" s="47">
        <f>COUNT(표_악몽던전템위력[[#This Row],[item1]:[item46]])</f>
        <v>18</v>
      </c>
      <c r="G43" s="47">
        <v>29</v>
      </c>
      <c r="H43" s="48">
        <f>AVERAGE(표_악몽던전템위력[[#This Row],[item1]:[item46]])</f>
        <v>764.44444444444446</v>
      </c>
      <c r="I43" s="26">
        <v>749</v>
      </c>
      <c r="J43" s="26">
        <v>795</v>
      </c>
      <c r="K43" s="26">
        <v>791</v>
      </c>
      <c r="L43" s="26">
        <v>780</v>
      </c>
      <c r="M43" s="26">
        <v>775</v>
      </c>
      <c r="N43" s="26">
        <v>769</v>
      </c>
      <c r="O43" s="26">
        <v>768</v>
      </c>
      <c r="P43" s="26">
        <v>748</v>
      </c>
      <c r="Q43" s="26">
        <v>730</v>
      </c>
      <c r="R43" s="26">
        <v>783</v>
      </c>
      <c r="S43" s="26">
        <v>745</v>
      </c>
      <c r="T43" s="26">
        <v>781</v>
      </c>
      <c r="U43" s="26">
        <v>752</v>
      </c>
      <c r="V43" s="26">
        <v>723</v>
      </c>
      <c r="W43" s="26">
        <v>757</v>
      </c>
      <c r="X43" s="26">
        <v>736</v>
      </c>
      <c r="Y43" s="26">
        <v>799</v>
      </c>
      <c r="Z43" s="26">
        <v>779</v>
      </c>
    </row>
    <row r="44" spans="1:31">
      <c r="A44" s="30">
        <v>102</v>
      </c>
      <c r="B44" s="30" t="s">
        <v>126</v>
      </c>
      <c r="C44" s="27">
        <v>36</v>
      </c>
      <c r="D44" s="44"/>
      <c r="E44" s="33">
        <f>표_악몽던전템위력[[#This Row],[ancestral dropped]]/표_악몽던전템위력[[#This Row],[rare+ dropped]]</f>
        <v>0.625</v>
      </c>
      <c r="F44" s="47">
        <f>COUNT(표_악몽던전템위력[[#This Row],[item1]:[item46]])</f>
        <v>15</v>
      </c>
      <c r="G44" s="47">
        <v>24</v>
      </c>
      <c r="H44" s="48">
        <f>AVERAGE(표_악몽던전템위력[[#This Row],[item1]:[item46]])</f>
        <v>769.06666666666672</v>
      </c>
      <c r="I44" s="26">
        <v>747</v>
      </c>
      <c r="J44" s="26">
        <v>797</v>
      </c>
      <c r="K44" s="26">
        <v>774</v>
      </c>
      <c r="L44" s="26">
        <v>774</v>
      </c>
      <c r="M44" s="26">
        <v>773</v>
      </c>
      <c r="N44" s="26">
        <v>771</v>
      </c>
      <c r="O44" s="26">
        <v>759</v>
      </c>
      <c r="P44" s="26">
        <v>755</v>
      </c>
      <c r="Q44" s="26">
        <v>746</v>
      </c>
      <c r="R44" s="26">
        <v>741</v>
      </c>
      <c r="S44" s="26">
        <v>779</v>
      </c>
      <c r="T44" s="26">
        <v>780</v>
      </c>
      <c r="U44" s="26">
        <v>789</v>
      </c>
      <c r="V44" s="26">
        <v>785</v>
      </c>
      <c r="W44" s="26">
        <v>766</v>
      </c>
    </row>
    <row r="45" spans="1:31">
      <c r="A45" s="30">
        <v>102</v>
      </c>
      <c r="B45" s="30" t="s">
        <v>132</v>
      </c>
      <c r="C45" s="27">
        <v>36</v>
      </c>
      <c r="D45" s="44"/>
      <c r="E45" s="33">
        <f>표_악몽던전템위력[[#This Row],[ancestral dropped]]/표_악몽던전템위력[[#This Row],[rare+ dropped]]</f>
        <v>0.5714285714285714</v>
      </c>
      <c r="F45" s="47">
        <f>COUNT(표_악몽던전템위력[[#This Row],[item1]:[item46]])</f>
        <v>8</v>
      </c>
      <c r="G45" s="47">
        <v>14</v>
      </c>
      <c r="H45" s="48">
        <f>AVERAGE(표_악몽던전템위력[[#This Row],[item1]:[item46]])</f>
        <v>772.25</v>
      </c>
      <c r="I45" s="26">
        <v>758</v>
      </c>
      <c r="J45" s="26">
        <v>767</v>
      </c>
      <c r="K45" s="26">
        <v>792</v>
      </c>
      <c r="L45" s="26">
        <v>761</v>
      </c>
      <c r="M45" s="26">
        <v>794</v>
      </c>
      <c r="N45" s="26">
        <v>780</v>
      </c>
      <c r="O45" s="26">
        <v>771</v>
      </c>
      <c r="P45" s="26">
        <v>755</v>
      </c>
    </row>
    <row r="46" spans="1:31">
      <c r="A46" s="30">
        <v>102</v>
      </c>
      <c r="B46" s="30" t="s">
        <v>10</v>
      </c>
      <c r="C46" s="27">
        <v>36</v>
      </c>
      <c r="D46" s="44"/>
      <c r="E46" s="33">
        <f>표_악몽던전템위력[[#This Row],[ancestral dropped]]/표_악몽던전템위력[[#This Row],[rare+ dropped]]</f>
        <v>0.61904761904761907</v>
      </c>
      <c r="F46" s="47">
        <f>COUNT(표_악몽던전템위력[[#This Row],[item1]:[item46]])</f>
        <v>13</v>
      </c>
      <c r="G46" s="47">
        <v>21</v>
      </c>
      <c r="H46" s="48">
        <f>AVERAGE(표_악몽던전템위력[[#This Row],[item1]:[item46]])</f>
        <v>773.61538461538464</v>
      </c>
      <c r="I46" s="26">
        <v>791</v>
      </c>
      <c r="J46" s="26">
        <v>784</v>
      </c>
      <c r="K46" s="26">
        <v>783</v>
      </c>
      <c r="L46" s="26">
        <v>774</v>
      </c>
      <c r="M46" s="26">
        <v>806</v>
      </c>
      <c r="N46" s="26">
        <v>781</v>
      </c>
      <c r="O46" s="26">
        <v>757</v>
      </c>
      <c r="P46" s="26">
        <v>750</v>
      </c>
      <c r="Q46" s="26">
        <v>767</v>
      </c>
      <c r="R46" s="26">
        <v>764</v>
      </c>
      <c r="S46" s="26">
        <v>762</v>
      </c>
      <c r="T46" s="26">
        <v>787</v>
      </c>
      <c r="U46" s="26">
        <v>751</v>
      </c>
    </row>
    <row r="47" spans="1:31">
      <c r="A47" s="30">
        <v>102</v>
      </c>
      <c r="B47" s="30" t="s">
        <v>120</v>
      </c>
      <c r="C47" s="27">
        <v>36</v>
      </c>
      <c r="D47" s="44"/>
      <c r="E47" s="33">
        <f>표_악몽던전템위력[[#This Row],[ancestral dropped]]/표_악몽던전템위력[[#This Row],[rare+ dropped]]</f>
        <v>0.76923076923076927</v>
      </c>
      <c r="F47" s="47">
        <f>COUNT(표_악몽던전템위력[[#This Row],[item1]:[item46]])</f>
        <v>10</v>
      </c>
      <c r="G47" s="47">
        <v>13</v>
      </c>
      <c r="H47" s="48">
        <f>AVERAGE(표_악몽던전템위력[[#This Row],[item1]:[item46]])</f>
        <v>776.6</v>
      </c>
      <c r="I47" s="26">
        <v>787</v>
      </c>
      <c r="J47" s="26">
        <v>800</v>
      </c>
      <c r="K47" s="26">
        <v>808</v>
      </c>
      <c r="L47" s="26">
        <v>779</v>
      </c>
      <c r="M47" s="26">
        <v>743</v>
      </c>
      <c r="N47" s="26">
        <v>740</v>
      </c>
      <c r="O47" s="26">
        <v>763</v>
      </c>
      <c r="P47" s="26">
        <v>784</v>
      </c>
      <c r="Q47" s="26">
        <v>789</v>
      </c>
      <c r="R47" s="26">
        <v>773</v>
      </c>
    </row>
    <row r="48" spans="1:31">
      <c r="A48" s="30">
        <v>102</v>
      </c>
      <c r="B48" s="30" t="s">
        <v>10</v>
      </c>
      <c r="C48" s="27">
        <v>37</v>
      </c>
      <c r="D48" s="44"/>
      <c r="E48" s="33">
        <f>표_악몽던전템위력[[#This Row],[ancestral dropped]]/표_악몽던전템위력[[#This Row],[rare+ dropped]]</f>
        <v>0.66666666666666663</v>
      </c>
      <c r="F48" s="47">
        <f>COUNT(표_악몽던전템위력[[#This Row],[item1]:[item46]])</f>
        <v>20</v>
      </c>
      <c r="G48" s="47">
        <v>30</v>
      </c>
      <c r="H48" s="48">
        <f>AVERAGE(표_악몽던전템위력[[#This Row],[item1]:[item46]])</f>
        <v>779.9</v>
      </c>
      <c r="I48" s="26">
        <v>780</v>
      </c>
      <c r="J48" s="26">
        <v>776</v>
      </c>
      <c r="K48" s="26">
        <v>776</v>
      </c>
      <c r="L48" s="26">
        <v>806</v>
      </c>
      <c r="M48" s="26">
        <v>782</v>
      </c>
      <c r="N48" s="26">
        <v>768</v>
      </c>
      <c r="O48" s="26">
        <v>805</v>
      </c>
      <c r="P48" s="26">
        <v>801</v>
      </c>
      <c r="Q48" s="26">
        <v>763</v>
      </c>
      <c r="R48" s="26">
        <v>808</v>
      </c>
      <c r="S48" s="26">
        <v>799</v>
      </c>
      <c r="T48" s="26">
        <v>796</v>
      </c>
      <c r="U48" s="26">
        <v>788</v>
      </c>
      <c r="V48" s="26">
        <v>758</v>
      </c>
      <c r="W48" s="26">
        <v>754</v>
      </c>
      <c r="X48" s="26">
        <v>744</v>
      </c>
      <c r="Y48" s="26">
        <v>787</v>
      </c>
      <c r="Z48" s="26">
        <v>760</v>
      </c>
      <c r="AA48" s="26">
        <v>780</v>
      </c>
      <c r="AB48" s="26">
        <v>767</v>
      </c>
    </row>
    <row r="49" spans="1:29">
      <c r="A49" s="30">
        <v>102</v>
      </c>
      <c r="B49" s="30" t="s">
        <v>138</v>
      </c>
      <c r="C49" s="27">
        <v>37</v>
      </c>
      <c r="D49" s="44"/>
      <c r="E49" s="33">
        <f>표_악몽던전템위력[[#This Row],[ancestral dropped]]/표_악몽던전템위력[[#This Row],[rare+ dropped]]</f>
        <v>0.40740740740740738</v>
      </c>
      <c r="F49" s="47">
        <f>COUNT(표_악몽던전템위력[[#This Row],[item1]:[item46]])</f>
        <v>11</v>
      </c>
      <c r="G49" s="47">
        <v>27</v>
      </c>
      <c r="H49" s="48">
        <f>AVERAGE(표_악몽던전템위력[[#This Row],[item1]:[item46]])</f>
        <v>757.63636363636363</v>
      </c>
      <c r="I49" s="26">
        <v>782</v>
      </c>
      <c r="J49" s="26">
        <v>742</v>
      </c>
      <c r="K49" s="26">
        <v>728</v>
      </c>
      <c r="L49" s="26">
        <v>769</v>
      </c>
      <c r="M49" s="26">
        <v>797</v>
      </c>
      <c r="N49" s="26">
        <v>770</v>
      </c>
      <c r="O49" s="26">
        <v>761</v>
      </c>
      <c r="P49" s="26">
        <v>739</v>
      </c>
      <c r="Q49" s="26">
        <v>735</v>
      </c>
      <c r="R49" s="26">
        <v>756</v>
      </c>
      <c r="S49" s="26">
        <v>755</v>
      </c>
    </row>
    <row r="50" spans="1:29">
      <c r="A50" s="30">
        <v>102</v>
      </c>
      <c r="B50" s="30" t="s">
        <v>0</v>
      </c>
      <c r="C50" s="27">
        <v>37</v>
      </c>
      <c r="D50" s="44"/>
      <c r="E50" s="33">
        <f>표_악몽던전템위력[[#This Row],[ancestral dropped]]/표_악몽던전템위력[[#This Row],[rare+ dropped]]</f>
        <v>0.61538461538461542</v>
      </c>
      <c r="F50" s="47">
        <f>COUNT(표_악몽던전템위력[[#This Row],[item1]:[item46]])</f>
        <v>16</v>
      </c>
      <c r="G50" s="47">
        <v>26</v>
      </c>
      <c r="H50" s="48">
        <f>AVERAGE(표_악몽던전템위력[[#This Row],[item1]:[item46]])</f>
        <v>769.6875</v>
      </c>
      <c r="I50" s="26">
        <v>756</v>
      </c>
      <c r="J50" s="26">
        <v>735</v>
      </c>
      <c r="K50" s="26">
        <v>761</v>
      </c>
      <c r="L50" s="26">
        <v>808</v>
      </c>
      <c r="M50" s="26">
        <v>788</v>
      </c>
      <c r="N50" s="26">
        <v>780</v>
      </c>
      <c r="O50" s="26">
        <v>774</v>
      </c>
      <c r="P50" s="26">
        <v>750</v>
      </c>
      <c r="Q50" s="26">
        <v>743</v>
      </c>
      <c r="R50" s="26">
        <v>799</v>
      </c>
      <c r="S50" s="26">
        <v>795</v>
      </c>
      <c r="T50" s="26">
        <v>760</v>
      </c>
      <c r="U50" s="26">
        <v>771</v>
      </c>
      <c r="V50" s="26">
        <v>763</v>
      </c>
      <c r="W50" s="26">
        <v>770</v>
      </c>
      <c r="X50" s="26">
        <v>762</v>
      </c>
    </row>
    <row r="51" spans="1:29">
      <c r="A51" s="30">
        <v>102</v>
      </c>
      <c r="B51" s="30" t="s">
        <v>150</v>
      </c>
      <c r="C51" s="27">
        <v>38</v>
      </c>
      <c r="D51" s="44">
        <v>1</v>
      </c>
      <c r="E51" s="33">
        <f>표_악몽던전템위력[[#This Row],[ancestral dropped]]/표_악몽던전템위력[[#This Row],[rare+ dropped]]</f>
        <v>0.63636363636363635</v>
      </c>
      <c r="F51" s="47">
        <f>COUNT(표_악몽던전템위력[[#This Row],[item1]:[item46]])</f>
        <v>21</v>
      </c>
      <c r="G51" s="47">
        <v>33</v>
      </c>
      <c r="H51" s="48">
        <f>AVERAGE(표_악몽던전템위력[[#This Row],[item1]:[item46]])</f>
        <v>766.14285714285711</v>
      </c>
      <c r="I51" s="26">
        <v>805</v>
      </c>
      <c r="J51" s="26">
        <v>767</v>
      </c>
      <c r="K51" s="26">
        <v>765</v>
      </c>
      <c r="L51" s="26">
        <v>777</v>
      </c>
      <c r="M51" s="26">
        <v>752</v>
      </c>
      <c r="N51" s="26">
        <v>796</v>
      </c>
      <c r="O51" s="26">
        <v>779</v>
      </c>
      <c r="P51" s="26">
        <v>774</v>
      </c>
      <c r="Q51" s="26">
        <v>770</v>
      </c>
      <c r="R51" s="26">
        <v>760</v>
      </c>
      <c r="S51" s="26">
        <v>748</v>
      </c>
      <c r="T51" s="26">
        <v>740</v>
      </c>
      <c r="U51" s="26">
        <v>750</v>
      </c>
      <c r="V51" s="26">
        <v>745</v>
      </c>
      <c r="W51" s="26">
        <v>797</v>
      </c>
      <c r="X51" s="26">
        <v>755</v>
      </c>
      <c r="Y51" s="26">
        <v>747</v>
      </c>
      <c r="Z51" s="26">
        <v>783</v>
      </c>
      <c r="AA51" s="26">
        <v>768</v>
      </c>
      <c r="AB51" s="26">
        <v>759</v>
      </c>
      <c r="AC51" s="26">
        <v>752</v>
      </c>
    </row>
    <row r="52" spans="1:29">
      <c r="A52" s="30">
        <v>102</v>
      </c>
      <c r="B52" s="30" t="s">
        <v>150</v>
      </c>
      <c r="C52" s="27">
        <v>38</v>
      </c>
      <c r="D52" s="44"/>
      <c r="E52" s="33">
        <f>표_악몽던전템위력[[#This Row],[ancestral dropped]]/표_악몽던전템위력[[#This Row],[rare+ dropped]]</f>
        <v>0.54054054054054057</v>
      </c>
      <c r="F52" s="47">
        <f>COUNT(표_악몽던전템위력[[#This Row],[item1]:[item46]])</f>
        <v>20</v>
      </c>
      <c r="G52" s="47">
        <v>37</v>
      </c>
      <c r="H52" s="48">
        <f>AVERAGE(표_악몽던전템위력[[#This Row],[item1]:[item46]])</f>
        <v>770.8</v>
      </c>
      <c r="I52" s="26">
        <v>787</v>
      </c>
      <c r="J52" s="26">
        <v>797</v>
      </c>
      <c r="K52" s="26">
        <v>783</v>
      </c>
      <c r="L52" s="26">
        <v>739</v>
      </c>
      <c r="M52" s="26">
        <v>784</v>
      </c>
      <c r="N52" s="26">
        <v>778</v>
      </c>
      <c r="O52" s="26">
        <v>777</v>
      </c>
      <c r="P52" s="26">
        <v>773</v>
      </c>
      <c r="Q52" s="26">
        <v>765</v>
      </c>
      <c r="R52" s="26">
        <v>750</v>
      </c>
      <c r="S52" s="26">
        <v>777</v>
      </c>
      <c r="T52" s="26">
        <v>767</v>
      </c>
      <c r="U52" s="26">
        <v>777</v>
      </c>
      <c r="V52" s="26">
        <v>761</v>
      </c>
      <c r="W52" s="26">
        <v>747</v>
      </c>
      <c r="X52" s="26">
        <v>788</v>
      </c>
      <c r="Y52" s="26">
        <v>771</v>
      </c>
      <c r="Z52" s="26">
        <v>753</v>
      </c>
      <c r="AA52" s="26">
        <v>772</v>
      </c>
      <c r="AB52" s="26">
        <v>770</v>
      </c>
    </row>
    <row r="53" spans="1:29">
      <c r="A53" s="30">
        <v>102</v>
      </c>
      <c r="B53" s="30" t="s">
        <v>129</v>
      </c>
      <c r="C53" s="27">
        <v>38</v>
      </c>
      <c r="D53" s="44"/>
      <c r="E53" s="33">
        <f>표_악몽던전템위력[[#This Row],[ancestral dropped]]/표_악몽던전템위력[[#This Row],[rare+ dropped]]</f>
        <v>0.6</v>
      </c>
      <c r="F53" s="47">
        <f>COUNT(표_악몽던전템위력[[#This Row],[item1]:[item46]])</f>
        <v>15</v>
      </c>
      <c r="G53" s="47">
        <v>25</v>
      </c>
      <c r="H53" s="48">
        <f>AVERAGE(표_악몽던전템위력[[#This Row],[item1]:[item46]])</f>
        <v>775.73333333333335</v>
      </c>
      <c r="I53" s="26">
        <v>764</v>
      </c>
      <c r="J53" s="26">
        <v>775</v>
      </c>
      <c r="K53" s="26">
        <v>767</v>
      </c>
      <c r="L53" s="26">
        <v>810</v>
      </c>
      <c r="M53" s="26">
        <v>791</v>
      </c>
      <c r="N53" s="26">
        <v>770</v>
      </c>
      <c r="O53" s="26">
        <v>754</v>
      </c>
      <c r="P53" s="26">
        <v>793</v>
      </c>
      <c r="Q53" s="26">
        <v>764</v>
      </c>
      <c r="R53" s="26">
        <v>741</v>
      </c>
      <c r="S53" s="26">
        <v>802</v>
      </c>
      <c r="T53" s="26">
        <v>785</v>
      </c>
      <c r="U53" s="26">
        <v>779</v>
      </c>
      <c r="V53" s="26">
        <v>750</v>
      </c>
      <c r="W53" s="26">
        <v>791</v>
      </c>
    </row>
    <row r="54" spans="1:29">
      <c r="A54" s="30">
        <v>102</v>
      </c>
      <c r="B54" s="30" t="s">
        <v>151</v>
      </c>
      <c r="C54" s="27">
        <v>39</v>
      </c>
      <c r="D54" s="44"/>
      <c r="E54" s="33">
        <f>표_악몽던전템위력[[#This Row],[ancestral dropped]]/표_악몽던전템위력[[#This Row],[rare+ dropped]]</f>
        <v>0.70833333333333337</v>
      </c>
      <c r="F54" s="47">
        <f>COUNT(표_악몽던전템위력[[#This Row],[item1]:[item46]])</f>
        <v>17</v>
      </c>
      <c r="G54" s="47">
        <v>24</v>
      </c>
      <c r="H54" s="48">
        <f>AVERAGE(표_악몽던전템위력[[#This Row],[item1]:[item46]])</f>
        <v>772.41176470588232</v>
      </c>
      <c r="I54" s="26">
        <v>739</v>
      </c>
      <c r="J54" s="26">
        <v>798</v>
      </c>
      <c r="K54" s="26">
        <v>791</v>
      </c>
      <c r="L54" s="26">
        <v>788</v>
      </c>
      <c r="M54" s="26">
        <v>779</v>
      </c>
      <c r="N54" s="26">
        <v>778</v>
      </c>
      <c r="O54" s="26">
        <v>769</v>
      </c>
      <c r="P54" s="26">
        <v>764</v>
      </c>
      <c r="Q54" s="26">
        <v>756</v>
      </c>
      <c r="R54" s="26">
        <v>793</v>
      </c>
      <c r="S54" s="26">
        <v>780</v>
      </c>
      <c r="T54" s="26">
        <v>743</v>
      </c>
      <c r="U54" s="26">
        <v>767</v>
      </c>
      <c r="V54" s="26">
        <v>787</v>
      </c>
      <c r="W54" s="26">
        <v>791</v>
      </c>
      <c r="X54" s="26">
        <v>771</v>
      </c>
      <c r="Y54" s="26">
        <v>737</v>
      </c>
    </row>
    <row r="55" spans="1:29">
      <c r="A55" s="30">
        <v>102</v>
      </c>
      <c r="B55" s="30" t="s">
        <v>124</v>
      </c>
      <c r="C55" s="27">
        <v>39</v>
      </c>
      <c r="D55" s="44"/>
      <c r="E55" s="33">
        <f>표_악몽던전템위력[[#This Row],[ancestral dropped]]/표_악몽던전템위력[[#This Row],[rare+ dropped]]</f>
        <v>0.75</v>
      </c>
      <c r="F55" s="47">
        <f>COUNT(표_악몽던전템위력[[#This Row],[item1]:[item46]])</f>
        <v>12</v>
      </c>
      <c r="G55" s="47">
        <v>16</v>
      </c>
      <c r="H55" s="48">
        <f>AVERAGE(표_악몽던전템위력[[#This Row],[item1]:[item46]])</f>
        <v>774.5</v>
      </c>
      <c r="I55" s="26">
        <v>792</v>
      </c>
      <c r="J55" s="26">
        <v>778</v>
      </c>
      <c r="K55" s="26">
        <v>774</v>
      </c>
      <c r="L55" s="26">
        <v>786</v>
      </c>
      <c r="M55" s="26">
        <v>751</v>
      </c>
      <c r="N55" s="26">
        <v>814</v>
      </c>
      <c r="O55" s="26">
        <v>811</v>
      </c>
      <c r="P55" s="26">
        <v>731</v>
      </c>
      <c r="Q55" s="26">
        <v>738</v>
      </c>
      <c r="R55" s="26">
        <v>779</v>
      </c>
      <c r="S55" s="26">
        <v>794</v>
      </c>
      <c r="T55" s="26">
        <v>746</v>
      </c>
    </row>
    <row r="56" spans="1:29">
      <c r="A56" s="30">
        <v>102</v>
      </c>
      <c r="B56" s="30" t="s">
        <v>121</v>
      </c>
      <c r="C56" s="27">
        <v>39</v>
      </c>
      <c r="D56" s="44"/>
      <c r="E56" s="33">
        <f>표_악몽던전템위력[[#This Row],[ancestral dropped]]/표_악몽던전템위력[[#This Row],[rare+ dropped]]</f>
        <v>0.52941176470588236</v>
      </c>
      <c r="F56" s="47">
        <f>COUNT(표_악몽던전템위력[[#This Row],[item1]:[item46]])</f>
        <v>18</v>
      </c>
      <c r="G56" s="47">
        <v>34</v>
      </c>
      <c r="H56" s="48">
        <f>AVERAGE(표_악몽던전템위력[[#This Row],[item1]:[item46]])</f>
        <v>779.16666666666663</v>
      </c>
      <c r="I56" s="26">
        <v>782</v>
      </c>
      <c r="J56" s="26">
        <v>797</v>
      </c>
      <c r="K56" s="26">
        <v>766</v>
      </c>
      <c r="L56" s="26">
        <v>736</v>
      </c>
      <c r="M56" s="26">
        <v>807</v>
      </c>
      <c r="N56" s="26">
        <v>786</v>
      </c>
      <c r="O56" s="26">
        <v>786</v>
      </c>
      <c r="P56" s="26">
        <v>779</v>
      </c>
      <c r="Q56" s="26">
        <v>773</v>
      </c>
      <c r="R56" s="26">
        <v>746</v>
      </c>
      <c r="S56" s="26">
        <v>737</v>
      </c>
      <c r="T56" s="26">
        <v>794</v>
      </c>
      <c r="U56" s="26">
        <v>778</v>
      </c>
      <c r="V56" s="26">
        <v>801</v>
      </c>
      <c r="W56" s="26">
        <v>776</v>
      </c>
      <c r="X56" s="26">
        <v>769</v>
      </c>
      <c r="Y56" s="26">
        <v>805</v>
      </c>
      <c r="Z56" s="26">
        <v>807</v>
      </c>
    </row>
    <row r="57" spans="1:29">
      <c r="A57" s="30">
        <v>102</v>
      </c>
      <c r="B57" s="30" t="s">
        <v>145</v>
      </c>
      <c r="C57" s="27">
        <v>40</v>
      </c>
      <c r="D57" s="44"/>
      <c r="E57" s="33">
        <f>표_악몽던전템위력[[#This Row],[ancestral dropped]]/표_악몽던전템위력[[#This Row],[rare+ dropped]]</f>
        <v>0.70370370370370372</v>
      </c>
      <c r="F57" s="47">
        <f>COUNT(표_악몽던전템위력[[#This Row],[item1]:[item46]])</f>
        <v>19</v>
      </c>
      <c r="G57" s="47">
        <v>27</v>
      </c>
      <c r="H57" s="48">
        <f>AVERAGE(표_악몽던전템위력[[#This Row],[item1]:[item46]])</f>
        <v>777.31578947368416</v>
      </c>
      <c r="I57" s="26">
        <v>779</v>
      </c>
      <c r="J57" s="26">
        <v>735</v>
      </c>
      <c r="K57" s="26">
        <v>802</v>
      </c>
      <c r="L57" s="26">
        <v>788</v>
      </c>
      <c r="M57" s="26">
        <v>785</v>
      </c>
      <c r="N57" s="26">
        <v>772</v>
      </c>
      <c r="O57" s="26">
        <v>768</v>
      </c>
      <c r="P57" s="26">
        <v>764</v>
      </c>
      <c r="Q57" s="26">
        <v>758</v>
      </c>
      <c r="R57" s="26">
        <v>754</v>
      </c>
      <c r="S57" s="26">
        <v>750</v>
      </c>
      <c r="T57" s="26">
        <v>768</v>
      </c>
      <c r="U57" s="26">
        <v>767</v>
      </c>
      <c r="V57" s="26">
        <v>796</v>
      </c>
      <c r="W57" s="26">
        <v>781</v>
      </c>
      <c r="X57" s="26">
        <v>816</v>
      </c>
      <c r="Y57" s="26">
        <v>809</v>
      </c>
      <c r="Z57" s="26">
        <v>791</v>
      </c>
      <c r="AA57" s="26">
        <v>786</v>
      </c>
    </row>
    <row r="58" spans="1:29">
      <c r="A58" s="30">
        <v>102</v>
      </c>
      <c r="B58" s="30" t="s">
        <v>30</v>
      </c>
      <c r="C58" s="27">
        <v>40</v>
      </c>
      <c r="D58" s="44"/>
      <c r="E58" s="33">
        <f>표_악몽던전템위력[[#This Row],[ancestral dropped]]/표_악몽던전템위력[[#This Row],[rare+ dropped]]</f>
        <v>0.61111111111111116</v>
      </c>
      <c r="F58" s="47">
        <f>COUNT(표_악몽던전템위력[[#This Row],[item1]:[item46]])</f>
        <v>11</v>
      </c>
      <c r="G58" s="47">
        <v>18</v>
      </c>
      <c r="H58" s="48">
        <f>AVERAGE(표_악몽던전템위력[[#This Row],[item1]:[item46]])</f>
        <v>777.5454545454545</v>
      </c>
      <c r="I58" s="26">
        <v>781</v>
      </c>
      <c r="J58" s="26">
        <v>778</v>
      </c>
      <c r="K58" s="26">
        <v>772</v>
      </c>
      <c r="L58" s="26">
        <v>750</v>
      </c>
      <c r="M58" s="26">
        <v>745</v>
      </c>
      <c r="N58" s="26">
        <v>781</v>
      </c>
      <c r="O58" s="26">
        <v>763</v>
      </c>
      <c r="P58" s="26">
        <v>800</v>
      </c>
      <c r="Q58" s="26">
        <v>789</v>
      </c>
      <c r="R58" s="26">
        <v>779</v>
      </c>
      <c r="S58" s="26">
        <v>815</v>
      </c>
    </row>
    <row r="59" spans="1:29">
      <c r="A59" s="30">
        <v>102</v>
      </c>
      <c r="B59" s="30" t="s">
        <v>144</v>
      </c>
      <c r="C59" s="27">
        <v>40</v>
      </c>
      <c r="D59" s="44">
        <v>1</v>
      </c>
      <c r="E59" s="33">
        <f>표_악몽던전템위력[[#This Row],[ancestral dropped]]/표_악몽던전템위력[[#This Row],[rare+ dropped]]</f>
        <v>0.58823529411764708</v>
      </c>
      <c r="F59" s="47">
        <f>COUNT(표_악몽던전템위력[[#This Row],[item1]:[item46]])</f>
        <v>10</v>
      </c>
      <c r="G59" s="47">
        <v>17</v>
      </c>
      <c r="H59" s="48">
        <f>AVERAGE(표_악몽던전템위력[[#This Row],[item1]:[item46]])</f>
        <v>781.9</v>
      </c>
      <c r="I59" s="26">
        <v>800</v>
      </c>
      <c r="J59" s="26">
        <v>760</v>
      </c>
      <c r="K59" s="26">
        <v>777</v>
      </c>
      <c r="L59" s="26">
        <v>774</v>
      </c>
      <c r="M59" s="26">
        <v>806</v>
      </c>
      <c r="N59" s="26">
        <v>795</v>
      </c>
      <c r="O59" s="26">
        <v>774</v>
      </c>
      <c r="P59" s="26">
        <v>769</v>
      </c>
      <c r="Q59" s="26">
        <v>797</v>
      </c>
      <c r="R59" s="26">
        <v>767</v>
      </c>
    </row>
    <row r="60" spans="1:29">
      <c r="A60" s="30">
        <v>102</v>
      </c>
      <c r="B60" s="30" t="s">
        <v>131</v>
      </c>
      <c r="C60" s="27">
        <v>40</v>
      </c>
      <c r="D60" s="44"/>
      <c r="E60" s="33">
        <f>표_악몽던전템위력[[#This Row],[ancestral dropped]]/표_악몽던전템위력[[#This Row],[rare+ dropped]]</f>
        <v>0.5</v>
      </c>
      <c r="F60" s="47">
        <f>COUNT(표_악몽던전템위력[[#This Row],[item1]:[item46]])</f>
        <v>5</v>
      </c>
      <c r="G60" s="47">
        <v>10</v>
      </c>
      <c r="H60" s="48">
        <f>AVERAGE(표_악몽던전템위력[[#This Row],[item1]:[item46]])</f>
        <v>785.4</v>
      </c>
      <c r="I60" s="26">
        <v>791</v>
      </c>
      <c r="J60" s="26">
        <v>790</v>
      </c>
      <c r="K60" s="26">
        <v>768</v>
      </c>
      <c r="L60" s="26">
        <v>788</v>
      </c>
      <c r="M60" s="26">
        <v>790</v>
      </c>
    </row>
    <row r="61" spans="1:29">
      <c r="A61" s="30">
        <v>102</v>
      </c>
      <c r="B61" s="30" t="s">
        <v>12</v>
      </c>
      <c r="C61" s="27">
        <v>41</v>
      </c>
      <c r="D61" s="44"/>
      <c r="E61" s="33">
        <f>표_악몽던전템위력[[#This Row],[ancestral dropped]]/표_악몽던전템위력[[#This Row],[rare+ dropped]]</f>
        <v>0.52173913043478259</v>
      </c>
      <c r="F61" s="47">
        <f>COUNT(표_악몽던전템위력[[#This Row],[item1]:[item46]])</f>
        <v>12</v>
      </c>
      <c r="G61" s="47">
        <v>23</v>
      </c>
      <c r="H61" s="48">
        <f>AVERAGE(표_악몽던전템위력[[#This Row],[item1]:[item46]])</f>
        <v>773</v>
      </c>
      <c r="I61" s="26">
        <v>796</v>
      </c>
      <c r="J61" s="26">
        <v>807</v>
      </c>
      <c r="K61" s="26">
        <v>786</v>
      </c>
      <c r="L61" s="26">
        <v>762</v>
      </c>
      <c r="M61" s="26">
        <v>760</v>
      </c>
      <c r="N61" s="26">
        <v>760</v>
      </c>
      <c r="O61" s="26">
        <v>739</v>
      </c>
      <c r="P61" s="26">
        <v>787</v>
      </c>
      <c r="Q61" s="26">
        <v>780</v>
      </c>
      <c r="R61" s="26">
        <v>775</v>
      </c>
      <c r="S61" s="26">
        <v>773</v>
      </c>
      <c r="T61" s="26">
        <v>751</v>
      </c>
    </row>
    <row r="62" spans="1:29">
      <c r="A62" s="30">
        <v>102</v>
      </c>
      <c r="B62" s="30" t="s">
        <v>144</v>
      </c>
      <c r="C62" s="27">
        <v>41</v>
      </c>
      <c r="D62" s="44"/>
      <c r="E62" s="33">
        <f>표_악몽던전템위력[[#This Row],[ancestral dropped]]/표_악몽던전템위력[[#This Row],[rare+ dropped]]</f>
        <v>0.75</v>
      </c>
      <c r="F62" s="47">
        <f>COUNT(표_악몽던전템위력[[#This Row],[item1]:[item46]])</f>
        <v>15</v>
      </c>
      <c r="G62" s="47">
        <v>20</v>
      </c>
      <c r="H62" s="48">
        <f>AVERAGE(표_악몽던전템위력[[#This Row],[item1]:[item46]])</f>
        <v>764.66666666666663</v>
      </c>
      <c r="I62" s="26">
        <v>796</v>
      </c>
      <c r="J62" s="26">
        <v>778</v>
      </c>
      <c r="K62" s="26">
        <v>766</v>
      </c>
      <c r="L62" s="26">
        <v>802</v>
      </c>
      <c r="M62" s="26">
        <v>785</v>
      </c>
      <c r="N62" s="26">
        <v>765</v>
      </c>
      <c r="O62" s="26">
        <v>756</v>
      </c>
      <c r="P62" s="26">
        <v>752</v>
      </c>
      <c r="Q62" s="26">
        <v>742</v>
      </c>
      <c r="R62" s="26">
        <v>752</v>
      </c>
      <c r="S62" s="26">
        <v>727</v>
      </c>
      <c r="T62" s="26">
        <v>765</v>
      </c>
      <c r="U62" s="26">
        <v>759</v>
      </c>
      <c r="V62" s="26">
        <v>759</v>
      </c>
      <c r="W62" s="26">
        <v>766</v>
      </c>
    </row>
    <row r="63" spans="1:29">
      <c r="A63" s="30">
        <v>102</v>
      </c>
      <c r="B63" s="30" t="s">
        <v>120</v>
      </c>
      <c r="C63" s="27">
        <v>41</v>
      </c>
      <c r="D63" s="44"/>
      <c r="E63" s="33">
        <f>표_악몽던전템위력[[#This Row],[ancestral dropped]]/표_악몽던전템위력[[#This Row],[rare+ dropped]]</f>
        <v>0.66666666666666663</v>
      </c>
      <c r="F63" s="47">
        <f>COUNT(표_악몽던전템위력[[#This Row],[item1]:[item46]])</f>
        <v>18</v>
      </c>
      <c r="G63" s="47">
        <v>27</v>
      </c>
      <c r="H63" s="48">
        <f>AVERAGE(표_악몽던전템위력[[#This Row],[item1]:[item46]])</f>
        <v>778.38888888888891</v>
      </c>
      <c r="I63" s="26">
        <v>797</v>
      </c>
      <c r="J63" s="26">
        <v>777</v>
      </c>
      <c r="K63" s="26">
        <v>772</v>
      </c>
      <c r="L63" s="26">
        <v>763</v>
      </c>
      <c r="M63" s="26">
        <v>801</v>
      </c>
      <c r="N63" s="26">
        <v>788</v>
      </c>
      <c r="O63" s="26">
        <v>783</v>
      </c>
      <c r="P63" s="26">
        <v>781</v>
      </c>
      <c r="Q63" s="26">
        <v>769</v>
      </c>
      <c r="R63" s="26">
        <v>766</v>
      </c>
      <c r="S63" s="26">
        <v>749</v>
      </c>
      <c r="T63" s="26">
        <v>785</v>
      </c>
      <c r="U63" s="26">
        <v>772</v>
      </c>
      <c r="V63" s="26">
        <v>806</v>
      </c>
      <c r="W63" s="26">
        <v>799</v>
      </c>
      <c r="X63" s="26">
        <v>774</v>
      </c>
      <c r="Y63" s="26">
        <v>770</v>
      </c>
      <c r="Z63" s="26">
        <v>759</v>
      </c>
    </row>
    <row r="64" spans="1:29">
      <c r="A64" s="30">
        <v>102</v>
      </c>
      <c r="B64" s="30" t="s">
        <v>144</v>
      </c>
      <c r="C64" s="27">
        <v>42</v>
      </c>
      <c r="D64" s="44"/>
      <c r="E64" s="33">
        <f>표_악몽던전템위력[[#This Row],[ancestral dropped]]/표_악몽던전템위력[[#This Row],[rare+ dropped]]</f>
        <v>0.57692307692307687</v>
      </c>
      <c r="F64" s="47">
        <f>COUNT(표_악몽던전템위력[[#This Row],[item1]:[item46]])</f>
        <v>15</v>
      </c>
      <c r="G64" s="47">
        <v>26</v>
      </c>
      <c r="H64" s="48">
        <f>AVERAGE(표_악몽던전템위력[[#This Row],[item1]:[item46]])</f>
        <v>767.86666666666667</v>
      </c>
      <c r="I64" s="26">
        <v>770</v>
      </c>
      <c r="J64" s="26">
        <v>760</v>
      </c>
      <c r="K64" s="26">
        <v>758</v>
      </c>
      <c r="L64" s="26">
        <v>747</v>
      </c>
      <c r="M64" s="26">
        <v>763</v>
      </c>
      <c r="N64" s="26">
        <v>762</v>
      </c>
      <c r="O64" s="26">
        <v>761</v>
      </c>
      <c r="P64" s="26">
        <v>793</v>
      </c>
      <c r="Q64" s="26">
        <v>793</v>
      </c>
      <c r="R64" s="26">
        <v>751</v>
      </c>
      <c r="S64" s="26">
        <v>752</v>
      </c>
      <c r="T64" s="26">
        <v>790</v>
      </c>
      <c r="U64" s="26">
        <v>778</v>
      </c>
      <c r="V64" s="26">
        <v>774</v>
      </c>
      <c r="W64" s="26">
        <v>766</v>
      </c>
    </row>
    <row r="65" spans="1:34">
      <c r="A65" s="30">
        <v>102</v>
      </c>
      <c r="B65" s="30" t="s">
        <v>28</v>
      </c>
      <c r="C65" s="27">
        <v>42</v>
      </c>
      <c r="D65" s="44"/>
      <c r="E65" s="33">
        <f>표_악몽던전템위력[[#This Row],[ancestral dropped]]/표_악몽던전템위력[[#This Row],[rare+ dropped]]</f>
        <v>0.5</v>
      </c>
      <c r="F65" s="47">
        <f>COUNT(표_악몽던전템위력[[#This Row],[item1]:[item46]])</f>
        <v>8</v>
      </c>
      <c r="G65" s="47">
        <v>16</v>
      </c>
      <c r="H65" s="48">
        <f>AVERAGE(표_악몽던전템위력[[#This Row],[item1]:[item46]])</f>
        <v>773</v>
      </c>
      <c r="I65" s="26">
        <v>771</v>
      </c>
      <c r="J65" s="26">
        <v>806</v>
      </c>
      <c r="K65" s="26">
        <v>806</v>
      </c>
      <c r="L65" s="26">
        <v>770</v>
      </c>
      <c r="M65" s="26">
        <v>764</v>
      </c>
      <c r="N65" s="26">
        <v>758</v>
      </c>
      <c r="O65" s="26">
        <v>744</v>
      </c>
      <c r="P65" s="26">
        <v>765</v>
      </c>
    </row>
    <row r="66" spans="1:34">
      <c r="A66" s="30">
        <v>102</v>
      </c>
      <c r="B66" s="30" t="s">
        <v>144</v>
      </c>
      <c r="C66" s="27">
        <v>42</v>
      </c>
      <c r="D66" s="44"/>
      <c r="E66" s="33">
        <f>표_악몽던전템위력[[#This Row],[ancestral dropped]]/표_악몽던전템위력[[#This Row],[rare+ dropped]]</f>
        <v>0.52777777777777779</v>
      </c>
      <c r="F66" s="47">
        <f>COUNT(표_악몽던전템위력[[#This Row],[item1]:[item46]])</f>
        <v>19</v>
      </c>
      <c r="G66" s="47">
        <v>36</v>
      </c>
      <c r="H66" s="48">
        <f>AVERAGE(표_악몽던전템위력[[#This Row],[item1]:[item46]])</f>
        <v>774.57894736842104</v>
      </c>
      <c r="I66" s="26">
        <v>784</v>
      </c>
      <c r="J66" s="26">
        <v>797</v>
      </c>
      <c r="K66" s="26">
        <v>794</v>
      </c>
      <c r="L66" s="26">
        <v>767</v>
      </c>
      <c r="M66" s="26">
        <v>791</v>
      </c>
      <c r="N66" s="26">
        <v>786</v>
      </c>
      <c r="O66" s="26">
        <v>773</v>
      </c>
      <c r="P66" s="26">
        <v>771</v>
      </c>
      <c r="Q66" s="26">
        <v>763</v>
      </c>
      <c r="R66" s="26">
        <v>753</v>
      </c>
      <c r="S66" s="26">
        <v>743</v>
      </c>
      <c r="T66" s="26">
        <v>776</v>
      </c>
      <c r="U66" s="26">
        <v>794</v>
      </c>
      <c r="V66" s="26">
        <v>790</v>
      </c>
      <c r="W66" s="26">
        <v>751</v>
      </c>
      <c r="X66" s="26">
        <v>791</v>
      </c>
      <c r="Y66" s="26">
        <v>768</v>
      </c>
      <c r="Z66" s="26">
        <v>771</v>
      </c>
      <c r="AA66" s="26">
        <v>754</v>
      </c>
    </row>
    <row r="67" spans="1:34">
      <c r="A67" s="30">
        <v>102</v>
      </c>
      <c r="B67" s="30" t="s">
        <v>138</v>
      </c>
      <c r="C67" s="27">
        <v>43</v>
      </c>
      <c r="D67" s="44"/>
      <c r="E67" s="33">
        <f>표_악몽던전템위력[[#This Row],[ancestral dropped]]/표_악몽던전템위력[[#This Row],[rare+ dropped]]</f>
        <v>0.52941176470588236</v>
      </c>
      <c r="F67" s="47">
        <f>COUNT(표_악몽던전템위력[[#This Row],[item1]:[item46]])</f>
        <v>18</v>
      </c>
      <c r="G67" s="47">
        <v>34</v>
      </c>
      <c r="H67" s="48">
        <f>AVERAGE(표_악몽던전템위력[[#This Row],[item1]:[item46]])</f>
        <v>777.05555555555554</v>
      </c>
      <c r="I67" s="26">
        <v>796</v>
      </c>
      <c r="J67" s="26">
        <v>787</v>
      </c>
      <c r="K67" s="26">
        <v>781</v>
      </c>
      <c r="L67" s="26">
        <v>767</v>
      </c>
      <c r="M67" s="26">
        <v>764</v>
      </c>
      <c r="N67" s="26">
        <v>794</v>
      </c>
      <c r="O67" s="26">
        <v>787</v>
      </c>
      <c r="P67" s="26">
        <v>777</v>
      </c>
      <c r="Q67" s="26">
        <v>767</v>
      </c>
      <c r="R67" s="26">
        <v>795</v>
      </c>
      <c r="S67" s="26">
        <v>787</v>
      </c>
      <c r="T67" s="26">
        <v>781</v>
      </c>
      <c r="U67" s="26">
        <v>758</v>
      </c>
      <c r="V67" s="26">
        <v>784</v>
      </c>
      <c r="W67" s="26">
        <v>781</v>
      </c>
      <c r="X67" s="26">
        <v>763</v>
      </c>
      <c r="Y67" s="26">
        <v>739</v>
      </c>
      <c r="Z67" s="26">
        <v>779</v>
      </c>
    </row>
    <row r="68" spans="1:34">
      <c r="A68" s="30">
        <v>102</v>
      </c>
      <c r="B68" s="30" t="s">
        <v>150</v>
      </c>
      <c r="C68" s="27">
        <v>43</v>
      </c>
      <c r="D68" s="44">
        <v>1</v>
      </c>
      <c r="E68" s="33">
        <f>표_악몽던전템위력[[#This Row],[ancestral dropped]]/표_악몽던전템위력[[#This Row],[rare+ dropped]]</f>
        <v>0.66666666666666663</v>
      </c>
      <c r="F68" s="47">
        <f>COUNT(표_악몽던전템위력[[#This Row],[item1]:[item46]])</f>
        <v>18</v>
      </c>
      <c r="G68" s="47">
        <v>27</v>
      </c>
      <c r="H68" s="48">
        <f>AVERAGE(표_악몽던전템위력[[#This Row],[item1]:[item46]])</f>
        <v>777.61111111111109</v>
      </c>
      <c r="I68" s="26">
        <v>785</v>
      </c>
      <c r="J68" s="26">
        <v>786</v>
      </c>
      <c r="K68" s="26">
        <v>784</v>
      </c>
      <c r="L68" s="26">
        <v>782</v>
      </c>
      <c r="M68" s="26">
        <v>781</v>
      </c>
      <c r="N68" s="26">
        <v>782</v>
      </c>
      <c r="O68" s="26">
        <v>791</v>
      </c>
      <c r="P68" s="26">
        <v>770</v>
      </c>
      <c r="Q68" s="26">
        <v>764</v>
      </c>
      <c r="R68" s="26">
        <v>774</v>
      </c>
      <c r="S68" s="26">
        <v>772</v>
      </c>
      <c r="T68" s="26">
        <v>769</v>
      </c>
      <c r="U68" s="26">
        <v>755</v>
      </c>
      <c r="V68" s="26">
        <v>794</v>
      </c>
      <c r="W68" s="26">
        <v>761</v>
      </c>
      <c r="X68" s="26">
        <v>777</v>
      </c>
      <c r="Y68" s="26">
        <v>760</v>
      </c>
      <c r="Z68" s="26">
        <v>810</v>
      </c>
    </row>
    <row r="69" spans="1:34">
      <c r="A69" s="30">
        <v>102</v>
      </c>
      <c r="B69" s="30" t="s">
        <v>122</v>
      </c>
      <c r="C69" s="27">
        <v>43</v>
      </c>
      <c r="D69" s="44"/>
      <c r="E69" s="33">
        <f>표_악몽던전템위력[[#This Row],[ancestral dropped]]/표_악몽던전템위력[[#This Row],[rare+ dropped]]</f>
        <v>0.5757575757575758</v>
      </c>
      <c r="F69" s="47">
        <f>COUNT(표_악몽던전템위력[[#This Row],[item1]:[item46]])</f>
        <v>19</v>
      </c>
      <c r="G69" s="47">
        <v>33</v>
      </c>
      <c r="H69" s="48">
        <f>AVERAGE(표_악몽던전템위력[[#This Row],[item1]:[item46]])</f>
        <v>769.68421052631584</v>
      </c>
      <c r="I69" s="26">
        <v>809</v>
      </c>
      <c r="J69" s="26">
        <v>775</v>
      </c>
      <c r="K69" s="26">
        <v>752</v>
      </c>
      <c r="L69" s="26">
        <v>765</v>
      </c>
      <c r="M69" s="26">
        <v>761</v>
      </c>
      <c r="N69" s="26">
        <v>778</v>
      </c>
      <c r="O69" s="26">
        <v>765</v>
      </c>
      <c r="P69" s="26">
        <v>754</v>
      </c>
      <c r="Q69" s="26">
        <v>732</v>
      </c>
      <c r="R69" s="26">
        <v>730</v>
      </c>
      <c r="S69" s="26">
        <v>796</v>
      </c>
      <c r="T69" s="26">
        <v>746</v>
      </c>
      <c r="U69" s="26">
        <v>742</v>
      </c>
      <c r="V69" s="26">
        <v>797</v>
      </c>
      <c r="W69" s="26">
        <v>794</v>
      </c>
      <c r="X69" s="26">
        <v>791</v>
      </c>
      <c r="Y69" s="26">
        <v>775</v>
      </c>
      <c r="Z69" s="26">
        <v>789</v>
      </c>
      <c r="AA69" s="26">
        <v>773</v>
      </c>
    </row>
    <row r="70" spans="1:34">
      <c r="A70" s="30">
        <v>102</v>
      </c>
      <c r="B70" s="30" t="s">
        <v>123</v>
      </c>
      <c r="C70" s="27">
        <v>44</v>
      </c>
      <c r="D70" s="44" t="s">
        <v>130</v>
      </c>
      <c r="E70" s="32">
        <f>표_악몽던전템위력[[#This Row],[ancestral dropped]]/표_악몽던전템위력[[#This Row],[rare+ dropped]]</f>
        <v>0.66666666666666663</v>
      </c>
      <c r="F70" s="47">
        <f>COUNT(표_악몽던전템위력[[#This Row],[item1]:[item46]])</f>
        <v>14</v>
      </c>
      <c r="G70" s="47">
        <v>21</v>
      </c>
      <c r="H70" s="48">
        <f>AVERAGE(표_악몽던전템위력[[#This Row],[item1]:[item46]])</f>
        <v>767.42857142857144</v>
      </c>
      <c r="I70" s="26">
        <v>729</v>
      </c>
      <c r="J70" s="26">
        <v>773</v>
      </c>
      <c r="K70" s="26">
        <v>747</v>
      </c>
      <c r="L70" s="26">
        <v>794</v>
      </c>
      <c r="M70" s="26">
        <v>787</v>
      </c>
      <c r="N70" s="26">
        <v>786</v>
      </c>
      <c r="O70" s="26">
        <v>764</v>
      </c>
      <c r="P70" s="26">
        <v>784</v>
      </c>
      <c r="Q70" s="26">
        <v>745</v>
      </c>
      <c r="R70" s="26">
        <v>749</v>
      </c>
      <c r="S70" s="26">
        <v>748</v>
      </c>
      <c r="T70" s="26">
        <v>772</v>
      </c>
      <c r="U70" s="26">
        <v>786</v>
      </c>
      <c r="V70" s="26">
        <v>780</v>
      </c>
    </row>
    <row r="71" spans="1:34">
      <c r="A71" s="30">
        <v>102</v>
      </c>
      <c r="B71" s="30" t="s">
        <v>28</v>
      </c>
      <c r="C71" s="27">
        <v>44</v>
      </c>
      <c r="D71" s="44" t="s">
        <v>130</v>
      </c>
      <c r="E71" s="33">
        <f>표_악몽던전템위력[[#This Row],[ancestral dropped]]/표_악몽던전템위력[[#This Row],[rare+ dropped]]</f>
        <v>0.68965517241379315</v>
      </c>
      <c r="F71" s="47">
        <f>COUNT(표_악몽던전템위력[[#This Row],[item1]:[item46]])</f>
        <v>20</v>
      </c>
      <c r="G71" s="47">
        <v>29</v>
      </c>
      <c r="H71" s="48">
        <f>AVERAGE(표_악몽던전템위력[[#This Row],[item1]:[item46]])</f>
        <v>772.25</v>
      </c>
      <c r="I71" s="26">
        <v>758</v>
      </c>
      <c r="J71" s="26">
        <v>775</v>
      </c>
      <c r="K71" s="26">
        <v>774</v>
      </c>
      <c r="L71" s="26">
        <v>752</v>
      </c>
      <c r="M71" s="26">
        <v>803</v>
      </c>
      <c r="N71" s="26">
        <v>788</v>
      </c>
      <c r="O71" s="26">
        <v>782</v>
      </c>
      <c r="P71" s="26">
        <v>774</v>
      </c>
      <c r="Q71" s="26">
        <v>765</v>
      </c>
      <c r="R71" s="26">
        <v>751</v>
      </c>
      <c r="S71" s="26">
        <v>750</v>
      </c>
      <c r="T71" s="26">
        <v>804</v>
      </c>
      <c r="U71" s="26">
        <v>780</v>
      </c>
      <c r="V71" s="26">
        <v>769</v>
      </c>
      <c r="W71" s="26">
        <v>751</v>
      </c>
      <c r="X71" s="26">
        <v>768</v>
      </c>
      <c r="Y71" s="26">
        <v>767</v>
      </c>
      <c r="Z71" s="26">
        <v>795</v>
      </c>
      <c r="AA71" s="26">
        <v>749</v>
      </c>
      <c r="AB71" s="26">
        <v>790</v>
      </c>
    </row>
    <row r="72" spans="1:34">
      <c r="A72" s="30">
        <v>102</v>
      </c>
      <c r="B72" s="30" t="s">
        <v>129</v>
      </c>
      <c r="C72" s="27">
        <v>44</v>
      </c>
      <c r="D72" s="44">
        <v>1</v>
      </c>
      <c r="E72" s="33">
        <f>표_악몽던전템위력[[#This Row],[ancestral dropped]]/표_악몽던전템위력[[#This Row],[rare+ dropped]]</f>
        <v>0.65217391304347827</v>
      </c>
      <c r="F72" s="47">
        <f>COUNT(표_악몽던전템위력[[#This Row],[item1]:[item46]])</f>
        <v>15</v>
      </c>
      <c r="G72" s="47">
        <v>23</v>
      </c>
      <c r="H72" s="48">
        <f>AVERAGE(표_악몽던전템위력[[#This Row],[item1]:[item46]])</f>
        <v>773.2</v>
      </c>
      <c r="I72" s="26">
        <v>777</v>
      </c>
      <c r="J72" s="26">
        <v>808</v>
      </c>
      <c r="K72" s="26">
        <v>775</v>
      </c>
      <c r="L72" s="26">
        <v>789</v>
      </c>
      <c r="M72" s="26">
        <v>761</v>
      </c>
      <c r="N72" s="26">
        <v>757</v>
      </c>
      <c r="O72" s="26">
        <v>739</v>
      </c>
      <c r="P72" s="26">
        <v>731</v>
      </c>
      <c r="Q72" s="26">
        <v>787</v>
      </c>
      <c r="R72" s="26">
        <v>794</v>
      </c>
      <c r="S72" s="26">
        <v>801</v>
      </c>
      <c r="T72" s="26">
        <v>781</v>
      </c>
      <c r="U72" s="26">
        <v>771</v>
      </c>
      <c r="V72" s="26">
        <v>771</v>
      </c>
      <c r="W72" s="26">
        <v>756</v>
      </c>
    </row>
    <row r="73" spans="1:34">
      <c r="A73" s="30">
        <v>102</v>
      </c>
      <c r="B73" s="30" t="s">
        <v>127</v>
      </c>
      <c r="C73" s="27">
        <v>44</v>
      </c>
      <c r="D73" s="44" t="s">
        <v>130</v>
      </c>
      <c r="E73" s="33">
        <f>표_악몽던전템위력[[#This Row],[ancestral dropped]]/표_악몽던전템위력[[#This Row],[rare+ dropped]]</f>
        <v>0.5625</v>
      </c>
      <c r="F73" s="47">
        <f>COUNT(표_악몽던전템위력[[#This Row],[item1]:[item46]])</f>
        <v>9</v>
      </c>
      <c r="G73" s="47">
        <v>16</v>
      </c>
      <c r="H73" s="48">
        <f>AVERAGE(표_악몽던전템위력[[#This Row],[item1]:[item46]])</f>
        <v>774.33333333333337</v>
      </c>
      <c r="I73" s="26">
        <v>789</v>
      </c>
      <c r="J73" s="26">
        <v>767</v>
      </c>
      <c r="K73" s="26">
        <v>750</v>
      </c>
      <c r="L73" s="26">
        <v>779</v>
      </c>
      <c r="M73" s="26">
        <v>778</v>
      </c>
      <c r="N73" s="26">
        <v>788</v>
      </c>
      <c r="O73" s="26">
        <v>778</v>
      </c>
      <c r="P73" s="26">
        <v>773</v>
      </c>
      <c r="Q73" s="26">
        <v>767</v>
      </c>
    </row>
    <row r="74" spans="1:34">
      <c r="A74" s="30">
        <v>102</v>
      </c>
      <c r="B74" s="30" t="s">
        <v>121</v>
      </c>
      <c r="C74" s="27">
        <v>44</v>
      </c>
      <c r="D74" s="44"/>
      <c r="E74" s="33">
        <f>표_악몽던전템위력[[#This Row],[ancestral dropped]]/표_악몽던전템위력[[#This Row],[rare+ dropped]]</f>
        <v>0.7142857142857143</v>
      </c>
      <c r="F74" s="47">
        <f>COUNT(표_악몽던전템위력[[#This Row],[item1]:[item46]])</f>
        <v>20</v>
      </c>
      <c r="G74" s="47">
        <v>28</v>
      </c>
      <c r="H74" s="48">
        <f>AVERAGE(표_악몽던전템위력[[#This Row],[item1]:[item46]])</f>
        <v>775.3</v>
      </c>
      <c r="I74" s="26">
        <v>788</v>
      </c>
      <c r="J74" s="26">
        <v>785</v>
      </c>
      <c r="K74" s="26">
        <v>788</v>
      </c>
      <c r="L74" s="26">
        <v>799</v>
      </c>
      <c r="M74" s="26">
        <v>794</v>
      </c>
      <c r="N74" s="26">
        <v>783</v>
      </c>
      <c r="O74" s="26">
        <v>769</v>
      </c>
      <c r="P74" s="26">
        <v>760</v>
      </c>
      <c r="Q74" s="26">
        <v>760</v>
      </c>
      <c r="R74" s="26">
        <v>754</v>
      </c>
      <c r="S74" s="26">
        <v>738</v>
      </c>
      <c r="T74" s="26">
        <v>736</v>
      </c>
      <c r="U74" s="26">
        <v>805</v>
      </c>
      <c r="V74" s="26">
        <v>760</v>
      </c>
      <c r="W74" s="26">
        <v>791</v>
      </c>
      <c r="X74" s="26">
        <v>783</v>
      </c>
      <c r="Y74" s="26">
        <v>766</v>
      </c>
      <c r="Z74" s="26">
        <v>792</v>
      </c>
      <c r="AA74" s="26">
        <v>787</v>
      </c>
      <c r="AB74" s="26">
        <v>768</v>
      </c>
    </row>
    <row r="75" spans="1:34">
      <c r="A75" s="30">
        <v>102</v>
      </c>
      <c r="B75" s="30" t="s">
        <v>0</v>
      </c>
      <c r="C75" s="27">
        <v>44</v>
      </c>
      <c r="D75" s="44"/>
      <c r="E75" s="33">
        <f>표_악몽던전템위력[[#This Row],[ancestral dropped]]/표_악몽던전템위력[[#This Row],[rare+ dropped]]</f>
        <v>0.51851851851851849</v>
      </c>
      <c r="F75" s="47">
        <f>COUNT(표_악몽던전템위력[[#This Row],[item1]:[item46]])</f>
        <v>14</v>
      </c>
      <c r="G75" s="47">
        <v>27</v>
      </c>
      <c r="H75" s="48">
        <f>AVERAGE(표_악몽던전템위력[[#This Row],[item1]:[item46]])</f>
        <v>781.78571428571433</v>
      </c>
      <c r="I75" s="26">
        <v>798</v>
      </c>
      <c r="J75" s="26">
        <v>788</v>
      </c>
      <c r="K75" s="26">
        <v>778</v>
      </c>
      <c r="L75" s="26">
        <v>792</v>
      </c>
      <c r="M75" s="26">
        <v>791</v>
      </c>
      <c r="N75" s="26">
        <v>789</v>
      </c>
      <c r="O75" s="26">
        <v>786</v>
      </c>
      <c r="P75" s="26">
        <v>764</v>
      </c>
      <c r="Q75" s="26">
        <v>780</v>
      </c>
      <c r="R75" s="26">
        <v>768</v>
      </c>
      <c r="S75" s="26">
        <v>769</v>
      </c>
      <c r="T75" s="26">
        <v>760</v>
      </c>
      <c r="U75" s="26">
        <v>795</v>
      </c>
      <c r="V75" s="26">
        <v>787</v>
      </c>
    </row>
    <row r="76" spans="1:34">
      <c r="A76" s="30">
        <v>102</v>
      </c>
      <c r="B76" s="30" t="s">
        <v>125</v>
      </c>
      <c r="C76" s="27">
        <v>45</v>
      </c>
      <c r="D76" s="44">
        <v>1</v>
      </c>
      <c r="E76" s="33">
        <f>표_악몽던전템위력[[#This Row],[ancestral dropped]]/표_악몽던전템위력[[#This Row],[rare+ dropped]]</f>
        <v>0.6428571428571429</v>
      </c>
      <c r="F76" s="47">
        <f>COUNT(표_악몽던전템위력[[#This Row],[item1]:[item46]])</f>
        <v>9</v>
      </c>
      <c r="G76" s="47">
        <v>14</v>
      </c>
      <c r="H76" s="48">
        <f>AVERAGE(표_악몽던전템위력[[#This Row],[item1]:[item46]])</f>
        <v>777.22222222222217</v>
      </c>
      <c r="I76" s="26">
        <v>799</v>
      </c>
      <c r="J76" s="26">
        <v>786</v>
      </c>
      <c r="K76" s="26">
        <v>768</v>
      </c>
      <c r="L76" s="26">
        <v>762</v>
      </c>
      <c r="M76" s="26">
        <v>776</v>
      </c>
      <c r="N76" s="26">
        <v>807</v>
      </c>
      <c r="O76" s="26">
        <v>763</v>
      </c>
      <c r="P76" s="26">
        <v>761</v>
      </c>
      <c r="Q76" s="26">
        <v>773</v>
      </c>
    </row>
    <row r="77" spans="1:34">
      <c r="A77" s="30">
        <v>102</v>
      </c>
      <c r="B77" s="30" t="s">
        <v>138</v>
      </c>
      <c r="C77" s="27">
        <v>45</v>
      </c>
      <c r="D77" s="44"/>
      <c r="E77" s="33">
        <f>표_악몽던전템위력[[#This Row],[ancestral dropped]]/표_악몽던전템위력[[#This Row],[rare+ dropped]]</f>
        <v>0.66666666666666663</v>
      </c>
      <c r="F77" s="47">
        <f>COUNT(표_악몽던전템위력[[#This Row],[item1]:[item46]])</f>
        <v>26</v>
      </c>
      <c r="G77" s="47">
        <v>39</v>
      </c>
      <c r="H77" s="48">
        <f>AVERAGE(표_악몽던전템위력[[#This Row],[item1]:[item46]])</f>
        <v>776.76923076923072</v>
      </c>
      <c r="I77" s="26">
        <v>757</v>
      </c>
      <c r="J77" s="26">
        <v>806</v>
      </c>
      <c r="K77" s="26">
        <v>800</v>
      </c>
      <c r="L77" s="26">
        <v>775</v>
      </c>
      <c r="M77" s="26">
        <v>767</v>
      </c>
      <c r="N77" s="26">
        <v>766</v>
      </c>
      <c r="O77" s="26">
        <v>760</v>
      </c>
      <c r="P77" s="26">
        <v>756</v>
      </c>
      <c r="Q77" s="26">
        <v>807</v>
      </c>
      <c r="R77" s="26">
        <v>796</v>
      </c>
      <c r="S77" s="26">
        <v>790</v>
      </c>
      <c r="T77" s="26">
        <v>783</v>
      </c>
      <c r="U77" s="26">
        <v>752</v>
      </c>
      <c r="V77" s="26">
        <v>742</v>
      </c>
      <c r="W77" s="26">
        <v>740</v>
      </c>
      <c r="X77" s="26">
        <v>802</v>
      </c>
      <c r="Y77" s="26">
        <v>774</v>
      </c>
      <c r="Z77" s="26">
        <v>794</v>
      </c>
      <c r="AA77" s="26">
        <v>774</v>
      </c>
      <c r="AB77" s="26">
        <v>757</v>
      </c>
      <c r="AC77" s="26">
        <v>793</v>
      </c>
      <c r="AD77" s="26">
        <v>771</v>
      </c>
      <c r="AE77" s="26">
        <v>804</v>
      </c>
      <c r="AF77" s="26">
        <v>796</v>
      </c>
      <c r="AG77" s="26">
        <v>771</v>
      </c>
      <c r="AH77" s="26">
        <v>763</v>
      </c>
    </row>
    <row r="78" spans="1:34">
      <c r="A78" s="30">
        <v>102</v>
      </c>
      <c r="B78" s="30" t="s">
        <v>13</v>
      </c>
      <c r="C78" s="27">
        <v>45</v>
      </c>
      <c r="D78" s="44"/>
      <c r="E78" s="33">
        <f>표_악몽던전템위력[[#This Row],[ancestral dropped]]/표_악몽던전템위력[[#This Row],[rare+ dropped]]</f>
        <v>0.68421052631578949</v>
      </c>
      <c r="F78" s="47">
        <f>COUNT(표_악몽던전템위력[[#This Row],[item1]:[item46]])</f>
        <v>26</v>
      </c>
      <c r="G78" s="47">
        <v>38</v>
      </c>
      <c r="H78" s="48">
        <f>AVERAGE(표_악몽던전템위력[[#This Row],[item1]:[item46]])</f>
        <v>776.73076923076928</v>
      </c>
      <c r="I78" s="26">
        <v>792</v>
      </c>
      <c r="J78" s="26">
        <v>784</v>
      </c>
      <c r="K78" s="26">
        <v>758</v>
      </c>
      <c r="L78" s="26">
        <v>747</v>
      </c>
      <c r="M78" s="26">
        <v>794</v>
      </c>
      <c r="N78" s="26">
        <v>785</v>
      </c>
      <c r="O78" s="26">
        <v>797</v>
      </c>
      <c r="P78" s="26">
        <v>797</v>
      </c>
      <c r="Q78" s="26">
        <v>791</v>
      </c>
      <c r="R78" s="26">
        <v>782</v>
      </c>
      <c r="S78" s="26">
        <v>752</v>
      </c>
      <c r="T78" s="26">
        <v>747</v>
      </c>
      <c r="U78" s="26">
        <v>804</v>
      </c>
      <c r="V78" s="26">
        <v>781</v>
      </c>
      <c r="W78" s="26">
        <v>778</v>
      </c>
      <c r="X78" s="26">
        <v>764</v>
      </c>
      <c r="Y78" s="26">
        <v>746</v>
      </c>
      <c r="Z78" s="26">
        <v>787</v>
      </c>
      <c r="AA78" s="26">
        <v>812</v>
      </c>
      <c r="AB78" s="26">
        <v>783</v>
      </c>
      <c r="AC78" s="26">
        <v>775</v>
      </c>
      <c r="AD78" s="26">
        <v>773</v>
      </c>
      <c r="AE78" s="26">
        <v>766</v>
      </c>
      <c r="AF78" s="26">
        <v>784</v>
      </c>
      <c r="AG78" s="26">
        <v>784</v>
      </c>
      <c r="AH78" s="26">
        <v>732</v>
      </c>
    </row>
    <row r="79" spans="1:34">
      <c r="A79" s="30">
        <v>102</v>
      </c>
      <c r="B79" s="30" t="s">
        <v>0</v>
      </c>
      <c r="C79" s="27">
        <v>46</v>
      </c>
      <c r="D79" s="44" t="s">
        <v>130</v>
      </c>
      <c r="E79" s="33">
        <f>표_악몽던전템위력[[#This Row],[ancestral dropped]]/표_악몽던전템위력[[#This Row],[rare+ dropped]]</f>
        <v>0.6</v>
      </c>
      <c r="F79" s="47">
        <f>COUNT(표_악몽던전템위력[[#This Row],[item1]:[item46]])</f>
        <v>12</v>
      </c>
      <c r="G79" s="47">
        <v>20</v>
      </c>
      <c r="H79" s="48">
        <f>AVERAGE(표_악몽던전템위력[[#This Row],[item1]:[item46]])</f>
        <v>762.5</v>
      </c>
      <c r="I79" s="26">
        <v>767</v>
      </c>
      <c r="J79" s="26">
        <v>758</v>
      </c>
      <c r="K79" s="26">
        <v>755</v>
      </c>
      <c r="L79" s="26">
        <v>742</v>
      </c>
      <c r="M79" s="26">
        <v>785</v>
      </c>
      <c r="N79" s="26">
        <v>773</v>
      </c>
      <c r="O79" s="26">
        <v>753</v>
      </c>
      <c r="P79" s="26">
        <v>751</v>
      </c>
      <c r="Q79" s="26">
        <v>740</v>
      </c>
      <c r="R79" s="26">
        <v>794</v>
      </c>
      <c r="S79" s="26">
        <v>761</v>
      </c>
      <c r="T79" s="26">
        <v>771</v>
      </c>
    </row>
    <row r="80" spans="1:34">
      <c r="A80" s="30">
        <v>102</v>
      </c>
      <c r="B80" s="30" t="s">
        <v>124</v>
      </c>
      <c r="C80" s="27">
        <v>46</v>
      </c>
      <c r="D80" s="44" t="s">
        <v>130</v>
      </c>
      <c r="E80" s="32">
        <f>표_악몽던전템위력[[#This Row],[ancestral dropped]]/표_악몽던전템위력[[#This Row],[rare+ dropped]]</f>
        <v>0.5714285714285714</v>
      </c>
      <c r="F80" s="47">
        <f>COUNT(표_악몽던전템위력[[#This Row],[item1]:[item46]])</f>
        <v>12</v>
      </c>
      <c r="G80" s="47">
        <v>21</v>
      </c>
      <c r="H80" s="48">
        <f>AVERAGE(표_악몽던전템위력[[#This Row],[item1]:[item46]])</f>
        <v>768.83333333333337</v>
      </c>
      <c r="I80" s="26">
        <v>765</v>
      </c>
      <c r="J80" s="26">
        <v>792</v>
      </c>
      <c r="K80" s="26">
        <v>764</v>
      </c>
      <c r="L80" s="26">
        <v>775</v>
      </c>
      <c r="M80" s="26">
        <v>766</v>
      </c>
      <c r="N80" s="26">
        <v>754</v>
      </c>
      <c r="O80" s="26">
        <v>762</v>
      </c>
      <c r="P80" s="26">
        <v>760</v>
      </c>
      <c r="Q80" s="26">
        <v>791</v>
      </c>
      <c r="R80" s="26">
        <v>743</v>
      </c>
      <c r="S80" s="26">
        <v>788</v>
      </c>
      <c r="T80" s="26">
        <v>766</v>
      </c>
    </row>
    <row r="81" spans="1:43">
      <c r="A81" s="30">
        <v>102</v>
      </c>
      <c r="B81" s="30" t="s">
        <v>126</v>
      </c>
      <c r="C81" s="27">
        <v>47</v>
      </c>
      <c r="D81" s="44" t="s">
        <v>130</v>
      </c>
      <c r="E81" s="32">
        <f>표_악몽던전템위력[[#This Row],[ancestral dropped]]/표_악몽던전템위력[[#This Row],[rare+ dropped]]</f>
        <v>0.70967741935483875</v>
      </c>
      <c r="F81" s="47">
        <f>COUNT(표_악몽던전템위력[[#This Row],[item1]:[item46]])</f>
        <v>22</v>
      </c>
      <c r="G81" s="47">
        <v>31</v>
      </c>
      <c r="H81" s="48">
        <f>AVERAGE(표_악몽던전템위력[[#This Row],[item1]:[item46]])</f>
        <v>770.36363636363637</v>
      </c>
      <c r="I81" s="26">
        <v>787</v>
      </c>
      <c r="J81" s="26">
        <v>728</v>
      </c>
      <c r="K81" s="26">
        <v>753</v>
      </c>
      <c r="L81" s="26">
        <v>740</v>
      </c>
      <c r="M81" s="26">
        <v>787</v>
      </c>
      <c r="N81" s="26">
        <v>786</v>
      </c>
      <c r="O81" s="26">
        <v>779</v>
      </c>
      <c r="P81" s="26">
        <v>763</v>
      </c>
      <c r="Q81" s="26">
        <v>772</v>
      </c>
      <c r="R81" s="26">
        <v>759</v>
      </c>
      <c r="S81" s="26">
        <v>802</v>
      </c>
      <c r="T81" s="26">
        <v>795</v>
      </c>
      <c r="U81" s="26">
        <v>750</v>
      </c>
      <c r="V81" s="26">
        <v>801</v>
      </c>
      <c r="W81" s="26">
        <v>781</v>
      </c>
      <c r="X81" s="26">
        <v>771</v>
      </c>
      <c r="Y81" s="26">
        <v>765</v>
      </c>
      <c r="Z81" s="26">
        <v>764</v>
      </c>
      <c r="AA81" s="26">
        <v>771</v>
      </c>
      <c r="AB81" s="26">
        <v>757</v>
      </c>
      <c r="AC81" s="26">
        <v>745</v>
      </c>
      <c r="AD81" s="26">
        <v>792</v>
      </c>
    </row>
    <row r="82" spans="1:43">
      <c r="A82" s="30">
        <v>102</v>
      </c>
      <c r="B82" s="30" t="s">
        <v>129</v>
      </c>
      <c r="C82" s="27">
        <v>47</v>
      </c>
      <c r="D82" s="44" t="s">
        <v>130</v>
      </c>
      <c r="E82" s="33">
        <f>표_악몽던전템위력[[#This Row],[ancestral dropped]]/표_악몽던전템위력[[#This Row],[rare+ dropped]]</f>
        <v>0.625</v>
      </c>
      <c r="F82" s="47">
        <f>COUNT(표_악몽던전템위력[[#This Row],[item1]:[item46]])</f>
        <v>20</v>
      </c>
      <c r="G82" s="47">
        <v>32</v>
      </c>
      <c r="H82" s="48">
        <f>AVERAGE(표_악몽던전템위력[[#This Row],[item1]:[item46]])</f>
        <v>773.95</v>
      </c>
      <c r="I82" s="26">
        <v>798</v>
      </c>
      <c r="J82" s="26">
        <v>797</v>
      </c>
      <c r="K82" s="26">
        <v>790</v>
      </c>
      <c r="L82" s="26">
        <v>796</v>
      </c>
      <c r="M82" s="26">
        <v>790</v>
      </c>
      <c r="N82" s="26">
        <v>787</v>
      </c>
      <c r="O82" s="26">
        <v>781</v>
      </c>
      <c r="P82" s="26">
        <v>757</v>
      </c>
      <c r="Q82" s="26">
        <v>743</v>
      </c>
      <c r="R82" s="26">
        <v>726</v>
      </c>
      <c r="S82" s="26">
        <v>774</v>
      </c>
      <c r="T82" s="26">
        <v>772</v>
      </c>
      <c r="U82" s="26">
        <v>768</v>
      </c>
      <c r="V82" s="26">
        <v>799</v>
      </c>
      <c r="W82" s="26">
        <v>792</v>
      </c>
      <c r="X82" s="26">
        <v>738</v>
      </c>
      <c r="Y82" s="26">
        <v>752</v>
      </c>
      <c r="Z82" s="26">
        <v>742</v>
      </c>
      <c r="AA82" s="26">
        <v>790</v>
      </c>
      <c r="AB82" s="26">
        <v>787</v>
      </c>
    </row>
    <row r="83" spans="1:43">
      <c r="A83" s="30">
        <v>102</v>
      </c>
      <c r="B83" s="30" t="s">
        <v>131</v>
      </c>
      <c r="C83" s="27">
        <v>47</v>
      </c>
      <c r="D83" s="44"/>
      <c r="E83" s="33">
        <f>표_악몽던전템위력[[#This Row],[ancestral dropped]]/표_악몽던전템위력[[#This Row],[rare+ dropped]]</f>
        <v>0.69565217391304346</v>
      </c>
      <c r="F83" s="47">
        <f>COUNT(표_악몽던전템위력[[#This Row],[item1]:[item46]])</f>
        <v>16</v>
      </c>
      <c r="G83" s="47">
        <v>23</v>
      </c>
      <c r="H83" s="48">
        <f>AVERAGE(표_악몽던전템위력[[#This Row],[item1]:[item46]])</f>
        <v>774.0625</v>
      </c>
      <c r="I83" s="26">
        <v>816</v>
      </c>
      <c r="J83" s="26">
        <v>785</v>
      </c>
      <c r="K83" s="26">
        <v>778</v>
      </c>
      <c r="L83" s="26">
        <v>754</v>
      </c>
      <c r="M83" s="26">
        <v>775</v>
      </c>
      <c r="N83" s="26">
        <v>759</v>
      </c>
      <c r="O83" s="26">
        <v>786</v>
      </c>
      <c r="P83" s="26">
        <v>782</v>
      </c>
      <c r="Q83" s="26">
        <v>766</v>
      </c>
      <c r="R83" s="26">
        <v>788</v>
      </c>
      <c r="S83" s="26">
        <v>773</v>
      </c>
      <c r="T83" s="26">
        <v>789</v>
      </c>
      <c r="U83" s="26">
        <v>755</v>
      </c>
      <c r="V83" s="26">
        <v>779</v>
      </c>
      <c r="W83" s="26">
        <v>764</v>
      </c>
      <c r="X83" s="26">
        <v>736</v>
      </c>
    </row>
    <row r="84" spans="1:43">
      <c r="A84" s="30">
        <v>102</v>
      </c>
      <c r="B84" s="30" t="s">
        <v>125</v>
      </c>
      <c r="C84" s="27">
        <v>47</v>
      </c>
      <c r="D84" s="44" t="s">
        <v>130</v>
      </c>
      <c r="E84" s="32">
        <f>표_악몽던전템위력[[#This Row],[ancestral dropped]]/표_악몽던전템위력[[#This Row],[rare+ dropped]]</f>
        <v>0.7857142857142857</v>
      </c>
      <c r="F84" s="47">
        <f>COUNT(표_악몽던전템위력[[#This Row],[item1]:[item46]])</f>
        <v>11</v>
      </c>
      <c r="G84" s="47">
        <v>14</v>
      </c>
      <c r="H84" s="48">
        <f>AVERAGE(표_악몽던전템위력[[#This Row],[item1]:[item46]])</f>
        <v>777.27272727272725</v>
      </c>
      <c r="I84" s="26">
        <v>787</v>
      </c>
      <c r="J84" s="26">
        <v>779</v>
      </c>
      <c r="K84" s="26">
        <v>748</v>
      </c>
      <c r="L84" s="26">
        <v>745</v>
      </c>
      <c r="M84" s="26">
        <v>781</v>
      </c>
      <c r="N84" s="26">
        <v>789</v>
      </c>
      <c r="O84" s="26">
        <v>755</v>
      </c>
      <c r="P84" s="26">
        <v>811</v>
      </c>
      <c r="Q84" s="26">
        <v>796</v>
      </c>
      <c r="R84" s="26">
        <v>795</v>
      </c>
      <c r="S84" s="26">
        <v>764</v>
      </c>
    </row>
    <row r="85" spans="1:43">
      <c r="A85" s="30">
        <v>102</v>
      </c>
      <c r="B85" s="30" t="s">
        <v>131</v>
      </c>
      <c r="C85" s="27">
        <v>48</v>
      </c>
      <c r="D85" s="44"/>
      <c r="E85" s="33">
        <f>표_악몽던전템위력[[#This Row],[ancestral dropped]]/표_악몽던전템위력[[#This Row],[rare+ dropped]]</f>
        <v>0.72</v>
      </c>
      <c r="F85" s="47">
        <f>COUNT(표_악몽던전템위력[[#This Row],[item1]:[item46]])</f>
        <v>18</v>
      </c>
      <c r="G85" s="47">
        <v>25</v>
      </c>
      <c r="H85" s="48">
        <f>AVERAGE(표_악몽던전템위력[[#This Row],[item1]:[item46]])</f>
        <v>775.05555555555554</v>
      </c>
      <c r="I85" s="26">
        <v>784</v>
      </c>
      <c r="J85" s="26">
        <v>771</v>
      </c>
      <c r="K85" s="26">
        <v>749</v>
      </c>
      <c r="L85" s="26">
        <v>788</v>
      </c>
      <c r="M85" s="26">
        <v>780</v>
      </c>
      <c r="N85" s="26">
        <v>750</v>
      </c>
      <c r="O85" s="26">
        <v>811</v>
      </c>
      <c r="P85" s="26">
        <v>772</v>
      </c>
      <c r="Q85" s="26">
        <v>762</v>
      </c>
      <c r="R85" s="26">
        <v>771</v>
      </c>
      <c r="S85" s="26">
        <v>766</v>
      </c>
      <c r="T85" s="26">
        <v>764</v>
      </c>
      <c r="U85" s="26">
        <v>788</v>
      </c>
      <c r="V85" s="26">
        <v>779</v>
      </c>
      <c r="W85" s="26">
        <v>796</v>
      </c>
      <c r="X85" s="26">
        <v>749</v>
      </c>
      <c r="Y85" s="26">
        <v>788</v>
      </c>
      <c r="Z85" s="26">
        <v>783</v>
      </c>
    </row>
    <row r="86" spans="1:43">
      <c r="A86" s="30">
        <v>102</v>
      </c>
      <c r="B86" s="30" t="s">
        <v>12</v>
      </c>
      <c r="C86" s="27">
        <v>48</v>
      </c>
      <c r="D86" s="44">
        <v>1</v>
      </c>
      <c r="E86" s="33">
        <f>표_악몽던전템위력[[#This Row],[ancestral dropped]]/표_악몽던전템위력[[#This Row],[rare+ dropped]]</f>
        <v>0.73684210526315785</v>
      </c>
      <c r="F86" s="47">
        <f>COUNT(표_악몽던전템위력[[#This Row],[item1]:[item46]])</f>
        <v>14</v>
      </c>
      <c r="G86" s="47">
        <v>19</v>
      </c>
      <c r="H86" s="48">
        <f>AVERAGE(표_악몽던전템위력[[#This Row],[item1]:[item46]])</f>
        <v>769.71428571428567</v>
      </c>
      <c r="I86" s="26">
        <v>786</v>
      </c>
      <c r="J86" s="26">
        <v>770</v>
      </c>
      <c r="K86" s="26">
        <v>776</v>
      </c>
      <c r="L86" s="26">
        <v>769</v>
      </c>
      <c r="M86" s="26">
        <v>792</v>
      </c>
      <c r="N86" s="26">
        <v>781</v>
      </c>
      <c r="O86" s="26">
        <v>782</v>
      </c>
      <c r="P86" s="26">
        <v>738</v>
      </c>
      <c r="Q86" s="26">
        <v>729</v>
      </c>
      <c r="R86" s="26">
        <v>791</v>
      </c>
      <c r="S86" s="26">
        <v>792</v>
      </c>
      <c r="T86" s="26">
        <v>774</v>
      </c>
      <c r="U86" s="26">
        <v>742</v>
      </c>
      <c r="V86" s="26">
        <v>754</v>
      </c>
    </row>
    <row r="87" spans="1:43">
      <c r="A87" s="30">
        <v>102</v>
      </c>
      <c r="B87" s="30" t="s">
        <v>151</v>
      </c>
      <c r="C87" s="27">
        <v>48</v>
      </c>
      <c r="D87" s="44"/>
      <c r="E87" s="33">
        <f>표_악몽던전템위력[[#This Row],[ancestral dropped]]/표_악몽던전템위력[[#This Row],[rare+ dropped]]</f>
        <v>0.78947368421052633</v>
      </c>
      <c r="F87" s="47">
        <f>COUNT(표_악몽던전템위력[[#This Row],[item1]:[item46]])</f>
        <v>15</v>
      </c>
      <c r="G87" s="47">
        <v>19</v>
      </c>
      <c r="H87" s="48">
        <f>AVERAGE(표_악몽던전템위력[[#This Row],[item1]:[item46]])</f>
        <v>771.6</v>
      </c>
      <c r="I87" s="26">
        <v>734</v>
      </c>
      <c r="J87" s="26">
        <v>782</v>
      </c>
      <c r="K87" s="26">
        <v>746</v>
      </c>
      <c r="L87" s="26">
        <v>786</v>
      </c>
      <c r="M87" s="26">
        <v>768</v>
      </c>
      <c r="N87" s="26">
        <v>767</v>
      </c>
      <c r="O87" s="26">
        <v>762</v>
      </c>
      <c r="P87" s="26">
        <v>773</v>
      </c>
      <c r="Q87" s="26">
        <v>793</v>
      </c>
      <c r="R87" s="26">
        <v>787</v>
      </c>
      <c r="S87" s="26">
        <v>783</v>
      </c>
      <c r="T87" s="26">
        <v>762</v>
      </c>
      <c r="U87" s="26">
        <v>758</v>
      </c>
      <c r="V87" s="26">
        <v>786</v>
      </c>
      <c r="W87" s="26">
        <v>787</v>
      </c>
    </row>
    <row r="88" spans="1:43">
      <c r="A88" s="30">
        <v>102</v>
      </c>
      <c r="B88" s="30" t="s">
        <v>122</v>
      </c>
      <c r="C88" s="27">
        <v>49</v>
      </c>
      <c r="D88" s="44"/>
      <c r="E88" s="33">
        <f>표_악몽던전템위력[[#This Row],[ancestral dropped]]/표_악몽던전템위력[[#This Row],[rare+ dropped]]</f>
        <v>0.63636363636363635</v>
      </c>
      <c r="F88" s="47">
        <f>COUNT(표_악몽던전템위력[[#This Row],[item1]:[item46]])</f>
        <v>35</v>
      </c>
      <c r="G88" s="47">
        <v>55</v>
      </c>
      <c r="H88" s="48">
        <f>AVERAGE(표_악몽던전템위력[[#This Row],[item1]:[item46]])</f>
        <v>774.97142857142853</v>
      </c>
      <c r="I88" s="26">
        <v>788</v>
      </c>
      <c r="J88" s="26">
        <v>769</v>
      </c>
      <c r="K88" s="26">
        <v>758</v>
      </c>
      <c r="L88" s="26">
        <v>746</v>
      </c>
      <c r="M88" s="26">
        <v>742</v>
      </c>
      <c r="N88" s="26">
        <v>793</v>
      </c>
      <c r="O88" s="26">
        <v>787</v>
      </c>
      <c r="P88" s="26">
        <v>780</v>
      </c>
      <c r="Q88" s="26">
        <v>742</v>
      </c>
      <c r="R88" s="26">
        <v>795</v>
      </c>
      <c r="S88" s="26">
        <v>778</v>
      </c>
      <c r="T88" s="26">
        <v>791</v>
      </c>
      <c r="U88" s="26">
        <v>790</v>
      </c>
      <c r="V88" s="26">
        <v>788</v>
      </c>
      <c r="W88" s="26">
        <v>788</v>
      </c>
      <c r="X88" s="26">
        <v>779</v>
      </c>
      <c r="Y88" s="26">
        <v>778</v>
      </c>
      <c r="Z88" s="26">
        <v>800</v>
      </c>
      <c r="AA88" s="26">
        <v>777</v>
      </c>
      <c r="AB88" s="26">
        <v>742</v>
      </c>
      <c r="AC88" s="26">
        <v>792</v>
      </c>
      <c r="AD88" s="26">
        <v>792</v>
      </c>
      <c r="AE88" s="26">
        <v>779</v>
      </c>
      <c r="AF88" s="26">
        <v>759</v>
      </c>
      <c r="AG88" s="26">
        <v>778</v>
      </c>
      <c r="AH88" s="26">
        <v>760</v>
      </c>
      <c r="AI88" s="26">
        <v>761</v>
      </c>
      <c r="AJ88" s="26">
        <v>753</v>
      </c>
      <c r="AK88" s="26">
        <v>772</v>
      </c>
      <c r="AL88" s="26">
        <v>770</v>
      </c>
      <c r="AM88" s="26">
        <v>744</v>
      </c>
      <c r="AN88" s="26">
        <v>804</v>
      </c>
      <c r="AO88" s="26">
        <v>776</v>
      </c>
      <c r="AP88" s="26">
        <v>790</v>
      </c>
      <c r="AQ88" s="26">
        <v>783</v>
      </c>
    </row>
    <row r="89" spans="1:43">
      <c r="A89" s="30">
        <v>102</v>
      </c>
      <c r="B89" s="30" t="s">
        <v>145</v>
      </c>
      <c r="C89" s="27">
        <v>50</v>
      </c>
      <c r="D89" s="44"/>
      <c r="E89" s="33">
        <f>표_악몽던전템위력[[#This Row],[ancestral dropped]]/표_악몽던전템위력[[#This Row],[rare+ dropped]]</f>
        <v>0.9</v>
      </c>
      <c r="F89" s="47">
        <f>COUNT(표_악몽던전템위력[[#This Row],[item1]:[item46]])</f>
        <v>27</v>
      </c>
      <c r="G89" s="47">
        <v>30</v>
      </c>
      <c r="H89" s="48">
        <f>AVERAGE(표_악몽던전템위력[[#This Row],[item1]:[item46]])</f>
        <v>769.07407407407402</v>
      </c>
      <c r="I89" s="26">
        <v>786</v>
      </c>
      <c r="J89" s="26">
        <v>757</v>
      </c>
      <c r="K89" s="26">
        <v>743</v>
      </c>
      <c r="L89" s="26">
        <v>777</v>
      </c>
      <c r="M89" s="26">
        <v>740</v>
      </c>
      <c r="N89" s="26">
        <v>784</v>
      </c>
      <c r="O89" s="26">
        <v>762</v>
      </c>
      <c r="P89" s="26">
        <v>757</v>
      </c>
      <c r="Q89" s="26">
        <v>804</v>
      </c>
      <c r="R89" s="26">
        <v>804</v>
      </c>
      <c r="S89" s="26">
        <v>804</v>
      </c>
      <c r="T89" s="26">
        <v>788</v>
      </c>
      <c r="U89" s="26">
        <v>775</v>
      </c>
      <c r="V89" s="26">
        <v>774</v>
      </c>
      <c r="W89" s="26">
        <v>757</v>
      </c>
      <c r="X89" s="26">
        <v>756</v>
      </c>
      <c r="Y89" s="26">
        <v>755</v>
      </c>
      <c r="Z89" s="26">
        <v>753</v>
      </c>
      <c r="AA89" s="26">
        <v>794</v>
      </c>
      <c r="AB89" s="26">
        <v>778</v>
      </c>
      <c r="AC89" s="26">
        <v>745</v>
      </c>
      <c r="AD89" s="26">
        <v>742</v>
      </c>
      <c r="AE89" s="26">
        <v>786</v>
      </c>
      <c r="AF89" s="26">
        <v>777</v>
      </c>
      <c r="AG89" s="26">
        <v>784</v>
      </c>
      <c r="AH89" s="26">
        <v>751</v>
      </c>
      <c r="AI89" s="26">
        <v>732</v>
      </c>
    </row>
    <row r="90" spans="1:43">
      <c r="A90" s="30">
        <v>102</v>
      </c>
      <c r="B90" s="30" t="s">
        <v>145</v>
      </c>
      <c r="C90" s="27">
        <v>50</v>
      </c>
      <c r="D90" s="44"/>
      <c r="E90" s="33">
        <f>표_악몽던전템위력[[#This Row],[ancestral dropped]]/표_악몽던전템위력[[#This Row],[rare+ dropped]]</f>
        <v>0.76315789473684215</v>
      </c>
      <c r="F90" s="47">
        <f>COUNT(표_악몽던전템위력[[#This Row],[item1]:[item46]])</f>
        <v>29</v>
      </c>
      <c r="G90" s="47">
        <v>38</v>
      </c>
      <c r="H90" s="48">
        <f>AVERAGE(표_악몽던전템위력[[#This Row],[item1]:[item46]])</f>
        <v>770.72413793103453</v>
      </c>
      <c r="I90" s="26">
        <v>749</v>
      </c>
      <c r="J90" s="26">
        <v>779</v>
      </c>
      <c r="K90" s="26">
        <v>795</v>
      </c>
      <c r="L90" s="26">
        <v>781</v>
      </c>
      <c r="M90" s="26">
        <v>773</v>
      </c>
      <c r="N90" s="26">
        <v>763</v>
      </c>
      <c r="O90" s="26">
        <v>793</v>
      </c>
      <c r="P90" s="26">
        <v>774</v>
      </c>
      <c r="Q90" s="26">
        <v>772</v>
      </c>
      <c r="R90" s="26">
        <v>770</v>
      </c>
      <c r="S90" s="26">
        <v>763</v>
      </c>
      <c r="T90" s="26">
        <v>745</v>
      </c>
      <c r="U90" s="26">
        <v>728</v>
      </c>
      <c r="V90" s="26">
        <v>799</v>
      </c>
      <c r="W90" s="26">
        <v>788</v>
      </c>
      <c r="X90" s="26">
        <v>777</v>
      </c>
      <c r="Y90" s="26">
        <v>747</v>
      </c>
      <c r="Z90" s="26">
        <v>801</v>
      </c>
      <c r="AA90" s="26">
        <v>782</v>
      </c>
      <c r="AB90" s="26">
        <v>750</v>
      </c>
      <c r="AC90" s="26">
        <v>748</v>
      </c>
      <c r="AD90" s="26">
        <v>771</v>
      </c>
      <c r="AE90" s="26">
        <v>757</v>
      </c>
      <c r="AF90" s="26">
        <v>748</v>
      </c>
      <c r="AG90" s="26">
        <v>769</v>
      </c>
      <c r="AH90" s="26">
        <v>796</v>
      </c>
      <c r="AI90" s="26">
        <v>788</v>
      </c>
      <c r="AJ90" s="26">
        <v>777</v>
      </c>
      <c r="AK90" s="26">
        <v>768</v>
      </c>
    </row>
    <row r="91" spans="1:43">
      <c r="A91" s="30">
        <v>102</v>
      </c>
      <c r="B91" s="30" t="s">
        <v>124</v>
      </c>
      <c r="C91" s="27">
        <v>50</v>
      </c>
      <c r="D91" s="44"/>
      <c r="E91" s="33">
        <f>표_악몽던전템위력[[#This Row],[ancestral dropped]]/표_악몽던전템위력[[#This Row],[rare+ dropped]]</f>
        <v>0.7407407407407407</v>
      </c>
      <c r="F91" s="47">
        <f>COUNT(표_악몽던전템위력[[#This Row],[item1]:[item46]])</f>
        <v>20</v>
      </c>
      <c r="G91" s="47">
        <v>27</v>
      </c>
      <c r="H91" s="48">
        <f>AVERAGE(표_악몽던전템위력[[#This Row],[item1]:[item46]])</f>
        <v>772.4</v>
      </c>
      <c r="I91" s="26">
        <v>786</v>
      </c>
      <c r="J91" s="26">
        <v>779</v>
      </c>
      <c r="K91" s="26">
        <v>761</v>
      </c>
      <c r="L91" s="26">
        <v>752</v>
      </c>
      <c r="M91" s="26">
        <v>746</v>
      </c>
      <c r="N91" s="26">
        <v>779</v>
      </c>
      <c r="O91" s="26">
        <v>790</v>
      </c>
      <c r="P91" s="26">
        <v>789</v>
      </c>
      <c r="Q91" s="26">
        <v>774</v>
      </c>
      <c r="R91" s="26">
        <v>774</v>
      </c>
      <c r="S91" s="26">
        <v>763</v>
      </c>
      <c r="T91" s="26">
        <v>763</v>
      </c>
      <c r="U91" s="26">
        <v>780</v>
      </c>
      <c r="V91" s="26">
        <v>748</v>
      </c>
      <c r="W91" s="26">
        <v>795</v>
      </c>
      <c r="X91" s="26">
        <v>791</v>
      </c>
      <c r="Y91" s="26">
        <v>762</v>
      </c>
      <c r="Z91" s="26">
        <v>753</v>
      </c>
      <c r="AA91" s="26">
        <v>766</v>
      </c>
      <c r="AB91" s="26">
        <v>797</v>
      </c>
    </row>
    <row r="92" spans="1:43">
      <c r="A92" s="26">
        <v>103</v>
      </c>
      <c r="B92" s="30" t="s">
        <v>10</v>
      </c>
      <c r="C92" s="27">
        <v>50</v>
      </c>
      <c r="D92" s="44"/>
      <c r="E92" s="33">
        <f>표_악몽던전템위력[[#This Row],[ancestral dropped]]/표_악몽던전템위력[[#This Row],[rare+ dropped]]</f>
        <v>0.63636363636363635</v>
      </c>
      <c r="F92" s="47">
        <f>COUNT(표_악몽던전템위력[[#This Row],[item1]:[item46]])</f>
        <v>21</v>
      </c>
      <c r="G92" s="47">
        <v>33</v>
      </c>
      <c r="H92" s="48">
        <f>AVERAGE(표_악몽던전템위력[[#This Row],[item1]:[item46]])</f>
        <v>776.23809523809518</v>
      </c>
      <c r="I92" s="26">
        <v>790</v>
      </c>
      <c r="J92" s="26">
        <v>767</v>
      </c>
      <c r="K92" s="26">
        <v>787</v>
      </c>
      <c r="L92" s="26">
        <v>782</v>
      </c>
      <c r="M92" s="26">
        <v>770</v>
      </c>
      <c r="N92" s="26">
        <v>791</v>
      </c>
      <c r="O92" s="26">
        <v>787</v>
      </c>
      <c r="P92" s="26">
        <v>763</v>
      </c>
      <c r="Q92" s="26">
        <v>744</v>
      </c>
      <c r="R92" s="26">
        <v>785</v>
      </c>
      <c r="S92" s="26">
        <v>781</v>
      </c>
      <c r="T92" s="26">
        <v>758</v>
      </c>
      <c r="U92" s="26">
        <v>793</v>
      </c>
      <c r="V92" s="26">
        <v>778</v>
      </c>
      <c r="W92" s="26">
        <v>769</v>
      </c>
      <c r="X92" s="26">
        <v>769</v>
      </c>
      <c r="Y92" s="26">
        <v>766</v>
      </c>
      <c r="Z92" s="26">
        <v>801</v>
      </c>
      <c r="AA92" s="26">
        <v>778</v>
      </c>
      <c r="AB92" s="26">
        <v>758</v>
      </c>
      <c r="AC92" s="26">
        <v>784</v>
      </c>
    </row>
    <row r="93" spans="1:43">
      <c r="A93" s="30">
        <v>102</v>
      </c>
      <c r="B93" s="30" t="s">
        <v>121</v>
      </c>
      <c r="C93" s="27">
        <v>51</v>
      </c>
      <c r="D93" s="44"/>
      <c r="E93" s="33">
        <f>표_악몽던전템위력[[#This Row],[ancestral dropped]]/표_악몽던전템위력[[#This Row],[rare+ dropped]]</f>
        <v>0.73333333333333328</v>
      </c>
      <c r="F93" s="47">
        <f>COUNT(표_악몽던전템위력[[#This Row],[item1]:[item46]])</f>
        <v>22</v>
      </c>
      <c r="G93" s="47">
        <v>30</v>
      </c>
      <c r="H93" s="48">
        <f>AVERAGE(표_악몽던전템위력[[#This Row],[item1]:[item46]])</f>
        <v>777.63636363636363</v>
      </c>
      <c r="I93" s="26">
        <v>791</v>
      </c>
      <c r="J93" s="26">
        <v>790</v>
      </c>
      <c r="K93" s="26">
        <v>775</v>
      </c>
      <c r="L93" s="26">
        <v>774</v>
      </c>
      <c r="M93" s="26">
        <v>788</v>
      </c>
      <c r="N93" s="26">
        <v>771</v>
      </c>
      <c r="O93" s="26">
        <v>796</v>
      </c>
      <c r="P93" s="26">
        <v>787</v>
      </c>
      <c r="Q93" s="26">
        <v>776</v>
      </c>
      <c r="R93" s="26">
        <v>776</v>
      </c>
      <c r="S93" s="26">
        <v>772</v>
      </c>
      <c r="T93" s="26">
        <v>768</v>
      </c>
      <c r="U93" s="26">
        <v>763</v>
      </c>
      <c r="V93" s="26">
        <v>789</v>
      </c>
      <c r="W93" s="26">
        <v>780</v>
      </c>
      <c r="X93" s="26">
        <v>753</v>
      </c>
      <c r="Y93" s="26">
        <v>809</v>
      </c>
      <c r="Z93" s="26">
        <v>792</v>
      </c>
      <c r="AA93" s="26">
        <v>781</v>
      </c>
      <c r="AB93" s="26">
        <v>774</v>
      </c>
      <c r="AC93" s="26">
        <v>747</v>
      </c>
      <c r="AD93" s="26">
        <v>756</v>
      </c>
    </row>
    <row r="94" spans="1:43">
      <c r="A94" s="30">
        <v>102</v>
      </c>
      <c r="B94" s="30" t="s">
        <v>121</v>
      </c>
      <c r="C94" s="27">
        <v>51</v>
      </c>
      <c r="D94" s="44"/>
      <c r="E94" s="33">
        <f>표_악몽던전템위력[[#This Row],[ancestral dropped]]/표_악몽던전템위력[[#This Row],[rare+ dropped]]</f>
        <v>0.90909090909090906</v>
      </c>
      <c r="F94" s="47">
        <f>COUNT(표_악몽던전템위력[[#This Row],[item1]:[item46]])</f>
        <v>10</v>
      </c>
      <c r="G94" s="47">
        <v>11</v>
      </c>
      <c r="H94" s="48">
        <f>AVERAGE(표_악몽던전템위력[[#This Row],[item1]:[item46]])</f>
        <v>775.9</v>
      </c>
      <c r="I94" s="26">
        <v>769</v>
      </c>
      <c r="J94" s="26">
        <v>791</v>
      </c>
      <c r="K94" s="26">
        <v>760</v>
      </c>
      <c r="L94" s="26">
        <v>789</v>
      </c>
      <c r="M94" s="26">
        <v>769</v>
      </c>
      <c r="N94" s="26">
        <v>775</v>
      </c>
      <c r="O94" s="26">
        <v>791</v>
      </c>
      <c r="P94" s="26">
        <v>776</v>
      </c>
      <c r="Q94" s="26">
        <v>771</v>
      </c>
      <c r="R94" s="26">
        <v>768</v>
      </c>
    </row>
    <row r="95" spans="1:43">
      <c r="A95" s="30">
        <v>102</v>
      </c>
      <c r="B95" s="30" t="s">
        <v>132</v>
      </c>
      <c r="C95" s="27">
        <v>51</v>
      </c>
      <c r="D95" s="44"/>
      <c r="E95" s="33">
        <f>표_악몽던전템위력[[#This Row],[ancestral dropped]]/표_악몽던전템위력[[#This Row],[rare+ dropped]]</f>
        <v>0.58333333333333337</v>
      </c>
      <c r="F95" s="47">
        <f>COUNT(표_악몽던전템위력[[#This Row],[item1]:[item46]])</f>
        <v>14</v>
      </c>
      <c r="G95" s="47">
        <v>24</v>
      </c>
      <c r="H95" s="48">
        <f>AVERAGE(표_악몽던전템위력[[#This Row],[item1]:[item46]])</f>
        <v>772.5</v>
      </c>
      <c r="I95" s="26">
        <v>780</v>
      </c>
      <c r="J95" s="26">
        <v>779</v>
      </c>
      <c r="K95" s="26">
        <v>765</v>
      </c>
      <c r="L95" s="26">
        <v>764</v>
      </c>
      <c r="M95" s="26">
        <v>738</v>
      </c>
      <c r="N95" s="26">
        <v>788</v>
      </c>
      <c r="O95" s="26">
        <v>754</v>
      </c>
      <c r="P95" s="26">
        <v>788</v>
      </c>
      <c r="Q95" s="26">
        <v>806</v>
      </c>
      <c r="R95" s="26">
        <v>780</v>
      </c>
      <c r="S95" s="26">
        <v>736</v>
      </c>
      <c r="T95" s="26">
        <v>801</v>
      </c>
      <c r="U95" s="26">
        <v>752</v>
      </c>
      <c r="V95" s="26">
        <v>784</v>
      </c>
    </row>
    <row r="96" spans="1:43">
      <c r="A96" s="30">
        <v>102</v>
      </c>
      <c r="B96" s="30" t="s">
        <v>28</v>
      </c>
      <c r="C96" s="27">
        <v>51</v>
      </c>
      <c r="D96" s="44"/>
      <c r="E96" s="33">
        <f>표_악몽던전템위력[[#This Row],[ancestral dropped]]/표_악몽던전템위력[[#This Row],[rare+ dropped]]</f>
        <v>0.75</v>
      </c>
      <c r="F96" s="47">
        <f>COUNT(표_악몽던전템위력[[#This Row],[item1]:[item46]])</f>
        <v>12</v>
      </c>
      <c r="G96" s="47">
        <v>16</v>
      </c>
      <c r="H96" s="48">
        <f>AVERAGE(표_악몽던전템위력[[#This Row],[item1]:[item46]])</f>
        <v>768.33333333333337</v>
      </c>
      <c r="I96" s="26">
        <v>758</v>
      </c>
      <c r="J96" s="26">
        <v>746</v>
      </c>
      <c r="K96" s="26">
        <v>774</v>
      </c>
      <c r="L96" s="26">
        <v>793</v>
      </c>
      <c r="M96" s="26">
        <v>774</v>
      </c>
      <c r="N96" s="26">
        <v>777</v>
      </c>
      <c r="O96" s="26">
        <v>760</v>
      </c>
      <c r="P96" s="26">
        <v>757</v>
      </c>
      <c r="Q96" s="26">
        <v>748</v>
      </c>
      <c r="R96" s="26">
        <v>779</v>
      </c>
      <c r="S96" s="26">
        <v>776</v>
      </c>
      <c r="T96" s="26">
        <v>778</v>
      </c>
    </row>
    <row r="97" spans="1:35">
      <c r="A97" s="30">
        <v>102</v>
      </c>
      <c r="B97" s="30" t="s">
        <v>132</v>
      </c>
      <c r="C97" s="27">
        <v>52</v>
      </c>
      <c r="D97" s="44"/>
      <c r="E97" s="33">
        <f>표_악몽던전템위력[[#This Row],[ancestral dropped]]/표_악몽던전템위력[[#This Row],[rare+ dropped]]</f>
        <v>0.83333333333333337</v>
      </c>
      <c r="F97" s="47">
        <f>COUNT(표_악몽던전템위력[[#This Row],[item1]:[item46]])</f>
        <v>25</v>
      </c>
      <c r="G97" s="47">
        <v>30</v>
      </c>
      <c r="H97" s="48">
        <f>AVERAGE(표_악몽던전템위력[[#This Row],[item1]:[item46]])</f>
        <v>770.16</v>
      </c>
      <c r="I97" s="26">
        <v>798</v>
      </c>
      <c r="J97" s="26">
        <v>785</v>
      </c>
      <c r="K97" s="26">
        <v>779</v>
      </c>
      <c r="L97" s="26">
        <v>778</v>
      </c>
      <c r="M97" s="26">
        <v>774</v>
      </c>
      <c r="N97" s="26">
        <v>756</v>
      </c>
      <c r="O97" s="26">
        <v>779</v>
      </c>
      <c r="P97" s="26">
        <v>746</v>
      </c>
      <c r="Q97" s="26">
        <v>784</v>
      </c>
      <c r="R97" s="26">
        <v>776</v>
      </c>
      <c r="S97" s="26">
        <v>766</v>
      </c>
      <c r="T97" s="26">
        <v>750</v>
      </c>
      <c r="U97" s="26">
        <v>743</v>
      </c>
      <c r="V97" s="26">
        <v>739</v>
      </c>
      <c r="W97" s="26">
        <v>780</v>
      </c>
      <c r="X97" s="26">
        <v>767</v>
      </c>
      <c r="Y97" s="26">
        <v>755</v>
      </c>
      <c r="Z97" s="26">
        <v>785</v>
      </c>
      <c r="AA97" s="26">
        <v>776</v>
      </c>
      <c r="AB97" s="26">
        <v>770</v>
      </c>
      <c r="AC97" s="26">
        <v>758</v>
      </c>
      <c r="AD97" s="26">
        <v>755</v>
      </c>
      <c r="AE97" s="26">
        <v>793</v>
      </c>
      <c r="AF97" s="26">
        <v>777</v>
      </c>
      <c r="AG97" s="26">
        <v>785</v>
      </c>
    </row>
    <row r="98" spans="1:35">
      <c r="A98" s="30">
        <v>102</v>
      </c>
      <c r="B98" s="30" t="s">
        <v>10</v>
      </c>
      <c r="C98" s="27">
        <v>52</v>
      </c>
      <c r="D98" s="44"/>
      <c r="E98" s="33">
        <f>표_악몽던전템위력[[#This Row],[ancestral dropped]]/표_악몽던전템위력[[#This Row],[rare+ dropped]]</f>
        <v>0.7142857142857143</v>
      </c>
      <c r="F98" s="47">
        <f>COUNT(표_악몽던전템위력[[#This Row],[item1]:[item46]])</f>
        <v>20</v>
      </c>
      <c r="G98" s="47">
        <v>28</v>
      </c>
      <c r="H98" s="48">
        <f>AVERAGE(표_악몽던전템위력[[#This Row],[item1]:[item46]])</f>
        <v>772.3</v>
      </c>
      <c r="I98" s="26">
        <v>774</v>
      </c>
      <c r="J98" s="26">
        <v>769</v>
      </c>
      <c r="K98" s="26">
        <v>811</v>
      </c>
      <c r="L98" s="26">
        <v>763</v>
      </c>
      <c r="M98" s="26">
        <v>761</v>
      </c>
      <c r="N98" s="26">
        <v>748</v>
      </c>
      <c r="O98" s="26">
        <v>785</v>
      </c>
      <c r="P98" s="26">
        <v>769</v>
      </c>
      <c r="Q98" s="26">
        <v>766</v>
      </c>
      <c r="R98" s="26">
        <v>758</v>
      </c>
      <c r="S98" s="26">
        <v>757</v>
      </c>
      <c r="T98" s="26">
        <v>765</v>
      </c>
      <c r="U98" s="26">
        <v>745</v>
      </c>
      <c r="V98" s="26">
        <v>806</v>
      </c>
      <c r="W98" s="26">
        <v>780</v>
      </c>
      <c r="X98" s="26">
        <v>762</v>
      </c>
      <c r="Y98" s="26">
        <v>806</v>
      </c>
      <c r="Z98" s="26">
        <v>754</v>
      </c>
      <c r="AA98" s="26">
        <v>794</v>
      </c>
      <c r="AB98" s="26">
        <v>773</v>
      </c>
    </row>
    <row r="99" spans="1:35">
      <c r="A99" s="30">
        <v>102</v>
      </c>
      <c r="B99" s="30" t="s">
        <v>120</v>
      </c>
      <c r="C99" s="27">
        <v>52</v>
      </c>
      <c r="D99" s="44"/>
      <c r="E99" s="33">
        <f>표_악몽던전템위력[[#This Row],[ancestral dropped]]/표_악몽던전템위력[[#This Row],[rare+ dropped]]</f>
        <v>0.72727272727272729</v>
      </c>
      <c r="F99" s="47">
        <f>COUNT(표_악몽던전템위력[[#This Row],[item1]:[item46]])</f>
        <v>24</v>
      </c>
      <c r="G99" s="47">
        <v>33</v>
      </c>
      <c r="H99" s="48">
        <f>AVERAGE(표_악몽던전템위력[[#This Row],[item1]:[item46]])</f>
        <v>774.08333333333337</v>
      </c>
      <c r="I99" s="26">
        <v>777</v>
      </c>
      <c r="J99" s="26">
        <v>804</v>
      </c>
      <c r="K99" s="26">
        <v>773</v>
      </c>
      <c r="L99" s="26">
        <v>769</v>
      </c>
      <c r="M99" s="26">
        <v>755</v>
      </c>
      <c r="N99" s="26">
        <v>731</v>
      </c>
      <c r="O99" s="26">
        <v>810</v>
      </c>
      <c r="P99" s="26">
        <v>794</v>
      </c>
      <c r="Q99" s="26">
        <v>783</v>
      </c>
      <c r="R99" s="26">
        <v>778</v>
      </c>
      <c r="S99" s="26">
        <v>778</v>
      </c>
      <c r="T99" s="26">
        <v>777</v>
      </c>
      <c r="U99" s="26">
        <v>772</v>
      </c>
      <c r="V99" s="26">
        <v>743</v>
      </c>
      <c r="W99" s="26">
        <v>739</v>
      </c>
      <c r="X99" s="26">
        <v>786</v>
      </c>
      <c r="Y99" s="26">
        <v>745</v>
      </c>
      <c r="Z99" s="26">
        <v>795</v>
      </c>
      <c r="AA99" s="26">
        <v>789</v>
      </c>
      <c r="AB99" s="26">
        <v>771</v>
      </c>
      <c r="AC99" s="26">
        <v>788</v>
      </c>
      <c r="AD99" s="26">
        <v>786</v>
      </c>
      <c r="AE99" s="26">
        <v>766</v>
      </c>
      <c r="AF99" s="26">
        <v>769</v>
      </c>
    </row>
    <row r="100" spans="1:35">
      <c r="A100" s="30">
        <v>102</v>
      </c>
      <c r="B100" s="30" t="s">
        <v>129</v>
      </c>
      <c r="C100" s="27">
        <v>52</v>
      </c>
      <c r="D100" s="44"/>
      <c r="E100" s="33">
        <f>표_악몽던전템위력[[#This Row],[ancestral dropped]]/표_악몽던전템위력[[#This Row],[rare+ dropped]]</f>
        <v>0.81818181818181823</v>
      </c>
      <c r="F100" s="47">
        <f>COUNT(표_악몽던전템위력[[#This Row],[item1]:[item46]])</f>
        <v>27</v>
      </c>
      <c r="G100" s="47">
        <v>33</v>
      </c>
      <c r="H100" s="48">
        <f>AVERAGE(표_악몽던전템위력[[#This Row],[item1]:[item46]])</f>
        <v>775.03703703703707</v>
      </c>
      <c r="I100" s="26">
        <v>807</v>
      </c>
      <c r="J100" s="26">
        <v>799</v>
      </c>
      <c r="K100" s="26">
        <v>736</v>
      </c>
      <c r="L100" s="26">
        <v>812</v>
      </c>
      <c r="M100" s="26">
        <v>785</v>
      </c>
      <c r="N100" s="26">
        <v>798</v>
      </c>
      <c r="O100" s="26">
        <v>783</v>
      </c>
      <c r="P100" s="26">
        <v>779</v>
      </c>
      <c r="Q100" s="26">
        <v>772</v>
      </c>
      <c r="R100" s="26">
        <v>767</v>
      </c>
      <c r="S100" s="26">
        <v>765</v>
      </c>
      <c r="T100" s="26">
        <v>800</v>
      </c>
      <c r="U100" s="26">
        <v>780</v>
      </c>
      <c r="V100" s="26">
        <v>756</v>
      </c>
      <c r="W100" s="26">
        <v>777</v>
      </c>
      <c r="X100" s="26">
        <v>767</v>
      </c>
      <c r="Y100" s="26">
        <v>750</v>
      </c>
      <c r="Z100" s="26">
        <v>794</v>
      </c>
      <c r="AA100" s="26">
        <v>788</v>
      </c>
      <c r="AB100" s="26">
        <v>786</v>
      </c>
      <c r="AC100" s="26">
        <v>766</v>
      </c>
      <c r="AD100" s="26">
        <v>748</v>
      </c>
      <c r="AE100" s="26">
        <v>745</v>
      </c>
      <c r="AF100" s="26">
        <v>771</v>
      </c>
      <c r="AG100" s="26">
        <v>780</v>
      </c>
      <c r="AH100" s="26">
        <v>762</v>
      </c>
      <c r="AI100" s="26">
        <v>753</v>
      </c>
    </row>
    <row r="101" spans="1:35">
      <c r="A101" s="30">
        <v>102</v>
      </c>
      <c r="B101" s="30" t="s">
        <v>12</v>
      </c>
      <c r="C101" s="27">
        <v>52</v>
      </c>
      <c r="D101" s="44"/>
      <c r="E101" s="33">
        <f>표_악몽던전템위력[[#This Row],[ancestral dropped]]/표_악몽던전템위력[[#This Row],[rare+ dropped]]</f>
        <v>0.88235294117647056</v>
      </c>
      <c r="F101" s="47">
        <f>COUNT(표_악몽던전템위력[[#This Row],[item1]:[item46]])</f>
        <v>15</v>
      </c>
      <c r="G101" s="47">
        <v>17</v>
      </c>
      <c r="H101" s="48">
        <f>AVERAGE(표_악몽던전템위력[[#This Row],[item1]:[item46]])</f>
        <v>779.5333333333333</v>
      </c>
      <c r="I101" s="26">
        <v>788</v>
      </c>
      <c r="J101" s="26">
        <v>780</v>
      </c>
      <c r="K101" s="26">
        <v>762</v>
      </c>
      <c r="L101" s="40">
        <v>811</v>
      </c>
      <c r="M101" s="26">
        <v>803</v>
      </c>
      <c r="N101" s="26">
        <v>753</v>
      </c>
      <c r="O101" s="26">
        <v>753</v>
      </c>
      <c r="P101" s="26">
        <v>795</v>
      </c>
      <c r="Q101" s="26">
        <v>784</v>
      </c>
      <c r="R101" s="26">
        <v>770</v>
      </c>
      <c r="S101" s="26">
        <v>805</v>
      </c>
      <c r="T101" s="26">
        <v>781</v>
      </c>
      <c r="U101" s="26">
        <v>777</v>
      </c>
      <c r="V101" s="26">
        <v>777</v>
      </c>
      <c r="W101" s="26">
        <v>754</v>
      </c>
    </row>
    <row r="102" spans="1:35">
      <c r="A102" s="30">
        <v>102</v>
      </c>
      <c r="B102" s="30" t="s">
        <v>129</v>
      </c>
      <c r="C102" s="27">
        <v>52</v>
      </c>
      <c r="D102" s="44">
        <v>1</v>
      </c>
      <c r="E102" s="33">
        <f>표_악몽던전템위력[[#This Row],[ancestral dropped]]/표_악몽던전템위력[[#This Row],[rare+ dropped]]</f>
        <v>0.77272727272727271</v>
      </c>
      <c r="F102" s="47">
        <f>COUNT(표_악몽던전템위력[[#This Row],[item1]:[item46]])</f>
        <v>17</v>
      </c>
      <c r="G102" s="47">
        <v>22</v>
      </c>
      <c r="H102" s="48">
        <f>AVERAGE(표_악몽던전템위력[[#This Row],[item1]:[item46]])</f>
        <v>781.11764705882354</v>
      </c>
      <c r="I102" s="26">
        <v>796</v>
      </c>
      <c r="J102" s="26">
        <v>783</v>
      </c>
      <c r="K102" s="26">
        <v>754</v>
      </c>
      <c r="L102" s="26">
        <v>802</v>
      </c>
      <c r="M102" s="26">
        <v>788</v>
      </c>
      <c r="N102" s="26">
        <v>784</v>
      </c>
      <c r="O102" s="26">
        <v>780</v>
      </c>
      <c r="P102" s="26">
        <v>779</v>
      </c>
      <c r="Q102" s="26">
        <v>756</v>
      </c>
      <c r="R102" s="26">
        <v>762</v>
      </c>
      <c r="S102" s="26">
        <v>800</v>
      </c>
      <c r="T102" s="26">
        <v>795</v>
      </c>
      <c r="U102" s="26">
        <v>776</v>
      </c>
      <c r="V102" s="26">
        <v>803</v>
      </c>
      <c r="W102" s="26">
        <v>764</v>
      </c>
      <c r="X102" s="26">
        <v>758</v>
      </c>
      <c r="Y102" s="26">
        <v>799</v>
      </c>
    </row>
    <row r="103" spans="1:35">
      <c r="A103" s="30">
        <v>102</v>
      </c>
      <c r="B103" s="30" t="s">
        <v>126</v>
      </c>
      <c r="C103" s="27">
        <v>52</v>
      </c>
      <c r="D103" s="44"/>
      <c r="E103" s="33">
        <f>표_악몽던전템위력[[#This Row],[ancestral dropped]]/표_악몽던전템위력[[#This Row],[rare+ dropped]]</f>
        <v>0.6</v>
      </c>
      <c r="F103" s="47">
        <f>COUNT(표_악몽던전템위력[[#This Row],[item1]:[item46]])</f>
        <v>15</v>
      </c>
      <c r="G103" s="47">
        <v>25</v>
      </c>
      <c r="H103" s="48">
        <f>AVERAGE(표_악몽던전템위력[[#This Row],[item1]:[item46]])</f>
        <v>772.4666666666667</v>
      </c>
      <c r="I103" s="26">
        <v>801</v>
      </c>
      <c r="J103" s="26">
        <v>775</v>
      </c>
      <c r="K103" s="26">
        <v>779</v>
      </c>
      <c r="L103" s="26">
        <v>776</v>
      </c>
      <c r="M103" s="26">
        <v>771</v>
      </c>
      <c r="N103" s="26">
        <v>799</v>
      </c>
      <c r="O103" s="26">
        <v>758</v>
      </c>
      <c r="P103" s="26">
        <v>751</v>
      </c>
      <c r="Q103" s="26">
        <v>793</v>
      </c>
      <c r="R103" s="26">
        <v>783</v>
      </c>
      <c r="S103" s="26">
        <v>781</v>
      </c>
      <c r="T103" s="26">
        <v>731</v>
      </c>
      <c r="U103" s="26">
        <v>777</v>
      </c>
      <c r="V103" s="26">
        <v>763</v>
      </c>
      <c r="W103" s="26">
        <v>749</v>
      </c>
    </row>
    <row r="104" spans="1:35">
      <c r="A104" s="30">
        <v>102</v>
      </c>
      <c r="B104" s="30" t="s">
        <v>159</v>
      </c>
      <c r="C104" s="27">
        <v>55</v>
      </c>
      <c r="D104" s="44"/>
      <c r="E104" s="33">
        <f>표_악몽던전템위력[[#This Row],[ancestral dropped]]/표_악몽던전템위력[[#This Row],[rare+ dropped]]</f>
        <v>0.83333333333333337</v>
      </c>
      <c r="F104" s="47">
        <f>COUNT(표_악몽던전템위력[[#This Row],[item1]:[item46]])</f>
        <v>15</v>
      </c>
      <c r="G104" s="47">
        <v>18</v>
      </c>
      <c r="H104" s="48">
        <f>AVERAGE(표_악몽던전템위력[[#This Row],[item1]:[item46]])</f>
        <v>781</v>
      </c>
      <c r="I104" s="26">
        <v>787</v>
      </c>
      <c r="J104" s="26">
        <v>784</v>
      </c>
      <c r="K104" s="26">
        <v>764</v>
      </c>
      <c r="L104" s="26">
        <v>782</v>
      </c>
      <c r="M104" s="26">
        <v>778</v>
      </c>
      <c r="N104" s="26">
        <v>776</v>
      </c>
      <c r="O104" s="26">
        <v>794</v>
      </c>
      <c r="P104" s="26">
        <v>766</v>
      </c>
      <c r="Q104" s="26">
        <v>811</v>
      </c>
      <c r="R104" s="26">
        <v>792</v>
      </c>
      <c r="S104" s="26">
        <v>782</v>
      </c>
      <c r="T104" s="26">
        <v>758</v>
      </c>
      <c r="U104" s="26">
        <v>792</v>
      </c>
      <c r="V104" s="26">
        <v>767</v>
      </c>
      <c r="W104" s="26">
        <v>782</v>
      </c>
    </row>
    <row r="105" spans="1:35">
      <c r="A105" s="30">
        <v>102</v>
      </c>
      <c r="B105" s="30" t="s">
        <v>121</v>
      </c>
      <c r="C105" s="27">
        <v>55</v>
      </c>
      <c r="D105" s="44"/>
      <c r="E105" s="33">
        <f>표_악몽던전템위력[[#This Row],[ancestral dropped]]/표_악몽던전템위력[[#This Row],[rare+ dropped]]</f>
        <v>0.80952380952380953</v>
      </c>
      <c r="F105" s="47">
        <f>COUNT(표_악몽던전템위력[[#This Row],[item1]:[item46]])</f>
        <v>17</v>
      </c>
      <c r="G105" s="47">
        <v>21</v>
      </c>
      <c r="H105" s="48">
        <f>AVERAGE(표_악몽던전템위력[[#This Row],[item1]:[item46]])</f>
        <v>776</v>
      </c>
      <c r="I105" s="26">
        <v>805</v>
      </c>
      <c r="J105" s="26">
        <v>784</v>
      </c>
      <c r="K105" s="26">
        <v>776</v>
      </c>
      <c r="L105" s="26">
        <v>775</v>
      </c>
      <c r="M105" s="26">
        <v>758</v>
      </c>
      <c r="N105" s="26">
        <v>769</v>
      </c>
      <c r="O105" s="26">
        <v>795</v>
      </c>
      <c r="P105" s="26">
        <v>775</v>
      </c>
      <c r="Q105" s="26">
        <v>770</v>
      </c>
      <c r="R105" s="26">
        <v>742</v>
      </c>
      <c r="S105" s="26">
        <v>753</v>
      </c>
      <c r="T105" s="26">
        <v>751</v>
      </c>
      <c r="U105" s="26">
        <v>796</v>
      </c>
      <c r="V105" s="26">
        <v>792</v>
      </c>
      <c r="W105" s="26">
        <v>779</v>
      </c>
      <c r="X105" s="26">
        <v>780</v>
      </c>
      <c r="Y105" s="26">
        <v>792</v>
      </c>
    </row>
    <row r="106" spans="1:35">
      <c r="A106" s="30">
        <v>102</v>
      </c>
      <c r="B106" s="30" t="s">
        <v>31</v>
      </c>
      <c r="C106" s="27">
        <v>55</v>
      </c>
      <c r="D106" s="44"/>
      <c r="E106" s="33">
        <f>표_악몽던전템위력[[#This Row],[ancestral dropped]]/표_악몽던전템위력[[#This Row],[rare+ dropped]]</f>
        <v>0.65217391304347827</v>
      </c>
      <c r="F106" s="47">
        <f>COUNT(표_악몽던전템위력[[#This Row],[item1]:[item46]])</f>
        <v>15</v>
      </c>
      <c r="G106" s="47">
        <v>23</v>
      </c>
      <c r="H106" s="48">
        <f>AVERAGE(표_악몽던전템위력[[#This Row],[item1]:[item46]])</f>
        <v>784.4</v>
      </c>
      <c r="I106" s="26">
        <v>774</v>
      </c>
      <c r="J106" s="26">
        <v>817</v>
      </c>
      <c r="K106" s="26">
        <v>803</v>
      </c>
      <c r="L106" s="26">
        <v>788</v>
      </c>
      <c r="M106" s="26">
        <v>787</v>
      </c>
      <c r="N106" s="26">
        <v>793</v>
      </c>
      <c r="O106" s="26">
        <v>788</v>
      </c>
      <c r="P106" s="26">
        <v>779</v>
      </c>
      <c r="Q106" s="26">
        <v>779</v>
      </c>
      <c r="R106" s="26">
        <v>773</v>
      </c>
      <c r="S106" s="26">
        <v>770</v>
      </c>
      <c r="T106" s="26">
        <v>792</v>
      </c>
      <c r="U106" s="26">
        <v>769</v>
      </c>
      <c r="V106" s="26">
        <v>761</v>
      </c>
      <c r="W106" s="26">
        <v>793</v>
      </c>
    </row>
    <row r="107" spans="1:35">
      <c r="A107" s="30">
        <v>102</v>
      </c>
      <c r="B107" s="30" t="s">
        <v>28</v>
      </c>
      <c r="C107" s="27">
        <v>56</v>
      </c>
      <c r="D107" s="44"/>
      <c r="E107" s="33">
        <f>표_악몽던전템위력[[#This Row],[ancestral dropped]]/표_악몽던전템위력[[#This Row],[rare+ dropped]]</f>
        <v>0.80769230769230771</v>
      </c>
      <c r="F107" s="47">
        <f>COUNT(표_악몽던전템위력[[#This Row],[item1]:[item46]])</f>
        <v>21</v>
      </c>
      <c r="G107" s="47">
        <v>26</v>
      </c>
      <c r="H107" s="48">
        <f>AVERAGE(표_악몽던전템위력[[#This Row],[item1]:[item46]])</f>
        <v>769.42857142857144</v>
      </c>
      <c r="I107" s="26">
        <v>789</v>
      </c>
      <c r="J107" s="26">
        <v>778</v>
      </c>
      <c r="K107" s="26">
        <v>777</v>
      </c>
      <c r="L107" s="26">
        <v>763</v>
      </c>
      <c r="M107" s="26">
        <v>762</v>
      </c>
      <c r="N107" s="26">
        <v>734</v>
      </c>
      <c r="O107" s="26">
        <v>761</v>
      </c>
      <c r="P107" s="26">
        <v>806</v>
      </c>
      <c r="Q107" s="26">
        <v>786</v>
      </c>
      <c r="R107" s="26">
        <v>807</v>
      </c>
      <c r="S107" s="26">
        <v>759</v>
      </c>
      <c r="T107" s="26">
        <v>746</v>
      </c>
      <c r="U107" s="26">
        <v>740</v>
      </c>
      <c r="V107" s="26">
        <v>740</v>
      </c>
      <c r="W107" s="26">
        <v>780</v>
      </c>
      <c r="X107" s="26">
        <v>746</v>
      </c>
      <c r="Y107" s="26">
        <v>776</v>
      </c>
      <c r="Z107" s="26">
        <v>753</v>
      </c>
      <c r="AA107" s="26">
        <v>787</v>
      </c>
      <c r="AB107" s="26">
        <v>795</v>
      </c>
      <c r="AC107" s="26">
        <v>773</v>
      </c>
    </row>
    <row r="108" spans="1:35">
      <c r="A108" s="30">
        <v>102</v>
      </c>
      <c r="B108" s="30" t="s">
        <v>28</v>
      </c>
      <c r="C108" s="27">
        <v>56</v>
      </c>
      <c r="D108" s="44"/>
      <c r="E108" s="33">
        <f>표_악몽던전템위력[[#This Row],[ancestral dropped]]/표_악몽던전템위력[[#This Row],[rare+ dropped]]</f>
        <v>0.72972972972972971</v>
      </c>
      <c r="F108" s="47">
        <f>COUNT(표_악몽던전템위력[[#This Row],[item1]:[item46]])</f>
        <v>27</v>
      </c>
      <c r="G108" s="47">
        <v>37</v>
      </c>
      <c r="H108" s="48">
        <f>AVERAGE(표_악몽던전템위력[[#This Row],[item1]:[item46]])</f>
        <v>772.85185185185185</v>
      </c>
      <c r="I108" s="26">
        <v>792</v>
      </c>
      <c r="J108" s="26">
        <v>774</v>
      </c>
      <c r="K108" s="26">
        <v>759</v>
      </c>
      <c r="L108" s="26">
        <v>793</v>
      </c>
      <c r="M108" s="26">
        <v>773</v>
      </c>
      <c r="N108" s="26">
        <v>792</v>
      </c>
      <c r="O108" s="26">
        <v>791</v>
      </c>
      <c r="P108" s="26">
        <v>761</v>
      </c>
      <c r="Q108" s="26">
        <v>773</v>
      </c>
      <c r="R108" s="26">
        <v>766</v>
      </c>
      <c r="S108" s="26">
        <v>761</v>
      </c>
      <c r="T108" s="26">
        <v>756</v>
      </c>
      <c r="U108" s="26">
        <v>752</v>
      </c>
      <c r="V108" s="26">
        <v>815</v>
      </c>
      <c r="W108" s="26">
        <v>785</v>
      </c>
      <c r="X108" s="26">
        <v>758</v>
      </c>
      <c r="Y108" s="26">
        <v>797</v>
      </c>
      <c r="Z108" s="26">
        <v>764</v>
      </c>
      <c r="AA108" s="26">
        <v>782</v>
      </c>
      <c r="AB108" s="26">
        <v>778</v>
      </c>
      <c r="AC108" s="26">
        <v>771</v>
      </c>
      <c r="AD108" s="26">
        <v>761</v>
      </c>
      <c r="AE108" s="26">
        <v>749</v>
      </c>
      <c r="AF108" s="26">
        <v>781</v>
      </c>
      <c r="AG108" s="26">
        <v>771</v>
      </c>
      <c r="AH108" s="26">
        <v>761</v>
      </c>
      <c r="AI108" s="26">
        <v>751</v>
      </c>
    </row>
    <row r="109" spans="1:35">
      <c r="A109" s="30">
        <v>102</v>
      </c>
      <c r="B109" s="30" t="s">
        <v>121</v>
      </c>
      <c r="C109" s="27">
        <v>56</v>
      </c>
      <c r="D109" s="44"/>
      <c r="E109" s="33">
        <f>표_악몽던전템위력[[#This Row],[ancestral dropped]]/표_악몽던전템위력[[#This Row],[rare+ dropped]]</f>
        <v>0.73913043478260865</v>
      </c>
      <c r="F109" s="47">
        <f>COUNT(표_악몽던전템위력[[#This Row],[item1]:[item46]])</f>
        <v>17</v>
      </c>
      <c r="G109" s="47">
        <v>23</v>
      </c>
      <c r="H109" s="48">
        <f>AVERAGE(표_악몽던전템위력[[#This Row],[item1]:[item46]])</f>
        <v>773.23529411764707</v>
      </c>
      <c r="I109" s="26">
        <v>796</v>
      </c>
      <c r="J109" s="26">
        <v>782</v>
      </c>
      <c r="K109" s="26">
        <v>759</v>
      </c>
      <c r="L109" s="26">
        <v>768</v>
      </c>
      <c r="M109" s="26">
        <v>748</v>
      </c>
      <c r="N109" s="26">
        <v>785</v>
      </c>
      <c r="O109" s="26">
        <v>783</v>
      </c>
      <c r="P109" s="26">
        <v>782</v>
      </c>
      <c r="Q109" s="26">
        <v>767</v>
      </c>
      <c r="R109" s="26">
        <v>771</v>
      </c>
      <c r="S109" s="26">
        <v>784</v>
      </c>
      <c r="T109" s="26">
        <v>783</v>
      </c>
      <c r="U109" s="26">
        <v>749</v>
      </c>
      <c r="V109" s="26">
        <v>760</v>
      </c>
      <c r="W109" s="26">
        <v>757</v>
      </c>
      <c r="X109" s="26">
        <v>801</v>
      </c>
      <c r="Y109" s="26">
        <v>770</v>
      </c>
    </row>
    <row r="110" spans="1:35">
      <c r="A110" s="30">
        <v>102</v>
      </c>
      <c r="B110" s="30" t="s">
        <v>10</v>
      </c>
      <c r="C110" s="27">
        <v>57</v>
      </c>
      <c r="D110" s="44"/>
      <c r="E110" s="33">
        <f>표_악몽던전템위력[[#This Row],[ancestral dropped]]/표_악몽던전템위력[[#This Row],[rare+ dropped]]</f>
        <v>0.91304347826086951</v>
      </c>
      <c r="F110" s="47">
        <f>COUNT(표_악몽던전템위력[[#This Row],[item1]:[item46]])</f>
        <v>21</v>
      </c>
      <c r="G110" s="47">
        <v>23</v>
      </c>
      <c r="H110" s="48">
        <f>AVERAGE(표_악몽던전템위력[[#This Row],[item1]:[item46]])</f>
        <v>768.14285714285711</v>
      </c>
      <c r="I110" s="26">
        <v>768</v>
      </c>
      <c r="J110" s="26">
        <v>765</v>
      </c>
      <c r="K110" s="26">
        <v>790</v>
      </c>
      <c r="L110" s="26">
        <v>777</v>
      </c>
      <c r="M110" s="26">
        <v>774</v>
      </c>
      <c r="N110" s="26">
        <v>755</v>
      </c>
      <c r="O110" s="26">
        <v>736</v>
      </c>
      <c r="P110" s="26">
        <v>792</v>
      </c>
      <c r="Q110" s="26">
        <v>777</v>
      </c>
      <c r="R110" s="26">
        <v>762</v>
      </c>
      <c r="S110" s="26">
        <v>749</v>
      </c>
      <c r="T110" s="26">
        <v>738</v>
      </c>
      <c r="U110" s="26">
        <v>776</v>
      </c>
      <c r="V110" s="26">
        <v>746</v>
      </c>
      <c r="W110" s="26">
        <v>778</v>
      </c>
      <c r="X110" s="26">
        <v>751</v>
      </c>
      <c r="Y110" s="26">
        <v>770</v>
      </c>
      <c r="Z110" s="26">
        <v>796</v>
      </c>
      <c r="AA110" s="26">
        <v>780</v>
      </c>
      <c r="AB110" s="26">
        <v>772</v>
      </c>
      <c r="AC110" s="26">
        <v>779</v>
      </c>
    </row>
    <row r="111" spans="1:35">
      <c r="A111" s="30">
        <v>102</v>
      </c>
      <c r="B111" s="30" t="s">
        <v>159</v>
      </c>
      <c r="C111" s="27">
        <v>57</v>
      </c>
      <c r="D111" s="44"/>
      <c r="E111" s="33">
        <f>표_악몽던전템위력[[#This Row],[ancestral dropped]]/표_악몽던전템위력[[#This Row],[rare+ dropped]]</f>
        <v>0.73333333333333328</v>
      </c>
      <c r="F111" s="47">
        <f>COUNT(표_악몽던전템위력[[#This Row],[item1]:[item46]])</f>
        <v>22</v>
      </c>
      <c r="G111" s="47">
        <v>30</v>
      </c>
      <c r="H111" s="48">
        <f>AVERAGE(표_악몽던전템위력[[#This Row],[item1]:[item46]])</f>
        <v>772.81818181818187</v>
      </c>
      <c r="I111" s="26">
        <v>772</v>
      </c>
      <c r="J111" s="26">
        <v>767</v>
      </c>
      <c r="K111" s="26">
        <v>787</v>
      </c>
      <c r="L111" s="26">
        <v>784</v>
      </c>
      <c r="M111" s="26">
        <v>766</v>
      </c>
      <c r="N111" s="26">
        <v>804</v>
      </c>
      <c r="O111" s="26">
        <v>783</v>
      </c>
      <c r="P111" s="26">
        <v>774</v>
      </c>
      <c r="Q111" s="26">
        <v>793</v>
      </c>
      <c r="R111" s="26">
        <v>775</v>
      </c>
      <c r="S111" s="26">
        <v>756</v>
      </c>
      <c r="T111" s="26">
        <v>741</v>
      </c>
      <c r="U111" s="26">
        <v>791</v>
      </c>
      <c r="V111" s="26">
        <v>774</v>
      </c>
      <c r="W111" s="26">
        <v>781</v>
      </c>
      <c r="X111" s="26">
        <v>789</v>
      </c>
      <c r="Y111" s="26">
        <v>785</v>
      </c>
      <c r="Z111" s="26">
        <v>744</v>
      </c>
      <c r="AA111" s="26">
        <v>774</v>
      </c>
      <c r="AB111" s="26">
        <v>758</v>
      </c>
      <c r="AC111" s="26">
        <v>756</v>
      </c>
      <c r="AD111" s="26">
        <v>748</v>
      </c>
    </row>
    <row r="112" spans="1:35">
      <c r="A112" s="30">
        <v>102</v>
      </c>
      <c r="B112" s="30" t="s">
        <v>145</v>
      </c>
      <c r="C112" s="27">
        <v>57</v>
      </c>
      <c r="D112" s="44">
        <v>1</v>
      </c>
      <c r="E112" s="33">
        <f>표_악몽던전템위력[[#This Row],[ancestral dropped]]/표_악몽던전템위력[[#This Row],[rare+ dropped]]</f>
        <v>0.625</v>
      </c>
      <c r="F112" s="47">
        <f>COUNT(표_악몽던전템위력[[#This Row],[item1]:[item46]])</f>
        <v>20</v>
      </c>
      <c r="G112" s="47">
        <v>32</v>
      </c>
      <c r="H112" s="48">
        <f>AVERAGE(표_악몽던전템위력[[#This Row],[item1]:[item46]])</f>
        <v>776.9</v>
      </c>
      <c r="I112" s="26">
        <v>778</v>
      </c>
      <c r="J112" s="26">
        <v>774</v>
      </c>
      <c r="K112" s="26">
        <v>804</v>
      </c>
      <c r="L112" s="26">
        <v>778</v>
      </c>
      <c r="M112" s="26">
        <v>767</v>
      </c>
      <c r="N112" s="26">
        <v>792</v>
      </c>
      <c r="O112" s="26">
        <v>759</v>
      </c>
      <c r="P112" s="26">
        <v>789</v>
      </c>
      <c r="Q112" s="26">
        <v>770</v>
      </c>
      <c r="R112" s="26">
        <v>768</v>
      </c>
      <c r="S112" s="26">
        <v>742</v>
      </c>
      <c r="T112" s="26">
        <v>771</v>
      </c>
      <c r="U112" s="26">
        <v>749</v>
      </c>
      <c r="V112" s="26">
        <v>763</v>
      </c>
      <c r="W112" s="26">
        <v>795</v>
      </c>
      <c r="X112" s="26">
        <v>783</v>
      </c>
      <c r="Y112" s="26">
        <v>779</v>
      </c>
      <c r="Z112" s="26">
        <v>811</v>
      </c>
      <c r="AA112" s="26">
        <v>793</v>
      </c>
      <c r="AB112" s="26">
        <v>773</v>
      </c>
    </row>
    <row r="113" spans="1:43">
      <c r="A113" s="30">
        <v>102</v>
      </c>
      <c r="B113" s="30" t="s">
        <v>127</v>
      </c>
      <c r="C113" s="27">
        <v>59</v>
      </c>
      <c r="D113" s="44">
        <v>1</v>
      </c>
      <c r="E113" s="33">
        <f>표_악몽던전템위력[[#This Row],[ancestral dropped]]/표_악몽던전템위력[[#This Row],[rare+ dropped]]</f>
        <v>0.81481481481481477</v>
      </c>
      <c r="F113" s="47">
        <f>COUNT(표_악몽던전템위력[[#This Row],[item1]:[item46]])</f>
        <v>22</v>
      </c>
      <c r="G113" s="47">
        <v>27</v>
      </c>
      <c r="H113" s="48">
        <f>AVERAGE(표_악몽던전템위력[[#This Row],[item1]:[item46]])</f>
        <v>774.9545454545455</v>
      </c>
      <c r="I113" s="26">
        <v>773</v>
      </c>
      <c r="J113" s="26">
        <v>757</v>
      </c>
      <c r="K113" s="26">
        <v>752</v>
      </c>
      <c r="L113" s="26">
        <v>784</v>
      </c>
      <c r="M113" s="26">
        <v>789</v>
      </c>
      <c r="N113" s="26">
        <v>760</v>
      </c>
      <c r="O113" s="26">
        <v>745</v>
      </c>
      <c r="P113" s="26">
        <v>803</v>
      </c>
      <c r="Q113" s="26">
        <v>792</v>
      </c>
      <c r="R113" s="26">
        <v>788</v>
      </c>
      <c r="S113" s="26">
        <v>772</v>
      </c>
      <c r="T113" s="26">
        <v>752</v>
      </c>
      <c r="U113" s="26">
        <v>792</v>
      </c>
      <c r="V113" s="26">
        <v>803</v>
      </c>
      <c r="W113" s="26">
        <v>766</v>
      </c>
      <c r="X113" s="26">
        <v>782</v>
      </c>
      <c r="Y113" s="26">
        <v>759</v>
      </c>
      <c r="Z113" s="26">
        <v>756</v>
      </c>
      <c r="AA113" s="26">
        <v>745</v>
      </c>
      <c r="AB113" s="26">
        <v>815</v>
      </c>
      <c r="AC113" s="26">
        <v>805</v>
      </c>
      <c r="AD113" s="26">
        <v>759</v>
      </c>
    </row>
    <row r="114" spans="1:43">
      <c r="A114" s="30">
        <v>102</v>
      </c>
      <c r="B114" s="30" t="s">
        <v>150</v>
      </c>
      <c r="C114" s="27">
        <v>59</v>
      </c>
      <c r="D114" s="44"/>
      <c r="E114" s="33">
        <f>표_악몽던전템위력[[#This Row],[ancestral dropped]]/표_악몽던전템위력[[#This Row],[rare+ dropped]]</f>
        <v>0.86486486486486491</v>
      </c>
      <c r="F114" s="47">
        <f>COUNT(표_악몽던전템위력[[#This Row],[item1]:[item46]])</f>
        <v>32</v>
      </c>
      <c r="G114" s="47">
        <v>37</v>
      </c>
      <c r="H114" s="48">
        <f>AVERAGE(표_악몽던전템위력[[#This Row],[item1]:[item46]])</f>
        <v>770.375</v>
      </c>
      <c r="I114" s="26">
        <v>783</v>
      </c>
      <c r="J114" s="26">
        <v>766</v>
      </c>
      <c r="K114" s="26">
        <v>754</v>
      </c>
      <c r="L114" s="26">
        <v>752</v>
      </c>
      <c r="M114" s="26">
        <v>748</v>
      </c>
      <c r="N114" s="26">
        <v>787</v>
      </c>
      <c r="O114" s="26">
        <v>793</v>
      </c>
      <c r="P114" s="26">
        <v>792</v>
      </c>
      <c r="Q114" s="26">
        <v>785</v>
      </c>
      <c r="R114" s="26">
        <v>776</v>
      </c>
      <c r="S114" s="26">
        <v>776</v>
      </c>
      <c r="T114" s="26">
        <v>754</v>
      </c>
      <c r="U114" s="26">
        <v>748</v>
      </c>
      <c r="V114" s="26">
        <v>747</v>
      </c>
      <c r="W114" s="26">
        <v>734</v>
      </c>
      <c r="X114" s="26">
        <v>782</v>
      </c>
      <c r="Y114" s="26">
        <v>768</v>
      </c>
      <c r="Z114" s="26">
        <v>760</v>
      </c>
      <c r="AA114" s="26">
        <v>751</v>
      </c>
      <c r="AB114" s="26">
        <v>779</v>
      </c>
      <c r="AC114" s="26">
        <v>760</v>
      </c>
      <c r="AD114" s="26">
        <v>756</v>
      </c>
      <c r="AE114" s="26">
        <v>806</v>
      </c>
      <c r="AF114" s="26">
        <v>775</v>
      </c>
      <c r="AG114" s="26">
        <v>769</v>
      </c>
      <c r="AH114" s="26">
        <v>790</v>
      </c>
      <c r="AI114" s="26">
        <v>765</v>
      </c>
      <c r="AJ114" s="26">
        <v>765</v>
      </c>
      <c r="AK114" s="26">
        <v>804</v>
      </c>
      <c r="AL114" s="26">
        <v>753</v>
      </c>
      <c r="AM114" s="26">
        <v>783</v>
      </c>
      <c r="AN114" s="26">
        <v>791</v>
      </c>
    </row>
    <row r="115" spans="1:43">
      <c r="A115" s="30">
        <v>102</v>
      </c>
      <c r="B115" s="30" t="s">
        <v>124</v>
      </c>
      <c r="C115" s="27">
        <v>59</v>
      </c>
      <c r="D115" s="44"/>
      <c r="E115" s="33">
        <f>표_악몽던전템위력[[#This Row],[ancestral dropped]]/표_악몽던전템위력[[#This Row],[rare+ dropped]]</f>
        <v>0.7857142857142857</v>
      </c>
      <c r="F115" s="47">
        <f>COUNT(표_악몽던전템위력[[#This Row],[item1]:[item46]])</f>
        <v>11</v>
      </c>
      <c r="G115" s="47">
        <v>14</v>
      </c>
      <c r="H115" s="48">
        <f>AVERAGE(표_악몽던전템위력[[#This Row],[item1]:[item46]])</f>
        <v>777.5454545454545</v>
      </c>
      <c r="I115" s="26">
        <v>769</v>
      </c>
      <c r="J115" s="26">
        <v>744</v>
      </c>
      <c r="K115" s="26">
        <v>755</v>
      </c>
      <c r="L115" s="26">
        <v>802</v>
      </c>
      <c r="M115" s="26">
        <v>789</v>
      </c>
      <c r="N115" s="26">
        <v>788</v>
      </c>
      <c r="O115" s="26">
        <v>777</v>
      </c>
      <c r="P115" s="26">
        <v>794</v>
      </c>
      <c r="Q115" s="26">
        <v>764</v>
      </c>
      <c r="R115" s="26">
        <v>778</v>
      </c>
      <c r="S115" s="26">
        <v>793</v>
      </c>
    </row>
    <row r="116" spans="1:43">
      <c r="A116" s="30">
        <v>102</v>
      </c>
      <c r="B116" s="30" t="s">
        <v>13</v>
      </c>
      <c r="C116" s="27">
        <v>60</v>
      </c>
      <c r="D116" s="44"/>
      <c r="E116" s="33">
        <f>표_악몽던전템위력[[#This Row],[ancestral dropped]]/표_악몽던전템위력[[#This Row],[rare+ dropped]]</f>
        <v>0.81818181818181823</v>
      </c>
      <c r="F116" s="47">
        <f>COUNT(표_악몽던전템위력[[#This Row],[item1]:[item46]])</f>
        <v>27</v>
      </c>
      <c r="G116" s="47">
        <v>33</v>
      </c>
      <c r="H116" s="48">
        <f>AVERAGE(표_악몽던전템위력[[#This Row],[item1]:[item46]])</f>
        <v>769.44444444444446</v>
      </c>
      <c r="I116" s="26">
        <v>800</v>
      </c>
      <c r="J116" s="26">
        <v>796</v>
      </c>
      <c r="K116" s="26">
        <v>793</v>
      </c>
      <c r="L116" s="26">
        <v>787</v>
      </c>
      <c r="M116" s="26">
        <v>769</v>
      </c>
      <c r="N116" s="26">
        <v>752</v>
      </c>
      <c r="O116" s="26">
        <v>800</v>
      </c>
      <c r="P116" s="26">
        <v>764</v>
      </c>
      <c r="Q116" s="26">
        <v>746</v>
      </c>
      <c r="R116" s="26">
        <v>733</v>
      </c>
      <c r="S116" s="26">
        <v>808</v>
      </c>
      <c r="T116" s="26">
        <v>796</v>
      </c>
      <c r="U116" s="26">
        <v>796</v>
      </c>
      <c r="V116" s="26">
        <v>775</v>
      </c>
      <c r="W116" s="26">
        <v>759</v>
      </c>
      <c r="X116" s="26">
        <v>752</v>
      </c>
      <c r="Y116" s="26">
        <v>750</v>
      </c>
      <c r="Z116" s="26">
        <v>760</v>
      </c>
      <c r="AA116" s="26">
        <v>749</v>
      </c>
      <c r="AB116" s="26">
        <v>744</v>
      </c>
      <c r="AC116" s="26">
        <v>789</v>
      </c>
      <c r="AD116" s="26">
        <v>739</v>
      </c>
      <c r="AE116" s="26">
        <v>780</v>
      </c>
      <c r="AF116" s="26">
        <v>738</v>
      </c>
      <c r="AG116" s="26">
        <v>768</v>
      </c>
      <c r="AH116" s="26">
        <v>741</v>
      </c>
      <c r="AI116" s="26">
        <v>791</v>
      </c>
    </row>
    <row r="117" spans="1:43">
      <c r="A117" s="30">
        <v>102</v>
      </c>
      <c r="B117" s="30" t="s">
        <v>0</v>
      </c>
      <c r="C117" s="27">
        <v>60</v>
      </c>
      <c r="D117" s="44">
        <v>1</v>
      </c>
      <c r="E117" s="33">
        <f>표_악몽던전템위력[[#This Row],[ancestral dropped]]/표_악몽던전템위력[[#This Row],[rare+ dropped]]</f>
        <v>0.8</v>
      </c>
      <c r="F117" s="47">
        <f>COUNT(표_악몽던전템위력[[#This Row],[item1]:[item46]])</f>
        <v>16</v>
      </c>
      <c r="G117" s="47">
        <v>20</v>
      </c>
      <c r="H117" s="48">
        <f>AVERAGE(표_악몽던전템위력[[#This Row],[item1]:[item46]])</f>
        <v>773.1875</v>
      </c>
      <c r="I117" s="26">
        <v>779</v>
      </c>
      <c r="J117" s="26">
        <v>763</v>
      </c>
      <c r="K117" s="26">
        <v>758</v>
      </c>
      <c r="L117" s="26">
        <v>791</v>
      </c>
      <c r="M117" s="26">
        <v>766</v>
      </c>
      <c r="N117" s="26">
        <v>751</v>
      </c>
      <c r="O117" s="26">
        <v>802</v>
      </c>
      <c r="P117" s="26">
        <v>789</v>
      </c>
      <c r="Q117" s="26">
        <v>798</v>
      </c>
      <c r="R117" s="26">
        <v>782</v>
      </c>
      <c r="S117" s="26">
        <v>781</v>
      </c>
      <c r="T117" s="26">
        <v>756</v>
      </c>
      <c r="U117" s="26">
        <v>775</v>
      </c>
      <c r="V117" s="26">
        <v>753</v>
      </c>
      <c r="W117" s="26">
        <v>751</v>
      </c>
      <c r="X117" s="26">
        <v>776</v>
      </c>
    </row>
    <row r="118" spans="1:43">
      <c r="A118" s="30">
        <v>102</v>
      </c>
      <c r="B118" s="30" t="s">
        <v>121</v>
      </c>
      <c r="C118" s="27">
        <v>61</v>
      </c>
      <c r="D118" s="44"/>
      <c r="E118" s="33">
        <f>표_악몽던전템위력[[#This Row],[ancestral dropped]]/표_악몽던전템위력[[#This Row],[rare+ dropped]]</f>
        <v>0.80952380952380953</v>
      </c>
      <c r="F118" s="47">
        <f>COUNT(표_악몽던전템위력[[#This Row],[item1]:[item46]])</f>
        <v>17</v>
      </c>
      <c r="G118" s="47">
        <v>21</v>
      </c>
      <c r="H118" s="48">
        <f>AVERAGE(표_악몽던전템위력[[#This Row],[item1]:[item46]])</f>
        <v>780.58823529411768</v>
      </c>
      <c r="I118" s="26">
        <v>787</v>
      </c>
      <c r="J118" s="26">
        <v>758</v>
      </c>
      <c r="K118" s="26">
        <v>798</v>
      </c>
      <c r="L118" s="26">
        <v>788</v>
      </c>
      <c r="M118" s="26">
        <v>785</v>
      </c>
      <c r="N118" s="26">
        <v>784</v>
      </c>
      <c r="O118" s="26">
        <v>790</v>
      </c>
      <c r="P118" s="26">
        <v>756</v>
      </c>
      <c r="Q118" s="26">
        <v>813</v>
      </c>
      <c r="R118" s="26">
        <v>782</v>
      </c>
      <c r="S118" s="26">
        <v>764</v>
      </c>
      <c r="T118" s="26">
        <v>795</v>
      </c>
      <c r="U118" s="26">
        <v>785</v>
      </c>
      <c r="V118" s="26">
        <v>751</v>
      </c>
      <c r="W118" s="26">
        <v>746</v>
      </c>
      <c r="X118" s="26">
        <v>794</v>
      </c>
      <c r="Y118" s="26">
        <v>794</v>
      </c>
    </row>
    <row r="119" spans="1:43">
      <c r="A119" s="30">
        <v>102</v>
      </c>
      <c r="B119" s="30" t="s">
        <v>145</v>
      </c>
      <c r="C119" s="27">
        <v>61</v>
      </c>
      <c r="D119" s="44"/>
      <c r="E119" s="33">
        <f>표_악몽던전템위력[[#This Row],[ancestral dropped]]/표_악몽던전템위력[[#This Row],[rare+ dropped]]</f>
        <v>0.84848484848484851</v>
      </c>
      <c r="F119" s="47">
        <f>COUNT(표_악몽던전템위력[[#This Row],[item1]:[item46]])</f>
        <v>28</v>
      </c>
      <c r="G119" s="47">
        <v>33</v>
      </c>
      <c r="H119" s="48">
        <f>AVERAGE(표_악몽던전템위력[[#This Row],[item1]:[item46]])</f>
        <v>772.96428571428567</v>
      </c>
      <c r="I119" s="26">
        <v>761</v>
      </c>
      <c r="J119" s="26">
        <v>748</v>
      </c>
      <c r="K119" s="26">
        <v>789</v>
      </c>
      <c r="L119" s="26">
        <v>782</v>
      </c>
      <c r="M119" s="26">
        <v>784</v>
      </c>
      <c r="N119" s="26">
        <v>756</v>
      </c>
      <c r="O119" s="26">
        <v>752</v>
      </c>
      <c r="P119" s="26">
        <v>748</v>
      </c>
      <c r="Q119" s="26">
        <v>803</v>
      </c>
      <c r="R119" s="26">
        <v>793</v>
      </c>
      <c r="S119" s="26">
        <v>789</v>
      </c>
      <c r="T119" s="26">
        <v>785</v>
      </c>
      <c r="U119" s="26">
        <v>780</v>
      </c>
      <c r="V119" s="26">
        <v>774</v>
      </c>
      <c r="W119" s="26">
        <v>774</v>
      </c>
      <c r="X119" s="26">
        <v>772</v>
      </c>
      <c r="Y119" s="26">
        <v>771</v>
      </c>
      <c r="Z119" s="26">
        <v>786</v>
      </c>
      <c r="AA119" s="26">
        <v>783</v>
      </c>
      <c r="AB119" s="26">
        <v>791</v>
      </c>
      <c r="AC119" s="26">
        <v>776</v>
      </c>
      <c r="AD119" s="26">
        <v>754</v>
      </c>
      <c r="AE119" s="26">
        <v>774</v>
      </c>
      <c r="AF119" s="26">
        <v>756</v>
      </c>
      <c r="AG119" s="26">
        <v>771</v>
      </c>
      <c r="AH119" s="26">
        <v>792</v>
      </c>
      <c r="AI119" s="26">
        <v>749</v>
      </c>
      <c r="AJ119" s="26">
        <v>750</v>
      </c>
    </row>
    <row r="120" spans="1:43">
      <c r="A120" s="30">
        <v>102</v>
      </c>
      <c r="B120" s="30" t="s">
        <v>146</v>
      </c>
      <c r="C120" s="27">
        <v>61</v>
      </c>
      <c r="D120" s="44"/>
      <c r="E120" s="33">
        <f>표_악몽던전템위력[[#This Row],[ancestral dropped]]/표_악몽던전템위력[[#This Row],[rare+ dropped]]</f>
        <v>0.75862068965517238</v>
      </c>
      <c r="F120" s="47">
        <f>COUNT(표_악몽던전템위력[[#This Row],[item1]:[item46]])</f>
        <v>22</v>
      </c>
      <c r="G120" s="47">
        <v>29</v>
      </c>
      <c r="H120" s="48">
        <f>AVERAGE(표_악몽던전템위력[[#This Row],[item1]:[item46]])</f>
        <v>764.18181818181813</v>
      </c>
      <c r="I120" s="26">
        <v>786</v>
      </c>
      <c r="J120" s="26">
        <v>770</v>
      </c>
      <c r="K120" s="26">
        <v>767</v>
      </c>
      <c r="L120" s="26">
        <v>741</v>
      </c>
      <c r="M120" s="26">
        <v>731</v>
      </c>
      <c r="N120" s="26">
        <v>776</v>
      </c>
      <c r="O120" s="26">
        <v>795</v>
      </c>
      <c r="P120" s="26">
        <v>772</v>
      </c>
      <c r="Q120" s="26">
        <v>763</v>
      </c>
      <c r="R120" s="26">
        <v>744</v>
      </c>
      <c r="S120" s="26">
        <v>817</v>
      </c>
      <c r="T120" s="26">
        <v>769</v>
      </c>
      <c r="U120" s="26">
        <v>747</v>
      </c>
      <c r="V120" s="26">
        <v>759</v>
      </c>
      <c r="W120" s="26">
        <v>733</v>
      </c>
      <c r="X120" s="26">
        <v>782</v>
      </c>
      <c r="Y120" s="26">
        <v>760</v>
      </c>
      <c r="Z120" s="26">
        <v>759</v>
      </c>
      <c r="AA120" s="26">
        <v>758</v>
      </c>
      <c r="AB120" s="26">
        <v>770</v>
      </c>
      <c r="AC120" s="26">
        <v>783</v>
      </c>
      <c r="AD120" s="26">
        <v>730</v>
      </c>
    </row>
    <row r="121" spans="1:43">
      <c r="A121" s="30">
        <v>102</v>
      </c>
      <c r="B121" s="30" t="s">
        <v>150</v>
      </c>
      <c r="C121" s="27">
        <v>62</v>
      </c>
      <c r="D121" s="44"/>
      <c r="E121" s="33">
        <f>표_악몽던전템위력[[#This Row],[ancestral dropped]]/표_악몽던전템위력[[#This Row],[rare+ dropped]]</f>
        <v>0.94594594594594594</v>
      </c>
      <c r="F121" s="47">
        <f>COUNT(표_악몽던전템위력[[#This Row],[item1]:[item46]])</f>
        <v>35</v>
      </c>
      <c r="G121" s="47">
        <v>37</v>
      </c>
      <c r="H121" s="48">
        <f>AVERAGE(표_악몽던전템위력[[#This Row],[item1]:[item46]])</f>
        <v>774.4</v>
      </c>
      <c r="I121" s="26">
        <v>783</v>
      </c>
      <c r="J121" s="26">
        <v>781</v>
      </c>
      <c r="K121" s="26">
        <v>780</v>
      </c>
      <c r="L121" s="26">
        <v>758</v>
      </c>
      <c r="M121" s="26">
        <v>734</v>
      </c>
      <c r="N121" s="26">
        <v>792</v>
      </c>
      <c r="O121" s="26">
        <v>787</v>
      </c>
      <c r="P121" s="26">
        <v>785</v>
      </c>
      <c r="Q121" s="26">
        <v>773</v>
      </c>
      <c r="R121" s="26">
        <v>779</v>
      </c>
      <c r="S121" s="26">
        <v>778</v>
      </c>
      <c r="T121" s="26">
        <v>749</v>
      </c>
      <c r="U121" s="26">
        <v>791</v>
      </c>
      <c r="V121" s="26">
        <v>784</v>
      </c>
      <c r="W121" s="26">
        <v>782</v>
      </c>
      <c r="X121" s="26">
        <v>781</v>
      </c>
      <c r="Y121" s="26">
        <v>771</v>
      </c>
      <c r="Z121" s="26">
        <v>759</v>
      </c>
      <c r="AA121" s="26">
        <v>756</v>
      </c>
      <c r="AB121" s="26">
        <v>755</v>
      </c>
      <c r="AC121" s="26">
        <v>752</v>
      </c>
      <c r="AD121" s="26">
        <v>814</v>
      </c>
      <c r="AE121" s="26">
        <v>771</v>
      </c>
      <c r="AF121" s="26">
        <v>751</v>
      </c>
      <c r="AG121" s="26">
        <v>795</v>
      </c>
      <c r="AH121" s="26">
        <v>810</v>
      </c>
      <c r="AI121" s="26">
        <v>766</v>
      </c>
      <c r="AJ121" s="26">
        <v>790</v>
      </c>
      <c r="AK121" s="26">
        <v>779</v>
      </c>
      <c r="AL121" s="26">
        <v>759</v>
      </c>
      <c r="AM121" s="26">
        <v>775</v>
      </c>
      <c r="AN121" s="26">
        <v>803</v>
      </c>
      <c r="AO121" s="26">
        <v>749</v>
      </c>
      <c r="AP121" s="26">
        <v>777</v>
      </c>
      <c r="AQ121" s="26">
        <v>755</v>
      </c>
    </row>
    <row r="122" spans="1:43">
      <c r="A122" s="30">
        <v>102</v>
      </c>
      <c r="B122" s="30" t="s">
        <v>0</v>
      </c>
      <c r="C122" s="27">
        <v>62</v>
      </c>
      <c r="D122" s="44"/>
      <c r="E122" s="33">
        <f>표_악몽던전템위력[[#This Row],[ancestral dropped]]/표_악몽던전템위력[[#This Row],[rare+ dropped]]</f>
        <v>0.88888888888888884</v>
      </c>
      <c r="F122" s="47">
        <f>COUNT(표_악몽던전템위력[[#This Row],[item1]:[item46]])</f>
        <v>24</v>
      </c>
      <c r="G122" s="47">
        <v>27</v>
      </c>
      <c r="H122" s="48">
        <f>AVERAGE(표_악몽던전템위력[[#This Row],[item1]:[item46]])</f>
        <v>773.125</v>
      </c>
      <c r="I122" s="26">
        <v>792</v>
      </c>
      <c r="J122" s="26">
        <v>768</v>
      </c>
      <c r="K122" s="26">
        <v>765</v>
      </c>
      <c r="L122" s="26">
        <v>759</v>
      </c>
      <c r="M122" s="26">
        <v>775</v>
      </c>
      <c r="N122" s="26">
        <v>749</v>
      </c>
      <c r="O122" s="26">
        <v>789</v>
      </c>
      <c r="P122" s="26">
        <v>774</v>
      </c>
      <c r="Q122" s="26">
        <v>768</v>
      </c>
      <c r="R122" s="26">
        <v>762</v>
      </c>
      <c r="S122" s="26">
        <v>790</v>
      </c>
      <c r="T122" s="26">
        <v>768</v>
      </c>
      <c r="U122" s="26">
        <v>782</v>
      </c>
      <c r="V122" s="26">
        <v>759</v>
      </c>
      <c r="W122" s="26">
        <v>757</v>
      </c>
      <c r="X122" s="26">
        <v>750</v>
      </c>
      <c r="Y122" s="26">
        <v>801</v>
      </c>
      <c r="Z122" s="26">
        <v>793</v>
      </c>
      <c r="AA122" s="26">
        <v>792</v>
      </c>
      <c r="AB122" s="26">
        <v>785</v>
      </c>
      <c r="AC122" s="26">
        <v>777</v>
      </c>
      <c r="AD122" s="26">
        <v>781</v>
      </c>
      <c r="AE122" s="26">
        <v>769</v>
      </c>
      <c r="AF122" s="26">
        <v>750</v>
      </c>
    </row>
    <row r="123" spans="1:43">
      <c r="A123" s="30">
        <v>102</v>
      </c>
      <c r="B123" s="30" t="s">
        <v>10</v>
      </c>
      <c r="C123" s="27">
        <v>62</v>
      </c>
      <c r="D123" s="44"/>
      <c r="E123" s="33">
        <f>표_악몽던전템위력[[#This Row],[ancestral dropped]]/표_악몽던전템위력[[#This Row],[rare+ dropped]]</f>
        <v>0.86956521739130432</v>
      </c>
      <c r="F123" s="47">
        <f>COUNT(표_악몽던전템위력[[#This Row],[item1]:[item46]])</f>
        <v>20</v>
      </c>
      <c r="G123" s="47">
        <v>23</v>
      </c>
      <c r="H123" s="48">
        <f>AVERAGE(표_악몽던전템위력[[#This Row],[item1]:[item46]])</f>
        <v>778.4</v>
      </c>
      <c r="I123" s="26">
        <v>789</v>
      </c>
      <c r="J123" s="26">
        <v>749</v>
      </c>
      <c r="K123" s="26">
        <v>778</v>
      </c>
      <c r="L123" s="26">
        <v>798</v>
      </c>
      <c r="M123" s="26">
        <v>796</v>
      </c>
      <c r="N123" s="26">
        <v>770</v>
      </c>
      <c r="O123" s="26">
        <v>769</v>
      </c>
      <c r="P123" s="26">
        <v>802</v>
      </c>
      <c r="Q123" s="26">
        <v>784</v>
      </c>
      <c r="R123" s="26">
        <v>777</v>
      </c>
      <c r="S123" s="26">
        <v>735</v>
      </c>
      <c r="T123" s="26">
        <v>796</v>
      </c>
      <c r="U123" s="26">
        <v>757</v>
      </c>
      <c r="V123" s="26">
        <v>787</v>
      </c>
      <c r="W123" s="26">
        <v>768</v>
      </c>
      <c r="X123" s="26">
        <v>802</v>
      </c>
      <c r="Y123" s="26">
        <v>751</v>
      </c>
      <c r="Z123" s="26">
        <v>779</v>
      </c>
      <c r="AA123" s="26">
        <v>797</v>
      </c>
      <c r="AB123" s="26">
        <v>784</v>
      </c>
    </row>
    <row r="124" spans="1:43">
      <c r="A124" s="30">
        <v>102</v>
      </c>
      <c r="B124" s="30" t="s">
        <v>128</v>
      </c>
      <c r="C124" s="27">
        <v>63</v>
      </c>
      <c r="D124" s="44" t="s">
        <v>130</v>
      </c>
      <c r="E124" s="32">
        <f>표_악몽던전템위력[[#This Row],[ancestral dropped]]/표_악몽던전템위력[[#This Row],[rare+ dropped]]</f>
        <v>0.95238095238095233</v>
      </c>
      <c r="F124" s="47">
        <f>COUNT(표_악몽던전템위력[[#This Row],[item1]:[item46]])</f>
        <v>20</v>
      </c>
      <c r="G124" s="47">
        <v>21</v>
      </c>
      <c r="H124" s="48">
        <f>AVERAGE(표_악몽던전템위력[[#This Row],[item1]:[item46]])</f>
        <v>778.55</v>
      </c>
      <c r="I124" s="26">
        <v>782</v>
      </c>
      <c r="J124" s="26">
        <v>783</v>
      </c>
      <c r="K124" s="26">
        <v>792</v>
      </c>
      <c r="L124" s="26">
        <v>783</v>
      </c>
      <c r="M124" s="26">
        <v>773</v>
      </c>
      <c r="N124" s="26">
        <v>791</v>
      </c>
      <c r="O124" s="26">
        <v>758</v>
      </c>
      <c r="P124" s="26">
        <v>791</v>
      </c>
      <c r="Q124" s="26">
        <v>775</v>
      </c>
      <c r="R124" s="26">
        <v>753</v>
      </c>
      <c r="S124" s="26">
        <v>817</v>
      </c>
      <c r="T124" s="26">
        <v>799</v>
      </c>
      <c r="U124" s="26">
        <v>784</v>
      </c>
      <c r="V124" s="26">
        <v>745</v>
      </c>
      <c r="W124" s="26">
        <v>771</v>
      </c>
      <c r="X124" s="26">
        <v>772</v>
      </c>
      <c r="Y124" s="26">
        <v>741</v>
      </c>
      <c r="Z124" s="26">
        <v>779</v>
      </c>
      <c r="AA124" s="26">
        <v>787</v>
      </c>
      <c r="AB124" s="26">
        <v>795</v>
      </c>
    </row>
    <row r="125" spans="1:43">
      <c r="A125" s="30">
        <v>102</v>
      </c>
      <c r="B125" s="30" t="s">
        <v>145</v>
      </c>
      <c r="C125" s="27">
        <v>63</v>
      </c>
      <c r="D125" s="44"/>
      <c r="E125" s="33">
        <f>표_악몽던전템위력[[#This Row],[ancestral dropped]]/표_악몽던전템위력[[#This Row],[rare+ dropped]]</f>
        <v>0.89655172413793105</v>
      </c>
      <c r="F125" s="47">
        <f>COUNT(표_악몽던전템위력[[#This Row],[item1]:[item46]])</f>
        <v>26</v>
      </c>
      <c r="G125" s="47">
        <v>29</v>
      </c>
      <c r="H125" s="48">
        <f>AVERAGE(표_악몽던전템위력[[#This Row],[item1]:[item46]])</f>
        <v>776.61538461538464</v>
      </c>
      <c r="I125" s="26">
        <v>810</v>
      </c>
      <c r="J125" s="26">
        <v>791</v>
      </c>
      <c r="K125" s="26">
        <v>769</v>
      </c>
      <c r="L125" s="26">
        <v>806</v>
      </c>
      <c r="M125" s="26">
        <v>773</v>
      </c>
      <c r="N125" s="26">
        <v>790</v>
      </c>
      <c r="O125" s="26">
        <v>761</v>
      </c>
      <c r="P125" s="26">
        <v>750</v>
      </c>
      <c r="Q125" s="26">
        <v>787</v>
      </c>
      <c r="R125" s="26">
        <v>776</v>
      </c>
      <c r="S125" s="26">
        <v>773</v>
      </c>
      <c r="T125" s="26">
        <v>768</v>
      </c>
      <c r="U125" s="26">
        <v>762</v>
      </c>
      <c r="V125" s="26">
        <v>744</v>
      </c>
      <c r="W125" s="26">
        <v>767</v>
      </c>
      <c r="X125" s="26">
        <v>762</v>
      </c>
      <c r="Y125" s="26">
        <v>794</v>
      </c>
      <c r="Z125" s="26">
        <v>786</v>
      </c>
      <c r="AA125" s="26">
        <v>790</v>
      </c>
      <c r="AB125" s="26">
        <v>798</v>
      </c>
      <c r="AC125" s="26">
        <v>779</v>
      </c>
      <c r="AD125" s="26">
        <v>798</v>
      </c>
      <c r="AE125" s="26">
        <v>765</v>
      </c>
      <c r="AF125" s="26">
        <v>762</v>
      </c>
      <c r="AG125" s="26">
        <v>754</v>
      </c>
      <c r="AH125" s="26">
        <v>777</v>
      </c>
    </row>
    <row r="126" spans="1:43">
      <c r="A126" s="30">
        <v>102</v>
      </c>
      <c r="B126" s="30" t="s">
        <v>31</v>
      </c>
      <c r="C126" s="27">
        <v>63</v>
      </c>
      <c r="D126" s="44"/>
      <c r="E126" s="33">
        <f>표_악몽던전템위력[[#This Row],[ancestral dropped]]/표_악몽던전템위력[[#This Row],[rare+ dropped]]</f>
        <v>0.90476190476190477</v>
      </c>
      <c r="F126" s="47">
        <f>COUNT(표_악몽던전템위력[[#This Row],[item1]:[item46]])</f>
        <v>19</v>
      </c>
      <c r="G126" s="47">
        <v>21</v>
      </c>
      <c r="H126" s="48">
        <f>AVERAGE(표_악몽던전템위력[[#This Row],[item1]:[item46]])</f>
        <v>777.52631578947364</v>
      </c>
      <c r="I126" s="26">
        <v>800</v>
      </c>
      <c r="J126" s="26">
        <v>788</v>
      </c>
      <c r="K126" s="26">
        <v>791</v>
      </c>
      <c r="L126" s="26">
        <v>779</v>
      </c>
      <c r="M126" s="26">
        <v>751</v>
      </c>
      <c r="N126" s="26">
        <v>779</v>
      </c>
      <c r="O126" s="26">
        <v>778</v>
      </c>
      <c r="P126" s="26">
        <v>776</v>
      </c>
      <c r="Q126" s="26">
        <v>770</v>
      </c>
      <c r="R126" s="26">
        <v>791</v>
      </c>
      <c r="S126" s="26">
        <v>772</v>
      </c>
      <c r="T126" s="26">
        <v>766</v>
      </c>
      <c r="U126" s="26">
        <v>743</v>
      </c>
      <c r="V126" s="26">
        <v>796</v>
      </c>
      <c r="W126" s="26">
        <v>793</v>
      </c>
      <c r="X126" s="26">
        <v>787</v>
      </c>
      <c r="Y126" s="26">
        <v>758</v>
      </c>
      <c r="Z126" s="26">
        <v>792</v>
      </c>
      <c r="AA126" s="26">
        <v>763</v>
      </c>
    </row>
    <row r="127" spans="1:43">
      <c r="A127" s="30">
        <v>102</v>
      </c>
      <c r="B127" s="30" t="s">
        <v>122</v>
      </c>
      <c r="C127" s="27">
        <v>64</v>
      </c>
      <c r="D127" s="44" t="s">
        <v>130</v>
      </c>
      <c r="E127" s="32">
        <f>표_악몽던전템위력[[#This Row],[ancestral dropped]]/표_악몽던전템위력[[#This Row],[rare+ dropped]]</f>
        <v>0.88888888888888884</v>
      </c>
      <c r="F127" s="47">
        <f>COUNT(표_악몽던전템위력[[#This Row],[item1]:[item46]])</f>
        <v>24</v>
      </c>
      <c r="G127" s="47">
        <v>27</v>
      </c>
      <c r="H127" s="48">
        <f>AVERAGE(표_악몽던전템위력[[#This Row],[item1]:[item46]])</f>
        <v>767.75</v>
      </c>
      <c r="I127" s="26">
        <v>780</v>
      </c>
      <c r="J127" s="26">
        <v>759</v>
      </c>
      <c r="K127" s="26">
        <v>781</v>
      </c>
      <c r="L127" s="26">
        <v>771</v>
      </c>
      <c r="M127" s="26">
        <v>764</v>
      </c>
      <c r="N127" s="26">
        <v>763</v>
      </c>
      <c r="O127" s="26">
        <v>805</v>
      </c>
      <c r="P127" s="26">
        <v>800</v>
      </c>
      <c r="Q127" s="26">
        <v>783</v>
      </c>
      <c r="R127" s="26">
        <v>770</v>
      </c>
      <c r="S127" s="26">
        <v>768</v>
      </c>
      <c r="T127" s="26">
        <v>767</v>
      </c>
      <c r="U127" s="26">
        <v>766</v>
      </c>
      <c r="V127" s="26">
        <v>761</v>
      </c>
      <c r="W127" s="26">
        <v>760</v>
      </c>
      <c r="X127" s="26">
        <v>729</v>
      </c>
      <c r="Y127" s="26">
        <v>736</v>
      </c>
      <c r="Z127" s="26">
        <v>788</v>
      </c>
      <c r="AA127" s="26">
        <v>786</v>
      </c>
      <c r="AB127" s="26">
        <v>761</v>
      </c>
      <c r="AC127" s="26">
        <v>758</v>
      </c>
      <c r="AD127" s="26">
        <v>756</v>
      </c>
      <c r="AE127" s="26">
        <v>777</v>
      </c>
      <c r="AF127" s="26">
        <v>737</v>
      </c>
    </row>
    <row r="128" spans="1:43">
      <c r="A128" s="30">
        <v>102</v>
      </c>
      <c r="B128" s="30" t="s">
        <v>0</v>
      </c>
      <c r="C128" s="27">
        <v>64</v>
      </c>
      <c r="D128" s="44" t="s">
        <v>130</v>
      </c>
      <c r="E128" s="32">
        <f>표_악몽던전템위력[[#This Row],[ancestral dropped]]/표_악몽던전템위력[[#This Row],[rare+ dropped]]</f>
        <v>0.95238095238095233</v>
      </c>
      <c r="F128" s="47">
        <f>COUNT(표_악몽던전템위력[[#This Row],[item1]:[item46]])</f>
        <v>20</v>
      </c>
      <c r="G128" s="47">
        <v>21</v>
      </c>
      <c r="H128" s="48">
        <f>AVERAGE(표_악몽던전템위력[[#This Row],[item1]:[item46]])</f>
        <v>780</v>
      </c>
      <c r="I128" s="26">
        <v>787</v>
      </c>
      <c r="J128" s="26">
        <v>777</v>
      </c>
      <c r="K128" s="26">
        <v>777</v>
      </c>
      <c r="L128" s="26">
        <v>757</v>
      </c>
      <c r="M128" s="26">
        <v>795</v>
      </c>
      <c r="N128" s="26">
        <v>765</v>
      </c>
      <c r="O128" s="26">
        <v>798</v>
      </c>
      <c r="P128" s="26">
        <v>784</v>
      </c>
      <c r="Q128" s="26">
        <v>755</v>
      </c>
      <c r="R128" s="26">
        <v>792</v>
      </c>
      <c r="S128" s="26">
        <v>775</v>
      </c>
      <c r="T128" s="26">
        <v>801</v>
      </c>
      <c r="U128" s="26">
        <v>789</v>
      </c>
      <c r="V128" s="26">
        <v>750</v>
      </c>
      <c r="W128" s="26">
        <v>756</v>
      </c>
      <c r="X128" s="26">
        <v>786</v>
      </c>
      <c r="Y128" s="26">
        <v>797</v>
      </c>
      <c r="Z128" s="26">
        <v>787</v>
      </c>
      <c r="AA128" s="26">
        <v>798</v>
      </c>
      <c r="AB128" s="26">
        <v>774</v>
      </c>
    </row>
    <row r="129" spans="1:38">
      <c r="A129" s="30">
        <v>102</v>
      </c>
      <c r="B129" s="30" t="s">
        <v>0</v>
      </c>
      <c r="C129" s="27">
        <v>64</v>
      </c>
      <c r="D129" s="44"/>
      <c r="E129" s="33">
        <f>표_악몽던전템위력[[#This Row],[ancestral dropped]]/표_악몽던전템위력[[#This Row],[rare+ dropped]]</f>
        <v>0.8571428571428571</v>
      </c>
      <c r="F129" s="47">
        <f>COUNT(표_악몽던전템위력[[#This Row],[item1]:[item46]])</f>
        <v>24</v>
      </c>
      <c r="G129" s="47">
        <v>28</v>
      </c>
      <c r="H129" s="48">
        <f>AVERAGE(표_악몽던전템위력[[#This Row],[item1]:[item46]])</f>
        <v>778.41666666666663</v>
      </c>
      <c r="I129" s="26">
        <v>793</v>
      </c>
      <c r="J129" s="26">
        <v>789</v>
      </c>
      <c r="K129" s="26">
        <v>755</v>
      </c>
      <c r="L129" s="26">
        <v>777</v>
      </c>
      <c r="M129" s="26">
        <v>766</v>
      </c>
      <c r="N129" s="26">
        <v>757</v>
      </c>
      <c r="O129" s="26">
        <v>794</v>
      </c>
      <c r="P129" s="26">
        <v>789</v>
      </c>
      <c r="Q129" s="26">
        <v>772</v>
      </c>
      <c r="R129" s="26">
        <v>807</v>
      </c>
      <c r="S129" s="26">
        <v>801</v>
      </c>
      <c r="T129" s="26">
        <v>776</v>
      </c>
      <c r="U129" s="26">
        <v>764</v>
      </c>
      <c r="V129" s="26">
        <v>805</v>
      </c>
      <c r="W129" s="26">
        <v>786</v>
      </c>
      <c r="X129" s="26">
        <v>779</v>
      </c>
      <c r="Y129" s="26">
        <v>777</v>
      </c>
      <c r="Z129" s="26">
        <v>787</v>
      </c>
      <c r="AA129" s="26">
        <v>761</v>
      </c>
      <c r="AB129" s="26">
        <v>788</v>
      </c>
      <c r="AC129" s="26">
        <v>777</v>
      </c>
      <c r="AD129" s="26">
        <v>747</v>
      </c>
      <c r="AE129" s="26">
        <v>763</v>
      </c>
      <c r="AF129" s="26">
        <v>772</v>
      </c>
    </row>
    <row r="130" spans="1:38">
      <c r="A130" s="30">
        <v>103</v>
      </c>
      <c r="B130" s="30" t="s">
        <v>185</v>
      </c>
      <c r="C130" s="27">
        <v>64</v>
      </c>
      <c r="D130" s="44"/>
      <c r="E130" s="33">
        <f>표_악몽던전템위력[[#This Row],[ancestral dropped]]/표_악몽던전템위력[[#This Row],[rare+ dropped]]</f>
        <v>0.84210526315789469</v>
      </c>
      <c r="F130" s="47">
        <f>COUNT(표_악몽던전템위력[[#This Row],[item1]:[item46]])</f>
        <v>16</v>
      </c>
      <c r="G130" s="47">
        <v>19</v>
      </c>
      <c r="H130" s="48">
        <f>AVERAGE(표_악몽던전템위력[[#This Row],[item1]:[item46]])</f>
        <v>776.375</v>
      </c>
      <c r="I130" s="26">
        <v>784</v>
      </c>
      <c r="J130" s="26">
        <v>785</v>
      </c>
      <c r="K130" s="26">
        <v>782</v>
      </c>
      <c r="L130" s="26">
        <v>766</v>
      </c>
      <c r="M130" s="26">
        <v>769</v>
      </c>
      <c r="N130" s="26">
        <v>759</v>
      </c>
      <c r="O130" s="26">
        <v>762</v>
      </c>
      <c r="P130" s="26">
        <v>758</v>
      </c>
      <c r="Q130" s="26">
        <v>794</v>
      </c>
      <c r="R130" s="26">
        <v>781</v>
      </c>
      <c r="S130" s="26">
        <v>774</v>
      </c>
      <c r="T130" s="26">
        <v>794</v>
      </c>
      <c r="U130" s="26">
        <v>779</v>
      </c>
      <c r="V130" s="26">
        <v>783</v>
      </c>
      <c r="W130" s="26">
        <v>793</v>
      </c>
      <c r="X130" s="26">
        <v>759</v>
      </c>
    </row>
    <row r="131" spans="1:38">
      <c r="A131" s="30">
        <v>102</v>
      </c>
      <c r="B131" s="30" t="s">
        <v>12</v>
      </c>
      <c r="C131" s="27">
        <v>65</v>
      </c>
      <c r="D131" s="44" t="s">
        <v>130</v>
      </c>
      <c r="E131" s="32">
        <f>표_악몽던전템위력[[#This Row],[ancestral dropped]]/표_악몽던전템위력[[#This Row],[rare+ dropped]]</f>
        <v>0.90909090909090906</v>
      </c>
      <c r="F131" s="47">
        <f>COUNT(표_악몽던전템위력[[#This Row],[item1]:[item46]])</f>
        <v>10</v>
      </c>
      <c r="G131" s="47">
        <v>11</v>
      </c>
      <c r="H131" s="48">
        <f>AVERAGE(표_악몽던전템위력[[#This Row],[item1]:[item46]])</f>
        <v>771.8</v>
      </c>
      <c r="I131" s="26">
        <v>750</v>
      </c>
      <c r="J131" s="26">
        <v>762</v>
      </c>
      <c r="K131" s="26">
        <v>788</v>
      </c>
      <c r="L131" s="26">
        <v>765</v>
      </c>
      <c r="M131" s="26">
        <v>795</v>
      </c>
      <c r="N131" s="26">
        <v>768</v>
      </c>
      <c r="O131" s="26">
        <v>802</v>
      </c>
      <c r="P131" s="26">
        <v>765</v>
      </c>
      <c r="Q131" s="26">
        <v>761</v>
      </c>
      <c r="R131" s="26">
        <v>762</v>
      </c>
    </row>
    <row r="132" spans="1:38">
      <c r="A132" s="30">
        <v>102</v>
      </c>
      <c r="B132" s="30" t="s">
        <v>120</v>
      </c>
      <c r="C132" s="27">
        <v>65</v>
      </c>
      <c r="D132" s="44"/>
      <c r="E132" s="33">
        <f>표_악몽던전템위력[[#This Row],[ancestral dropped]]/표_악몽던전템위력[[#This Row],[rare+ dropped]]</f>
        <v>0.84615384615384615</v>
      </c>
      <c r="F132" s="47">
        <f>COUNT(표_악몽던전템위력[[#This Row],[item1]:[item46]])</f>
        <v>11</v>
      </c>
      <c r="G132" s="47">
        <v>13</v>
      </c>
      <c r="H132" s="48">
        <f>AVERAGE(표_악몽던전템위력[[#This Row],[item1]:[item46]])</f>
        <v>773.90909090909088</v>
      </c>
      <c r="I132" s="26">
        <v>770</v>
      </c>
      <c r="J132" s="26">
        <v>760</v>
      </c>
      <c r="K132" s="26">
        <v>781</v>
      </c>
      <c r="L132" s="26">
        <v>758</v>
      </c>
      <c r="M132" s="26">
        <v>749</v>
      </c>
      <c r="N132" s="26">
        <v>781</v>
      </c>
      <c r="O132" s="26">
        <v>792</v>
      </c>
      <c r="P132" s="26">
        <v>790</v>
      </c>
      <c r="Q132" s="26">
        <v>795</v>
      </c>
      <c r="R132" s="26">
        <v>759</v>
      </c>
      <c r="S132" s="26">
        <v>778</v>
      </c>
    </row>
    <row r="133" spans="1:38">
      <c r="A133" s="26">
        <v>103</v>
      </c>
      <c r="B133" s="30" t="s">
        <v>123</v>
      </c>
      <c r="C133" s="27">
        <v>65</v>
      </c>
      <c r="D133" s="44"/>
      <c r="E133" s="33">
        <f>표_악몽던전템위력[[#This Row],[ancestral dropped]]/표_악몽던전템위력[[#This Row],[rare+ dropped]]</f>
        <v>0.83333333333333337</v>
      </c>
      <c r="F133" s="47">
        <f>COUNT(표_악몽던전템위력[[#This Row],[item1]:[item46]])</f>
        <v>25</v>
      </c>
      <c r="G133" s="47">
        <v>30</v>
      </c>
      <c r="H133" s="48">
        <f>AVERAGE(표_악몽던전템위력[[#This Row],[item1]:[item46]])</f>
        <v>771.84</v>
      </c>
      <c r="I133" s="26">
        <v>766</v>
      </c>
      <c r="J133" s="26">
        <v>764</v>
      </c>
      <c r="K133" s="26">
        <v>754</v>
      </c>
      <c r="L133" s="26">
        <v>785</v>
      </c>
      <c r="M133" s="26">
        <v>767</v>
      </c>
      <c r="N133" s="26">
        <v>749</v>
      </c>
      <c r="O133" s="26">
        <v>777</v>
      </c>
      <c r="P133" s="26">
        <v>774</v>
      </c>
      <c r="Q133" s="26">
        <v>774</v>
      </c>
      <c r="R133" s="26">
        <v>757</v>
      </c>
      <c r="S133" s="26">
        <v>776</v>
      </c>
      <c r="T133" s="26">
        <v>785</v>
      </c>
      <c r="U133" s="26">
        <v>797</v>
      </c>
      <c r="V133" s="26">
        <v>786</v>
      </c>
      <c r="W133" s="26">
        <v>785</v>
      </c>
      <c r="X133" s="26">
        <v>769</v>
      </c>
      <c r="Y133" s="26">
        <v>784</v>
      </c>
      <c r="Z133" s="26">
        <v>773</v>
      </c>
      <c r="AA133" s="26">
        <v>760</v>
      </c>
      <c r="AB133" s="26">
        <v>755</v>
      </c>
      <c r="AC133" s="26">
        <v>744</v>
      </c>
      <c r="AD133" s="26">
        <v>776</v>
      </c>
      <c r="AE133" s="26">
        <v>789</v>
      </c>
      <c r="AF133" s="26">
        <v>765</v>
      </c>
      <c r="AG133" s="26">
        <v>785</v>
      </c>
    </row>
    <row r="134" spans="1:38">
      <c r="A134" s="26">
        <v>103</v>
      </c>
      <c r="B134" s="30" t="s">
        <v>121</v>
      </c>
      <c r="C134" s="27">
        <v>65</v>
      </c>
      <c r="D134" s="44"/>
      <c r="E134" s="33">
        <f>표_악몽던전템위력[[#This Row],[ancestral dropped]]/표_악몽던전템위력[[#This Row],[rare+ dropped]]</f>
        <v>0.94736842105263153</v>
      </c>
      <c r="F134" s="47">
        <f>COUNT(표_악몽던전템위력[[#This Row],[item1]:[item46]])</f>
        <v>18</v>
      </c>
      <c r="G134" s="47">
        <v>19</v>
      </c>
      <c r="H134" s="48">
        <f>AVERAGE(표_악몽던전템위력[[#This Row],[item1]:[item46]])</f>
        <v>770.38888888888891</v>
      </c>
      <c r="I134" s="26">
        <v>756</v>
      </c>
      <c r="J134" s="26">
        <v>733</v>
      </c>
      <c r="K134" s="26">
        <v>756</v>
      </c>
      <c r="L134" s="26">
        <v>779</v>
      </c>
      <c r="M134" s="26">
        <v>754</v>
      </c>
      <c r="N134" s="26">
        <v>781</v>
      </c>
      <c r="O134" s="26">
        <v>779</v>
      </c>
      <c r="P134" s="26">
        <v>773</v>
      </c>
      <c r="Q134" s="26">
        <v>760</v>
      </c>
      <c r="R134" s="26">
        <v>792</v>
      </c>
      <c r="S134" s="26">
        <v>791</v>
      </c>
      <c r="T134" s="26">
        <v>789</v>
      </c>
      <c r="U134" s="26">
        <v>752</v>
      </c>
      <c r="V134" s="26">
        <v>766</v>
      </c>
      <c r="W134" s="26">
        <v>764</v>
      </c>
      <c r="X134" s="26">
        <v>794</v>
      </c>
      <c r="Y134" s="26">
        <v>750</v>
      </c>
      <c r="Z134" s="26">
        <v>798</v>
      </c>
    </row>
    <row r="135" spans="1:38">
      <c r="A135" s="30">
        <v>102</v>
      </c>
      <c r="B135" s="30" t="s">
        <v>128</v>
      </c>
      <c r="C135" s="27">
        <v>66</v>
      </c>
      <c r="D135" s="44" t="s">
        <v>130</v>
      </c>
      <c r="E135" s="32">
        <f>표_악몽던전템위력[[#This Row],[ancestral dropped]]/표_악몽던전템위력[[#This Row],[rare+ dropped]]</f>
        <v>0.94736842105263153</v>
      </c>
      <c r="F135" s="47">
        <f>COUNT(표_악몽던전템위력[[#This Row],[item1]:[item46]])</f>
        <v>18</v>
      </c>
      <c r="G135" s="47">
        <v>19</v>
      </c>
      <c r="H135" s="48">
        <f>AVERAGE(표_악몽던전템위력[[#This Row],[item1]:[item46]])</f>
        <v>776.22222222222217</v>
      </c>
      <c r="I135" s="26">
        <v>786</v>
      </c>
      <c r="J135" s="26">
        <v>773</v>
      </c>
      <c r="K135" s="26">
        <v>802</v>
      </c>
      <c r="L135" s="26">
        <v>794</v>
      </c>
      <c r="M135" s="26">
        <v>766</v>
      </c>
      <c r="N135" s="26">
        <v>798</v>
      </c>
      <c r="O135" s="26">
        <v>774</v>
      </c>
      <c r="P135" s="26">
        <v>752</v>
      </c>
      <c r="Q135" s="26">
        <v>754</v>
      </c>
      <c r="R135" s="26">
        <v>792</v>
      </c>
      <c r="S135" s="26">
        <v>770</v>
      </c>
      <c r="T135" s="26">
        <v>756</v>
      </c>
      <c r="U135" s="26">
        <v>770</v>
      </c>
      <c r="V135" s="26">
        <v>751</v>
      </c>
      <c r="W135" s="26">
        <v>806</v>
      </c>
      <c r="X135" s="26">
        <v>767</v>
      </c>
      <c r="Y135" s="26">
        <v>777</v>
      </c>
      <c r="Z135" s="26">
        <v>784</v>
      </c>
    </row>
    <row r="136" spans="1:38">
      <c r="A136" s="30">
        <v>102</v>
      </c>
      <c r="B136" s="30" t="s">
        <v>9</v>
      </c>
      <c r="C136" s="27">
        <v>66</v>
      </c>
      <c r="D136" s="44">
        <v>1</v>
      </c>
      <c r="E136" s="33">
        <f>표_악몽던전템위력[[#This Row],[ancestral dropped]]/표_악몽던전템위력[[#This Row],[rare+ dropped]]</f>
        <v>0.96153846153846156</v>
      </c>
      <c r="F136" s="47">
        <f>COUNT(표_악몽던전템위력[[#This Row],[item1]:[item46]])</f>
        <v>25</v>
      </c>
      <c r="G136" s="47">
        <v>26</v>
      </c>
      <c r="H136" s="48">
        <f>AVERAGE(표_악몽던전템위력[[#This Row],[item1]:[item46]])</f>
        <v>776.92</v>
      </c>
      <c r="I136" s="26">
        <v>811</v>
      </c>
      <c r="J136" s="26">
        <v>794</v>
      </c>
      <c r="K136" s="26">
        <v>767</v>
      </c>
      <c r="L136" s="26">
        <v>753</v>
      </c>
      <c r="M136" s="26">
        <v>772</v>
      </c>
      <c r="N136" s="26">
        <v>791</v>
      </c>
      <c r="O136" s="26">
        <v>783</v>
      </c>
      <c r="P136" s="26">
        <v>778</v>
      </c>
      <c r="Q136" s="26">
        <v>759</v>
      </c>
      <c r="R136" s="26">
        <v>757</v>
      </c>
      <c r="S136" s="26">
        <v>744</v>
      </c>
      <c r="T136" s="26">
        <v>799</v>
      </c>
      <c r="U136" s="26">
        <v>791</v>
      </c>
      <c r="V136" s="26">
        <v>784</v>
      </c>
      <c r="W136" s="26">
        <v>772</v>
      </c>
      <c r="X136" s="26">
        <v>769</v>
      </c>
      <c r="Y136" s="26">
        <v>766</v>
      </c>
      <c r="Z136" s="26">
        <v>761</v>
      </c>
      <c r="AA136" s="26">
        <v>794</v>
      </c>
      <c r="AB136" s="26">
        <v>787</v>
      </c>
      <c r="AC136" s="26">
        <v>784</v>
      </c>
      <c r="AD136" s="26">
        <v>809</v>
      </c>
      <c r="AE136" s="26">
        <v>770</v>
      </c>
      <c r="AF136" s="26">
        <v>746</v>
      </c>
      <c r="AG136" s="26">
        <v>782</v>
      </c>
    </row>
    <row r="137" spans="1:38">
      <c r="A137" s="26">
        <v>103</v>
      </c>
      <c r="B137" s="30" t="s">
        <v>31</v>
      </c>
      <c r="C137" s="27">
        <v>67</v>
      </c>
      <c r="D137" s="44"/>
      <c r="E137" s="33">
        <f>표_악몽던전템위력[[#This Row],[ancestral dropped]]/표_악몽던전템위력[[#This Row],[rare+ dropped]]</f>
        <v>0.90322580645161288</v>
      </c>
      <c r="F137" s="47">
        <f>COUNT(표_악몽던전템위력[[#This Row],[item1]:[item46]])</f>
        <v>28</v>
      </c>
      <c r="G137" s="47">
        <v>31</v>
      </c>
      <c r="H137" s="48">
        <f>AVERAGE(표_악몽던전템위력[[#This Row],[item1]:[item46]])</f>
        <v>772.71428571428567</v>
      </c>
      <c r="I137" s="26">
        <v>820</v>
      </c>
      <c r="J137" s="26">
        <v>785</v>
      </c>
      <c r="K137" s="26">
        <v>784</v>
      </c>
      <c r="L137" s="26">
        <v>770</v>
      </c>
      <c r="M137" s="26">
        <v>757</v>
      </c>
      <c r="N137" s="26">
        <v>803</v>
      </c>
      <c r="O137" s="26">
        <v>764</v>
      </c>
      <c r="P137" s="26">
        <v>753</v>
      </c>
      <c r="Q137" s="26">
        <v>748</v>
      </c>
      <c r="R137" s="26">
        <v>778</v>
      </c>
      <c r="S137" s="26">
        <v>765</v>
      </c>
      <c r="T137" s="26">
        <v>757</v>
      </c>
      <c r="U137" s="26">
        <v>752</v>
      </c>
      <c r="V137" s="26">
        <v>806</v>
      </c>
      <c r="W137" s="26">
        <v>797</v>
      </c>
      <c r="X137" s="26">
        <v>770</v>
      </c>
      <c r="Y137" s="26">
        <v>756</v>
      </c>
      <c r="Z137" s="26">
        <v>755</v>
      </c>
      <c r="AA137" s="26">
        <v>767</v>
      </c>
      <c r="AB137" s="26">
        <v>760</v>
      </c>
      <c r="AC137" s="26">
        <v>768</v>
      </c>
      <c r="AD137" s="26">
        <v>765</v>
      </c>
      <c r="AE137" s="26">
        <v>764</v>
      </c>
      <c r="AF137" s="26">
        <v>790</v>
      </c>
      <c r="AG137" s="26">
        <v>790</v>
      </c>
      <c r="AH137" s="26">
        <v>764</v>
      </c>
      <c r="AI137" s="26">
        <v>760</v>
      </c>
      <c r="AJ137" s="26">
        <v>788</v>
      </c>
    </row>
    <row r="138" spans="1:38">
      <c r="A138" s="26">
        <v>103</v>
      </c>
      <c r="B138" s="30" t="s">
        <v>145</v>
      </c>
      <c r="C138" s="27">
        <v>67</v>
      </c>
      <c r="D138" s="44">
        <v>1</v>
      </c>
      <c r="E138" s="33">
        <f>표_악몽던전템위력[[#This Row],[ancestral dropped]]/표_악몽던전템위력[[#This Row],[rare+ dropped]]</f>
        <v>0.81481481481481477</v>
      </c>
      <c r="F138" s="47">
        <f>COUNT(표_악몽던전템위력[[#This Row],[item1]:[item46]])</f>
        <v>22</v>
      </c>
      <c r="G138" s="47">
        <v>27</v>
      </c>
      <c r="H138" s="48">
        <f>AVERAGE(표_악몽던전템위력[[#This Row],[item1]:[item46]])</f>
        <v>774.36363636363637</v>
      </c>
      <c r="I138" s="26">
        <v>802</v>
      </c>
      <c r="J138" s="26">
        <v>778</v>
      </c>
      <c r="K138" s="26">
        <v>769</v>
      </c>
      <c r="L138" s="26">
        <v>745</v>
      </c>
      <c r="M138" s="26">
        <v>769</v>
      </c>
      <c r="N138" s="26">
        <v>768</v>
      </c>
      <c r="O138" s="26">
        <v>761</v>
      </c>
      <c r="P138" s="26">
        <v>741</v>
      </c>
      <c r="Q138" s="26">
        <v>796</v>
      </c>
      <c r="R138" s="26">
        <v>795</v>
      </c>
      <c r="S138" s="26">
        <v>772</v>
      </c>
      <c r="T138" s="26">
        <v>754</v>
      </c>
      <c r="U138" s="26">
        <v>790</v>
      </c>
      <c r="V138" s="26">
        <v>785</v>
      </c>
      <c r="W138" s="26">
        <v>764</v>
      </c>
      <c r="X138" s="26">
        <v>757</v>
      </c>
      <c r="Y138" s="26">
        <v>757</v>
      </c>
      <c r="Z138" s="26">
        <v>802</v>
      </c>
      <c r="AA138" s="26">
        <v>778</v>
      </c>
      <c r="AB138" s="26">
        <v>786</v>
      </c>
      <c r="AC138" s="26">
        <v>791</v>
      </c>
      <c r="AD138" s="26">
        <v>776</v>
      </c>
    </row>
    <row r="139" spans="1:38">
      <c r="A139" s="26">
        <v>103</v>
      </c>
      <c r="B139" s="30" t="s">
        <v>71</v>
      </c>
      <c r="C139" s="27">
        <v>67</v>
      </c>
      <c r="D139" s="44"/>
      <c r="E139" s="33">
        <f>표_악몽던전템위력[[#This Row],[ancestral dropped]]/표_악몽던전템위력[[#This Row],[rare+ dropped]]</f>
        <v>0.5</v>
      </c>
      <c r="F139" s="47">
        <f>COUNT(표_악몽던전템위력[[#This Row],[item1]:[item46]])</f>
        <v>14</v>
      </c>
      <c r="G139" s="47">
        <v>28</v>
      </c>
      <c r="H139" s="48">
        <f>AVERAGE(표_악몽던전템위력[[#This Row],[item1]:[item46]])</f>
        <v>772.57142857142856</v>
      </c>
      <c r="I139" s="26">
        <v>786</v>
      </c>
      <c r="J139" s="26">
        <v>784</v>
      </c>
      <c r="K139" s="26">
        <v>770</v>
      </c>
      <c r="L139" s="26">
        <v>732</v>
      </c>
      <c r="M139" s="26">
        <v>782</v>
      </c>
      <c r="N139" s="26">
        <v>739</v>
      </c>
      <c r="O139" s="26">
        <v>789</v>
      </c>
      <c r="P139" s="26">
        <v>805</v>
      </c>
      <c r="Q139" s="26">
        <v>790</v>
      </c>
      <c r="R139" s="26">
        <v>773</v>
      </c>
      <c r="S139" s="26">
        <v>747</v>
      </c>
      <c r="T139" s="26">
        <v>789</v>
      </c>
      <c r="U139" s="26">
        <v>760</v>
      </c>
      <c r="V139" s="26">
        <v>770</v>
      </c>
    </row>
    <row r="140" spans="1:38">
      <c r="A140" s="30">
        <v>102</v>
      </c>
      <c r="B140" s="30" t="s">
        <v>28</v>
      </c>
      <c r="C140" s="27">
        <v>68</v>
      </c>
      <c r="D140" s="44" t="s">
        <v>130</v>
      </c>
      <c r="E140" s="32">
        <f>표_악몽던전템위력[[#This Row],[ancestral dropped]]/표_악몽던전템위력[[#This Row],[rare+ dropped]]</f>
        <v>0.90476190476190477</v>
      </c>
      <c r="F140" s="47">
        <f>COUNT(표_악몽던전템위력[[#This Row],[item1]:[item46]])</f>
        <v>19</v>
      </c>
      <c r="G140" s="47">
        <v>21</v>
      </c>
      <c r="H140" s="48">
        <f>AVERAGE(표_악몽던전템위력[[#This Row],[item1]:[item46]])</f>
        <v>765</v>
      </c>
      <c r="I140" s="26">
        <v>757</v>
      </c>
      <c r="J140" s="26">
        <v>768</v>
      </c>
      <c r="K140" s="26">
        <v>753</v>
      </c>
      <c r="L140" s="26">
        <v>787</v>
      </c>
      <c r="M140" s="26">
        <v>746</v>
      </c>
      <c r="N140" s="26">
        <v>733</v>
      </c>
      <c r="O140" s="26">
        <v>770</v>
      </c>
      <c r="P140" s="26">
        <v>759</v>
      </c>
      <c r="Q140" s="26">
        <v>777</v>
      </c>
      <c r="R140" s="26">
        <v>745</v>
      </c>
      <c r="S140" s="26">
        <v>741</v>
      </c>
      <c r="T140" s="26">
        <v>762</v>
      </c>
      <c r="U140" s="26">
        <v>787</v>
      </c>
      <c r="V140" s="26">
        <v>794</v>
      </c>
      <c r="W140" s="26">
        <v>756</v>
      </c>
      <c r="X140" s="26">
        <v>741</v>
      </c>
      <c r="Y140" s="26">
        <v>750</v>
      </c>
      <c r="Z140" s="26">
        <v>808</v>
      </c>
      <c r="AA140" s="26">
        <v>801</v>
      </c>
    </row>
    <row r="141" spans="1:38">
      <c r="A141" s="30">
        <v>102</v>
      </c>
      <c r="B141" s="30" t="s">
        <v>30</v>
      </c>
      <c r="C141" s="27">
        <v>68</v>
      </c>
      <c r="D141" s="44" t="s">
        <v>130</v>
      </c>
      <c r="E141" s="32">
        <f>표_악몽던전템위력[[#This Row],[ancestral dropped]]/표_악몽던전템위력[[#This Row],[rare+ dropped]]</f>
        <v>0.9285714285714286</v>
      </c>
      <c r="F141" s="47">
        <f>COUNT(표_악몽던전템위력[[#This Row],[item1]:[item46]])</f>
        <v>13</v>
      </c>
      <c r="G141" s="47">
        <v>14</v>
      </c>
      <c r="H141" s="48">
        <f>AVERAGE(표_악몽던전템위력[[#This Row],[item1]:[item46]])</f>
        <v>772.69230769230774</v>
      </c>
      <c r="I141" s="26">
        <v>768</v>
      </c>
      <c r="J141" s="26">
        <v>783</v>
      </c>
      <c r="K141" s="26">
        <v>767</v>
      </c>
      <c r="L141" s="26">
        <v>760</v>
      </c>
      <c r="M141" s="26">
        <v>763</v>
      </c>
      <c r="N141" s="26">
        <v>786</v>
      </c>
      <c r="O141" s="26">
        <v>759</v>
      </c>
      <c r="P141" s="26">
        <v>761</v>
      </c>
      <c r="Q141" s="26">
        <v>787</v>
      </c>
      <c r="R141" s="26">
        <v>777</v>
      </c>
      <c r="S141" s="26">
        <v>758</v>
      </c>
      <c r="T141" s="26">
        <v>774</v>
      </c>
      <c r="U141" s="26">
        <v>802</v>
      </c>
    </row>
    <row r="142" spans="1:38">
      <c r="A142" s="30">
        <v>102</v>
      </c>
      <c r="B142" s="30" t="s">
        <v>122</v>
      </c>
      <c r="C142" s="27">
        <v>68</v>
      </c>
      <c r="D142" s="44" t="s">
        <v>130</v>
      </c>
      <c r="E142" s="32">
        <f>표_악몽던전템위력[[#This Row],[ancestral dropped]]/표_악몽던전템위력[[#This Row],[rare+ dropped]]</f>
        <v>0.90909090909090906</v>
      </c>
      <c r="F142" s="47">
        <f>COUNT(표_악몽던전템위력[[#This Row],[item1]:[item46]])</f>
        <v>30</v>
      </c>
      <c r="G142" s="47">
        <v>33</v>
      </c>
      <c r="H142" s="48">
        <f>AVERAGE(표_악몽던전템위력[[#This Row],[item1]:[item46]])</f>
        <v>773.9</v>
      </c>
      <c r="I142" s="26">
        <v>785</v>
      </c>
      <c r="J142" s="26">
        <v>798</v>
      </c>
      <c r="K142" s="26">
        <v>789</v>
      </c>
      <c r="L142" s="26">
        <v>775</v>
      </c>
      <c r="M142" s="26">
        <v>754</v>
      </c>
      <c r="N142" s="26">
        <v>797</v>
      </c>
      <c r="O142" s="26">
        <v>770</v>
      </c>
      <c r="P142" s="26">
        <v>768</v>
      </c>
      <c r="Q142" s="26">
        <v>765</v>
      </c>
      <c r="R142" s="26">
        <v>771</v>
      </c>
      <c r="S142" s="26">
        <v>755</v>
      </c>
      <c r="T142" s="26">
        <v>796</v>
      </c>
      <c r="U142" s="26">
        <v>756</v>
      </c>
      <c r="V142" s="26">
        <v>795</v>
      </c>
      <c r="W142" s="26">
        <v>779</v>
      </c>
      <c r="X142" s="26">
        <v>803</v>
      </c>
      <c r="Y142" s="26">
        <v>757</v>
      </c>
      <c r="Z142" s="26">
        <v>758</v>
      </c>
      <c r="AA142" s="26">
        <v>770</v>
      </c>
      <c r="AB142" s="26">
        <v>788</v>
      </c>
      <c r="AC142" s="26">
        <v>768</v>
      </c>
      <c r="AD142" s="26">
        <v>742</v>
      </c>
      <c r="AE142" s="26">
        <v>772</v>
      </c>
      <c r="AF142" s="26">
        <v>767</v>
      </c>
      <c r="AG142" s="26">
        <v>765</v>
      </c>
      <c r="AH142" s="26">
        <v>762</v>
      </c>
      <c r="AI142" s="26">
        <v>786</v>
      </c>
      <c r="AJ142" s="26">
        <v>780</v>
      </c>
      <c r="AK142" s="26">
        <v>765</v>
      </c>
      <c r="AL142" s="26">
        <v>781</v>
      </c>
    </row>
    <row r="143" spans="1:38">
      <c r="A143" s="30">
        <v>102</v>
      </c>
      <c r="B143" s="30" t="s">
        <v>31</v>
      </c>
      <c r="C143" s="27">
        <v>69</v>
      </c>
      <c r="D143" s="44" t="s">
        <v>130</v>
      </c>
      <c r="E143" s="32">
        <f>표_악몽던전템위력[[#This Row],[ancestral dropped]]/표_악몽던전템위력[[#This Row],[rare+ dropped]]</f>
        <v>0.8928571428571429</v>
      </c>
      <c r="F143" s="47">
        <f>COUNT(표_악몽던전템위력[[#This Row],[item1]:[item46]])</f>
        <v>25</v>
      </c>
      <c r="G143" s="47">
        <v>28</v>
      </c>
      <c r="H143" s="48">
        <f>AVERAGE(표_악몽던전템위력[[#This Row],[item1]:[item46]])</f>
        <v>770.52</v>
      </c>
      <c r="I143" s="26">
        <v>798</v>
      </c>
      <c r="J143" s="26">
        <v>793</v>
      </c>
      <c r="K143" s="26">
        <v>743</v>
      </c>
      <c r="L143" s="26">
        <v>771</v>
      </c>
      <c r="M143" s="26">
        <v>768</v>
      </c>
      <c r="N143" s="26">
        <v>747</v>
      </c>
      <c r="O143" s="26">
        <v>760</v>
      </c>
      <c r="P143" s="26">
        <v>798</v>
      </c>
      <c r="Q143" s="26">
        <v>792</v>
      </c>
      <c r="R143" s="26">
        <v>780</v>
      </c>
      <c r="S143" s="26">
        <v>770</v>
      </c>
      <c r="T143" s="26">
        <v>759</v>
      </c>
      <c r="U143" s="26">
        <v>758</v>
      </c>
      <c r="V143" s="26">
        <v>754</v>
      </c>
      <c r="W143" s="26">
        <v>763</v>
      </c>
      <c r="X143" s="26">
        <v>749</v>
      </c>
      <c r="Y143" s="26">
        <v>790</v>
      </c>
      <c r="Z143" s="26">
        <v>787</v>
      </c>
      <c r="AA143" s="26">
        <v>771</v>
      </c>
      <c r="AB143" s="26">
        <v>759</v>
      </c>
      <c r="AC143" s="26">
        <v>747</v>
      </c>
      <c r="AD143" s="26">
        <v>790</v>
      </c>
      <c r="AE143" s="26">
        <v>782</v>
      </c>
      <c r="AF143" s="26">
        <v>779</v>
      </c>
      <c r="AG143" s="26">
        <v>755</v>
      </c>
    </row>
    <row r="144" spans="1:38">
      <c r="A144" s="30">
        <v>102</v>
      </c>
      <c r="B144" s="30" t="s">
        <v>13</v>
      </c>
      <c r="C144" s="27">
        <v>69</v>
      </c>
      <c r="D144" s="44" t="s">
        <v>130</v>
      </c>
      <c r="E144" s="32">
        <f>표_악몽던전템위력[[#This Row],[ancestral dropped]]/표_악몽던전템위력[[#This Row],[rare+ dropped]]</f>
        <v>0.88461538461538458</v>
      </c>
      <c r="F144" s="47">
        <f>COUNT(표_악몽던전템위력[[#This Row],[item1]:[item46]])</f>
        <v>23</v>
      </c>
      <c r="G144" s="47">
        <v>26</v>
      </c>
      <c r="H144" s="48">
        <f>AVERAGE(표_악몽던전템위력[[#This Row],[item1]:[item46]])</f>
        <v>772.13043478260875</v>
      </c>
      <c r="I144" s="26">
        <v>786</v>
      </c>
      <c r="J144" s="26">
        <v>779</v>
      </c>
      <c r="K144" s="26">
        <v>777</v>
      </c>
      <c r="L144" s="26">
        <v>770</v>
      </c>
      <c r="M144" s="26">
        <v>769</v>
      </c>
      <c r="N144" s="26">
        <v>780</v>
      </c>
      <c r="O144" s="26">
        <v>766</v>
      </c>
      <c r="P144" s="26">
        <v>743</v>
      </c>
      <c r="Q144" s="26">
        <v>776</v>
      </c>
      <c r="R144" s="26">
        <v>774</v>
      </c>
      <c r="S144" s="26">
        <v>767</v>
      </c>
      <c r="T144" s="26">
        <v>765</v>
      </c>
      <c r="U144" s="26">
        <v>763</v>
      </c>
      <c r="V144" s="26">
        <v>757</v>
      </c>
      <c r="W144" s="26">
        <v>789</v>
      </c>
      <c r="X144" s="26">
        <v>772</v>
      </c>
      <c r="Y144" s="26">
        <v>771</v>
      </c>
      <c r="Z144" s="26">
        <v>775</v>
      </c>
      <c r="AA144" s="26">
        <v>777</v>
      </c>
      <c r="AB144" s="26">
        <v>791</v>
      </c>
      <c r="AC144" s="26">
        <v>788</v>
      </c>
      <c r="AD144" s="26">
        <v>774</v>
      </c>
      <c r="AE144" s="26">
        <v>750</v>
      </c>
    </row>
    <row r="145" spans="1:43">
      <c r="A145" s="30">
        <v>102</v>
      </c>
      <c r="B145" s="30" t="s">
        <v>122</v>
      </c>
      <c r="C145" s="27">
        <v>69</v>
      </c>
      <c r="D145" s="44" t="s">
        <v>130</v>
      </c>
      <c r="E145" s="32">
        <f>표_악몽던전템위력[[#This Row],[ancestral dropped]]/표_악몽던전템위력[[#This Row],[rare+ dropped]]</f>
        <v>0.93939393939393945</v>
      </c>
      <c r="F145" s="47">
        <f>COUNT(표_악몽던전템위력[[#This Row],[item1]:[item46]])</f>
        <v>31</v>
      </c>
      <c r="G145" s="47">
        <v>33</v>
      </c>
      <c r="H145" s="48">
        <f>AVERAGE(표_악몽던전템위력[[#This Row],[item1]:[item46]])</f>
        <v>775.41935483870964</v>
      </c>
      <c r="I145" s="26">
        <v>795</v>
      </c>
      <c r="J145" s="26">
        <v>790</v>
      </c>
      <c r="K145" s="26">
        <v>780</v>
      </c>
      <c r="L145" s="26">
        <v>773</v>
      </c>
      <c r="M145" s="26">
        <v>757</v>
      </c>
      <c r="N145" s="26">
        <v>750</v>
      </c>
      <c r="O145" s="26">
        <v>775</v>
      </c>
      <c r="P145" s="26">
        <v>755</v>
      </c>
      <c r="Q145" s="26">
        <v>791</v>
      </c>
      <c r="R145" s="26">
        <v>780</v>
      </c>
      <c r="S145" s="26">
        <v>774</v>
      </c>
      <c r="T145" s="26">
        <v>759</v>
      </c>
      <c r="U145" s="26">
        <v>753</v>
      </c>
      <c r="V145" s="26">
        <v>799</v>
      </c>
      <c r="W145" s="26">
        <v>799</v>
      </c>
      <c r="X145" s="26">
        <v>791</v>
      </c>
      <c r="Y145" s="26">
        <v>779</v>
      </c>
      <c r="Z145" s="26">
        <v>770</v>
      </c>
      <c r="AA145" s="26">
        <v>768</v>
      </c>
      <c r="AB145" s="26">
        <v>799</v>
      </c>
      <c r="AC145" s="26">
        <v>781</v>
      </c>
      <c r="AD145" s="26">
        <v>765</v>
      </c>
      <c r="AE145" s="26">
        <v>792</v>
      </c>
      <c r="AF145" s="26">
        <v>768</v>
      </c>
      <c r="AG145" s="26">
        <v>762</v>
      </c>
      <c r="AH145" s="26">
        <v>754</v>
      </c>
      <c r="AI145" s="26">
        <v>792</v>
      </c>
      <c r="AJ145" s="26">
        <v>791</v>
      </c>
      <c r="AK145" s="26">
        <v>784</v>
      </c>
      <c r="AL145" s="26">
        <v>776</v>
      </c>
      <c r="AM145" s="26">
        <v>736</v>
      </c>
    </row>
    <row r="146" spans="1:43">
      <c r="A146" s="30">
        <v>102</v>
      </c>
      <c r="B146" s="30" t="s">
        <v>71</v>
      </c>
      <c r="C146" s="27">
        <v>69</v>
      </c>
      <c r="D146" s="44" t="s">
        <v>130</v>
      </c>
      <c r="E146" s="32">
        <f>표_악몽던전템위력[[#This Row],[ancestral dropped]]/표_악몽던전템위력[[#This Row],[rare+ dropped]]</f>
        <v>1</v>
      </c>
      <c r="F146" s="47">
        <f>COUNT(표_악몽던전템위력[[#This Row],[item1]:[item46]])</f>
        <v>12</v>
      </c>
      <c r="G146" s="47">
        <v>12</v>
      </c>
      <c r="H146" s="48">
        <f>AVERAGE(표_악몽던전템위력[[#This Row],[item1]:[item46]])</f>
        <v>785.83333333333337</v>
      </c>
      <c r="I146" s="26">
        <v>815</v>
      </c>
      <c r="J146" s="26">
        <v>769</v>
      </c>
      <c r="K146" s="26">
        <v>773</v>
      </c>
      <c r="L146" s="26">
        <v>797</v>
      </c>
      <c r="M146" s="26">
        <v>791</v>
      </c>
      <c r="N146" s="26">
        <v>763</v>
      </c>
      <c r="O146" s="26">
        <v>778</v>
      </c>
      <c r="P146" s="26">
        <v>811</v>
      </c>
      <c r="Q146" s="26">
        <v>791</v>
      </c>
      <c r="R146" s="26">
        <v>763</v>
      </c>
      <c r="S146" s="26">
        <v>788</v>
      </c>
      <c r="T146" s="26">
        <v>791</v>
      </c>
    </row>
    <row r="147" spans="1:43">
      <c r="A147" s="30">
        <v>102</v>
      </c>
      <c r="B147" s="30" t="s">
        <v>127</v>
      </c>
      <c r="C147" s="27">
        <v>69</v>
      </c>
      <c r="D147" s="44"/>
      <c r="E147" s="33">
        <f>표_악몽던전템위력[[#This Row],[ancestral dropped]]/표_악몽던전템위력[[#This Row],[rare+ dropped]]</f>
        <v>0.7857142857142857</v>
      </c>
      <c r="F147" s="47">
        <f>COUNT(표_악몽던전템위력[[#This Row],[item1]:[item46]])</f>
        <v>11</v>
      </c>
      <c r="G147" s="47">
        <v>14</v>
      </c>
      <c r="H147" s="48">
        <f>AVERAGE(표_악몽던전템위력[[#This Row],[item1]:[item46]])</f>
        <v>764.63636363636363</v>
      </c>
      <c r="I147" s="26">
        <v>767</v>
      </c>
      <c r="J147" s="26">
        <v>783</v>
      </c>
      <c r="K147" s="26">
        <v>781</v>
      </c>
      <c r="L147" s="26">
        <v>767</v>
      </c>
      <c r="M147" s="26">
        <v>738</v>
      </c>
      <c r="N147" s="26">
        <v>782</v>
      </c>
      <c r="O147" s="26">
        <v>786</v>
      </c>
      <c r="P147" s="26">
        <v>742</v>
      </c>
      <c r="Q147" s="26">
        <v>779</v>
      </c>
      <c r="R147" s="26">
        <v>733</v>
      </c>
      <c r="S147" s="26">
        <v>753</v>
      </c>
    </row>
    <row r="148" spans="1:43">
      <c r="A148" s="30">
        <v>102</v>
      </c>
      <c r="B148" s="30" t="s">
        <v>127</v>
      </c>
      <c r="C148" s="27">
        <v>70</v>
      </c>
      <c r="D148" s="44"/>
      <c r="E148" s="33">
        <f>표_악몽던전템위력[[#This Row],[ancestral dropped]]/표_악몽던전템위력[[#This Row],[rare+ dropped]]</f>
        <v>0.95833333333333337</v>
      </c>
      <c r="F148" s="47">
        <f>COUNT(표_악몽던전템위력[[#This Row],[item1]:[item46]])</f>
        <v>23</v>
      </c>
      <c r="G148" s="47">
        <v>24</v>
      </c>
      <c r="H148" s="48">
        <f>AVERAGE(표_악몽던전템위력[[#This Row],[item1]:[item46]])</f>
        <v>771.60869565217388</v>
      </c>
      <c r="I148" s="26">
        <v>779</v>
      </c>
      <c r="J148" s="26">
        <v>755</v>
      </c>
      <c r="K148" s="26">
        <v>746</v>
      </c>
      <c r="L148" s="26">
        <v>773</v>
      </c>
      <c r="M148" s="26">
        <v>773</v>
      </c>
      <c r="N148" s="26">
        <v>781</v>
      </c>
      <c r="O148" s="26">
        <v>781</v>
      </c>
      <c r="P148" s="26">
        <v>777</v>
      </c>
      <c r="Q148" s="26">
        <v>763</v>
      </c>
      <c r="R148" s="26">
        <v>754</v>
      </c>
      <c r="S148" s="26">
        <v>747</v>
      </c>
      <c r="T148" s="26">
        <v>815</v>
      </c>
      <c r="U148" s="26">
        <v>786</v>
      </c>
      <c r="V148" s="26">
        <v>774</v>
      </c>
      <c r="W148" s="26">
        <v>792</v>
      </c>
      <c r="X148" s="26">
        <v>783</v>
      </c>
      <c r="Y148" s="26">
        <v>750</v>
      </c>
      <c r="Z148" s="26">
        <v>762</v>
      </c>
      <c r="AA148" s="26">
        <v>798</v>
      </c>
      <c r="AB148" s="26">
        <v>772</v>
      </c>
      <c r="AC148" s="26">
        <v>748</v>
      </c>
      <c r="AD148" s="26">
        <v>783</v>
      </c>
      <c r="AE148" s="26">
        <v>755</v>
      </c>
    </row>
    <row r="149" spans="1:43">
      <c r="A149" s="30">
        <v>102</v>
      </c>
      <c r="B149" s="30" t="s">
        <v>151</v>
      </c>
      <c r="C149" s="27">
        <v>70</v>
      </c>
      <c r="D149" s="44"/>
      <c r="E149" s="33">
        <f>표_악몽던전템위력[[#This Row],[ancestral dropped]]/표_악몽던전템위력[[#This Row],[rare+ dropped]]</f>
        <v>0.92307692307692313</v>
      </c>
      <c r="F149" s="47">
        <f>COUNT(표_악몽던전템위력[[#This Row],[item1]:[item46]])</f>
        <v>24</v>
      </c>
      <c r="G149" s="47">
        <v>26</v>
      </c>
      <c r="H149" s="48">
        <f>AVERAGE(표_악몽던전템위력[[#This Row],[item1]:[item46]])</f>
        <v>772.75</v>
      </c>
      <c r="I149" s="26">
        <v>765</v>
      </c>
      <c r="J149" s="26">
        <v>733</v>
      </c>
      <c r="K149" s="26">
        <v>787</v>
      </c>
      <c r="L149" s="26">
        <v>783</v>
      </c>
      <c r="M149" s="26">
        <v>773</v>
      </c>
      <c r="N149" s="26">
        <v>794</v>
      </c>
      <c r="O149" s="26">
        <v>747</v>
      </c>
      <c r="P149" s="26">
        <v>742</v>
      </c>
      <c r="Q149" s="26">
        <v>790</v>
      </c>
      <c r="R149" s="26">
        <v>764</v>
      </c>
      <c r="S149" s="26">
        <v>758</v>
      </c>
      <c r="T149" s="26">
        <v>754</v>
      </c>
      <c r="U149" s="26">
        <v>789</v>
      </c>
      <c r="V149" s="26">
        <v>815</v>
      </c>
      <c r="W149" s="26">
        <v>804</v>
      </c>
      <c r="X149" s="26">
        <v>760</v>
      </c>
      <c r="Y149" s="26">
        <v>758</v>
      </c>
      <c r="Z149" s="26">
        <v>754</v>
      </c>
      <c r="AA149" s="26">
        <v>765</v>
      </c>
      <c r="AB149" s="26">
        <v>787</v>
      </c>
      <c r="AC149" s="26">
        <v>785</v>
      </c>
      <c r="AD149" s="26">
        <v>780</v>
      </c>
      <c r="AE149" s="26">
        <v>768</v>
      </c>
      <c r="AF149" s="26">
        <v>791</v>
      </c>
    </row>
    <row r="150" spans="1:43">
      <c r="A150" s="30">
        <v>102</v>
      </c>
      <c r="B150" s="30" t="s">
        <v>31</v>
      </c>
      <c r="C150" s="27">
        <v>70</v>
      </c>
      <c r="D150" s="44"/>
      <c r="E150" s="33">
        <f>표_악몽던전템위력[[#This Row],[ancestral dropped]]/표_악몽던전템위력[[#This Row],[rare+ dropped]]</f>
        <v>0.92592592592592593</v>
      </c>
      <c r="F150" s="47">
        <f>COUNT(표_악몽던전템위력[[#This Row],[item1]:[item46]])</f>
        <v>25</v>
      </c>
      <c r="G150" s="47">
        <v>27</v>
      </c>
      <c r="H150" s="48">
        <f>AVERAGE(표_악몽던전템위력[[#This Row],[item1]:[item46]])</f>
        <v>772.4</v>
      </c>
      <c r="I150" s="26">
        <v>756</v>
      </c>
      <c r="J150" s="26">
        <v>793</v>
      </c>
      <c r="K150" s="26">
        <v>742</v>
      </c>
      <c r="L150" s="26">
        <v>737</v>
      </c>
      <c r="M150" s="26">
        <v>793</v>
      </c>
      <c r="N150" s="26">
        <v>785</v>
      </c>
      <c r="O150" s="26">
        <v>784</v>
      </c>
      <c r="P150" s="26">
        <v>767</v>
      </c>
      <c r="Q150" s="26">
        <v>793</v>
      </c>
      <c r="R150" s="26">
        <v>762</v>
      </c>
      <c r="S150" s="26">
        <v>754</v>
      </c>
      <c r="T150" s="26">
        <v>803</v>
      </c>
      <c r="U150" s="26">
        <v>792</v>
      </c>
      <c r="V150" s="26">
        <v>774</v>
      </c>
      <c r="W150" s="26">
        <v>743</v>
      </c>
      <c r="X150" s="26">
        <v>776</v>
      </c>
      <c r="Y150" s="26">
        <v>800</v>
      </c>
      <c r="Z150" s="26">
        <v>783</v>
      </c>
      <c r="AA150" s="26">
        <v>776</v>
      </c>
      <c r="AB150" s="26">
        <v>774</v>
      </c>
      <c r="AC150" s="26">
        <v>752</v>
      </c>
      <c r="AD150" s="26">
        <v>766</v>
      </c>
      <c r="AE150" s="26">
        <v>752</v>
      </c>
      <c r="AF150" s="26">
        <v>762</v>
      </c>
      <c r="AG150" s="26">
        <v>791</v>
      </c>
    </row>
    <row r="151" spans="1:43">
      <c r="A151" s="30">
        <v>102</v>
      </c>
      <c r="B151" s="30" t="s">
        <v>121</v>
      </c>
      <c r="C151" s="27">
        <v>71</v>
      </c>
      <c r="D151" s="44" t="s">
        <v>130</v>
      </c>
      <c r="E151" s="32">
        <f>표_악몽던전템위력[[#This Row],[ancestral dropped]]/표_악몽던전템위력[[#This Row],[rare+ dropped]]</f>
        <v>0.90909090909090906</v>
      </c>
      <c r="F151" s="47">
        <f>COUNT(표_악몽던전템위력[[#This Row],[item1]:[item46]])</f>
        <v>20</v>
      </c>
      <c r="G151" s="47">
        <v>22</v>
      </c>
      <c r="H151" s="48">
        <f>AVERAGE(표_악몽던전템위력[[#This Row],[item1]:[item46]])</f>
        <v>772.9</v>
      </c>
      <c r="I151" s="26">
        <v>790</v>
      </c>
      <c r="J151" s="26">
        <v>787</v>
      </c>
      <c r="K151" s="26">
        <v>782</v>
      </c>
      <c r="L151" s="26">
        <v>776</v>
      </c>
      <c r="M151" s="26">
        <v>772</v>
      </c>
      <c r="N151" s="26">
        <v>770</v>
      </c>
      <c r="O151" s="26">
        <v>764</v>
      </c>
      <c r="P151" s="26">
        <v>763</v>
      </c>
      <c r="Q151" s="26">
        <v>757</v>
      </c>
      <c r="R151" s="26">
        <v>774</v>
      </c>
      <c r="S151" s="26">
        <v>763</v>
      </c>
      <c r="T151" s="26">
        <v>762</v>
      </c>
      <c r="U151" s="26">
        <v>783</v>
      </c>
      <c r="V151" s="26">
        <v>758</v>
      </c>
      <c r="W151" s="26">
        <v>781</v>
      </c>
      <c r="X151" s="26">
        <v>784</v>
      </c>
      <c r="Y151" s="26">
        <v>773</v>
      </c>
      <c r="Z151" s="26">
        <v>785</v>
      </c>
      <c r="AA151" s="26">
        <v>745</v>
      </c>
      <c r="AB151" s="26">
        <v>789</v>
      </c>
    </row>
    <row r="152" spans="1:43">
      <c r="A152" s="30">
        <v>102</v>
      </c>
      <c r="B152" s="30" t="s">
        <v>121</v>
      </c>
      <c r="C152" s="27">
        <v>71</v>
      </c>
      <c r="D152" s="44"/>
      <c r="E152" s="33">
        <f>표_악몽던전템위력[[#This Row],[ancestral dropped]]/표_악몽던전템위력[[#This Row],[rare+ dropped]]</f>
        <v>0.84615384615384615</v>
      </c>
      <c r="F152" s="47">
        <f>COUNT(표_악몽던전템위력[[#This Row],[item1]:[item46]])</f>
        <v>11</v>
      </c>
      <c r="G152" s="47">
        <v>13</v>
      </c>
      <c r="H152" s="48">
        <f>AVERAGE(표_악몽던전템위력[[#This Row],[item1]:[item46]])</f>
        <v>776.63636363636363</v>
      </c>
      <c r="I152" s="26">
        <v>798</v>
      </c>
      <c r="J152" s="26">
        <v>777</v>
      </c>
      <c r="K152" s="26">
        <v>776</v>
      </c>
      <c r="L152" s="26">
        <v>807</v>
      </c>
      <c r="M152" s="26">
        <v>802</v>
      </c>
      <c r="N152" s="26">
        <v>770</v>
      </c>
      <c r="O152" s="26">
        <v>769</v>
      </c>
      <c r="P152" s="26">
        <v>786</v>
      </c>
      <c r="Q152" s="26">
        <v>764</v>
      </c>
      <c r="R152" s="26">
        <v>759</v>
      </c>
      <c r="S152" s="26">
        <v>735</v>
      </c>
    </row>
    <row r="153" spans="1:43">
      <c r="A153" s="30">
        <v>102</v>
      </c>
      <c r="B153" s="30" t="s">
        <v>120</v>
      </c>
      <c r="C153" s="27">
        <v>71</v>
      </c>
      <c r="D153" s="44" t="s">
        <v>130</v>
      </c>
      <c r="E153" s="32">
        <f>표_악몽던전템위력[[#This Row],[ancestral dropped]]/표_악몽던전템위력[[#This Row],[rare+ dropped]]</f>
        <v>0.93939393939393945</v>
      </c>
      <c r="F153" s="47">
        <f>COUNT(표_악몽던전템위력[[#This Row],[item1]:[item46]])</f>
        <v>31</v>
      </c>
      <c r="G153" s="47">
        <v>33</v>
      </c>
      <c r="H153" s="48">
        <f>AVERAGE(표_악몽던전템위력[[#This Row],[item1]:[item46]])</f>
        <v>776.90322580645159</v>
      </c>
      <c r="I153" s="26">
        <v>790</v>
      </c>
      <c r="J153" s="26">
        <v>788</v>
      </c>
      <c r="K153" s="26">
        <v>764</v>
      </c>
      <c r="L153" s="26">
        <v>751</v>
      </c>
      <c r="M153" s="26">
        <v>774</v>
      </c>
      <c r="N153" s="26">
        <v>735</v>
      </c>
      <c r="O153" s="26">
        <v>740</v>
      </c>
      <c r="P153" s="26">
        <v>807</v>
      </c>
      <c r="Q153" s="26">
        <v>777</v>
      </c>
      <c r="R153" s="26">
        <v>769</v>
      </c>
      <c r="S153" s="26">
        <v>746</v>
      </c>
      <c r="T153" s="26">
        <v>801</v>
      </c>
      <c r="U153" s="26">
        <v>777</v>
      </c>
      <c r="V153" s="26">
        <v>743</v>
      </c>
      <c r="W153" s="26">
        <v>801</v>
      </c>
      <c r="X153" s="26">
        <v>793</v>
      </c>
      <c r="Y153" s="26">
        <v>780</v>
      </c>
      <c r="Z153" s="26">
        <v>770</v>
      </c>
      <c r="AA153" s="26">
        <v>770</v>
      </c>
      <c r="AB153" s="26">
        <v>747</v>
      </c>
      <c r="AC153" s="26">
        <v>802</v>
      </c>
      <c r="AD153" s="26">
        <v>791</v>
      </c>
      <c r="AE153" s="26">
        <v>755</v>
      </c>
      <c r="AF153" s="26">
        <v>816</v>
      </c>
      <c r="AG153" s="26">
        <v>806</v>
      </c>
      <c r="AH153" s="26">
        <v>797</v>
      </c>
      <c r="AI153" s="26">
        <v>778</v>
      </c>
      <c r="AJ153" s="26">
        <v>770</v>
      </c>
      <c r="AK153" s="26">
        <v>765</v>
      </c>
      <c r="AL153" s="26">
        <v>792</v>
      </c>
      <c r="AM153" s="26">
        <v>789</v>
      </c>
    </row>
    <row r="154" spans="1:43">
      <c r="A154" s="30">
        <v>102</v>
      </c>
      <c r="B154" s="30" t="s">
        <v>31</v>
      </c>
      <c r="C154" s="27">
        <v>71</v>
      </c>
      <c r="D154" s="44" t="s">
        <v>130</v>
      </c>
      <c r="E154" s="32">
        <f>표_악몽던전템위력[[#This Row],[ancestral dropped]]/표_악몽던전템위력[[#This Row],[rare+ dropped]]</f>
        <v>0.8</v>
      </c>
      <c r="F154" s="47">
        <f>COUNT(표_악몽던전템위력[[#This Row],[item1]:[item46]])</f>
        <v>12</v>
      </c>
      <c r="G154" s="47">
        <v>15</v>
      </c>
      <c r="H154" s="48">
        <f>AVERAGE(표_악몽던전템위력[[#This Row],[item1]:[item46]])</f>
        <v>779.33333333333337</v>
      </c>
      <c r="I154" s="26">
        <v>793</v>
      </c>
      <c r="J154" s="26">
        <v>757</v>
      </c>
      <c r="K154" s="26">
        <v>780</v>
      </c>
      <c r="L154" s="26">
        <v>776</v>
      </c>
      <c r="M154" s="26">
        <v>768</v>
      </c>
      <c r="N154" s="26">
        <v>763</v>
      </c>
      <c r="O154" s="26">
        <v>787</v>
      </c>
      <c r="P154" s="26">
        <v>780</v>
      </c>
      <c r="Q154" s="26">
        <v>756</v>
      </c>
      <c r="R154" s="26">
        <v>800</v>
      </c>
      <c r="S154" s="26">
        <v>793</v>
      </c>
      <c r="T154" s="26">
        <v>799</v>
      </c>
    </row>
    <row r="155" spans="1:43">
      <c r="A155" s="30">
        <v>102</v>
      </c>
      <c r="B155" s="30" t="s">
        <v>129</v>
      </c>
      <c r="C155" s="27">
        <v>71</v>
      </c>
      <c r="D155" s="44"/>
      <c r="E155" s="33">
        <f>표_악몽던전템위력[[#This Row],[ancestral dropped]]/표_악몽던전템위력[[#This Row],[rare+ dropped]]</f>
        <v>0.97222222222222221</v>
      </c>
      <c r="F155" s="47">
        <f>COUNT(표_악몽던전템위력[[#This Row],[item1]:[item46]])</f>
        <v>35</v>
      </c>
      <c r="G155" s="47">
        <v>36</v>
      </c>
      <c r="H155" s="48">
        <f>AVERAGE(표_악몽던전템위력[[#This Row],[item1]:[item46]])</f>
        <v>774.2</v>
      </c>
      <c r="I155" s="26">
        <v>805</v>
      </c>
      <c r="J155" s="26">
        <v>773</v>
      </c>
      <c r="K155" s="26">
        <v>801</v>
      </c>
      <c r="L155" s="26">
        <v>788</v>
      </c>
      <c r="M155" s="26">
        <v>781</v>
      </c>
      <c r="N155" s="26">
        <v>773</v>
      </c>
      <c r="O155" s="26">
        <v>761</v>
      </c>
      <c r="P155" s="26">
        <v>759</v>
      </c>
      <c r="Q155" s="26">
        <v>747</v>
      </c>
      <c r="R155" s="26">
        <v>787</v>
      </c>
      <c r="S155" s="26">
        <v>746</v>
      </c>
      <c r="T155" s="26">
        <v>800</v>
      </c>
      <c r="U155" s="26">
        <v>799</v>
      </c>
      <c r="V155" s="26">
        <v>798</v>
      </c>
      <c r="W155" s="26">
        <v>795</v>
      </c>
      <c r="X155" s="26">
        <v>791</v>
      </c>
      <c r="Y155" s="26">
        <v>780</v>
      </c>
      <c r="Z155" s="26">
        <v>722</v>
      </c>
      <c r="AA155" s="26">
        <v>772</v>
      </c>
      <c r="AB155" s="26">
        <v>765</v>
      </c>
      <c r="AC155" s="26">
        <v>762</v>
      </c>
      <c r="AD155" s="26">
        <v>749</v>
      </c>
      <c r="AE155" s="26">
        <v>731</v>
      </c>
      <c r="AF155" s="26">
        <v>782</v>
      </c>
      <c r="AG155" s="26">
        <v>777</v>
      </c>
      <c r="AH155" s="26">
        <v>773</v>
      </c>
      <c r="AI155" s="26">
        <v>783</v>
      </c>
      <c r="AJ155" s="26">
        <v>763</v>
      </c>
      <c r="AK155" s="26">
        <v>788</v>
      </c>
      <c r="AL155" s="26">
        <v>767</v>
      </c>
      <c r="AM155" s="26">
        <v>772</v>
      </c>
      <c r="AN155" s="26">
        <v>767</v>
      </c>
      <c r="AO155" s="26">
        <v>808</v>
      </c>
      <c r="AP155" s="26">
        <v>771</v>
      </c>
      <c r="AQ155" s="26">
        <v>761</v>
      </c>
    </row>
    <row r="156" spans="1:43">
      <c r="A156" s="26">
        <v>103</v>
      </c>
      <c r="B156" s="30" t="s">
        <v>121</v>
      </c>
      <c r="C156" s="27">
        <v>71</v>
      </c>
      <c r="D156" s="44"/>
      <c r="E156" s="33">
        <f>표_악몽던전템위력[[#This Row],[ancestral dropped]]/표_악몽던전템위력[[#This Row],[rare+ dropped]]</f>
        <v>0.7857142857142857</v>
      </c>
      <c r="F156" s="47">
        <f>COUNT(표_악몽던전템위력[[#This Row],[item1]:[item46]])</f>
        <v>11</v>
      </c>
      <c r="G156" s="47">
        <v>14</v>
      </c>
      <c r="H156" s="48">
        <f>AVERAGE(표_악몽던전템위력[[#This Row],[item1]:[item46]])</f>
        <v>770.27272727272725</v>
      </c>
      <c r="I156" s="26">
        <v>788</v>
      </c>
      <c r="J156" s="26">
        <v>777</v>
      </c>
      <c r="K156" s="26">
        <v>768</v>
      </c>
      <c r="L156" s="26">
        <v>786</v>
      </c>
      <c r="M156" s="26">
        <v>769</v>
      </c>
      <c r="N156" s="26">
        <v>747</v>
      </c>
      <c r="O156" s="26">
        <v>731</v>
      </c>
      <c r="P156" s="26">
        <v>809</v>
      </c>
      <c r="Q156" s="26">
        <v>786</v>
      </c>
      <c r="R156" s="26">
        <v>740</v>
      </c>
      <c r="S156" s="26">
        <v>772</v>
      </c>
    </row>
    <row r="157" spans="1:43">
      <c r="A157" s="26">
        <v>103</v>
      </c>
      <c r="B157" s="30" t="s">
        <v>121</v>
      </c>
      <c r="C157" s="27">
        <v>71</v>
      </c>
      <c r="D157" s="44"/>
      <c r="E157" s="33">
        <f>표_악몽던전템위력[[#This Row],[ancestral dropped]]/표_악몽던전템위력[[#This Row],[rare+ dropped]]</f>
        <v>1</v>
      </c>
      <c r="F157" s="47">
        <f>COUNT(표_악몽던전템위력[[#This Row],[item1]:[item46]])</f>
        <v>17</v>
      </c>
      <c r="G157" s="47">
        <v>17</v>
      </c>
      <c r="H157" s="48">
        <f>AVERAGE(표_악몽던전템위력[[#This Row],[item1]:[item46]])</f>
        <v>777.35294117647061</v>
      </c>
      <c r="I157" s="26">
        <v>788</v>
      </c>
      <c r="J157" s="26">
        <v>737</v>
      </c>
      <c r="K157" s="26">
        <v>762</v>
      </c>
      <c r="L157" s="26">
        <v>744</v>
      </c>
      <c r="M157" s="26">
        <v>805</v>
      </c>
      <c r="N157" s="26">
        <v>770</v>
      </c>
      <c r="O157" s="26">
        <v>782</v>
      </c>
      <c r="P157" s="26">
        <v>786</v>
      </c>
      <c r="Q157" s="26">
        <v>777</v>
      </c>
      <c r="R157" s="26">
        <v>808</v>
      </c>
      <c r="S157" s="26">
        <v>761</v>
      </c>
      <c r="T157" s="26">
        <v>800</v>
      </c>
      <c r="U157" s="26">
        <v>792</v>
      </c>
      <c r="V157" s="26">
        <v>799</v>
      </c>
      <c r="W157" s="26">
        <v>792</v>
      </c>
      <c r="X157" s="26">
        <v>757</v>
      </c>
      <c r="Y157" s="26">
        <v>755</v>
      </c>
    </row>
    <row r="158" spans="1:43">
      <c r="A158" s="26">
        <v>103</v>
      </c>
      <c r="B158" s="30" t="s">
        <v>138</v>
      </c>
      <c r="C158" s="27">
        <v>71</v>
      </c>
      <c r="D158" s="44"/>
      <c r="E158" s="33">
        <f>표_악몽던전템위력[[#This Row],[ancestral dropped]]/표_악몽던전템위력[[#This Row],[rare+ dropped]]</f>
        <v>0.88235294117647056</v>
      </c>
      <c r="F158" s="47">
        <f>COUNT(표_악몽던전템위력[[#This Row],[item1]:[item46]])</f>
        <v>30</v>
      </c>
      <c r="G158" s="47">
        <v>34</v>
      </c>
      <c r="H158" s="48">
        <f>AVERAGE(표_악몽던전템위력[[#This Row],[item1]:[item46]])</f>
        <v>770.93333333333328</v>
      </c>
      <c r="I158" s="26">
        <v>797</v>
      </c>
      <c r="J158" s="26">
        <v>785</v>
      </c>
      <c r="K158" s="26">
        <v>773</v>
      </c>
      <c r="L158" s="26">
        <v>755</v>
      </c>
      <c r="M158" s="26">
        <v>793</v>
      </c>
      <c r="N158" s="26">
        <v>788</v>
      </c>
      <c r="O158" s="26">
        <v>784</v>
      </c>
      <c r="P158" s="26">
        <v>784</v>
      </c>
      <c r="Q158" s="26">
        <v>750</v>
      </c>
      <c r="R158" s="26">
        <v>744</v>
      </c>
      <c r="S158" s="26">
        <v>744</v>
      </c>
      <c r="T158" s="26">
        <v>800</v>
      </c>
      <c r="U158" s="26">
        <v>793</v>
      </c>
      <c r="V158" s="26">
        <v>773</v>
      </c>
      <c r="W158" s="26">
        <v>796</v>
      </c>
      <c r="X158" s="26">
        <v>794</v>
      </c>
      <c r="Y158" s="26">
        <v>766</v>
      </c>
      <c r="Z158" s="26">
        <v>762</v>
      </c>
      <c r="AA158" s="26">
        <v>756</v>
      </c>
      <c r="AB158" s="26">
        <v>749</v>
      </c>
      <c r="AC158" s="26">
        <v>748</v>
      </c>
      <c r="AD158" s="26">
        <v>772</v>
      </c>
      <c r="AE158" s="26">
        <v>737</v>
      </c>
      <c r="AF158" s="26">
        <v>810</v>
      </c>
      <c r="AG158" s="26">
        <v>770</v>
      </c>
      <c r="AH158" s="26">
        <v>768</v>
      </c>
      <c r="AI158" s="26">
        <v>747</v>
      </c>
      <c r="AJ158" s="26">
        <v>782</v>
      </c>
      <c r="AK158" s="26">
        <v>758</v>
      </c>
      <c r="AL158" s="26">
        <v>750</v>
      </c>
    </row>
    <row r="159" spans="1:43">
      <c r="A159" s="30">
        <v>102</v>
      </c>
      <c r="B159" s="30" t="s">
        <v>123</v>
      </c>
      <c r="C159" s="27">
        <v>72</v>
      </c>
      <c r="D159" s="44"/>
      <c r="E159" s="33">
        <f>표_악몽던전템위력[[#This Row],[ancestral dropped]]/표_악몽던전템위력[[#This Row],[rare+ dropped]]</f>
        <v>0.89473684210526316</v>
      </c>
      <c r="F159" s="47">
        <f>COUNT(표_악몽던전템위력[[#This Row],[item1]:[item46]])</f>
        <v>17</v>
      </c>
      <c r="G159" s="47">
        <v>19</v>
      </c>
      <c r="H159" s="48">
        <f>AVERAGE(표_악몽던전템위력[[#This Row],[item1]:[item46]])</f>
        <v>770.76470588235293</v>
      </c>
      <c r="I159" s="26">
        <v>774</v>
      </c>
      <c r="J159" s="26">
        <v>764</v>
      </c>
      <c r="K159" s="26">
        <v>751</v>
      </c>
      <c r="L159" s="26">
        <v>772</v>
      </c>
      <c r="M159" s="26">
        <v>779</v>
      </c>
      <c r="N159" s="26">
        <v>772</v>
      </c>
      <c r="O159" s="26">
        <v>757</v>
      </c>
      <c r="P159" s="26">
        <v>749</v>
      </c>
      <c r="Q159" s="26">
        <v>785</v>
      </c>
      <c r="R159" s="26">
        <v>761</v>
      </c>
      <c r="S159" s="26">
        <v>787</v>
      </c>
      <c r="T159" s="26">
        <v>796</v>
      </c>
      <c r="U159" s="26">
        <v>778</v>
      </c>
      <c r="V159" s="26">
        <v>756</v>
      </c>
      <c r="W159" s="26">
        <v>784</v>
      </c>
      <c r="X159" s="26">
        <v>768</v>
      </c>
      <c r="Y159" s="26">
        <v>770</v>
      </c>
    </row>
    <row r="160" spans="1:43">
      <c r="A160" s="30">
        <v>102</v>
      </c>
      <c r="B160" s="30" t="s">
        <v>9</v>
      </c>
      <c r="C160" s="27">
        <v>72</v>
      </c>
      <c r="D160" s="44"/>
      <c r="E160" s="33">
        <f>표_악몽던전템위력[[#This Row],[ancestral dropped]]/표_악몽던전템위력[[#This Row],[rare+ dropped]]</f>
        <v>1</v>
      </c>
      <c r="F160" s="47">
        <f>COUNT(표_악몽던전템위력[[#This Row],[item1]:[item46]])</f>
        <v>28</v>
      </c>
      <c r="G160" s="47">
        <v>28</v>
      </c>
      <c r="H160" s="48">
        <f>AVERAGE(표_악몽던전템위력[[#This Row],[item1]:[item46]])</f>
        <v>772.82142857142856</v>
      </c>
      <c r="I160" s="26">
        <v>781</v>
      </c>
      <c r="J160" s="26">
        <v>778</v>
      </c>
      <c r="K160" s="26">
        <v>748</v>
      </c>
      <c r="L160" s="26">
        <v>793</v>
      </c>
      <c r="M160" s="26">
        <v>800</v>
      </c>
      <c r="N160" s="26">
        <v>796</v>
      </c>
      <c r="O160" s="26">
        <v>775</v>
      </c>
      <c r="P160" s="26">
        <v>774</v>
      </c>
      <c r="Q160" s="26">
        <v>769</v>
      </c>
      <c r="R160" s="26">
        <v>755</v>
      </c>
      <c r="S160" s="26">
        <v>741</v>
      </c>
      <c r="T160" s="26">
        <v>780</v>
      </c>
      <c r="U160" s="26">
        <v>777</v>
      </c>
      <c r="V160" s="26">
        <v>766</v>
      </c>
      <c r="W160" s="26">
        <v>756</v>
      </c>
      <c r="X160" s="26">
        <v>784</v>
      </c>
      <c r="Y160" s="26">
        <v>779</v>
      </c>
      <c r="Z160" s="26">
        <v>779</v>
      </c>
      <c r="AA160" s="26">
        <v>778</v>
      </c>
      <c r="AB160" s="26">
        <v>774</v>
      </c>
      <c r="AC160" s="26">
        <v>757</v>
      </c>
      <c r="AD160" s="26">
        <v>780</v>
      </c>
      <c r="AE160" s="26">
        <v>779</v>
      </c>
      <c r="AF160" s="26">
        <v>766</v>
      </c>
      <c r="AG160" s="26">
        <v>743</v>
      </c>
      <c r="AH160" s="26">
        <v>752</v>
      </c>
      <c r="AI160" s="26">
        <v>802</v>
      </c>
      <c r="AJ160" s="26">
        <v>777</v>
      </c>
    </row>
    <row r="161" spans="1:44">
      <c r="A161" s="26">
        <v>103</v>
      </c>
      <c r="B161" s="30" t="s">
        <v>150</v>
      </c>
      <c r="C161" s="27">
        <v>72</v>
      </c>
      <c r="D161" s="44"/>
      <c r="E161" s="33">
        <f>표_악몽던전템위력[[#This Row],[ancestral dropped]]/표_악몽던전템위력[[#This Row],[rare+ dropped]]</f>
        <v>0.92307692307692313</v>
      </c>
      <c r="F161" s="47">
        <f>COUNT(표_악몽던전템위력[[#This Row],[item1]:[item46]])</f>
        <v>36</v>
      </c>
      <c r="G161" s="47">
        <v>39</v>
      </c>
      <c r="H161" s="48">
        <f>AVERAGE(표_악몽던전템위력[[#This Row],[item1]:[item46]])</f>
        <v>771.30555555555554</v>
      </c>
      <c r="I161" s="26">
        <v>784</v>
      </c>
      <c r="J161" s="26">
        <v>784</v>
      </c>
      <c r="K161" s="26">
        <v>781</v>
      </c>
      <c r="L161" s="26">
        <v>765</v>
      </c>
      <c r="M161" s="26">
        <v>764</v>
      </c>
      <c r="N161" s="26">
        <v>757</v>
      </c>
      <c r="O161" s="26">
        <v>746</v>
      </c>
      <c r="P161" s="26">
        <v>777</v>
      </c>
      <c r="Q161" s="26">
        <v>747</v>
      </c>
      <c r="R161" s="26">
        <v>808</v>
      </c>
      <c r="S161" s="26">
        <v>782</v>
      </c>
      <c r="T161" s="26">
        <v>764</v>
      </c>
      <c r="U161" s="26">
        <v>762</v>
      </c>
      <c r="V161" s="26">
        <v>761</v>
      </c>
      <c r="W161" s="26">
        <v>758</v>
      </c>
      <c r="X161" s="26">
        <v>758</v>
      </c>
      <c r="Y161" s="26">
        <v>810</v>
      </c>
      <c r="Z161" s="26">
        <v>792</v>
      </c>
      <c r="AA161" s="26">
        <v>781</v>
      </c>
      <c r="AB161" s="26">
        <v>775</v>
      </c>
      <c r="AC161" s="26">
        <v>763</v>
      </c>
      <c r="AD161" s="26">
        <v>758</v>
      </c>
      <c r="AE161" s="26">
        <v>752</v>
      </c>
      <c r="AF161" s="26">
        <v>757</v>
      </c>
      <c r="AG161" s="26">
        <v>767</v>
      </c>
      <c r="AH161" s="26">
        <v>765</v>
      </c>
      <c r="AI161" s="26">
        <v>750</v>
      </c>
      <c r="AJ161" s="26">
        <v>756</v>
      </c>
      <c r="AK161" s="26">
        <v>751</v>
      </c>
      <c r="AL161" s="26">
        <v>804</v>
      </c>
      <c r="AM161" s="26">
        <v>765</v>
      </c>
      <c r="AN161" s="26">
        <v>786</v>
      </c>
      <c r="AO161" s="26">
        <v>780</v>
      </c>
      <c r="AP161" s="26">
        <v>780</v>
      </c>
      <c r="AQ161" s="26">
        <v>804</v>
      </c>
      <c r="AR161" s="26">
        <v>773</v>
      </c>
    </row>
    <row r="162" spans="1:44">
      <c r="A162" s="26">
        <v>103</v>
      </c>
      <c r="B162" s="30" t="s">
        <v>185</v>
      </c>
      <c r="C162" s="27">
        <v>72</v>
      </c>
      <c r="D162" s="44"/>
      <c r="E162" s="33">
        <f>표_악몽던전템위력[[#This Row],[ancestral dropped]]/표_악몽던전템위력[[#This Row],[rare+ dropped]]</f>
        <v>0.95833333333333337</v>
      </c>
      <c r="F162" s="47">
        <f>COUNT(표_악몽던전템위력[[#This Row],[item1]:[item46]])</f>
        <v>23</v>
      </c>
      <c r="G162" s="47">
        <v>24</v>
      </c>
      <c r="H162" s="48">
        <f>AVERAGE(표_악몽던전템위력[[#This Row],[item1]:[item46]])</f>
        <v>773.6521739130435</v>
      </c>
      <c r="I162" s="26">
        <v>782</v>
      </c>
      <c r="J162" s="26">
        <v>781</v>
      </c>
      <c r="K162" s="26">
        <v>767</v>
      </c>
      <c r="L162" s="26">
        <v>752</v>
      </c>
      <c r="M162" s="26">
        <v>809</v>
      </c>
      <c r="N162" s="26">
        <v>786</v>
      </c>
      <c r="O162" s="26">
        <v>786</v>
      </c>
      <c r="P162" s="26">
        <v>759</v>
      </c>
      <c r="Q162" s="26">
        <v>756</v>
      </c>
      <c r="R162" s="26">
        <v>754</v>
      </c>
      <c r="S162" s="26">
        <v>764</v>
      </c>
      <c r="T162" s="26">
        <v>768</v>
      </c>
      <c r="U162" s="26">
        <v>799</v>
      </c>
      <c r="V162" s="26">
        <v>798</v>
      </c>
      <c r="W162" s="26">
        <v>783</v>
      </c>
      <c r="X162" s="26">
        <v>778</v>
      </c>
      <c r="Y162" s="26">
        <v>773</v>
      </c>
      <c r="Z162" s="26">
        <v>767</v>
      </c>
      <c r="AA162" s="26">
        <v>759</v>
      </c>
      <c r="AB162" s="26">
        <v>744</v>
      </c>
      <c r="AC162" s="26">
        <v>792</v>
      </c>
      <c r="AD162" s="26">
        <v>782</v>
      </c>
      <c r="AE162" s="26">
        <v>755</v>
      </c>
    </row>
    <row r="163" spans="1:44">
      <c r="A163" s="30">
        <v>102</v>
      </c>
      <c r="B163" s="30" t="s">
        <v>150</v>
      </c>
      <c r="C163" s="27">
        <v>73</v>
      </c>
      <c r="D163" s="44"/>
      <c r="E163" s="33">
        <f>표_악몽던전템위력[[#This Row],[ancestral dropped]]/표_악몽던전템위력[[#This Row],[rare+ dropped]]</f>
        <v>0.94594594594594594</v>
      </c>
      <c r="F163" s="47">
        <f>COUNT(표_악몽던전템위력[[#This Row],[item1]:[item46]])</f>
        <v>35</v>
      </c>
      <c r="G163" s="47">
        <v>37</v>
      </c>
      <c r="H163" s="48">
        <f>AVERAGE(표_악몽던전템위력[[#This Row],[item1]:[item46]])</f>
        <v>767.57142857142856</v>
      </c>
      <c r="I163" s="26">
        <v>766</v>
      </c>
      <c r="J163" s="26">
        <v>764</v>
      </c>
      <c r="K163" s="26">
        <v>778</v>
      </c>
      <c r="L163" s="26">
        <v>752</v>
      </c>
      <c r="M163" s="26">
        <v>791</v>
      </c>
      <c r="N163" s="26">
        <v>781</v>
      </c>
      <c r="O163" s="26">
        <v>779</v>
      </c>
      <c r="P163" s="26">
        <v>777</v>
      </c>
      <c r="Q163" s="26">
        <v>765</v>
      </c>
      <c r="R163" s="26">
        <v>800</v>
      </c>
      <c r="S163" s="26">
        <v>794</v>
      </c>
      <c r="T163" s="26">
        <v>786</v>
      </c>
      <c r="U163" s="26">
        <v>783</v>
      </c>
      <c r="V163" s="26">
        <v>771</v>
      </c>
      <c r="W163" s="26">
        <v>761</v>
      </c>
      <c r="X163" s="26">
        <v>756</v>
      </c>
      <c r="Y163" s="26">
        <v>755</v>
      </c>
      <c r="Z163" s="26">
        <v>744</v>
      </c>
      <c r="AA163" s="26">
        <v>791</v>
      </c>
      <c r="AB163" s="26">
        <v>772</v>
      </c>
      <c r="AC163" s="26">
        <v>809</v>
      </c>
      <c r="AD163" s="26">
        <v>769</v>
      </c>
      <c r="AE163" s="26">
        <v>764</v>
      </c>
      <c r="AF163" s="26">
        <v>761</v>
      </c>
      <c r="AG163" s="26">
        <v>761</v>
      </c>
      <c r="AH163" s="26">
        <v>745</v>
      </c>
      <c r="AI163" s="26">
        <v>737</v>
      </c>
      <c r="AJ163" s="26">
        <v>749</v>
      </c>
      <c r="AK163" s="26">
        <v>735</v>
      </c>
      <c r="AL163" s="26">
        <v>770</v>
      </c>
      <c r="AM163" s="26">
        <v>746</v>
      </c>
      <c r="AN163" s="26">
        <v>794</v>
      </c>
      <c r="AO163" s="26">
        <v>734</v>
      </c>
      <c r="AP163" s="26">
        <v>751</v>
      </c>
      <c r="AQ163" s="26">
        <v>774</v>
      </c>
    </row>
    <row r="164" spans="1:44">
      <c r="A164" s="30">
        <v>102</v>
      </c>
      <c r="B164" s="30" t="s">
        <v>30</v>
      </c>
      <c r="C164" s="27">
        <v>73</v>
      </c>
      <c r="D164" s="44"/>
      <c r="E164" s="33">
        <f>표_악몽던전템위력[[#This Row],[ancestral dropped]]/표_악몽던전템위력[[#This Row],[rare+ dropped]]</f>
        <v>0.95238095238095233</v>
      </c>
      <c r="F164" s="47">
        <f>COUNT(표_악몽던전템위력[[#This Row],[item1]:[item46]])</f>
        <v>20</v>
      </c>
      <c r="G164" s="47">
        <v>21</v>
      </c>
      <c r="H164" s="48">
        <f>AVERAGE(표_악몽던전템위력[[#This Row],[item1]:[item46]])</f>
        <v>771.15</v>
      </c>
      <c r="I164" s="26">
        <v>787</v>
      </c>
      <c r="J164" s="26">
        <v>777</v>
      </c>
      <c r="K164" s="26">
        <v>770</v>
      </c>
      <c r="L164" s="26">
        <v>762</v>
      </c>
      <c r="M164" s="26">
        <v>758</v>
      </c>
      <c r="N164" s="26">
        <v>797</v>
      </c>
      <c r="O164" s="26">
        <v>777</v>
      </c>
      <c r="P164" s="26">
        <v>742</v>
      </c>
      <c r="Q164" s="26">
        <v>798</v>
      </c>
      <c r="R164" s="26">
        <v>795</v>
      </c>
      <c r="S164" s="26">
        <v>783</v>
      </c>
      <c r="T164" s="26">
        <v>750</v>
      </c>
      <c r="U164" s="26">
        <v>774</v>
      </c>
      <c r="V164" s="26">
        <v>796</v>
      </c>
      <c r="W164" s="26">
        <v>785</v>
      </c>
      <c r="X164" s="26">
        <v>763</v>
      </c>
      <c r="Y164" s="26">
        <v>747</v>
      </c>
      <c r="Z164" s="26">
        <v>745</v>
      </c>
      <c r="AA164" s="26">
        <v>783</v>
      </c>
      <c r="AB164" s="26">
        <v>734</v>
      </c>
    </row>
    <row r="165" spans="1:44">
      <c r="A165" s="30">
        <v>102</v>
      </c>
      <c r="B165" s="30" t="s">
        <v>150</v>
      </c>
      <c r="C165" s="27">
        <v>73</v>
      </c>
      <c r="D165" s="44"/>
      <c r="E165" s="33">
        <f>표_악몽던전템위력[[#This Row],[ancestral dropped]]/표_악몽던전템위력[[#This Row],[rare+ dropped]]</f>
        <v>0.97058823529411764</v>
      </c>
      <c r="F165" s="47">
        <f>COUNT(표_악몽던전템위력[[#This Row],[item1]:[item46]])</f>
        <v>33</v>
      </c>
      <c r="G165" s="47">
        <v>34</v>
      </c>
      <c r="H165" s="48">
        <f>AVERAGE(표_악몽던전템위력[[#This Row],[item1]:[item46]])</f>
        <v>774.81818181818187</v>
      </c>
      <c r="I165" s="26">
        <v>773</v>
      </c>
      <c r="J165" s="26">
        <v>779</v>
      </c>
      <c r="K165" s="26">
        <v>804</v>
      </c>
      <c r="L165" s="26">
        <v>778</v>
      </c>
      <c r="M165" s="26">
        <v>794</v>
      </c>
      <c r="N165" s="26">
        <v>791</v>
      </c>
      <c r="O165" s="26">
        <v>788</v>
      </c>
      <c r="P165" s="26">
        <v>787</v>
      </c>
      <c r="Q165" s="26">
        <v>784</v>
      </c>
      <c r="R165" s="26">
        <v>768</v>
      </c>
      <c r="S165" s="26">
        <v>767</v>
      </c>
      <c r="T165" s="26">
        <v>754</v>
      </c>
      <c r="U165" s="26">
        <v>751</v>
      </c>
      <c r="V165" s="26">
        <v>744</v>
      </c>
      <c r="W165" s="26">
        <v>740</v>
      </c>
      <c r="X165" s="26">
        <v>795</v>
      </c>
      <c r="Y165" s="26">
        <v>789</v>
      </c>
      <c r="Z165" s="26">
        <v>780</v>
      </c>
      <c r="AA165" s="26">
        <v>777</v>
      </c>
      <c r="AB165" s="26">
        <v>774</v>
      </c>
      <c r="AC165" s="26">
        <v>772</v>
      </c>
      <c r="AD165" s="26">
        <v>765</v>
      </c>
      <c r="AE165" s="26">
        <v>763</v>
      </c>
      <c r="AF165" s="26">
        <v>785</v>
      </c>
      <c r="AG165" s="26">
        <v>778</v>
      </c>
      <c r="AH165" s="26">
        <v>767</v>
      </c>
      <c r="AI165" s="26">
        <v>760</v>
      </c>
      <c r="AJ165" s="26">
        <v>790</v>
      </c>
      <c r="AK165" s="26">
        <v>783</v>
      </c>
      <c r="AL165" s="26">
        <v>768</v>
      </c>
      <c r="AM165" s="26">
        <v>757</v>
      </c>
      <c r="AN165" s="26">
        <v>806</v>
      </c>
      <c r="AO165" s="26">
        <v>758</v>
      </c>
    </row>
    <row r="166" spans="1:44">
      <c r="A166" s="30">
        <v>102</v>
      </c>
      <c r="B166" s="30" t="s">
        <v>13</v>
      </c>
      <c r="C166" s="27">
        <v>74</v>
      </c>
      <c r="D166" s="44"/>
      <c r="E166" s="33">
        <f>표_악몽던전템위력[[#This Row],[ancestral dropped]]/표_악몽던전템위력[[#This Row],[rare+ dropped]]</f>
        <v>0.95238095238095233</v>
      </c>
      <c r="F166" s="47">
        <f>COUNT(표_악몽던전템위력[[#This Row],[item1]:[item46]])</f>
        <v>20</v>
      </c>
      <c r="G166" s="47">
        <v>21</v>
      </c>
      <c r="H166" s="48">
        <f>AVERAGE(표_악몽던전템위력[[#This Row],[item1]:[item46]])</f>
        <v>769.05</v>
      </c>
      <c r="I166" s="26">
        <v>778</v>
      </c>
      <c r="J166" s="26">
        <v>795</v>
      </c>
      <c r="K166" s="26">
        <v>771</v>
      </c>
      <c r="L166" s="26">
        <v>766</v>
      </c>
      <c r="M166" s="26">
        <v>814</v>
      </c>
      <c r="N166" s="26">
        <v>763</v>
      </c>
      <c r="O166" s="26">
        <v>761</v>
      </c>
      <c r="P166" s="26">
        <v>769</v>
      </c>
      <c r="Q166" s="26">
        <v>761</v>
      </c>
      <c r="R166" s="26">
        <v>757</v>
      </c>
      <c r="S166" s="26">
        <v>776</v>
      </c>
      <c r="T166" s="26">
        <v>747</v>
      </c>
      <c r="U166" s="26">
        <v>733</v>
      </c>
      <c r="V166" s="26">
        <v>760</v>
      </c>
      <c r="W166" s="26">
        <v>761</v>
      </c>
      <c r="X166" s="26">
        <v>759</v>
      </c>
      <c r="Y166" s="26">
        <v>766</v>
      </c>
      <c r="Z166" s="26">
        <v>787</v>
      </c>
      <c r="AA166" s="26">
        <v>782</v>
      </c>
      <c r="AB166" s="26">
        <v>775</v>
      </c>
    </row>
    <row r="167" spans="1:44">
      <c r="A167" s="30">
        <v>102</v>
      </c>
      <c r="B167" s="30" t="s">
        <v>133</v>
      </c>
      <c r="C167" s="27">
        <v>74</v>
      </c>
      <c r="D167" s="44"/>
      <c r="E167" s="33">
        <f>표_악몽던전템위력[[#This Row],[ancestral dropped]]/표_악몽던전템위력[[#This Row],[rare+ dropped]]</f>
        <v>0.92</v>
      </c>
      <c r="F167" s="47">
        <f>COUNT(표_악몽던전템위력[[#This Row],[item1]:[item46]])</f>
        <v>23</v>
      </c>
      <c r="G167" s="47">
        <v>25</v>
      </c>
      <c r="H167" s="48">
        <f>AVERAGE(표_악몽던전템위력[[#This Row],[item1]:[item46]])</f>
        <v>772.82608695652175</v>
      </c>
      <c r="I167" s="26">
        <v>765</v>
      </c>
      <c r="J167" s="26">
        <v>793</v>
      </c>
      <c r="K167" s="26">
        <v>780</v>
      </c>
      <c r="L167" s="26">
        <v>778</v>
      </c>
      <c r="M167" s="26">
        <v>777</v>
      </c>
      <c r="N167" s="26">
        <v>767</v>
      </c>
      <c r="O167" s="26">
        <v>762</v>
      </c>
      <c r="P167" s="26">
        <v>793</v>
      </c>
      <c r="Q167" s="26">
        <v>780</v>
      </c>
      <c r="R167" s="26">
        <v>755</v>
      </c>
      <c r="S167" s="26">
        <v>797</v>
      </c>
      <c r="T167" s="26">
        <v>779</v>
      </c>
      <c r="U167" s="26">
        <v>777</v>
      </c>
      <c r="V167" s="26">
        <v>756</v>
      </c>
      <c r="W167" s="26">
        <v>756</v>
      </c>
      <c r="X167" s="26">
        <v>791</v>
      </c>
      <c r="Y167" s="26">
        <v>788</v>
      </c>
      <c r="Z167" s="26">
        <v>771</v>
      </c>
      <c r="AA167" s="26">
        <v>738</v>
      </c>
      <c r="AB167" s="26">
        <v>776</v>
      </c>
      <c r="AC167" s="26">
        <v>795</v>
      </c>
      <c r="AD167" s="26">
        <v>775</v>
      </c>
      <c r="AE167" s="26">
        <v>726</v>
      </c>
    </row>
    <row r="168" spans="1:44">
      <c r="A168" s="30">
        <v>102</v>
      </c>
      <c r="B168" s="30" t="s">
        <v>121</v>
      </c>
      <c r="C168" s="27">
        <v>74</v>
      </c>
      <c r="D168" s="44"/>
      <c r="E168" s="33">
        <f>표_악몽던전템위력[[#This Row],[ancestral dropped]]/표_악몽던전템위력[[#This Row],[rare+ dropped]]</f>
        <v>0.91304347826086951</v>
      </c>
      <c r="F168" s="47">
        <f>COUNT(표_악몽던전템위력[[#This Row],[item1]:[item46]])</f>
        <v>21</v>
      </c>
      <c r="G168" s="47">
        <v>23</v>
      </c>
      <c r="H168" s="48">
        <f>AVERAGE(표_악몽던전템위력[[#This Row],[item1]:[item46]])</f>
        <v>774.52380952380952</v>
      </c>
      <c r="I168" s="26">
        <v>792</v>
      </c>
      <c r="J168" s="26">
        <v>783</v>
      </c>
      <c r="K168" s="26">
        <v>790</v>
      </c>
      <c r="L168" s="26">
        <v>775</v>
      </c>
      <c r="M168" s="26">
        <v>768</v>
      </c>
      <c r="N168" s="26">
        <v>809</v>
      </c>
      <c r="O168" s="26">
        <v>791</v>
      </c>
      <c r="P168" s="26">
        <v>777</v>
      </c>
      <c r="Q168" s="26">
        <v>769</v>
      </c>
      <c r="R168" s="26">
        <v>766</v>
      </c>
      <c r="S168" s="26">
        <v>744</v>
      </c>
      <c r="T168" s="26">
        <v>780</v>
      </c>
      <c r="U168" s="26">
        <v>783</v>
      </c>
      <c r="V168" s="26">
        <v>771</v>
      </c>
      <c r="W168" s="26">
        <v>771</v>
      </c>
      <c r="X168" s="26">
        <v>770</v>
      </c>
      <c r="Y168" s="26">
        <v>763</v>
      </c>
      <c r="Z168" s="26">
        <v>743</v>
      </c>
      <c r="AA168" s="26">
        <v>790</v>
      </c>
      <c r="AB168" s="26">
        <v>771</v>
      </c>
      <c r="AC168" s="26">
        <v>759</v>
      </c>
    </row>
    <row r="169" spans="1:44">
      <c r="A169" s="30">
        <v>102</v>
      </c>
      <c r="B169" s="30" t="s">
        <v>146</v>
      </c>
      <c r="C169" s="27">
        <v>74</v>
      </c>
      <c r="D169" s="44">
        <v>1</v>
      </c>
      <c r="E169" s="33">
        <f>표_악몽던전템위력[[#This Row],[ancestral dropped]]/표_악몽던전템위력[[#This Row],[rare+ dropped]]</f>
        <v>0.96296296296296291</v>
      </c>
      <c r="F169" s="47">
        <f>COUNT(표_악몽던전템위력[[#This Row],[item1]:[item46]])</f>
        <v>26</v>
      </c>
      <c r="G169" s="47">
        <v>27</v>
      </c>
      <c r="H169" s="48">
        <f>AVERAGE(표_악몽던전템위력[[#This Row],[item1]:[item46]])</f>
        <v>775.26923076923072</v>
      </c>
      <c r="I169" s="26">
        <v>773</v>
      </c>
      <c r="J169" s="26">
        <v>770</v>
      </c>
      <c r="K169" s="26">
        <v>763</v>
      </c>
      <c r="L169" s="26">
        <v>785</v>
      </c>
      <c r="M169" s="26">
        <v>784</v>
      </c>
      <c r="N169" s="26">
        <v>780</v>
      </c>
      <c r="O169" s="26">
        <v>775</v>
      </c>
      <c r="P169" s="26">
        <v>770</v>
      </c>
      <c r="Q169" s="26">
        <v>769</v>
      </c>
      <c r="R169" s="26">
        <v>767</v>
      </c>
      <c r="S169" s="26">
        <v>745</v>
      </c>
      <c r="T169" s="26">
        <v>744</v>
      </c>
      <c r="U169" s="26">
        <v>741</v>
      </c>
      <c r="V169" s="26">
        <v>787</v>
      </c>
      <c r="W169" s="26">
        <v>777</v>
      </c>
      <c r="X169" s="26">
        <v>774</v>
      </c>
      <c r="Y169" s="26">
        <v>763</v>
      </c>
      <c r="Z169" s="26">
        <v>802</v>
      </c>
      <c r="AA169" s="26">
        <v>796</v>
      </c>
      <c r="AB169" s="26">
        <v>788</v>
      </c>
      <c r="AC169" s="26">
        <v>784</v>
      </c>
      <c r="AD169" s="26">
        <v>780</v>
      </c>
      <c r="AE169" s="26">
        <v>807</v>
      </c>
      <c r="AF169" s="26">
        <v>777</v>
      </c>
      <c r="AG169" s="26">
        <v>781</v>
      </c>
      <c r="AH169" s="26">
        <v>775</v>
      </c>
    </row>
    <row r="170" spans="1:44">
      <c r="A170" s="30">
        <v>102</v>
      </c>
      <c r="B170" s="30" t="s">
        <v>150</v>
      </c>
      <c r="C170" s="27">
        <v>74</v>
      </c>
      <c r="D170" s="44">
        <v>1</v>
      </c>
      <c r="E170" s="33">
        <f>표_악몽던전템위력[[#This Row],[ancestral dropped]]/표_악몽던전템위력[[#This Row],[rare+ dropped]]</f>
        <v>0.73529411764705888</v>
      </c>
      <c r="F170" s="47">
        <f>COUNT(표_악몽던전템위력[[#This Row],[item1]:[item46]])</f>
        <v>25</v>
      </c>
      <c r="G170" s="47">
        <v>34</v>
      </c>
      <c r="H170" s="48">
        <f>AVERAGE(표_악몽던전템위력[[#This Row],[item1]:[item46]])</f>
        <v>771.12</v>
      </c>
      <c r="I170" s="26">
        <v>781</v>
      </c>
      <c r="J170" s="26">
        <v>778</v>
      </c>
      <c r="K170" s="26">
        <v>764</v>
      </c>
      <c r="L170" s="26">
        <v>796</v>
      </c>
      <c r="M170" s="26">
        <v>789</v>
      </c>
      <c r="N170" s="26">
        <v>771</v>
      </c>
      <c r="O170" s="26">
        <v>769</v>
      </c>
      <c r="P170" s="26">
        <v>767</v>
      </c>
      <c r="Q170" s="26">
        <v>760</v>
      </c>
      <c r="R170" s="26">
        <v>750</v>
      </c>
      <c r="S170" s="26">
        <v>746</v>
      </c>
      <c r="T170" s="26">
        <v>745</v>
      </c>
      <c r="U170" s="26">
        <v>796</v>
      </c>
      <c r="V170" s="26">
        <v>784</v>
      </c>
      <c r="W170" s="26">
        <v>775</v>
      </c>
      <c r="X170" s="26">
        <v>766</v>
      </c>
      <c r="Y170" s="26">
        <v>777</v>
      </c>
      <c r="Z170" s="26">
        <v>749</v>
      </c>
      <c r="AA170" s="26">
        <v>786</v>
      </c>
      <c r="AB170" s="26">
        <v>764</v>
      </c>
      <c r="AC170" s="26">
        <v>753</v>
      </c>
      <c r="AD170" s="26">
        <v>805</v>
      </c>
      <c r="AE170" s="26">
        <v>785</v>
      </c>
      <c r="AF170" s="26">
        <v>773</v>
      </c>
      <c r="AG170" s="26">
        <v>749</v>
      </c>
    </row>
    <row r="171" spans="1:44">
      <c r="A171" s="30">
        <v>102</v>
      </c>
      <c r="B171" s="30" t="s">
        <v>138</v>
      </c>
      <c r="C171" s="27">
        <v>75</v>
      </c>
      <c r="D171" s="44"/>
      <c r="E171" s="33">
        <f>표_악몽던전템위력[[#This Row],[ancestral dropped]]/표_악몽던전템위력[[#This Row],[rare+ dropped]]</f>
        <v>0.96969696969696972</v>
      </c>
      <c r="F171" s="47">
        <f>COUNT(표_악몽던전템위력[[#This Row],[item1]:[item46]])</f>
        <v>32</v>
      </c>
      <c r="G171" s="47">
        <v>33</v>
      </c>
      <c r="H171" s="48">
        <f>AVERAGE(표_악몽던전템위력[[#This Row],[item1]:[item46]])</f>
        <v>773.78125</v>
      </c>
      <c r="I171" s="26">
        <v>789</v>
      </c>
      <c r="J171" s="26">
        <v>774</v>
      </c>
      <c r="K171" s="26">
        <v>765</v>
      </c>
      <c r="L171" s="26">
        <v>758</v>
      </c>
      <c r="M171" s="26">
        <v>753</v>
      </c>
      <c r="N171" s="26">
        <v>739</v>
      </c>
      <c r="O171" s="26">
        <v>796</v>
      </c>
      <c r="P171" s="26">
        <v>787</v>
      </c>
      <c r="Q171" s="26">
        <v>771</v>
      </c>
      <c r="R171" s="26">
        <v>765</v>
      </c>
      <c r="S171" s="26">
        <v>743</v>
      </c>
      <c r="T171" s="26">
        <v>807</v>
      </c>
      <c r="U171" s="26">
        <v>782</v>
      </c>
      <c r="V171" s="26">
        <v>782</v>
      </c>
      <c r="W171" s="26">
        <v>779</v>
      </c>
      <c r="X171" s="26">
        <v>779</v>
      </c>
      <c r="Y171" s="26">
        <v>776</v>
      </c>
      <c r="Z171" s="26">
        <v>749</v>
      </c>
      <c r="AA171" s="26">
        <v>791</v>
      </c>
      <c r="AB171" s="26">
        <v>789</v>
      </c>
      <c r="AC171" s="26">
        <v>781</v>
      </c>
      <c r="AD171" s="26">
        <v>793</v>
      </c>
      <c r="AE171" s="26">
        <v>789</v>
      </c>
      <c r="AF171" s="26">
        <v>773</v>
      </c>
      <c r="AG171" s="26">
        <v>746</v>
      </c>
      <c r="AH171" s="26">
        <v>792</v>
      </c>
      <c r="AI171" s="26">
        <v>791</v>
      </c>
      <c r="AJ171" s="26">
        <v>763</v>
      </c>
      <c r="AK171" s="26">
        <v>779</v>
      </c>
      <c r="AL171" s="26">
        <v>757</v>
      </c>
      <c r="AM171" s="26">
        <v>783</v>
      </c>
      <c r="AN171" s="26">
        <v>740</v>
      </c>
    </row>
    <row r="172" spans="1:44">
      <c r="A172" s="30">
        <v>102</v>
      </c>
      <c r="B172" s="30" t="s">
        <v>144</v>
      </c>
      <c r="C172" s="27">
        <v>75</v>
      </c>
      <c r="D172" s="44"/>
      <c r="E172" s="33">
        <f>표_악몽던전템위력[[#This Row],[ancestral dropped]]/표_악몽던전템위력[[#This Row],[rare+ dropped]]</f>
        <v>0.9642857142857143</v>
      </c>
      <c r="F172" s="47">
        <f>COUNT(표_악몽던전템위력[[#This Row],[item1]:[item46]])</f>
        <v>27</v>
      </c>
      <c r="G172" s="47">
        <v>28</v>
      </c>
      <c r="H172" s="48">
        <f>AVERAGE(표_악몽던전템위력[[#This Row],[item1]:[item46]])</f>
        <v>775.25925925925924</v>
      </c>
      <c r="I172" s="26">
        <v>773</v>
      </c>
      <c r="J172" s="26">
        <v>767</v>
      </c>
      <c r="K172" s="26">
        <v>778</v>
      </c>
      <c r="L172" s="26">
        <v>784</v>
      </c>
      <c r="M172" s="26">
        <v>782</v>
      </c>
      <c r="N172" s="26">
        <v>774</v>
      </c>
      <c r="O172" s="26">
        <v>784</v>
      </c>
      <c r="P172" s="26">
        <v>771</v>
      </c>
      <c r="Q172" s="26">
        <v>770</v>
      </c>
      <c r="R172" s="26">
        <v>769</v>
      </c>
      <c r="S172" s="26">
        <v>804</v>
      </c>
      <c r="T172" s="26">
        <v>794</v>
      </c>
      <c r="U172" s="26">
        <v>787</v>
      </c>
      <c r="V172" s="26">
        <v>784</v>
      </c>
      <c r="W172" s="26">
        <v>778</v>
      </c>
      <c r="X172" s="26">
        <v>773</v>
      </c>
      <c r="Y172" s="26">
        <v>756</v>
      </c>
      <c r="Z172" s="26">
        <v>788</v>
      </c>
      <c r="AA172" s="26">
        <v>783</v>
      </c>
      <c r="AB172" s="26">
        <v>766</v>
      </c>
      <c r="AC172" s="26">
        <v>784</v>
      </c>
      <c r="AD172" s="26">
        <v>773</v>
      </c>
      <c r="AE172" s="26">
        <v>764</v>
      </c>
      <c r="AF172" s="26">
        <v>759</v>
      </c>
      <c r="AG172" s="26">
        <v>784</v>
      </c>
      <c r="AH172" s="26">
        <v>762</v>
      </c>
      <c r="AI172" s="26">
        <v>741</v>
      </c>
    </row>
    <row r="173" spans="1:44">
      <c r="A173" s="30">
        <v>102</v>
      </c>
      <c r="B173" s="30" t="s">
        <v>133</v>
      </c>
      <c r="C173" s="27">
        <v>76</v>
      </c>
      <c r="D173" s="44"/>
      <c r="E173" s="33">
        <f>표_악몽던전템위력[[#This Row],[ancestral dropped]]/표_악몽던전템위력[[#This Row],[rare+ dropped]]</f>
        <v>0.92</v>
      </c>
      <c r="F173" s="47">
        <f>COUNT(표_악몽던전템위력[[#This Row],[item1]:[item46]])</f>
        <v>23</v>
      </c>
      <c r="G173" s="47">
        <v>25</v>
      </c>
      <c r="H173" s="48">
        <f>AVERAGE(표_악몽던전템위력[[#This Row],[item1]:[item46]])</f>
        <v>776.695652173913</v>
      </c>
      <c r="I173" s="26">
        <v>803</v>
      </c>
      <c r="J173" s="26">
        <v>789</v>
      </c>
      <c r="K173" s="26">
        <v>784</v>
      </c>
      <c r="L173" s="26">
        <v>770</v>
      </c>
      <c r="M173" s="26">
        <v>761</v>
      </c>
      <c r="N173" s="26">
        <v>757</v>
      </c>
      <c r="O173" s="26">
        <v>766</v>
      </c>
      <c r="P173" s="26">
        <v>776</v>
      </c>
      <c r="Q173" s="26">
        <v>773</v>
      </c>
      <c r="R173" s="26">
        <v>762</v>
      </c>
      <c r="S173" s="26">
        <v>783</v>
      </c>
      <c r="T173" s="26">
        <v>760</v>
      </c>
      <c r="U173" s="26">
        <v>756</v>
      </c>
      <c r="V173" s="26">
        <v>785</v>
      </c>
      <c r="W173" s="26">
        <v>772</v>
      </c>
      <c r="X173" s="26">
        <v>756</v>
      </c>
      <c r="Y173" s="26">
        <v>783</v>
      </c>
      <c r="Z173" s="26">
        <v>764</v>
      </c>
      <c r="AA173" s="26">
        <v>790</v>
      </c>
      <c r="AB173" s="26">
        <v>804</v>
      </c>
      <c r="AC173" s="26">
        <v>800</v>
      </c>
      <c r="AD173" s="26">
        <v>815</v>
      </c>
      <c r="AE173" s="26">
        <v>755</v>
      </c>
    </row>
    <row r="174" spans="1:44">
      <c r="A174" s="30">
        <v>102</v>
      </c>
      <c r="B174" s="30" t="s">
        <v>13</v>
      </c>
      <c r="C174" s="27">
        <v>76</v>
      </c>
      <c r="D174" s="44"/>
      <c r="E174" s="33">
        <f>표_악몽던전템위력[[#This Row],[ancestral dropped]]/표_악몽던전템위력[[#This Row],[rare+ dropped]]</f>
        <v>0.96153846153846156</v>
      </c>
      <c r="F174" s="47">
        <f>COUNT(표_악몽던전템위력[[#This Row],[item1]:[item46]])</f>
        <v>25</v>
      </c>
      <c r="G174" s="47">
        <v>26</v>
      </c>
      <c r="H174" s="48">
        <f>AVERAGE(표_악몽던전템위력[[#This Row],[item1]:[item46]])</f>
        <v>772.68</v>
      </c>
      <c r="I174" s="26">
        <v>812</v>
      </c>
      <c r="J174" s="26">
        <v>780</v>
      </c>
      <c r="K174" s="26">
        <v>770</v>
      </c>
      <c r="L174" s="26">
        <v>741</v>
      </c>
      <c r="M174" s="26">
        <v>771</v>
      </c>
      <c r="N174" s="26">
        <v>771</v>
      </c>
      <c r="O174" s="26">
        <v>758</v>
      </c>
      <c r="P174" s="26">
        <v>757</v>
      </c>
      <c r="Q174" s="26">
        <v>744</v>
      </c>
      <c r="R174" s="26">
        <v>790</v>
      </c>
      <c r="S174" s="26">
        <v>774</v>
      </c>
      <c r="T174" s="26">
        <v>771</v>
      </c>
      <c r="U174" s="26">
        <v>765</v>
      </c>
      <c r="V174" s="26">
        <v>756</v>
      </c>
      <c r="W174" s="26">
        <v>781</v>
      </c>
      <c r="X174" s="26">
        <v>799</v>
      </c>
      <c r="Y174" s="26">
        <v>795</v>
      </c>
      <c r="Z174" s="26">
        <v>783</v>
      </c>
      <c r="AA174" s="26">
        <v>778</v>
      </c>
      <c r="AB174" s="26">
        <v>773</v>
      </c>
      <c r="AC174" s="26">
        <v>764</v>
      </c>
      <c r="AD174" s="26">
        <v>762</v>
      </c>
      <c r="AE174" s="26">
        <v>761</v>
      </c>
      <c r="AF174" s="26">
        <v>788</v>
      </c>
      <c r="AG174" s="26">
        <v>773</v>
      </c>
    </row>
    <row r="175" spans="1:44">
      <c r="A175" s="30">
        <v>102</v>
      </c>
      <c r="B175" s="30" t="s">
        <v>0</v>
      </c>
      <c r="C175" s="27">
        <v>76</v>
      </c>
      <c r="D175" s="44"/>
      <c r="E175" s="33">
        <f>표_악몽던전템위력[[#This Row],[ancestral dropped]]/표_악몽던전템위력[[#This Row],[rare+ dropped]]</f>
        <v>1</v>
      </c>
      <c r="F175" s="47">
        <f>COUNT(표_악몽던전템위력[[#This Row],[item1]:[item46]])</f>
        <v>25</v>
      </c>
      <c r="G175" s="47">
        <v>25</v>
      </c>
      <c r="H175" s="48">
        <f>AVERAGE(표_악몽던전템위력[[#This Row],[item1]:[item46]])</f>
        <v>766.04</v>
      </c>
      <c r="I175" s="26">
        <v>789</v>
      </c>
      <c r="J175" s="26">
        <v>778</v>
      </c>
      <c r="K175" s="26">
        <v>758</v>
      </c>
      <c r="L175" s="26">
        <v>757</v>
      </c>
      <c r="M175" s="26">
        <v>784</v>
      </c>
      <c r="N175" s="26">
        <v>764</v>
      </c>
      <c r="O175" s="26">
        <v>775</v>
      </c>
      <c r="P175" s="26">
        <v>784</v>
      </c>
      <c r="Q175" s="26">
        <v>764</v>
      </c>
      <c r="R175" s="26">
        <v>759</v>
      </c>
      <c r="S175" s="26">
        <v>759</v>
      </c>
      <c r="T175" s="26">
        <v>754</v>
      </c>
      <c r="U175" s="26">
        <v>791</v>
      </c>
      <c r="V175" s="26">
        <v>743</v>
      </c>
      <c r="W175" s="26">
        <v>787</v>
      </c>
      <c r="X175" s="26">
        <v>756</v>
      </c>
      <c r="Y175" s="26">
        <v>753</v>
      </c>
      <c r="Z175" s="26">
        <v>799</v>
      </c>
      <c r="AA175" s="26">
        <v>766</v>
      </c>
      <c r="AB175" s="26">
        <v>750</v>
      </c>
      <c r="AC175" s="26">
        <v>776</v>
      </c>
      <c r="AD175" s="26">
        <v>745</v>
      </c>
      <c r="AE175" s="26">
        <v>758</v>
      </c>
      <c r="AF175" s="26">
        <v>746</v>
      </c>
      <c r="AG175" s="26">
        <v>756</v>
      </c>
    </row>
    <row r="176" spans="1:44">
      <c r="A176" s="30">
        <v>102</v>
      </c>
      <c r="B176" s="30" t="s">
        <v>120</v>
      </c>
      <c r="C176" s="27">
        <v>76</v>
      </c>
      <c r="D176" s="44"/>
      <c r="E176" s="33">
        <f>표_악몽던전템위력[[#This Row],[ancestral dropped]]/표_악몽던전템위력[[#This Row],[rare+ dropped]]</f>
        <v>1</v>
      </c>
      <c r="F176" s="47">
        <f>COUNT(표_악몽던전템위력[[#This Row],[item1]:[item46]])</f>
        <v>14</v>
      </c>
      <c r="G176" s="47">
        <v>14</v>
      </c>
      <c r="H176" s="48">
        <f>AVERAGE(표_악몽던전템위력[[#This Row],[item1]:[item46]])</f>
        <v>768</v>
      </c>
      <c r="I176" s="26">
        <v>797</v>
      </c>
      <c r="J176" s="26">
        <v>773</v>
      </c>
      <c r="K176" s="26">
        <v>766</v>
      </c>
      <c r="L176" s="26">
        <v>795</v>
      </c>
      <c r="M176" s="26">
        <v>756</v>
      </c>
      <c r="N176" s="26">
        <v>777</v>
      </c>
      <c r="O176" s="26">
        <v>741</v>
      </c>
      <c r="P176" s="26">
        <v>735</v>
      </c>
      <c r="Q176" s="26">
        <v>777</v>
      </c>
      <c r="R176" s="26">
        <v>732</v>
      </c>
      <c r="S176" s="26">
        <v>791</v>
      </c>
      <c r="T176" s="26">
        <v>750</v>
      </c>
      <c r="U176" s="26">
        <v>761</v>
      </c>
      <c r="V176" s="26">
        <v>801</v>
      </c>
    </row>
    <row r="177" spans="1:49">
      <c r="A177" s="30">
        <v>102</v>
      </c>
      <c r="B177" s="30" t="s">
        <v>138</v>
      </c>
      <c r="C177" s="27">
        <v>77</v>
      </c>
      <c r="D177" s="44"/>
      <c r="E177" s="33">
        <f>표_악몽던전템위력[[#This Row],[ancestral dropped]]/표_악몽던전템위력[[#This Row],[rare+ dropped]]</f>
        <v>1</v>
      </c>
      <c r="F177" s="47">
        <f>COUNT(표_악몽던전템위력[[#This Row],[item1]:[item46]])</f>
        <v>41</v>
      </c>
      <c r="G177" s="47">
        <v>41</v>
      </c>
      <c r="H177" s="48">
        <f>AVERAGE(표_악몽던전템위력[[#This Row],[item1]:[item46]])</f>
        <v>770.53658536585363</v>
      </c>
      <c r="I177" s="26">
        <v>789</v>
      </c>
      <c r="J177" s="26">
        <v>784</v>
      </c>
      <c r="K177" s="26">
        <v>764</v>
      </c>
      <c r="L177" s="26">
        <v>761</v>
      </c>
      <c r="M177" s="26">
        <v>756</v>
      </c>
      <c r="N177" s="26">
        <v>784</v>
      </c>
      <c r="O177" s="26">
        <v>763</v>
      </c>
      <c r="P177" s="26">
        <v>763</v>
      </c>
      <c r="Q177" s="26">
        <v>755</v>
      </c>
      <c r="R177" s="26">
        <v>783</v>
      </c>
      <c r="S177" s="26">
        <v>768</v>
      </c>
      <c r="T177" s="26">
        <v>738</v>
      </c>
      <c r="U177" s="26">
        <v>780</v>
      </c>
      <c r="V177" s="26">
        <v>779</v>
      </c>
      <c r="W177" s="26">
        <v>776</v>
      </c>
      <c r="X177" s="26">
        <v>773</v>
      </c>
      <c r="Y177" s="26">
        <v>764</v>
      </c>
      <c r="Z177" s="26">
        <v>761</v>
      </c>
      <c r="AA177" s="26">
        <v>759</v>
      </c>
      <c r="AB177" s="26">
        <v>731</v>
      </c>
      <c r="AC177" s="26">
        <v>783</v>
      </c>
      <c r="AD177" s="26">
        <v>781</v>
      </c>
      <c r="AE177" s="26">
        <v>771</v>
      </c>
      <c r="AF177" s="26">
        <v>768</v>
      </c>
      <c r="AG177" s="26">
        <v>767</v>
      </c>
      <c r="AH177" s="26">
        <v>758</v>
      </c>
      <c r="AI177" s="26">
        <v>780</v>
      </c>
      <c r="AJ177" s="26">
        <v>774</v>
      </c>
      <c r="AK177" s="26">
        <v>762</v>
      </c>
      <c r="AL177" s="26">
        <v>754</v>
      </c>
      <c r="AM177" s="26">
        <v>798</v>
      </c>
      <c r="AN177" s="26">
        <v>779</v>
      </c>
      <c r="AO177" s="26">
        <v>748</v>
      </c>
      <c r="AP177" s="26">
        <v>759</v>
      </c>
      <c r="AQ177" s="26">
        <v>765</v>
      </c>
      <c r="AR177" s="26">
        <v>764</v>
      </c>
      <c r="AS177" s="26">
        <v>764</v>
      </c>
      <c r="AT177" s="26">
        <v>788</v>
      </c>
      <c r="AU177" s="26">
        <v>792</v>
      </c>
      <c r="AV177" s="26">
        <v>814</v>
      </c>
      <c r="AW177" s="26">
        <v>792</v>
      </c>
    </row>
    <row r="178" spans="1:49">
      <c r="A178" s="30">
        <v>102</v>
      </c>
      <c r="B178" s="30" t="s">
        <v>144</v>
      </c>
      <c r="C178" s="27">
        <v>77</v>
      </c>
      <c r="D178" s="44"/>
      <c r="E178" s="33">
        <f>표_악몽던전템위력[[#This Row],[ancestral dropped]]/표_악몽던전템위력[[#This Row],[rare+ dropped]]</f>
        <v>0.94736842105263153</v>
      </c>
      <c r="F178" s="47">
        <f>COUNT(표_악몽던전템위력[[#This Row],[item1]:[item46]])</f>
        <v>18</v>
      </c>
      <c r="G178" s="47">
        <v>19</v>
      </c>
      <c r="H178" s="48">
        <f>AVERAGE(표_악몽던전템위력[[#This Row],[item1]:[item46]])</f>
        <v>775.88888888888891</v>
      </c>
      <c r="I178" s="26">
        <v>792</v>
      </c>
      <c r="J178" s="26">
        <v>792</v>
      </c>
      <c r="K178" s="26">
        <v>774</v>
      </c>
      <c r="L178" s="26">
        <v>728</v>
      </c>
      <c r="M178" s="26">
        <v>800</v>
      </c>
      <c r="N178" s="26">
        <v>779</v>
      </c>
      <c r="O178" s="26">
        <v>773</v>
      </c>
      <c r="P178" s="26">
        <v>770</v>
      </c>
      <c r="Q178" s="26">
        <v>767</v>
      </c>
      <c r="R178" s="26">
        <v>787</v>
      </c>
      <c r="S178" s="26">
        <v>784</v>
      </c>
      <c r="T178" s="26">
        <v>763</v>
      </c>
      <c r="U178" s="26">
        <v>761</v>
      </c>
      <c r="V178" s="26">
        <v>797</v>
      </c>
      <c r="W178" s="26">
        <v>787</v>
      </c>
      <c r="X178" s="26">
        <v>787</v>
      </c>
      <c r="Y178" s="26">
        <v>779</v>
      </c>
      <c r="Z178" s="26">
        <v>746</v>
      </c>
    </row>
    <row r="179" spans="1:49">
      <c r="A179" s="30">
        <v>102</v>
      </c>
      <c r="B179" s="30" t="s">
        <v>133</v>
      </c>
      <c r="C179" s="27">
        <v>77</v>
      </c>
      <c r="D179" s="44"/>
      <c r="E179" s="33">
        <f>표_악몽던전템위력[[#This Row],[ancestral dropped]]/표_악몽던전템위력[[#This Row],[rare+ dropped]]</f>
        <v>1</v>
      </c>
      <c r="F179" s="47">
        <f>COUNT(표_악몽던전템위력[[#This Row],[item1]:[item46]])</f>
        <v>20</v>
      </c>
      <c r="G179" s="47">
        <v>20</v>
      </c>
      <c r="H179" s="48">
        <f>AVERAGE(표_악몽던전템위력[[#This Row],[item1]:[item46]])</f>
        <v>775.95</v>
      </c>
      <c r="I179" s="26">
        <v>784</v>
      </c>
      <c r="J179" s="26">
        <v>772</v>
      </c>
      <c r="K179" s="26">
        <v>812</v>
      </c>
      <c r="L179" s="26">
        <v>788</v>
      </c>
      <c r="M179" s="26">
        <v>784</v>
      </c>
      <c r="N179" s="26">
        <v>751</v>
      </c>
      <c r="O179" s="26">
        <v>783</v>
      </c>
      <c r="P179" s="26">
        <v>781</v>
      </c>
      <c r="Q179" s="26">
        <v>772</v>
      </c>
      <c r="R179" s="26">
        <v>766</v>
      </c>
      <c r="S179" s="26">
        <v>766</v>
      </c>
      <c r="T179" s="26">
        <v>744</v>
      </c>
      <c r="U179" s="26">
        <v>810</v>
      </c>
      <c r="V179" s="26">
        <v>775</v>
      </c>
      <c r="W179" s="26">
        <v>774</v>
      </c>
      <c r="X179" s="26">
        <v>785</v>
      </c>
      <c r="Y179" s="26">
        <v>778</v>
      </c>
      <c r="Z179" s="26">
        <v>768</v>
      </c>
      <c r="AA179" s="26">
        <v>755</v>
      </c>
      <c r="AB179" s="26">
        <v>771</v>
      </c>
    </row>
    <row r="180" spans="1:49">
      <c r="A180" s="30">
        <v>102</v>
      </c>
      <c r="B180" s="30" t="s">
        <v>131</v>
      </c>
      <c r="C180" s="27">
        <v>78</v>
      </c>
      <c r="D180" s="44"/>
      <c r="E180" s="33">
        <f>표_악몽던전템위력[[#This Row],[ancestral dropped]]/표_악몽던전템위력[[#This Row],[rare+ dropped]]</f>
        <v>1</v>
      </c>
      <c r="F180" s="47">
        <f>COUNT(표_악몽던전템위력[[#This Row],[item1]:[item46]])</f>
        <v>11</v>
      </c>
      <c r="G180" s="47">
        <v>11</v>
      </c>
      <c r="H180" s="48">
        <f>AVERAGE(표_악몽던전템위력[[#This Row],[item1]:[item46]])</f>
        <v>769.5454545454545</v>
      </c>
      <c r="I180" s="26">
        <v>783</v>
      </c>
      <c r="J180" s="26">
        <v>765</v>
      </c>
      <c r="K180" s="26">
        <v>780</v>
      </c>
      <c r="L180" s="26">
        <v>727</v>
      </c>
      <c r="M180" s="26">
        <v>792</v>
      </c>
      <c r="N180" s="26">
        <v>786</v>
      </c>
      <c r="O180" s="26">
        <v>766</v>
      </c>
      <c r="P180" s="26">
        <v>764</v>
      </c>
      <c r="Q180" s="26">
        <v>796</v>
      </c>
      <c r="R180" s="26">
        <v>766</v>
      </c>
      <c r="S180" s="26">
        <v>740</v>
      </c>
    </row>
    <row r="181" spans="1:49">
      <c r="A181" s="30">
        <v>102</v>
      </c>
      <c r="B181" s="30" t="s">
        <v>124</v>
      </c>
      <c r="C181" s="27">
        <v>78</v>
      </c>
      <c r="D181" s="44"/>
      <c r="E181" s="33">
        <f>표_악몽던전템위력[[#This Row],[ancestral dropped]]/표_악몽던전템위력[[#This Row],[rare+ dropped]]</f>
        <v>0.96551724137931039</v>
      </c>
      <c r="F181" s="47">
        <f>COUNT(표_악몽던전템위력[[#This Row],[item1]:[item46]])</f>
        <v>28</v>
      </c>
      <c r="G181" s="47">
        <v>29</v>
      </c>
      <c r="H181" s="48">
        <f>AVERAGE(표_악몽던전템위력[[#This Row],[item1]:[item46]])</f>
        <v>766.53571428571433</v>
      </c>
      <c r="I181" s="26">
        <v>786</v>
      </c>
      <c r="J181" s="26">
        <v>766</v>
      </c>
      <c r="K181" s="26">
        <v>766</v>
      </c>
      <c r="L181" s="26">
        <v>803</v>
      </c>
      <c r="M181" s="26">
        <v>748</v>
      </c>
      <c r="N181" s="26">
        <v>778</v>
      </c>
      <c r="O181" s="26">
        <v>776</v>
      </c>
      <c r="P181" s="26">
        <v>763</v>
      </c>
      <c r="Q181" s="26">
        <v>732</v>
      </c>
      <c r="R181" s="26">
        <v>798</v>
      </c>
      <c r="S181" s="26">
        <v>759</v>
      </c>
      <c r="T181" s="26">
        <v>732</v>
      </c>
      <c r="U181" s="26">
        <v>770</v>
      </c>
      <c r="V181" s="26">
        <v>763</v>
      </c>
      <c r="W181" s="26">
        <v>762</v>
      </c>
      <c r="X181" s="26">
        <v>760</v>
      </c>
      <c r="Y181" s="26">
        <v>738</v>
      </c>
      <c r="Z181" s="26">
        <v>804</v>
      </c>
      <c r="AA181" s="26">
        <v>769</v>
      </c>
      <c r="AB181" s="26">
        <v>745</v>
      </c>
      <c r="AC181" s="26">
        <v>734</v>
      </c>
      <c r="AD181" s="26">
        <v>792</v>
      </c>
      <c r="AE181" s="26">
        <v>776</v>
      </c>
      <c r="AF181" s="26">
        <v>755</v>
      </c>
      <c r="AG181" s="26">
        <v>739</v>
      </c>
      <c r="AH181" s="26">
        <v>797</v>
      </c>
      <c r="AI181" s="26">
        <v>796</v>
      </c>
      <c r="AJ181" s="26">
        <v>756</v>
      </c>
    </row>
    <row r="182" spans="1:49">
      <c r="A182" s="30">
        <v>102</v>
      </c>
      <c r="B182" s="30" t="s">
        <v>28</v>
      </c>
      <c r="C182" s="27">
        <v>78</v>
      </c>
      <c r="D182" s="44">
        <v>1</v>
      </c>
      <c r="E182" s="33">
        <f>표_악몽던전템위력[[#This Row],[ancestral dropped]]/표_악몽던전템위력[[#This Row],[rare+ dropped]]</f>
        <v>1</v>
      </c>
      <c r="F182" s="47">
        <f>COUNT(표_악몽던전템위력[[#This Row],[item1]:[item46]])</f>
        <v>34</v>
      </c>
      <c r="G182" s="47">
        <v>34</v>
      </c>
      <c r="H182" s="48">
        <f>AVERAGE(표_악몽던전템위력[[#This Row],[item1]:[item46]])</f>
        <v>772.14705882352939</v>
      </c>
      <c r="I182" s="26">
        <v>760</v>
      </c>
      <c r="J182" s="26">
        <v>780</v>
      </c>
      <c r="K182" s="26">
        <v>752</v>
      </c>
      <c r="L182" s="26">
        <v>745</v>
      </c>
      <c r="M182" s="26">
        <v>812</v>
      </c>
      <c r="N182" s="26">
        <v>786</v>
      </c>
      <c r="O182" s="26">
        <v>764</v>
      </c>
      <c r="P182" s="26">
        <v>737</v>
      </c>
      <c r="Q182" s="26">
        <v>771</v>
      </c>
      <c r="R182" s="26">
        <v>771</v>
      </c>
      <c r="S182" s="26">
        <v>769</v>
      </c>
      <c r="T182" s="26">
        <v>758</v>
      </c>
      <c r="U182" s="26">
        <v>752</v>
      </c>
      <c r="V182" s="26">
        <v>789</v>
      </c>
      <c r="W182" s="26">
        <v>775</v>
      </c>
      <c r="X182" s="26">
        <v>750</v>
      </c>
      <c r="Y182" s="26">
        <v>748</v>
      </c>
      <c r="Z182" s="26">
        <v>801</v>
      </c>
      <c r="AA182" s="26">
        <v>769</v>
      </c>
      <c r="AB182" s="26">
        <v>804</v>
      </c>
      <c r="AC182" s="26">
        <v>797</v>
      </c>
      <c r="AD182" s="26">
        <v>775</v>
      </c>
      <c r="AE182" s="26">
        <v>752</v>
      </c>
      <c r="AF182" s="26">
        <v>814</v>
      </c>
      <c r="AG182" s="26">
        <v>800</v>
      </c>
      <c r="AH182" s="26">
        <v>786</v>
      </c>
      <c r="AI182" s="26">
        <v>785</v>
      </c>
      <c r="AJ182" s="26">
        <v>774</v>
      </c>
      <c r="AK182" s="26">
        <v>769</v>
      </c>
      <c r="AL182" s="26">
        <v>764</v>
      </c>
      <c r="AM182" s="26">
        <v>763</v>
      </c>
      <c r="AN182" s="26">
        <v>760</v>
      </c>
      <c r="AO182" s="26">
        <v>753</v>
      </c>
      <c r="AP182" s="26">
        <v>768</v>
      </c>
    </row>
    <row r="183" spans="1:49">
      <c r="A183" s="26">
        <v>103</v>
      </c>
      <c r="B183" s="30" t="s">
        <v>132</v>
      </c>
      <c r="C183" s="27">
        <v>78</v>
      </c>
      <c r="D183" s="44"/>
      <c r="E183" s="33">
        <f>표_악몽던전템위력[[#This Row],[ancestral dropped]]/표_악몽던전템위력[[#This Row],[rare+ dropped]]</f>
        <v>0.95</v>
      </c>
      <c r="F183" s="47">
        <f>COUNT(표_악몽던전템위력[[#This Row],[item1]:[item46]])</f>
        <v>19</v>
      </c>
      <c r="G183" s="47">
        <v>20</v>
      </c>
      <c r="H183" s="48">
        <f>AVERAGE(표_악몽던전템위력[[#This Row],[item1]:[item46]])</f>
        <v>770.78947368421052</v>
      </c>
      <c r="I183" s="26">
        <v>801</v>
      </c>
      <c r="J183" s="26">
        <v>786</v>
      </c>
      <c r="K183" s="26">
        <v>769</v>
      </c>
      <c r="L183" s="26">
        <v>741</v>
      </c>
      <c r="M183" s="26">
        <v>779</v>
      </c>
      <c r="N183" s="26">
        <v>778</v>
      </c>
      <c r="O183" s="26">
        <v>777</v>
      </c>
      <c r="P183" s="26">
        <v>768</v>
      </c>
      <c r="Q183" s="26">
        <v>765</v>
      </c>
      <c r="R183" s="26">
        <v>801</v>
      </c>
      <c r="S183" s="26">
        <v>787</v>
      </c>
      <c r="T183" s="26">
        <v>759</v>
      </c>
      <c r="U183" s="26">
        <v>756</v>
      </c>
      <c r="V183" s="26">
        <v>769</v>
      </c>
      <c r="W183" s="26">
        <v>766</v>
      </c>
      <c r="X183" s="26">
        <v>759</v>
      </c>
      <c r="Y183" s="26">
        <v>769</v>
      </c>
      <c r="Z183" s="26">
        <v>761</v>
      </c>
      <c r="AA183" s="26">
        <v>754</v>
      </c>
    </row>
    <row r="184" spans="1:49">
      <c r="A184" s="26">
        <v>103</v>
      </c>
      <c r="B184" s="30" t="s">
        <v>131</v>
      </c>
      <c r="C184" s="27">
        <v>78</v>
      </c>
      <c r="D184" s="44"/>
      <c r="E184" s="33">
        <f>표_악몽던전템위력[[#This Row],[ancestral dropped]]/표_악몽던전템위력[[#This Row],[rare+ dropped]]</f>
        <v>0.8571428571428571</v>
      </c>
      <c r="F184" s="47">
        <f>COUNT(표_악몽던전템위력[[#This Row],[item1]:[item46]])</f>
        <v>12</v>
      </c>
      <c r="G184" s="47">
        <v>14</v>
      </c>
      <c r="H184" s="48">
        <f>AVERAGE(표_악몽던전템위력[[#This Row],[item1]:[item46]])</f>
        <v>764</v>
      </c>
      <c r="I184" s="26">
        <v>755</v>
      </c>
      <c r="J184" s="26">
        <v>782</v>
      </c>
      <c r="K184" s="26">
        <v>769</v>
      </c>
      <c r="L184" s="26">
        <v>765</v>
      </c>
      <c r="M184" s="26">
        <v>763</v>
      </c>
      <c r="N184" s="26">
        <v>813</v>
      </c>
      <c r="O184" s="26">
        <v>762</v>
      </c>
      <c r="P184" s="26">
        <v>747</v>
      </c>
      <c r="Q184" s="26">
        <v>748</v>
      </c>
      <c r="R184" s="26">
        <v>731</v>
      </c>
      <c r="S184" s="26">
        <v>769</v>
      </c>
      <c r="T184" s="26">
        <v>764</v>
      </c>
    </row>
    <row r="185" spans="1:49">
      <c r="A185" s="30">
        <v>102</v>
      </c>
      <c r="B185" s="30" t="s">
        <v>10</v>
      </c>
      <c r="C185" s="27">
        <v>79</v>
      </c>
      <c r="D185" s="44"/>
      <c r="E185" s="33">
        <f>표_악몽던전템위력[[#This Row],[ancestral dropped]]/표_악몽던전템위력[[#This Row],[rare+ dropped]]</f>
        <v>1</v>
      </c>
      <c r="F185" s="47">
        <f>COUNT(표_악몽던전템위력[[#This Row],[item1]:[item46]])</f>
        <v>27</v>
      </c>
      <c r="G185" s="47">
        <v>27</v>
      </c>
      <c r="H185" s="48">
        <f>AVERAGE(표_악몽던전템위력[[#This Row],[item1]:[item46]])</f>
        <v>776.96296296296293</v>
      </c>
      <c r="I185" s="26">
        <v>805</v>
      </c>
      <c r="J185" s="26">
        <v>800</v>
      </c>
      <c r="K185" s="26">
        <v>758</v>
      </c>
      <c r="L185" s="26">
        <v>792</v>
      </c>
      <c r="M185" s="26">
        <v>792</v>
      </c>
      <c r="N185" s="26">
        <v>755</v>
      </c>
      <c r="O185" s="26">
        <v>795</v>
      </c>
      <c r="P185" s="26">
        <v>788</v>
      </c>
      <c r="Q185" s="26">
        <v>776</v>
      </c>
      <c r="R185" s="26">
        <v>772</v>
      </c>
      <c r="S185" s="26">
        <v>771</v>
      </c>
      <c r="T185" s="26">
        <v>767</v>
      </c>
      <c r="U185" s="26">
        <v>753</v>
      </c>
      <c r="V185" s="26">
        <v>767</v>
      </c>
      <c r="W185" s="26">
        <v>753</v>
      </c>
      <c r="X185" s="26">
        <v>792</v>
      </c>
      <c r="Y185" s="26">
        <v>775</v>
      </c>
      <c r="Z185" s="26">
        <v>766</v>
      </c>
      <c r="AA185" s="26">
        <v>759</v>
      </c>
      <c r="AB185" s="26">
        <v>793</v>
      </c>
      <c r="AC185" s="26">
        <v>774</v>
      </c>
      <c r="AD185" s="26">
        <v>752</v>
      </c>
      <c r="AE185" s="26">
        <v>814</v>
      </c>
      <c r="AF185" s="26">
        <v>744</v>
      </c>
      <c r="AG185" s="26">
        <v>786</v>
      </c>
      <c r="AH185" s="26">
        <v>804</v>
      </c>
      <c r="AI185" s="26">
        <v>775</v>
      </c>
    </row>
    <row r="186" spans="1:49">
      <c r="A186" s="30">
        <v>102</v>
      </c>
      <c r="B186" s="30" t="s">
        <v>71</v>
      </c>
      <c r="C186" s="27">
        <v>79</v>
      </c>
      <c r="D186" s="44"/>
      <c r="E186" s="33">
        <f>표_악몽던전템위력[[#This Row],[ancestral dropped]]/표_악몽던전템위력[[#This Row],[rare+ dropped]]</f>
        <v>1</v>
      </c>
      <c r="F186" s="47">
        <f>COUNT(표_악몽던전템위력[[#This Row],[item1]:[item46]])</f>
        <v>14</v>
      </c>
      <c r="G186" s="47">
        <v>14</v>
      </c>
      <c r="H186" s="48">
        <f>AVERAGE(표_악몽던전템위력[[#This Row],[item1]:[item46]])</f>
        <v>771.42857142857144</v>
      </c>
      <c r="I186" s="26">
        <v>736</v>
      </c>
      <c r="J186" s="26">
        <v>773</v>
      </c>
      <c r="K186" s="26">
        <v>764</v>
      </c>
      <c r="L186" s="26">
        <v>799</v>
      </c>
      <c r="M186" s="26">
        <v>783</v>
      </c>
      <c r="N186" s="26">
        <v>764</v>
      </c>
      <c r="O186" s="26">
        <v>765</v>
      </c>
      <c r="P186" s="26">
        <v>803</v>
      </c>
      <c r="Q186" s="26">
        <v>769</v>
      </c>
      <c r="R186" s="26">
        <v>731</v>
      </c>
      <c r="S186" s="26">
        <v>783</v>
      </c>
      <c r="T186" s="26">
        <v>775</v>
      </c>
      <c r="U186" s="26">
        <v>779</v>
      </c>
      <c r="V186" s="26">
        <v>776</v>
      </c>
    </row>
    <row r="187" spans="1:49">
      <c r="A187" s="26">
        <v>103</v>
      </c>
      <c r="B187" s="30" t="s">
        <v>151</v>
      </c>
      <c r="C187" s="27">
        <v>79</v>
      </c>
      <c r="D187" s="44"/>
      <c r="E187" s="33">
        <f>표_악몽던전템위력[[#This Row],[ancestral dropped]]/표_악몽던전템위력[[#This Row],[rare+ dropped]]</f>
        <v>0.94444444444444442</v>
      </c>
      <c r="F187" s="47">
        <f>COUNT(표_악몽던전템위력[[#This Row],[item1]:[item46]])</f>
        <v>17</v>
      </c>
      <c r="G187" s="47">
        <v>18</v>
      </c>
      <c r="H187" s="48">
        <f>AVERAGE(표_악몽던전템위력[[#This Row],[item1]:[item46]])</f>
        <v>773.17647058823525</v>
      </c>
      <c r="I187" s="26">
        <v>785</v>
      </c>
      <c r="J187" s="26">
        <v>777</v>
      </c>
      <c r="K187" s="26">
        <v>801</v>
      </c>
      <c r="L187" s="26">
        <v>771</v>
      </c>
      <c r="M187" s="26">
        <v>770</v>
      </c>
      <c r="N187" s="26">
        <v>750</v>
      </c>
      <c r="O187" s="26">
        <v>803</v>
      </c>
      <c r="P187" s="26">
        <v>792</v>
      </c>
      <c r="Q187" s="26">
        <v>789</v>
      </c>
      <c r="R187" s="26">
        <v>769</v>
      </c>
      <c r="S187" s="26">
        <v>776</v>
      </c>
      <c r="T187" s="26">
        <v>765</v>
      </c>
      <c r="U187" s="26">
        <v>763</v>
      </c>
      <c r="V187" s="26">
        <v>766</v>
      </c>
      <c r="W187" s="26">
        <v>753</v>
      </c>
      <c r="X187" s="26">
        <v>733</v>
      </c>
      <c r="Y187" s="26">
        <v>781</v>
      </c>
    </row>
    <row r="188" spans="1:49">
      <c r="A188" s="26">
        <v>103</v>
      </c>
      <c r="B188" s="30" t="s">
        <v>150</v>
      </c>
      <c r="C188" s="27">
        <v>80</v>
      </c>
      <c r="D188" s="44"/>
      <c r="E188" s="33">
        <f>표_악몽던전템위력[[#This Row],[ancestral dropped]]/표_악몽던전템위력[[#This Row],[rare+ dropped]]</f>
        <v>1</v>
      </c>
      <c r="F188" s="47">
        <f>COUNT(표_악몽던전템위력[[#This Row],[item1]:[item46]])</f>
        <v>36</v>
      </c>
      <c r="G188" s="47">
        <v>36</v>
      </c>
      <c r="H188" s="48">
        <f>AVERAGE(표_악몽던전템위력[[#This Row],[item1]:[item46]])</f>
        <v>771.47222222222217</v>
      </c>
      <c r="I188" s="26">
        <v>817</v>
      </c>
      <c r="J188" s="26">
        <v>791</v>
      </c>
      <c r="K188" s="26">
        <v>774</v>
      </c>
      <c r="L188" s="26">
        <v>770</v>
      </c>
      <c r="M188" s="26">
        <v>764</v>
      </c>
      <c r="N188" s="26">
        <v>802</v>
      </c>
      <c r="O188" s="26">
        <v>796</v>
      </c>
      <c r="P188" s="26">
        <v>787</v>
      </c>
      <c r="Q188" s="26">
        <v>776</v>
      </c>
      <c r="R188" s="26">
        <v>804</v>
      </c>
      <c r="S188" s="26">
        <v>801</v>
      </c>
      <c r="T188" s="26">
        <v>763</v>
      </c>
      <c r="U188" s="26">
        <v>756</v>
      </c>
      <c r="V188" s="26">
        <v>745</v>
      </c>
      <c r="W188" s="26">
        <v>769</v>
      </c>
      <c r="X188" s="26">
        <v>766</v>
      </c>
      <c r="Y188" s="26">
        <v>788</v>
      </c>
      <c r="Z188" s="26">
        <v>786</v>
      </c>
      <c r="AA188" s="26">
        <v>771</v>
      </c>
      <c r="AB188" s="26">
        <v>770</v>
      </c>
      <c r="AC188" s="26">
        <v>769</v>
      </c>
      <c r="AD188" s="26">
        <v>767</v>
      </c>
      <c r="AE188" s="26">
        <v>761</v>
      </c>
      <c r="AF188" s="26">
        <v>758</v>
      </c>
      <c r="AG188" s="26">
        <v>746</v>
      </c>
      <c r="AH188" s="26">
        <v>767</v>
      </c>
      <c r="AI188" s="26">
        <v>765</v>
      </c>
      <c r="AJ188" s="26">
        <v>765</v>
      </c>
      <c r="AK188" s="26">
        <v>757</v>
      </c>
      <c r="AL188" s="26">
        <v>746</v>
      </c>
      <c r="AM188" s="26">
        <v>765</v>
      </c>
      <c r="AN188" s="26">
        <v>763</v>
      </c>
      <c r="AO188" s="26">
        <v>748</v>
      </c>
      <c r="AP188" s="26">
        <v>787</v>
      </c>
      <c r="AQ188" s="26">
        <v>751</v>
      </c>
      <c r="AR188" s="26">
        <v>762</v>
      </c>
    </row>
    <row r="189" spans="1:49">
      <c r="A189" s="26">
        <v>103</v>
      </c>
      <c r="B189" s="30" t="s">
        <v>12</v>
      </c>
      <c r="C189" s="27">
        <v>80</v>
      </c>
      <c r="D189" s="44">
        <v>1</v>
      </c>
      <c r="E189" s="33">
        <f>표_악몽던전템위력[[#This Row],[ancestral dropped]]/표_악몽던전템위력[[#This Row],[rare+ dropped]]</f>
        <v>1</v>
      </c>
      <c r="F189" s="47">
        <f>COUNT(표_악몽던전템위력[[#This Row],[item1]:[item46]])</f>
        <v>24</v>
      </c>
      <c r="G189" s="47">
        <v>24</v>
      </c>
      <c r="H189" s="48">
        <f>AVERAGE(표_악몽던전템위력[[#This Row],[item1]:[item46]])</f>
        <v>770.16666666666663</v>
      </c>
      <c r="I189" s="26">
        <v>800</v>
      </c>
      <c r="J189" s="26">
        <v>763</v>
      </c>
      <c r="K189" s="26">
        <v>748</v>
      </c>
      <c r="L189" s="26">
        <v>778</v>
      </c>
      <c r="M189" s="26">
        <v>770</v>
      </c>
      <c r="N189" s="26">
        <v>775</v>
      </c>
      <c r="O189" s="26">
        <v>805</v>
      </c>
      <c r="P189" s="26">
        <v>774</v>
      </c>
      <c r="Q189" s="26">
        <v>771</v>
      </c>
      <c r="R189" s="26">
        <v>766</v>
      </c>
      <c r="S189" s="26">
        <v>786</v>
      </c>
      <c r="T189" s="26">
        <v>779</v>
      </c>
      <c r="U189" s="26">
        <v>778</v>
      </c>
      <c r="V189" s="26">
        <v>752</v>
      </c>
      <c r="W189" s="26">
        <v>740</v>
      </c>
      <c r="X189" s="26">
        <v>780</v>
      </c>
      <c r="Y189" s="26">
        <v>779</v>
      </c>
      <c r="Z189" s="26">
        <v>763</v>
      </c>
      <c r="AA189" s="26">
        <v>751</v>
      </c>
      <c r="AB189" s="26">
        <v>787</v>
      </c>
      <c r="AC189" s="26">
        <v>758</v>
      </c>
      <c r="AD189" s="26">
        <v>753</v>
      </c>
      <c r="AE189" s="26">
        <v>778</v>
      </c>
      <c r="AF189" s="26">
        <v>750</v>
      </c>
    </row>
    <row r="190" spans="1:49">
      <c r="A190" s="26">
        <v>103</v>
      </c>
      <c r="B190" s="30" t="s">
        <v>121</v>
      </c>
      <c r="C190" s="27">
        <v>81</v>
      </c>
      <c r="D190" s="44"/>
      <c r="E190" s="33">
        <f>표_악몽던전템위력[[#This Row],[ancestral dropped]]/표_악몽던전템위력[[#This Row],[rare+ dropped]]</f>
        <v>0.95238095238095233</v>
      </c>
      <c r="F190" s="47">
        <f>COUNT(표_악몽던전템위력[[#This Row],[item1]:[item46]])</f>
        <v>20</v>
      </c>
      <c r="G190" s="47">
        <v>21</v>
      </c>
      <c r="H190" s="48">
        <f>AVERAGE(표_악몽던전템위력[[#This Row],[item1]:[item46]])</f>
        <v>770.05</v>
      </c>
      <c r="I190" s="26">
        <v>799</v>
      </c>
      <c r="J190" s="26">
        <v>772</v>
      </c>
      <c r="K190" s="26">
        <v>775</v>
      </c>
      <c r="L190" s="26">
        <v>775</v>
      </c>
      <c r="M190" s="26">
        <v>763</v>
      </c>
      <c r="N190" s="26">
        <v>753</v>
      </c>
      <c r="O190" s="26">
        <v>779</v>
      </c>
      <c r="P190" s="26">
        <v>763</v>
      </c>
      <c r="Q190" s="26">
        <v>746</v>
      </c>
      <c r="R190" s="26">
        <v>799</v>
      </c>
      <c r="S190" s="26">
        <v>774</v>
      </c>
      <c r="T190" s="26">
        <v>747</v>
      </c>
      <c r="U190" s="26">
        <v>741</v>
      </c>
      <c r="V190" s="26">
        <v>738</v>
      </c>
      <c r="W190" s="26">
        <v>799</v>
      </c>
      <c r="X190" s="26">
        <v>779</v>
      </c>
      <c r="Y190" s="26">
        <v>792</v>
      </c>
      <c r="Z190" s="26">
        <v>767</v>
      </c>
      <c r="AA190" s="26">
        <v>775</v>
      </c>
      <c r="AB190" s="26">
        <v>765</v>
      </c>
    </row>
    <row r="191" spans="1:49">
      <c r="A191" s="26">
        <v>103</v>
      </c>
      <c r="B191" s="30" t="s">
        <v>0</v>
      </c>
      <c r="C191" s="27">
        <v>81</v>
      </c>
      <c r="D191" s="44"/>
      <c r="E191" s="33">
        <f>표_악몽던전템위력[[#This Row],[ancestral dropped]]/표_악몽던전템위력[[#This Row],[rare+ dropped]]</f>
        <v>0.94444444444444442</v>
      </c>
      <c r="F191" s="47">
        <f>COUNT(표_악몽던전템위력[[#This Row],[item1]:[item46]])</f>
        <v>17</v>
      </c>
      <c r="G191" s="47">
        <v>18</v>
      </c>
      <c r="H191" s="48">
        <f>AVERAGE(표_악몽던전템위력[[#This Row],[item1]:[item46]])</f>
        <v>775.94117647058829</v>
      </c>
      <c r="I191" s="26">
        <v>798</v>
      </c>
      <c r="J191" s="26">
        <v>765</v>
      </c>
      <c r="K191" s="26">
        <v>797</v>
      </c>
      <c r="L191" s="26">
        <v>783</v>
      </c>
      <c r="M191" s="26">
        <v>803</v>
      </c>
      <c r="N191" s="26">
        <v>798</v>
      </c>
      <c r="O191" s="26">
        <v>789</v>
      </c>
      <c r="P191" s="26">
        <v>766</v>
      </c>
      <c r="Q191" s="26">
        <v>750</v>
      </c>
      <c r="R191" s="26">
        <v>792</v>
      </c>
      <c r="S191" s="26">
        <v>784</v>
      </c>
      <c r="T191" s="26">
        <v>731</v>
      </c>
      <c r="U191" s="26">
        <v>764</v>
      </c>
      <c r="V191" s="26">
        <v>761</v>
      </c>
      <c r="W191" s="26">
        <v>755</v>
      </c>
      <c r="X191" s="26">
        <v>774</v>
      </c>
      <c r="Y191" s="26">
        <v>781</v>
      </c>
    </row>
    <row r="192" spans="1:49">
      <c r="A192" s="26">
        <v>103</v>
      </c>
      <c r="B192" s="30" t="s">
        <v>31</v>
      </c>
      <c r="C192" s="27">
        <v>81</v>
      </c>
      <c r="D192" s="44"/>
      <c r="E192" s="33">
        <f>표_악몽던전템위력[[#This Row],[ancestral dropped]]/표_악몽던전템위력[[#This Row],[rare+ dropped]]</f>
        <v>0.9375</v>
      </c>
      <c r="F192" s="47">
        <f>COUNT(표_악몽던전템위력[[#This Row],[item1]:[item46]])</f>
        <v>15</v>
      </c>
      <c r="G192" s="47">
        <v>16</v>
      </c>
      <c r="H192" s="48">
        <f>AVERAGE(표_악몽던전템위력[[#This Row],[item1]:[item46]])</f>
        <v>780.13333333333333</v>
      </c>
      <c r="I192" s="26">
        <v>800</v>
      </c>
      <c r="J192" s="26">
        <v>778</v>
      </c>
      <c r="K192" s="26">
        <v>776</v>
      </c>
      <c r="L192" s="26">
        <v>751</v>
      </c>
      <c r="M192" s="26">
        <v>785</v>
      </c>
      <c r="N192" s="26">
        <v>788</v>
      </c>
      <c r="O192" s="26">
        <v>782</v>
      </c>
      <c r="P192" s="26">
        <v>754</v>
      </c>
      <c r="Q192" s="26">
        <v>795</v>
      </c>
      <c r="R192" s="26">
        <v>784</v>
      </c>
      <c r="S192" s="26">
        <v>790</v>
      </c>
      <c r="T192" s="26">
        <v>746</v>
      </c>
      <c r="U192" s="26">
        <v>809</v>
      </c>
      <c r="V192" s="26">
        <v>789</v>
      </c>
      <c r="W192" s="26">
        <v>775</v>
      </c>
    </row>
    <row r="193" spans="1:47">
      <c r="A193" s="26">
        <v>103</v>
      </c>
      <c r="B193" s="30" t="s">
        <v>120</v>
      </c>
      <c r="C193" s="27">
        <v>81</v>
      </c>
      <c r="D193" s="44"/>
      <c r="E193" s="33">
        <f>표_악몽던전템위력[[#This Row],[ancestral dropped]]/표_악몽던전템위력[[#This Row],[rare+ dropped]]</f>
        <v>0.95454545454545459</v>
      </c>
      <c r="F193" s="47">
        <f>COUNT(표_악몽던전템위력[[#This Row],[item1]:[item46]])</f>
        <v>21</v>
      </c>
      <c r="G193" s="47">
        <v>22</v>
      </c>
      <c r="H193" s="48">
        <f>AVERAGE(표_악몽던전템위력[[#This Row],[item1]:[item46]])</f>
        <v>775.23809523809518</v>
      </c>
      <c r="I193" s="26">
        <v>798</v>
      </c>
      <c r="J193" s="26">
        <v>794</v>
      </c>
      <c r="K193" s="26">
        <v>756</v>
      </c>
      <c r="L193" s="26">
        <v>753</v>
      </c>
      <c r="M193" s="26">
        <v>811</v>
      </c>
      <c r="N193" s="26">
        <v>793</v>
      </c>
      <c r="O193" s="26">
        <v>792</v>
      </c>
      <c r="P193" s="26">
        <v>747</v>
      </c>
      <c r="Q193" s="26">
        <v>744</v>
      </c>
      <c r="R193" s="26">
        <v>730</v>
      </c>
      <c r="S193" s="26">
        <v>796</v>
      </c>
      <c r="T193" s="26">
        <v>789</v>
      </c>
      <c r="U193" s="26">
        <v>762</v>
      </c>
      <c r="V193" s="26">
        <v>741</v>
      </c>
      <c r="W193" s="26">
        <v>808</v>
      </c>
      <c r="X193" s="26">
        <v>757</v>
      </c>
      <c r="Y193" s="26">
        <v>767</v>
      </c>
      <c r="Z193" s="26">
        <v>772</v>
      </c>
      <c r="AA193" s="26">
        <v>810</v>
      </c>
      <c r="AB193" s="26">
        <v>787</v>
      </c>
      <c r="AC193" s="26">
        <v>773</v>
      </c>
    </row>
    <row r="194" spans="1:47">
      <c r="A194" s="26">
        <v>103</v>
      </c>
      <c r="B194" s="30" t="s">
        <v>122</v>
      </c>
      <c r="C194" s="27">
        <v>81</v>
      </c>
      <c r="D194" s="44"/>
      <c r="E194" s="33">
        <f>표_악몽던전템위력[[#This Row],[ancestral dropped]]/표_악몽던전템위력[[#This Row],[rare+ dropped]]</f>
        <v>1</v>
      </c>
      <c r="F194" s="47">
        <f>COUNT(표_악몽던전템위력[[#This Row],[item1]:[item46]])</f>
        <v>35</v>
      </c>
      <c r="G194" s="47">
        <v>35</v>
      </c>
      <c r="H194" s="48">
        <f>AVERAGE(표_악몽던전템위력[[#This Row],[item1]:[item46]])</f>
        <v>774.45714285714291</v>
      </c>
      <c r="I194" s="26">
        <v>798</v>
      </c>
      <c r="J194" s="26">
        <v>792</v>
      </c>
      <c r="K194" s="26">
        <v>777</v>
      </c>
      <c r="L194" s="26">
        <v>776</v>
      </c>
      <c r="M194" s="26">
        <v>758</v>
      </c>
      <c r="N194" s="26">
        <v>800</v>
      </c>
      <c r="O194" s="26">
        <v>786</v>
      </c>
      <c r="P194" s="26">
        <v>730</v>
      </c>
      <c r="Q194" s="26">
        <v>790</v>
      </c>
      <c r="R194" s="26">
        <v>782</v>
      </c>
      <c r="S194" s="26">
        <v>772</v>
      </c>
      <c r="T194" s="26">
        <v>768</v>
      </c>
      <c r="U194" s="26">
        <v>758</v>
      </c>
      <c r="V194" s="26">
        <v>750</v>
      </c>
      <c r="W194" s="26">
        <v>747</v>
      </c>
      <c r="X194" s="26">
        <v>798</v>
      </c>
      <c r="Y194" s="26">
        <v>779</v>
      </c>
      <c r="Z194" s="26">
        <v>781</v>
      </c>
      <c r="AA194" s="26">
        <v>776</v>
      </c>
      <c r="AB194" s="26">
        <v>774</v>
      </c>
      <c r="AC194" s="26">
        <v>763</v>
      </c>
      <c r="AD194" s="26">
        <v>755</v>
      </c>
      <c r="AE194" s="26">
        <v>803</v>
      </c>
      <c r="AF194" s="26">
        <v>766</v>
      </c>
      <c r="AG194" s="26">
        <v>762</v>
      </c>
      <c r="AH194" s="26">
        <v>783</v>
      </c>
      <c r="AI194" s="26">
        <v>790</v>
      </c>
      <c r="AJ194" s="26">
        <v>789</v>
      </c>
      <c r="AK194" s="26">
        <v>783</v>
      </c>
      <c r="AL194" s="26">
        <v>769</v>
      </c>
      <c r="AM194" s="26">
        <v>761</v>
      </c>
      <c r="AN194" s="26">
        <v>747</v>
      </c>
      <c r="AO194" s="26">
        <v>791</v>
      </c>
      <c r="AP194" s="26">
        <v>779</v>
      </c>
      <c r="AQ194" s="26">
        <v>773</v>
      </c>
    </row>
    <row r="195" spans="1:47">
      <c r="A195" s="30">
        <v>102</v>
      </c>
      <c r="B195" s="30" t="s">
        <v>12</v>
      </c>
      <c r="C195" s="27">
        <v>82</v>
      </c>
      <c r="D195" s="44"/>
      <c r="E195" s="33">
        <f>표_악몽던전템위력[[#This Row],[ancestral dropped]]/표_악몽던전템위력[[#This Row],[rare+ dropped]]</f>
        <v>0.94117647058823528</v>
      </c>
      <c r="F195" s="47">
        <f>COUNT(표_악몽던전템위력[[#This Row],[item1]:[item46]])</f>
        <v>16</v>
      </c>
      <c r="G195" s="47">
        <v>17</v>
      </c>
      <c r="H195" s="48">
        <f>AVERAGE(표_악몽던전템위력[[#This Row],[item1]:[item46]])</f>
        <v>772.5625</v>
      </c>
      <c r="I195" s="26">
        <v>777</v>
      </c>
      <c r="J195" s="26">
        <v>782</v>
      </c>
      <c r="K195" s="26">
        <v>798</v>
      </c>
      <c r="L195" s="26">
        <v>777</v>
      </c>
      <c r="M195" s="26">
        <v>764</v>
      </c>
      <c r="N195" s="26">
        <v>755</v>
      </c>
      <c r="O195" s="26">
        <v>770</v>
      </c>
      <c r="P195" s="26">
        <v>746</v>
      </c>
      <c r="Q195" s="26">
        <v>790</v>
      </c>
      <c r="R195" s="26">
        <v>787</v>
      </c>
      <c r="S195" s="26">
        <v>768</v>
      </c>
      <c r="T195" s="26">
        <v>794</v>
      </c>
      <c r="U195" s="26">
        <v>773</v>
      </c>
      <c r="V195" s="26">
        <v>757</v>
      </c>
      <c r="W195" s="26">
        <v>760</v>
      </c>
      <c r="X195" s="26">
        <v>763</v>
      </c>
    </row>
    <row r="196" spans="1:47">
      <c r="A196" s="30">
        <v>102</v>
      </c>
      <c r="B196" s="30" t="s">
        <v>12</v>
      </c>
      <c r="C196" s="27">
        <v>83</v>
      </c>
      <c r="D196" s="44"/>
      <c r="E196" s="33">
        <f>표_악몽던전템위력[[#This Row],[ancestral dropped]]/표_악몽던전템위력[[#This Row],[rare+ dropped]]</f>
        <v>1</v>
      </c>
      <c r="F196" s="47">
        <f>COUNT(표_악몽던전템위력[[#This Row],[item1]:[item46]])</f>
        <v>11</v>
      </c>
      <c r="G196" s="47">
        <v>11</v>
      </c>
      <c r="H196" s="48">
        <f>AVERAGE(표_악몽던전템위력[[#This Row],[item1]:[item46]])</f>
        <v>779.81818181818187</v>
      </c>
      <c r="I196" s="26">
        <v>801</v>
      </c>
      <c r="J196" s="26">
        <v>770</v>
      </c>
      <c r="K196" s="26">
        <v>784</v>
      </c>
      <c r="L196" s="26">
        <v>757</v>
      </c>
      <c r="M196" s="26">
        <v>781</v>
      </c>
      <c r="N196" s="26">
        <v>763</v>
      </c>
      <c r="O196" s="26">
        <v>801</v>
      </c>
      <c r="P196" s="26">
        <v>794</v>
      </c>
      <c r="Q196" s="26">
        <v>763</v>
      </c>
      <c r="R196" s="26">
        <v>779</v>
      </c>
      <c r="S196" s="26">
        <v>785</v>
      </c>
    </row>
    <row r="197" spans="1:47">
      <c r="A197" s="30">
        <v>102</v>
      </c>
      <c r="B197" s="30" t="s">
        <v>0</v>
      </c>
      <c r="C197" s="27">
        <v>83</v>
      </c>
      <c r="D197" s="44">
        <v>1</v>
      </c>
      <c r="E197" s="33">
        <f>표_악몽던전템위력[[#This Row],[ancestral dropped]]/표_악몽던전템위력[[#This Row],[rare+ dropped]]</f>
        <v>0.95454545454545459</v>
      </c>
      <c r="F197" s="47">
        <f>COUNT(표_악몽던전템위력[[#This Row],[item1]:[item46]])</f>
        <v>21</v>
      </c>
      <c r="G197" s="47">
        <v>22</v>
      </c>
      <c r="H197" s="48">
        <f>AVERAGE(표_악몽던전템위력[[#This Row],[item1]:[item46]])</f>
        <v>771.80952380952385</v>
      </c>
      <c r="I197" s="26">
        <v>765</v>
      </c>
      <c r="J197" s="26">
        <v>781</v>
      </c>
      <c r="K197" s="26">
        <v>799</v>
      </c>
      <c r="L197" s="26">
        <v>782</v>
      </c>
      <c r="M197" s="26">
        <v>772</v>
      </c>
      <c r="N197" s="26">
        <v>770</v>
      </c>
      <c r="O197" s="26">
        <v>761</v>
      </c>
      <c r="P197" s="26">
        <v>750</v>
      </c>
      <c r="Q197" s="26">
        <v>784</v>
      </c>
      <c r="R197" s="26">
        <v>754</v>
      </c>
      <c r="S197" s="26">
        <v>746</v>
      </c>
      <c r="T197" s="26">
        <v>788</v>
      </c>
      <c r="U197" s="26">
        <v>774</v>
      </c>
      <c r="V197" s="26">
        <v>752</v>
      </c>
      <c r="W197" s="26">
        <v>776</v>
      </c>
      <c r="X197" s="26">
        <v>750</v>
      </c>
      <c r="Y197" s="26">
        <v>760</v>
      </c>
      <c r="Z197" s="26">
        <v>805</v>
      </c>
      <c r="AA197" s="26">
        <v>793</v>
      </c>
      <c r="AB197" s="26">
        <v>791</v>
      </c>
      <c r="AC197" s="26">
        <v>755</v>
      </c>
    </row>
    <row r="198" spans="1:47">
      <c r="A198" s="26">
        <v>103</v>
      </c>
      <c r="B198" s="30" t="s">
        <v>71</v>
      </c>
      <c r="C198" s="27">
        <v>84</v>
      </c>
      <c r="D198" s="44"/>
      <c r="E198" s="33">
        <f>표_악몽던전템위력[[#This Row],[ancestral dropped]]/표_악몽던전템위력[[#This Row],[rare+ dropped]]</f>
        <v>0.8571428571428571</v>
      </c>
      <c r="F198" s="47">
        <f>COUNT(표_악몽던전템위력[[#This Row],[item1]:[item46]])</f>
        <v>6</v>
      </c>
      <c r="G198" s="47">
        <v>7</v>
      </c>
      <c r="H198" s="48">
        <f>AVERAGE(표_악몽던전템위력[[#This Row],[item1]:[item46]])</f>
        <v>782.33333333333337</v>
      </c>
      <c r="I198" s="26">
        <v>804</v>
      </c>
      <c r="J198" s="26">
        <v>750</v>
      </c>
      <c r="K198" s="26">
        <v>794</v>
      </c>
      <c r="L198" s="26">
        <v>776</v>
      </c>
      <c r="M198" s="26">
        <v>791</v>
      </c>
      <c r="N198" s="26">
        <v>779</v>
      </c>
    </row>
    <row r="199" spans="1:47">
      <c r="A199" s="26">
        <v>103</v>
      </c>
      <c r="B199" s="30" t="s">
        <v>9</v>
      </c>
      <c r="C199" s="27">
        <v>84</v>
      </c>
      <c r="D199" s="44"/>
      <c r="E199" s="33">
        <f>표_악몽던전템위력[[#This Row],[ancestral dropped]]/표_악몽던전템위력[[#This Row],[rare+ dropped]]</f>
        <v>1</v>
      </c>
      <c r="F199" s="47">
        <f>COUNT(표_악몽던전템위력[[#This Row],[item1]:[item46]])</f>
        <v>21</v>
      </c>
      <c r="G199" s="47">
        <v>21</v>
      </c>
      <c r="H199" s="48">
        <f>AVERAGE(표_악몽던전템위력[[#This Row],[item1]:[item46]])</f>
        <v>769.38095238095241</v>
      </c>
      <c r="I199" s="26">
        <v>780</v>
      </c>
      <c r="J199" s="26">
        <v>764</v>
      </c>
      <c r="K199" s="26">
        <v>757</v>
      </c>
      <c r="L199" s="26">
        <v>804</v>
      </c>
      <c r="M199" s="26">
        <v>791</v>
      </c>
      <c r="N199" s="26">
        <v>788</v>
      </c>
      <c r="O199" s="26">
        <v>761</v>
      </c>
      <c r="P199" s="26">
        <v>737</v>
      </c>
      <c r="Q199" s="26">
        <v>786</v>
      </c>
      <c r="R199" s="26">
        <v>780</v>
      </c>
      <c r="S199" s="26">
        <v>781</v>
      </c>
      <c r="T199" s="26">
        <v>778</v>
      </c>
      <c r="U199" s="26">
        <v>773</v>
      </c>
      <c r="V199" s="26">
        <v>746</v>
      </c>
      <c r="W199" s="26">
        <v>794</v>
      </c>
      <c r="X199" s="26">
        <v>764</v>
      </c>
      <c r="Y199" s="26">
        <v>757</v>
      </c>
      <c r="Z199" s="26">
        <v>748</v>
      </c>
      <c r="AA199" s="26">
        <v>768</v>
      </c>
      <c r="AB199" s="26">
        <v>758</v>
      </c>
      <c r="AC199" s="26">
        <v>742</v>
      </c>
    </row>
    <row r="200" spans="1:47">
      <c r="A200" s="26">
        <v>103</v>
      </c>
      <c r="B200" s="30" t="s">
        <v>127</v>
      </c>
      <c r="C200" s="27">
        <v>84</v>
      </c>
      <c r="D200" s="44"/>
      <c r="E200" s="33">
        <f>표_악몽던전템위력[[#This Row],[ancestral dropped]]/표_악몽던전템위력[[#This Row],[rare+ dropped]]</f>
        <v>0.94736842105263153</v>
      </c>
      <c r="F200" s="47">
        <f>COUNT(표_악몽던전템위력[[#This Row],[item1]:[item46]])</f>
        <v>18</v>
      </c>
      <c r="G200" s="47">
        <v>19</v>
      </c>
      <c r="H200" s="48">
        <f>AVERAGE(표_악몽던전템위력[[#This Row],[item1]:[item46]])</f>
        <v>769.44444444444446</v>
      </c>
      <c r="I200" s="26">
        <v>789</v>
      </c>
      <c r="J200" s="26">
        <v>770</v>
      </c>
      <c r="K200" s="26">
        <v>799</v>
      </c>
      <c r="L200" s="26">
        <v>772</v>
      </c>
      <c r="M200" s="26">
        <v>764</v>
      </c>
      <c r="N200" s="26">
        <v>742</v>
      </c>
      <c r="O200" s="26">
        <v>740</v>
      </c>
      <c r="P200" s="26">
        <v>737</v>
      </c>
      <c r="Q200" s="26">
        <v>797</v>
      </c>
      <c r="R200" s="26">
        <v>779</v>
      </c>
      <c r="S200" s="26">
        <v>778</v>
      </c>
      <c r="T200" s="26">
        <v>767</v>
      </c>
      <c r="U200" s="26">
        <v>760</v>
      </c>
      <c r="V200" s="26">
        <v>790</v>
      </c>
      <c r="W200" s="26">
        <v>736</v>
      </c>
      <c r="X200" s="26">
        <v>780</v>
      </c>
      <c r="Y200" s="26">
        <v>784</v>
      </c>
      <c r="Z200" s="26">
        <v>766</v>
      </c>
    </row>
    <row r="201" spans="1:47">
      <c r="A201" s="26">
        <v>103</v>
      </c>
      <c r="B201" s="30" t="s">
        <v>9</v>
      </c>
      <c r="C201" s="27">
        <v>84</v>
      </c>
      <c r="D201" s="44">
        <v>1</v>
      </c>
      <c r="E201" s="33">
        <f>표_악몽던전템위력[[#This Row],[ancestral dropped]]/표_악몽던전템위력[[#This Row],[rare+ dropped]]</f>
        <v>0.97499999999999998</v>
      </c>
      <c r="F201" s="47">
        <f>COUNT(표_악몽던전템위력[[#This Row],[item1]:[item46]])</f>
        <v>39</v>
      </c>
      <c r="G201" s="47">
        <v>40</v>
      </c>
      <c r="H201" s="48">
        <f>AVERAGE(표_악몽던전템위력[[#This Row],[item1]:[item46]])</f>
        <v>770.89743589743591</v>
      </c>
      <c r="I201" s="26">
        <v>787</v>
      </c>
      <c r="J201" s="26">
        <v>786</v>
      </c>
      <c r="K201" s="26">
        <v>762</v>
      </c>
      <c r="L201" s="26">
        <v>763</v>
      </c>
      <c r="M201" s="26">
        <v>757</v>
      </c>
      <c r="N201" s="26">
        <v>782</v>
      </c>
      <c r="O201" s="26">
        <v>748</v>
      </c>
      <c r="P201" s="26">
        <v>793</v>
      </c>
      <c r="Q201" s="26">
        <v>784</v>
      </c>
      <c r="R201" s="26">
        <v>782</v>
      </c>
      <c r="S201" s="26">
        <v>780</v>
      </c>
      <c r="T201" s="26">
        <v>757</v>
      </c>
      <c r="U201" s="26">
        <v>734</v>
      </c>
      <c r="V201" s="26">
        <v>763</v>
      </c>
      <c r="W201" s="26">
        <v>763</v>
      </c>
      <c r="X201" s="26">
        <v>789</v>
      </c>
      <c r="Y201" s="26">
        <v>787</v>
      </c>
      <c r="Z201" s="26">
        <v>783</v>
      </c>
      <c r="AA201" s="26">
        <v>778</v>
      </c>
      <c r="AB201" s="26">
        <v>763</v>
      </c>
      <c r="AC201" s="26">
        <v>762</v>
      </c>
      <c r="AD201" s="26">
        <v>781</v>
      </c>
      <c r="AE201" s="26">
        <v>780</v>
      </c>
      <c r="AF201" s="26">
        <v>774</v>
      </c>
      <c r="AG201" s="26">
        <v>758</v>
      </c>
      <c r="AH201" s="26">
        <v>752</v>
      </c>
      <c r="AI201" s="26">
        <v>766</v>
      </c>
      <c r="AJ201" s="26">
        <v>766</v>
      </c>
      <c r="AK201" s="26">
        <v>781</v>
      </c>
      <c r="AL201" s="26">
        <v>772</v>
      </c>
      <c r="AM201" s="26">
        <v>787</v>
      </c>
      <c r="AN201" s="26">
        <v>762</v>
      </c>
      <c r="AO201" s="26">
        <v>774</v>
      </c>
      <c r="AP201" s="26">
        <v>767</v>
      </c>
      <c r="AQ201" s="26">
        <v>765</v>
      </c>
      <c r="AR201" s="26">
        <v>789</v>
      </c>
      <c r="AS201" s="26">
        <v>786</v>
      </c>
      <c r="AT201" s="26">
        <v>743</v>
      </c>
      <c r="AU201" s="26">
        <v>759</v>
      </c>
    </row>
    <row r="202" spans="1:47">
      <c r="A202" s="26">
        <v>103</v>
      </c>
      <c r="B202" s="30" t="s">
        <v>133</v>
      </c>
      <c r="C202" s="27">
        <v>64</v>
      </c>
      <c r="D202" s="44"/>
      <c r="E202" s="33">
        <f>표_악몽던전템위력[[#This Row],[ancestral dropped]]/표_악몽던전템위력[[#This Row],[rare+ dropped]]</f>
        <v>0.8</v>
      </c>
      <c r="F202" s="47">
        <f>COUNT(표_악몽던전템위력[[#This Row],[item1]:[item46]])</f>
        <v>16</v>
      </c>
      <c r="G202" s="47">
        <v>20</v>
      </c>
      <c r="H202" s="48">
        <f>AVERAGE(표_악몽던전템위력[[#This Row],[item1]:[item46]])</f>
        <v>773.25</v>
      </c>
      <c r="I202" s="26">
        <v>787</v>
      </c>
      <c r="J202" s="26">
        <v>748</v>
      </c>
      <c r="K202" s="26">
        <v>797</v>
      </c>
      <c r="L202" s="26">
        <v>789</v>
      </c>
      <c r="M202" s="26">
        <v>790</v>
      </c>
      <c r="N202" s="26">
        <v>788</v>
      </c>
      <c r="O202" s="26">
        <v>764</v>
      </c>
      <c r="P202" s="26">
        <v>756</v>
      </c>
      <c r="Q202" s="26">
        <v>794</v>
      </c>
      <c r="R202" s="26">
        <v>790</v>
      </c>
      <c r="S202" s="26">
        <v>775</v>
      </c>
      <c r="T202" s="26">
        <v>745</v>
      </c>
      <c r="U202" s="26">
        <v>751</v>
      </c>
      <c r="V202" s="26">
        <v>745</v>
      </c>
      <c r="W202" s="26">
        <v>781</v>
      </c>
      <c r="X202" s="26">
        <v>772</v>
      </c>
    </row>
    <row r="203" spans="1:47">
      <c r="A203" s="26">
        <v>103</v>
      </c>
      <c r="B203" s="30" t="s">
        <v>120</v>
      </c>
      <c r="C203" s="27">
        <v>64</v>
      </c>
      <c r="D203" s="44"/>
      <c r="E203" s="33">
        <f>표_악몽던전템위력[[#This Row],[ancestral dropped]]/표_악몽던전템위력[[#This Row],[rare+ dropped]]</f>
        <v>0.8571428571428571</v>
      </c>
      <c r="F203" s="47">
        <f>COUNT(표_악몽던전템위력[[#This Row],[item1]:[item46]])</f>
        <v>12</v>
      </c>
      <c r="G203" s="47">
        <v>14</v>
      </c>
      <c r="H203" s="48">
        <f>AVERAGE(표_악몽던전템위력[[#This Row],[item1]:[item46]])</f>
        <v>773.08333333333337</v>
      </c>
      <c r="I203" s="26">
        <v>761</v>
      </c>
      <c r="J203" s="26">
        <v>776</v>
      </c>
      <c r="K203" s="26">
        <v>757</v>
      </c>
      <c r="L203" s="26">
        <v>777</v>
      </c>
      <c r="M203" s="26">
        <v>770</v>
      </c>
      <c r="N203" s="26">
        <v>762</v>
      </c>
      <c r="O203" s="26">
        <v>761</v>
      </c>
      <c r="P203" s="26">
        <v>791</v>
      </c>
      <c r="Q203" s="26">
        <v>779</v>
      </c>
      <c r="R203" s="26">
        <v>776</v>
      </c>
      <c r="S203" s="26">
        <v>784</v>
      </c>
      <c r="T203" s="26">
        <v>783</v>
      </c>
    </row>
    <row r="204" spans="1:47">
      <c r="A204" s="26">
        <v>103</v>
      </c>
      <c r="B204" s="30" t="s">
        <v>145</v>
      </c>
      <c r="C204" s="27">
        <v>65</v>
      </c>
      <c r="D204" s="44"/>
      <c r="E204" s="33">
        <f>표_악몽던전템위력[[#This Row],[ancestral dropped]]/표_악몽던전템위력[[#This Row],[rare+ dropped]]</f>
        <v>0.7407407407407407</v>
      </c>
      <c r="F204" s="47">
        <f>COUNT(표_악몽던전템위력[[#This Row],[item1]:[item46]])</f>
        <v>20</v>
      </c>
      <c r="G204" s="47">
        <v>27</v>
      </c>
      <c r="H204" s="48">
        <f>AVERAGE(표_악몽던전템위력[[#This Row],[item1]:[item46]])</f>
        <v>774.9</v>
      </c>
      <c r="I204" s="26">
        <v>813</v>
      </c>
      <c r="J204" s="26">
        <v>811</v>
      </c>
      <c r="K204" s="26">
        <v>790</v>
      </c>
      <c r="L204" s="26">
        <v>778</v>
      </c>
      <c r="M204" s="26">
        <v>760</v>
      </c>
      <c r="N204" s="26">
        <v>783</v>
      </c>
      <c r="O204" s="26">
        <v>767</v>
      </c>
      <c r="P204" s="26">
        <v>794</v>
      </c>
      <c r="Q204" s="26">
        <v>776</v>
      </c>
      <c r="R204" s="26">
        <v>771</v>
      </c>
      <c r="S204" s="26">
        <v>756</v>
      </c>
      <c r="T204" s="26">
        <v>754</v>
      </c>
      <c r="U204" s="26">
        <v>776</v>
      </c>
      <c r="V204" s="26">
        <v>779</v>
      </c>
      <c r="W204" s="26">
        <v>773</v>
      </c>
      <c r="X204" s="26">
        <v>754</v>
      </c>
      <c r="Y204" s="26">
        <v>781</v>
      </c>
      <c r="Z204" s="26">
        <v>777</v>
      </c>
      <c r="AA204" s="26">
        <v>773</v>
      </c>
      <c r="AB204" s="26">
        <v>732</v>
      </c>
    </row>
    <row r="205" spans="1:47">
      <c r="A205" s="26">
        <v>103</v>
      </c>
      <c r="B205" s="30" t="s">
        <v>122</v>
      </c>
      <c r="C205" s="27">
        <v>65</v>
      </c>
      <c r="D205" s="44">
        <v>1</v>
      </c>
      <c r="E205" s="33">
        <f>표_악몽던전템위력[[#This Row],[ancestral dropped]]/표_악몽던전템위력[[#This Row],[rare+ dropped]]</f>
        <v>0.9</v>
      </c>
      <c r="F205" s="47">
        <f>COUNT(표_악몽던전템위력[[#This Row],[item1]:[item46]])</f>
        <v>27</v>
      </c>
      <c r="G205" s="47">
        <v>30</v>
      </c>
      <c r="H205" s="48">
        <f>AVERAGE(표_악몽던전템위력[[#This Row],[item1]:[item46]])</f>
        <v>773.18518518518522</v>
      </c>
      <c r="I205" s="26">
        <v>811</v>
      </c>
      <c r="J205" s="26">
        <v>795</v>
      </c>
      <c r="K205" s="26">
        <v>787</v>
      </c>
      <c r="L205" s="26">
        <v>783</v>
      </c>
      <c r="M205" s="26">
        <v>783</v>
      </c>
      <c r="N205" s="26">
        <v>737</v>
      </c>
      <c r="O205" s="26">
        <v>787</v>
      </c>
      <c r="P205" s="26">
        <v>784</v>
      </c>
      <c r="Q205" s="26">
        <v>748</v>
      </c>
      <c r="R205" s="26">
        <v>787</v>
      </c>
      <c r="S205" s="26">
        <v>778</v>
      </c>
      <c r="T205" s="26">
        <v>740</v>
      </c>
      <c r="U205" s="26">
        <v>778</v>
      </c>
      <c r="V205" s="26">
        <v>759</v>
      </c>
      <c r="W205" s="26">
        <v>739</v>
      </c>
      <c r="X205" s="26">
        <v>801</v>
      </c>
      <c r="Y205" s="26">
        <v>784</v>
      </c>
      <c r="Z205" s="26">
        <v>783</v>
      </c>
      <c r="AA205" s="26">
        <v>769</v>
      </c>
      <c r="AB205" s="26">
        <v>762</v>
      </c>
      <c r="AC205" s="26">
        <v>733</v>
      </c>
      <c r="AD205" s="26">
        <v>809</v>
      </c>
      <c r="AE205" s="26">
        <v>786</v>
      </c>
      <c r="AF205" s="26">
        <v>739</v>
      </c>
      <c r="AG205" s="26">
        <v>784</v>
      </c>
      <c r="AH205" s="26">
        <v>777</v>
      </c>
      <c r="AI205" s="26">
        <v>753</v>
      </c>
    </row>
    <row r="206" spans="1:47">
      <c r="A206" s="26">
        <v>103</v>
      </c>
      <c r="B206" s="30" t="s">
        <v>0</v>
      </c>
      <c r="C206" s="27">
        <v>65</v>
      </c>
      <c r="D206" s="44"/>
      <c r="E206" s="33">
        <f>표_악몽던전템위력[[#This Row],[ancestral dropped]]/표_악몽던전템위력[[#This Row],[rare+ dropped]]</f>
        <v>0.81818181818181823</v>
      </c>
      <c r="F206" s="47">
        <f>COUNT(표_악몽던전템위력[[#This Row],[item1]:[item46]])</f>
        <v>18</v>
      </c>
      <c r="G206" s="47">
        <v>22</v>
      </c>
      <c r="H206" s="48">
        <f>AVERAGE(표_악몽던전템위력[[#This Row],[item1]:[item46]])</f>
        <v>771.05555555555554</v>
      </c>
      <c r="I206" s="26">
        <v>796</v>
      </c>
      <c r="J206" s="26">
        <v>790</v>
      </c>
      <c r="K206" s="26">
        <v>766</v>
      </c>
      <c r="L206" s="26">
        <v>755</v>
      </c>
      <c r="M206" s="26">
        <v>779</v>
      </c>
      <c r="N206" s="26">
        <v>780</v>
      </c>
      <c r="O206" s="26">
        <v>758</v>
      </c>
      <c r="P206" s="26">
        <v>749</v>
      </c>
      <c r="Q206" s="26">
        <v>787</v>
      </c>
      <c r="R206" s="26">
        <v>777</v>
      </c>
      <c r="S206" s="26">
        <v>749</v>
      </c>
      <c r="T206" s="26">
        <v>778</v>
      </c>
      <c r="U206" s="26">
        <v>755</v>
      </c>
      <c r="V206" s="26">
        <v>769</v>
      </c>
      <c r="W206" s="26">
        <v>762</v>
      </c>
      <c r="X206" s="26">
        <v>786</v>
      </c>
      <c r="Y206" s="26">
        <v>777</v>
      </c>
      <c r="Z206" s="26">
        <v>766</v>
      </c>
    </row>
    <row r="207" spans="1:47">
      <c r="A207" s="26">
        <v>103</v>
      </c>
      <c r="B207" s="30" t="s">
        <v>28</v>
      </c>
      <c r="C207" s="27">
        <v>65</v>
      </c>
      <c r="D207" s="44"/>
      <c r="E207" s="33">
        <f>표_악몽던전템위력[[#This Row],[ancestral dropped]]/표_악몽던전템위력[[#This Row],[rare+ dropped]]</f>
        <v>0.94117647058823528</v>
      </c>
      <c r="F207" s="47">
        <f>COUNT(표_악몽던전템위력[[#This Row],[item1]:[item46]])</f>
        <v>16</v>
      </c>
      <c r="G207" s="47">
        <v>17</v>
      </c>
      <c r="H207" s="48">
        <f>AVERAGE(표_악몽던전템위력[[#This Row],[item1]:[item46]])</f>
        <v>771.1875</v>
      </c>
      <c r="I207" s="26">
        <v>784</v>
      </c>
      <c r="J207" s="26">
        <v>780</v>
      </c>
      <c r="K207" s="26">
        <v>762</v>
      </c>
      <c r="L207" s="26">
        <v>732</v>
      </c>
      <c r="M207" s="26">
        <v>787</v>
      </c>
      <c r="N207" s="26">
        <v>749</v>
      </c>
      <c r="O207" s="26">
        <v>816</v>
      </c>
      <c r="P207" s="26">
        <v>768</v>
      </c>
      <c r="Q207" s="26">
        <v>767</v>
      </c>
      <c r="R207" s="26">
        <v>763</v>
      </c>
      <c r="S207" s="26">
        <v>750</v>
      </c>
      <c r="T207" s="26">
        <v>784</v>
      </c>
      <c r="U207" s="26">
        <v>771</v>
      </c>
      <c r="V207" s="26">
        <v>748</v>
      </c>
      <c r="W207" s="26">
        <v>788</v>
      </c>
      <c r="X207" s="26">
        <v>790</v>
      </c>
    </row>
    <row r="208" spans="1:47">
      <c r="A208" s="26">
        <v>103</v>
      </c>
      <c r="B208" s="30" t="s">
        <v>9</v>
      </c>
      <c r="C208" s="27">
        <v>65</v>
      </c>
      <c r="D208" s="44"/>
      <c r="E208" s="33">
        <f>표_악몽던전템위력[[#This Row],[ancestral dropped]]/표_악몽던전템위력[[#This Row],[rare+ dropped]]</f>
        <v>0.9642857142857143</v>
      </c>
      <c r="F208" s="47">
        <f>COUNT(표_악몽던전템위력[[#This Row],[item1]:[item46]])</f>
        <v>27</v>
      </c>
      <c r="G208" s="47">
        <v>28</v>
      </c>
      <c r="H208" s="48">
        <f>AVERAGE(표_악몽던전템위력[[#This Row],[item1]:[item46]])</f>
        <v>770.22222222222217</v>
      </c>
      <c r="I208" s="26">
        <v>775</v>
      </c>
      <c r="J208" s="26">
        <v>774</v>
      </c>
      <c r="K208" s="26">
        <v>765</v>
      </c>
      <c r="L208" s="26">
        <v>754</v>
      </c>
      <c r="M208" s="26">
        <v>754</v>
      </c>
      <c r="N208" s="26">
        <v>751</v>
      </c>
      <c r="O208" s="26">
        <v>785</v>
      </c>
      <c r="P208" s="26">
        <v>774</v>
      </c>
      <c r="Q208" s="26">
        <v>766</v>
      </c>
      <c r="R208" s="26">
        <v>759</v>
      </c>
      <c r="S208" s="26">
        <v>799</v>
      </c>
      <c r="T208" s="26">
        <v>794</v>
      </c>
      <c r="U208" s="26">
        <v>780</v>
      </c>
      <c r="V208" s="26">
        <v>777</v>
      </c>
      <c r="W208" s="26">
        <v>771</v>
      </c>
      <c r="X208" s="26">
        <v>766</v>
      </c>
      <c r="Y208" s="26">
        <v>764</v>
      </c>
      <c r="Z208" s="26">
        <v>761</v>
      </c>
      <c r="AA208" s="26">
        <v>760</v>
      </c>
      <c r="AB208" s="26">
        <v>742</v>
      </c>
      <c r="AC208" s="26">
        <v>776</v>
      </c>
      <c r="AD208" s="26">
        <v>778</v>
      </c>
      <c r="AE208" s="26">
        <v>737</v>
      </c>
      <c r="AF208" s="26">
        <v>800</v>
      </c>
      <c r="AG208" s="26">
        <v>800</v>
      </c>
      <c r="AH208" s="26">
        <v>775</v>
      </c>
      <c r="AI208" s="26">
        <v>759</v>
      </c>
    </row>
    <row r="209" spans="1:44">
      <c r="A209" s="26">
        <v>103</v>
      </c>
      <c r="B209" s="30" t="s">
        <v>145</v>
      </c>
      <c r="C209" s="27">
        <v>66</v>
      </c>
      <c r="D209" s="44"/>
      <c r="E209" s="33">
        <f>표_악몽던전템위력[[#This Row],[ancestral dropped]]/표_악몽던전템위력[[#This Row],[rare+ dropped]]</f>
        <v>0.84615384615384615</v>
      </c>
      <c r="F209" s="47">
        <f>COUNT(표_악몽던전템위력[[#This Row],[item1]:[item46]])</f>
        <v>22</v>
      </c>
      <c r="G209" s="47">
        <v>26</v>
      </c>
      <c r="H209" s="48">
        <f>AVERAGE(표_악몽던전템위력[[#This Row],[item1]:[item46]])</f>
        <v>774.36363636363637</v>
      </c>
      <c r="I209" s="26">
        <v>755</v>
      </c>
      <c r="J209" s="26">
        <v>801</v>
      </c>
      <c r="K209" s="26">
        <v>771</v>
      </c>
      <c r="L209" s="26">
        <v>798</v>
      </c>
      <c r="M209" s="26">
        <v>778</v>
      </c>
      <c r="N209" s="26">
        <v>769</v>
      </c>
      <c r="O209" s="26">
        <v>763</v>
      </c>
      <c r="P209" s="26">
        <v>760</v>
      </c>
      <c r="Q209" s="26">
        <v>750</v>
      </c>
      <c r="R209" s="26">
        <v>788</v>
      </c>
      <c r="S209" s="26">
        <v>777</v>
      </c>
      <c r="T209" s="26">
        <v>773</v>
      </c>
      <c r="U209" s="26">
        <v>777</v>
      </c>
      <c r="V209" s="26">
        <v>775</v>
      </c>
      <c r="W209" s="26">
        <v>770</v>
      </c>
      <c r="X209" s="26">
        <v>784</v>
      </c>
      <c r="Y209" s="26">
        <v>769</v>
      </c>
      <c r="Z209" s="26">
        <v>804</v>
      </c>
      <c r="AA209" s="26">
        <v>792</v>
      </c>
      <c r="AB209" s="26">
        <v>770</v>
      </c>
      <c r="AC209" s="26">
        <v>760</v>
      </c>
      <c r="AD209" s="26">
        <v>752</v>
      </c>
    </row>
    <row r="210" spans="1:44">
      <c r="A210" s="26">
        <v>103</v>
      </c>
      <c r="B210" s="30" t="s">
        <v>123</v>
      </c>
      <c r="C210" s="27">
        <v>66</v>
      </c>
      <c r="D210" s="44"/>
      <c r="E210" s="33">
        <f>표_악몽던전템위력[[#This Row],[ancestral dropped]]/표_악몽던전템위력[[#This Row],[rare+ dropped]]</f>
        <v>0.95833333333333337</v>
      </c>
      <c r="F210" s="47">
        <f>COUNT(표_악몽던전템위력[[#This Row],[item1]:[item46]])</f>
        <v>23</v>
      </c>
      <c r="G210" s="47">
        <v>24</v>
      </c>
      <c r="H210" s="48">
        <f>AVERAGE(표_악몽던전템위력[[#This Row],[item1]:[item46]])</f>
        <v>775.3478260869565</v>
      </c>
      <c r="I210" s="26">
        <v>780</v>
      </c>
      <c r="J210" s="26">
        <v>753</v>
      </c>
      <c r="K210" s="26">
        <v>782</v>
      </c>
      <c r="L210" s="26">
        <v>787</v>
      </c>
      <c r="M210" s="26">
        <v>771</v>
      </c>
      <c r="N210" s="26">
        <v>769</v>
      </c>
      <c r="O210" s="26">
        <v>763</v>
      </c>
      <c r="P210" s="26">
        <v>794</v>
      </c>
      <c r="Q210" s="26">
        <v>788</v>
      </c>
      <c r="R210" s="26">
        <v>780</v>
      </c>
      <c r="S210" s="26">
        <v>778</v>
      </c>
      <c r="T210" s="26">
        <v>765</v>
      </c>
      <c r="U210" s="26">
        <v>757</v>
      </c>
      <c r="V210" s="26">
        <v>770</v>
      </c>
      <c r="W210" s="26">
        <v>770</v>
      </c>
      <c r="X210" s="26">
        <v>763</v>
      </c>
      <c r="Y210" s="26">
        <v>791</v>
      </c>
      <c r="Z210" s="26">
        <v>771</v>
      </c>
      <c r="AA210" s="26">
        <v>758</v>
      </c>
      <c r="AB210" s="26">
        <v>785</v>
      </c>
      <c r="AC210" s="26">
        <v>773</v>
      </c>
      <c r="AD210" s="26">
        <v>780</v>
      </c>
      <c r="AE210" s="26">
        <v>805</v>
      </c>
    </row>
    <row r="211" spans="1:44">
      <c r="A211" s="26">
        <v>103</v>
      </c>
      <c r="B211" s="30" t="s">
        <v>121</v>
      </c>
      <c r="C211" s="27">
        <v>66</v>
      </c>
      <c r="D211" s="44"/>
      <c r="E211" s="33">
        <f>표_악몽던전템위력[[#This Row],[ancestral dropped]]/표_악몽던전템위력[[#This Row],[rare+ dropped]]</f>
        <v>0.91304347826086951</v>
      </c>
      <c r="F211" s="47">
        <f>COUNT(표_악몽던전템위력[[#This Row],[item1]:[item46]])</f>
        <v>21</v>
      </c>
      <c r="G211" s="47">
        <v>23</v>
      </c>
      <c r="H211" s="48">
        <f>AVERAGE(표_악몽던전템위력[[#This Row],[item1]:[item46]])</f>
        <v>778.47619047619048</v>
      </c>
      <c r="I211" s="26">
        <v>781</v>
      </c>
      <c r="J211" s="26">
        <v>768</v>
      </c>
      <c r="K211" s="26">
        <v>759</v>
      </c>
      <c r="L211" s="26">
        <v>791</v>
      </c>
      <c r="M211" s="26">
        <v>791</v>
      </c>
      <c r="N211" s="26">
        <v>775</v>
      </c>
      <c r="O211" s="26">
        <v>773</v>
      </c>
      <c r="P211" s="26">
        <v>761</v>
      </c>
      <c r="Q211" s="26">
        <v>760</v>
      </c>
      <c r="R211" s="26">
        <v>806</v>
      </c>
      <c r="S211" s="26">
        <v>789</v>
      </c>
      <c r="T211" s="26">
        <v>785</v>
      </c>
      <c r="U211" s="26">
        <v>758</v>
      </c>
      <c r="V211" s="26">
        <v>806</v>
      </c>
      <c r="W211" s="26">
        <v>788</v>
      </c>
      <c r="X211" s="26">
        <v>769</v>
      </c>
      <c r="Y211" s="26">
        <v>804</v>
      </c>
      <c r="Z211" s="26">
        <v>800</v>
      </c>
      <c r="AA211" s="26">
        <v>782</v>
      </c>
      <c r="AB211" s="26">
        <v>755</v>
      </c>
      <c r="AC211" s="26">
        <v>747</v>
      </c>
    </row>
    <row r="212" spans="1:44">
      <c r="A212" s="26">
        <v>103</v>
      </c>
      <c r="B212" s="30" t="s">
        <v>0</v>
      </c>
      <c r="C212" s="27">
        <v>66</v>
      </c>
      <c r="D212" s="44"/>
      <c r="E212" s="33">
        <f>표_악몽던전템위력[[#This Row],[ancestral dropped]]/표_악몽던전템위력[[#This Row],[rare+ dropped]]</f>
        <v>0.86956521739130432</v>
      </c>
      <c r="F212" s="47">
        <f>COUNT(표_악몽던전템위력[[#This Row],[item1]:[item46]])</f>
        <v>20</v>
      </c>
      <c r="G212" s="47">
        <v>23</v>
      </c>
      <c r="H212" s="48">
        <f>AVERAGE(표_악몽던전템위력[[#This Row],[item1]:[item46]])</f>
        <v>769.35</v>
      </c>
      <c r="I212" s="26">
        <v>793</v>
      </c>
      <c r="J212" s="26">
        <v>789</v>
      </c>
      <c r="K212" s="26">
        <v>770</v>
      </c>
      <c r="L212" s="26">
        <v>763</v>
      </c>
      <c r="M212" s="26">
        <v>756</v>
      </c>
      <c r="N212" s="26">
        <v>781</v>
      </c>
      <c r="O212" s="26">
        <v>748</v>
      </c>
      <c r="P212" s="26">
        <v>765</v>
      </c>
      <c r="Q212" s="26">
        <v>760</v>
      </c>
      <c r="R212" s="26">
        <v>750</v>
      </c>
      <c r="S212" s="26">
        <v>784</v>
      </c>
      <c r="T212" s="26">
        <v>766</v>
      </c>
      <c r="U212" s="26">
        <v>757</v>
      </c>
      <c r="V212" s="26">
        <v>757</v>
      </c>
      <c r="W212" s="26">
        <v>781</v>
      </c>
      <c r="X212" s="26">
        <v>769</v>
      </c>
      <c r="Y212" s="26">
        <v>789</v>
      </c>
      <c r="Z212" s="26">
        <v>784</v>
      </c>
      <c r="AA212" s="26">
        <v>775</v>
      </c>
      <c r="AB212" s="26">
        <v>750</v>
      </c>
    </row>
    <row r="213" spans="1:44">
      <c r="A213" s="26">
        <v>103</v>
      </c>
      <c r="B213" s="30" t="s">
        <v>30</v>
      </c>
      <c r="C213" s="27">
        <v>66</v>
      </c>
      <c r="D213" s="44"/>
      <c r="E213" s="33">
        <f>표_악몽던전템위력[[#This Row],[ancestral dropped]]/표_악몽던전템위력[[#This Row],[rare+ dropped]]</f>
        <v>0.83333333333333337</v>
      </c>
      <c r="F213" s="47">
        <f>COUNT(표_악몽던전템위력[[#This Row],[item1]:[item46]])</f>
        <v>25</v>
      </c>
      <c r="G213" s="47">
        <v>30</v>
      </c>
      <c r="H213" s="48">
        <f>AVERAGE(표_악몽던전템위력[[#This Row],[item1]:[item46]])</f>
        <v>763.92</v>
      </c>
      <c r="I213" s="26">
        <v>771</v>
      </c>
      <c r="J213" s="26">
        <v>765</v>
      </c>
      <c r="K213" s="26">
        <v>765</v>
      </c>
      <c r="L213" s="26">
        <v>740</v>
      </c>
      <c r="M213" s="26">
        <v>800</v>
      </c>
      <c r="N213" s="26">
        <v>748</v>
      </c>
      <c r="O213" s="26">
        <v>787</v>
      </c>
      <c r="P213" s="26">
        <v>783</v>
      </c>
      <c r="Q213" s="26">
        <v>758</v>
      </c>
      <c r="R213" s="26">
        <v>762</v>
      </c>
      <c r="S213" s="26">
        <v>733</v>
      </c>
      <c r="T213" s="26">
        <v>802</v>
      </c>
      <c r="U213" s="26">
        <v>768</v>
      </c>
      <c r="V213" s="26">
        <v>750</v>
      </c>
      <c r="W213" s="26">
        <v>741</v>
      </c>
      <c r="X213" s="26">
        <v>780</v>
      </c>
      <c r="Y213" s="26">
        <v>765</v>
      </c>
      <c r="Z213" s="26">
        <v>739</v>
      </c>
      <c r="AA213" s="26">
        <v>762</v>
      </c>
      <c r="AB213" s="26">
        <v>759</v>
      </c>
      <c r="AC213" s="26">
        <v>742</v>
      </c>
      <c r="AD213" s="26">
        <v>798</v>
      </c>
      <c r="AE213" s="26">
        <v>751</v>
      </c>
      <c r="AF213" s="26">
        <v>732</v>
      </c>
      <c r="AG213" s="26">
        <v>797</v>
      </c>
    </row>
    <row r="214" spans="1:44">
      <c r="A214" s="26">
        <v>103</v>
      </c>
      <c r="B214" s="30" t="s">
        <v>150</v>
      </c>
      <c r="C214" s="27">
        <v>66</v>
      </c>
      <c r="D214" s="44"/>
      <c r="E214" s="33">
        <f>표_악몽던전템위력[[#This Row],[ancestral dropped]]/표_악몽던전템위력[[#This Row],[rare+ dropped]]</f>
        <v>0.8571428571428571</v>
      </c>
      <c r="F214" s="47">
        <f>COUNT(표_악몽던전템위력[[#This Row],[item1]:[item46]])</f>
        <v>18</v>
      </c>
      <c r="G214" s="47">
        <v>21</v>
      </c>
      <c r="H214" s="48">
        <f>AVERAGE(표_악몽던전템위력[[#This Row],[item1]:[item46]])</f>
        <v>770.72222222222217</v>
      </c>
      <c r="I214" s="26">
        <v>745</v>
      </c>
      <c r="J214" s="26">
        <v>806</v>
      </c>
      <c r="K214" s="26">
        <v>790</v>
      </c>
      <c r="L214" s="26">
        <v>760</v>
      </c>
      <c r="M214" s="26">
        <v>759</v>
      </c>
      <c r="N214" s="26">
        <v>758</v>
      </c>
      <c r="O214" s="26">
        <v>738</v>
      </c>
      <c r="P214" s="26">
        <v>771</v>
      </c>
      <c r="Q214" s="26">
        <v>748</v>
      </c>
      <c r="R214" s="26">
        <v>756</v>
      </c>
      <c r="S214" s="26">
        <v>754</v>
      </c>
      <c r="T214" s="26">
        <v>776</v>
      </c>
      <c r="U214" s="26">
        <v>774</v>
      </c>
      <c r="V214" s="26">
        <v>797</v>
      </c>
      <c r="W214" s="26">
        <v>788</v>
      </c>
      <c r="X214" s="26">
        <v>796</v>
      </c>
      <c r="Y214" s="26">
        <v>796</v>
      </c>
      <c r="Z214" s="26">
        <v>761</v>
      </c>
    </row>
    <row r="215" spans="1:44">
      <c r="A215" s="26">
        <v>103</v>
      </c>
      <c r="B215" s="30" t="s">
        <v>126</v>
      </c>
      <c r="C215" s="27">
        <v>66</v>
      </c>
      <c r="D215" s="44"/>
      <c r="E215" s="33">
        <f>표_악몽던전템위력[[#This Row],[ancestral dropped]]/표_악몽던전템위력[[#This Row],[rare+ dropped]]</f>
        <v>0.83870967741935487</v>
      </c>
      <c r="F215" s="47">
        <f>COUNT(표_악몽던전템위력[[#This Row],[item1]:[item46]])</f>
        <v>26</v>
      </c>
      <c r="G215" s="47">
        <v>31</v>
      </c>
      <c r="H215" s="48">
        <f>AVERAGE(표_악몽던전템위력[[#This Row],[item1]:[item46]])</f>
        <v>782.34615384615381</v>
      </c>
      <c r="I215" s="26">
        <v>805</v>
      </c>
      <c r="J215" s="26">
        <v>804</v>
      </c>
      <c r="K215" s="26">
        <v>779</v>
      </c>
      <c r="L215" s="26">
        <v>778</v>
      </c>
      <c r="M215" s="26">
        <v>757</v>
      </c>
      <c r="N215" s="26">
        <v>772</v>
      </c>
      <c r="O215" s="26">
        <v>813</v>
      </c>
      <c r="P215" s="26">
        <v>810</v>
      </c>
      <c r="Q215" s="26">
        <v>778</v>
      </c>
      <c r="R215" s="26">
        <v>817</v>
      </c>
      <c r="S215" s="26">
        <v>814</v>
      </c>
      <c r="T215" s="26">
        <v>790</v>
      </c>
      <c r="U215" s="26">
        <v>789</v>
      </c>
      <c r="V215" s="26">
        <v>781</v>
      </c>
      <c r="W215" s="26">
        <v>772</v>
      </c>
      <c r="X215" s="26">
        <v>759</v>
      </c>
      <c r="Y215" s="26">
        <v>753</v>
      </c>
      <c r="Z215" s="26">
        <v>770</v>
      </c>
      <c r="AA215" s="26">
        <v>758</v>
      </c>
      <c r="AB215" s="26">
        <v>810</v>
      </c>
      <c r="AC215" s="26">
        <v>790</v>
      </c>
      <c r="AD215" s="26">
        <v>754</v>
      </c>
      <c r="AE215" s="26">
        <v>742</v>
      </c>
      <c r="AF215" s="26">
        <v>815</v>
      </c>
      <c r="AG215" s="26">
        <v>777</v>
      </c>
      <c r="AH215" s="26">
        <v>754</v>
      </c>
    </row>
    <row r="216" spans="1:44">
      <c r="A216" s="26">
        <v>103</v>
      </c>
      <c r="B216" s="30" t="s">
        <v>123</v>
      </c>
      <c r="C216" s="27">
        <v>67</v>
      </c>
      <c r="D216" s="44"/>
      <c r="E216" s="33">
        <f>표_악몽던전템위력[[#This Row],[ancestral dropped]]/표_악몽던전템위력[[#This Row],[rare+ dropped]]</f>
        <v>0.95</v>
      </c>
      <c r="F216" s="47">
        <f>COUNT(표_악몽던전템위력[[#This Row],[item1]:[item46]])</f>
        <v>19</v>
      </c>
      <c r="G216" s="47">
        <v>20</v>
      </c>
      <c r="H216" s="48">
        <f>AVERAGE(표_악몽던전템위력[[#This Row],[item1]:[item46]])</f>
        <v>770.89473684210532</v>
      </c>
      <c r="I216" s="26">
        <v>747</v>
      </c>
      <c r="J216" s="26">
        <v>783</v>
      </c>
      <c r="K216" s="26">
        <v>780</v>
      </c>
      <c r="L216" s="26">
        <v>749</v>
      </c>
      <c r="M216" s="26">
        <v>738</v>
      </c>
      <c r="N216" s="26">
        <v>815</v>
      </c>
      <c r="O216" s="26">
        <v>801</v>
      </c>
      <c r="P216" s="26">
        <v>778</v>
      </c>
      <c r="Q216" s="26">
        <v>778</v>
      </c>
      <c r="R216" s="26">
        <v>749</v>
      </c>
      <c r="S216" s="26">
        <v>790</v>
      </c>
      <c r="T216" s="26">
        <v>777</v>
      </c>
      <c r="U216" s="26">
        <v>754</v>
      </c>
      <c r="V216" s="26">
        <v>749</v>
      </c>
      <c r="W216" s="26">
        <v>775</v>
      </c>
      <c r="X216" s="26">
        <v>767</v>
      </c>
      <c r="Y216" s="26">
        <v>735</v>
      </c>
      <c r="Z216" s="26">
        <v>774</v>
      </c>
      <c r="AA216" s="26">
        <v>808</v>
      </c>
    </row>
    <row r="217" spans="1:44">
      <c r="A217" s="26">
        <v>103</v>
      </c>
      <c r="B217" s="30" t="s">
        <v>10</v>
      </c>
      <c r="C217" s="27">
        <v>66</v>
      </c>
      <c r="D217" s="44"/>
      <c r="E217" s="33">
        <f>표_악몽던전템위력[[#This Row],[ancestral dropped]]/표_악몽던전템위력[[#This Row],[rare+ dropped]]</f>
        <v>0.9</v>
      </c>
      <c r="F217" s="47">
        <f>COUNT(표_악몽던전템위력[[#This Row],[item1]:[item46]])</f>
        <v>27</v>
      </c>
      <c r="G217" s="47">
        <v>30</v>
      </c>
      <c r="H217" s="48">
        <f>AVERAGE(표_악몽던전템위력[[#This Row],[item1]:[item46]])</f>
        <v>776.03703703703707</v>
      </c>
      <c r="I217" s="26">
        <v>788</v>
      </c>
      <c r="J217" s="26">
        <v>784</v>
      </c>
      <c r="K217" s="26">
        <v>778</v>
      </c>
      <c r="L217" s="26">
        <v>772</v>
      </c>
      <c r="M217" s="26">
        <v>771</v>
      </c>
      <c r="N217" s="26">
        <v>766</v>
      </c>
      <c r="O217" s="26">
        <v>793</v>
      </c>
      <c r="P217" s="26">
        <v>789</v>
      </c>
      <c r="Q217" s="26">
        <v>779</v>
      </c>
      <c r="R217" s="26">
        <v>772</v>
      </c>
      <c r="S217" s="26">
        <v>759</v>
      </c>
      <c r="T217" s="26">
        <v>789</v>
      </c>
      <c r="U217" s="26">
        <v>780</v>
      </c>
      <c r="V217" s="26">
        <v>779</v>
      </c>
      <c r="W217" s="26">
        <v>779</v>
      </c>
      <c r="X217" s="26">
        <v>773</v>
      </c>
      <c r="Y217" s="26">
        <v>786</v>
      </c>
      <c r="Z217" s="26">
        <v>781</v>
      </c>
      <c r="AA217" s="26">
        <v>771</v>
      </c>
      <c r="AB217" s="26">
        <v>766</v>
      </c>
      <c r="AC217" s="26">
        <v>743</v>
      </c>
      <c r="AD217" s="26">
        <v>737</v>
      </c>
      <c r="AE217" s="26">
        <v>803</v>
      </c>
      <c r="AF217" s="26">
        <v>763</v>
      </c>
      <c r="AG217" s="26">
        <v>795</v>
      </c>
      <c r="AH217" s="26">
        <v>762</v>
      </c>
      <c r="AI217" s="26">
        <v>795</v>
      </c>
    </row>
    <row r="218" spans="1:44">
      <c r="A218" s="26">
        <v>103</v>
      </c>
      <c r="B218" s="30" t="s">
        <v>0</v>
      </c>
      <c r="C218" s="27">
        <v>66</v>
      </c>
      <c r="D218" s="44"/>
      <c r="E218" s="33">
        <f>표_악몽던전템위력[[#This Row],[ancestral dropped]]/표_악몽던전템위력[[#This Row],[rare+ dropped]]</f>
        <v>0.8529411764705882</v>
      </c>
      <c r="F218" s="47">
        <f>COUNT(표_악몽던전템위력[[#This Row],[item1]:[item46]])</f>
        <v>29</v>
      </c>
      <c r="G218" s="47">
        <v>34</v>
      </c>
      <c r="H218" s="48">
        <f>AVERAGE(표_악몽던전템위력[[#This Row],[item1]:[item46]])</f>
        <v>776.27586206896547</v>
      </c>
      <c r="I218" s="26">
        <v>797</v>
      </c>
      <c r="J218" s="26">
        <v>793</v>
      </c>
      <c r="K218" s="26">
        <v>762</v>
      </c>
      <c r="L218" s="26">
        <v>754</v>
      </c>
      <c r="M218" s="26">
        <v>804</v>
      </c>
      <c r="N218" s="26">
        <v>791</v>
      </c>
      <c r="O218" s="26">
        <v>788</v>
      </c>
      <c r="P218" s="26">
        <v>783</v>
      </c>
      <c r="Q218" s="26">
        <v>774</v>
      </c>
      <c r="R218" s="26">
        <v>820</v>
      </c>
      <c r="S218" s="26">
        <v>812</v>
      </c>
      <c r="T218" s="26">
        <v>801</v>
      </c>
      <c r="U218" s="26">
        <v>784</v>
      </c>
      <c r="V218" s="26">
        <v>764</v>
      </c>
      <c r="W218" s="26">
        <v>749</v>
      </c>
      <c r="X218" s="26">
        <v>760</v>
      </c>
      <c r="Y218" s="26">
        <v>746</v>
      </c>
      <c r="Z218" s="26">
        <v>783</v>
      </c>
      <c r="AA218" s="26">
        <v>777</v>
      </c>
      <c r="AB218" s="26">
        <v>762</v>
      </c>
      <c r="AC218" s="26">
        <v>751</v>
      </c>
      <c r="AD218" s="26">
        <v>789</v>
      </c>
      <c r="AE218" s="26">
        <v>770</v>
      </c>
      <c r="AF218" s="26">
        <v>798</v>
      </c>
      <c r="AG218" s="26">
        <v>764</v>
      </c>
      <c r="AH218" s="26">
        <v>751</v>
      </c>
      <c r="AI218" s="26">
        <v>734</v>
      </c>
      <c r="AJ218" s="26">
        <v>770</v>
      </c>
      <c r="AK218" s="26">
        <v>781</v>
      </c>
    </row>
    <row r="219" spans="1:44">
      <c r="A219" s="26">
        <v>103</v>
      </c>
      <c r="B219" s="30" t="s">
        <v>0</v>
      </c>
      <c r="C219" s="27">
        <v>66</v>
      </c>
      <c r="D219" s="44"/>
      <c r="E219" s="33">
        <f>표_악몽던전템위력[[#This Row],[ancestral dropped]]/표_악몽던전템위력[[#This Row],[rare+ dropped]]</f>
        <v>0.91666666666666663</v>
      </c>
      <c r="F219" s="47">
        <f>COUNT(표_악몽던전템위력[[#This Row],[item1]:[item46]])</f>
        <v>22</v>
      </c>
      <c r="G219" s="47">
        <v>24</v>
      </c>
      <c r="H219" s="48">
        <f>AVERAGE(표_악몽던전템위력[[#This Row],[item1]:[item46]])</f>
        <v>771.81818181818187</v>
      </c>
      <c r="I219" s="26">
        <v>811</v>
      </c>
      <c r="J219" s="26">
        <v>789</v>
      </c>
      <c r="K219" s="26">
        <v>781</v>
      </c>
      <c r="L219" s="26">
        <v>792</v>
      </c>
      <c r="M219" s="26">
        <v>773</v>
      </c>
      <c r="N219" s="26">
        <v>771</v>
      </c>
      <c r="O219" s="26">
        <v>741</v>
      </c>
      <c r="P219" s="26">
        <v>777</v>
      </c>
      <c r="Q219" s="26">
        <v>770</v>
      </c>
      <c r="R219" s="26">
        <v>748</v>
      </c>
      <c r="S219" s="26">
        <v>746</v>
      </c>
      <c r="T219" s="26">
        <v>746</v>
      </c>
      <c r="U219" s="26">
        <v>802</v>
      </c>
      <c r="V219" s="26">
        <v>760</v>
      </c>
      <c r="W219" s="26">
        <v>731</v>
      </c>
      <c r="X219" s="26">
        <v>763</v>
      </c>
      <c r="Y219" s="26">
        <v>761</v>
      </c>
      <c r="Z219" s="26">
        <v>779</v>
      </c>
      <c r="AA219" s="26">
        <v>770</v>
      </c>
      <c r="AB219" s="26">
        <v>786</v>
      </c>
      <c r="AC219" s="26">
        <v>792</v>
      </c>
      <c r="AD219" s="26">
        <v>791</v>
      </c>
    </row>
    <row r="220" spans="1:44">
      <c r="A220" s="26">
        <v>103</v>
      </c>
      <c r="B220" s="30" t="s">
        <v>0</v>
      </c>
      <c r="C220" s="27">
        <v>66</v>
      </c>
      <c r="D220" s="44"/>
      <c r="E220" s="33">
        <f>표_악몽던전템위력[[#This Row],[ancestral dropped]]/표_악몽던전템위력[[#This Row],[rare+ dropped]]</f>
        <v>0.92592592592592593</v>
      </c>
      <c r="F220" s="47">
        <f>COUNT(표_악몽던전템위력[[#This Row],[item1]:[item46]])</f>
        <v>25</v>
      </c>
      <c r="G220" s="47">
        <v>27</v>
      </c>
      <c r="H220" s="48">
        <f>AVERAGE(표_악몽던전템위력[[#This Row],[item1]:[item46]])</f>
        <v>783.92</v>
      </c>
      <c r="I220" s="26">
        <v>790</v>
      </c>
      <c r="J220" s="26">
        <v>789</v>
      </c>
      <c r="K220" s="26">
        <v>782</v>
      </c>
      <c r="L220" s="26">
        <v>779</v>
      </c>
      <c r="M220" s="26">
        <v>748</v>
      </c>
      <c r="N220" s="26">
        <v>809</v>
      </c>
      <c r="O220" s="26">
        <v>767</v>
      </c>
      <c r="P220" s="26">
        <v>809</v>
      </c>
      <c r="Q220" s="26">
        <v>792</v>
      </c>
      <c r="R220" s="26">
        <v>787</v>
      </c>
      <c r="S220" s="26">
        <v>790</v>
      </c>
      <c r="T220" s="26">
        <v>782</v>
      </c>
      <c r="U220" s="26">
        <v>746</v>
      </c>
      <c r="V220" s="26">
        <v>807</v>
      </c>
      <c r="W220" s="26">
        <v>790</v>
      </c>
      <c r="X220" s="26">
        <v>781</v>
      </c>
      <c r="Y220" s="26">
        <v>755</v>
      </c>
      <c r="Z220" s="26">
        <v>798</v>
      </c>
      <c r="AA220" s="26">
        <v>773</v>
      </c>
      <c r="AB220" s="26">
        <v>801</v>
      </c>
      <c r="AC220" s="26">
        <v>786</v>
      </c>
      <c r="AD220" s="26">
        <v>779</v>
      </c>
      <c r="AE220" s="26">
        <v>769</v>
      </c>
      <c r="AF220" s="26">
        <v>809</v>
      </c>
      <c r="AG220" s="26">
        <v>780</v>
      </c>
    </row>
    <row r="221" spans="1:44">
      <c r="A221" s="26">
        <v>103</v>
      </c>
      <c r="B221" s="30" t="s">
        <v>120</v>
      </c>
      <c r="C221" s="27">
        <v>66</v>
      </c>
      <c r="D221" s="44"/>
      <c r="E221" s="33">
        <f>표_악몽던전템위력[[#This Row],[ancestral dropped]]/표_악몽던전템위력[[#This Row],[rare+ dropped]]</f>
        <v>0.94736842105263153</v>
      </c>
      <c r="F221" s="47">
        <f>COUNT(표_악몽던전템위력[[#This Row],[item1]:[item46]])</f>
        <v>18</v>
      </c>
      <c r="G221" s="47">
        <v>19</v>
      </c>
      <c r="H221" s="48">
        <f>AVERAGE(표_악몽던전템위력[[#This Row],[item1]:[item46]])</f>
        <v>777.66666666666663</v>
      </c>
      <c r="I221" s="26">
        <v>808</v>
      </c>
      <c r="J221" s="26">
        <v>790</v>
      </c>
      <c r="K221" s="26">
        <v>795</v>
      </c>
      <c r="L221" s="26">
        <v>797</v>
      </c>
      <c r="M221" s="26">
        <v>755</v>
      </c>
      <c r="N221" s="26">
        <v>778</v>
      </c>
      <c r="O221" s="26">
        <v>772</v>
      </c>
      <c r="P221" s="26">
        <v>800</v>
      </c>
      <c r="Q221" s="26">
        <v>780</v>
      </c>
      <c r="R221" s="26">
        <v>782</v>
      </c>
      <c r="S221" s="26">
        <v>781</v>
      </c>
      <c r="T221" s="26">
        <v>776</v>
      </c>
      <c r="U221" s="26">
        <v>750</v>
      </c>
      <c r="V221" s="26">
        <v>750</v>
      </c>
      <c r="W221" s="26">
        <v>782</v>
      </c>
      <c r="X221" s="26">
        <v>774</v>
      </c>
      <c r="Y221" s="26">
        <v>777</v>
      </c>
      <c r="Z221" s="26">
        <v>751</v>
      </c>
    </row>
    <row r="222" spans="1:44">
      <c r="A222" s="26">
        <v>103</v>
      </c>
      <c r="B222" s="30" t="s">
        <v>0</v>
      </c>
      <c r="C222" s="27">
        <v>67</v>
      </c>
      <c r="D222" s="44"/>
      <c r="E222" s="33">
        <f>표_악몽던전템위력[[#This Row],[ancestral dropped]]/표_악몽던전템위력[[#This Row],[rare+ dropped]]</f>
        <v>0.95652173913043481</v>
      </c>
      <c r="F222" s="47">
        <f>COUNT(표_악몽던전템위력[[#This Row],[item1]:[item46]])</f>
        <v>22</v>
      </c>
      <c r="G222" s="47">
        <v>23</v>
      </c>
      <c r="H222" s="48">
        <f>AVERAGE(표_악몽던전템위력[[#This Row],[item1]:[item46]])</f>
        <v>767.5454545454545</v>
      </c>
      <c r="I222" s="26">
        <v>797</v>
      </c>
      <c r="J222" s="26">
        <v>787</v>
      </c>
      <c r="K222" s="26">
        <v>788</v>
      </c>
      <c r="L222" s="26">
        <v>781</v>
      </c>
      <c r="M222" s="26">
        <v>774</v>
      </c>
      <c r="N222" s="26">
        <v>772</v>
      </c>
      <c r="O222" s="26">
        <v>760</v>
      </c>
      <c r="P222" s="26">
        <v>788</v>
      </c>
      <c r="Q222" s="26">
        <v>788</v>
      </c>
      <c r="R222" s="26">
        <v>785</v>
      </c>
      <c r="S222" s="26">
        <v>778</v>
      </c>
      <c r="T222" s="26">
        <v>749</v>
      </c>
      <c r="U222" s="26">
        <v>745</v>
      </c>
      <c r="V222" s="26">
        <v>728</v>
      </c>
      <c r="W222" s="26">
        <v>779</v>
      </c>
      <c r="X222" s="26">
        <v>775</v>
      </c>
      <c r="Y222" s="26">
        <v>772</v>
      </c>
      <c r="Z222" s="26">
        <v>762</v>
      </c>
      <c r="AA222" s="26">
        <v>758</v>
      </c>
      <c r="AB222" s="26">
        <v>745</v>
      </c>
      <c r="AC222" s="26">
        <v>738</v>
      </c>
      <c r="AD222" s="26">
        <v>737</v>
      </c>
    </row>
    <row r="223" spans="1:44">
      <c r="A223" s="26">
        <v>103</v>
      </c>
      <c r="B223" s="30" t="s">
        <v>185</v>
      </c>
      <c r="C223" s="27">
        <v>66</v>
      </c>
      <c r="D223" s="44"/>
      <c r="E223" s="33">
        <f>표_악몽던전템위력[[#This Row],[ancestral dropped]]/표_악몽던전템위력[[#This Row],[rare+ dropped]]</f>
        <v>1</v>
      </c>
      <c r="F223" s="47">
        <f>COUNT(표_악몽던전템위력[[#This Row],[item1]:[item46]])</f>
        <v>36</v>
      </c>
      <c r="G223" s="47">
        <v>36</v>
      </c>
      <c r="H223" s="48">
        <f>AVERAGE(표_악몽던전템위력[[#This Row],[item1]:[item46]])</f>
        <v>775.02777777777783</v>
      </c>
      <c r="I223" s="26">
        <v>735</v>
      </c>
      <c r="J223" s="26">
        <v>773</v>
      </c>
      <c r="K223" s="26">
        <v>757</v>
      </c>
      <c r="L223" s="26">
        <v>780</v>
      </c>
      <c r="M223" s="26">
        <v>776</v>
      </c>
      <c r="N223" s="26">
        <v>775</v>
      </c>
      <c r="O223" s="26">
        <v>796</v>
      </c>
      <c r="P223" s="26">
        <v>774</v>
      </c>
      <c r="Q223" s="26">
        <v>741</v>
      </c>
      <c r="R223" s="26">
        <v>772</v>
      </c>
      <c r="S223" s="26">
        <v>771</v>
      </c>
      <c r="T223" s="26">
        <v>748</v>
      </c>
      <c r="U223" s="26">
        <v>761</v>
      </c>
      <c r="V223" s="26">
        <v>809</v>
      </c>
      <c r="W223" s="26">
        <v>805</v>
      </c>
      <c r="X223" s="26">
        <v>795</v>
      </c>
      <c r="Y223" s="26">
        <v>788</v>
      </c>
      <c r="Z223" s="26">
        <v>784</v>
      </c>
      <c r="AA223" s="26">
        <v>780</v>
      </c>
      <c r="AB223" s="26">
        <v>776</v>
      </c>
      <c r="AC223" s="26">
        <v>765</v>
      </c>
      <c r="AD223" s="26">
        <v>785</v>
      </c>
      <c r="AE223" s="26">
        <v>768</v>
      </c>
      <c r="AF223" s="26">
        <v>747</v>
      </c>
      <c r="AG223" s="26">
        <v>802</v>
      </c>
      <c r="AH223" s="26">
        <v>793</v>
      </c>
      <c r="AI223" s="26">
        <v>781</v>
      </c>
      <c r="AJ223" s="26">
        <v>772</v>
      </c>
      <c r="AK223" s="26">
        <v>766</v>
      </c>
      <c r="AL223" s="26">
        <v>761</v>
      </c>
      <c r="AM223" s="26">
        <v>746</v>
      </c>
      <c r="AN223" s="26">
        <v>789</v>
      </c>
      <c r="AO223" s="26">
        <v>779</v>
      </c>
      <c r="AP223" s="26">
        <v>779</v>
      </c>
      <c r="AQ223" s="26">
        <v>788</v>
      </c>
      <c r="AR223" s="26">
        <v>784</v>
      </c>
    </row>
    <row r="224" spans="1:44">
      <c r="A224" s="26">
        <v>103</v>
      </c>
      <c r="B224" s="30" t="s">
        <v>123</v>
      </c>
      <c r="C224" s="27">
        <v>66</v>
      </c>
      <c r="D224" s="44">
        <v>1</v>
      </c>
      <c r="E224" s="33">
        <f>표_악몽던전템위력[[#This Row],[ancestral dropped]]/표_악몽던전템위력[[#This Row],[rare+ dropped]]</f>
        <v>0.85185185185185186</v>
      </c>
      <c r="F224" s="47">
        <f>COUNT(표_악몽던전템위력[[#This Row],[item1]:[item46]])</f>
        <v>23</v>
      </c>
      <c r="G224" s="47">
        <v>27</v>
      </c>
      <c r="H224" s="48">
        <f>AVERAGE(표_악몽던전템위력[[#This Row],[item1]:[item46]])</f>
        <v>777.47826086956525</v>
      </c>
      <c r="I224" s="26">
        <v>796</v>
      </c>
      <c r="J224" s="26">
        <v>774</v>
      </c>
      <c r="K224" s="26">
        <v>769</v>
      </c>
      <c r="L224" s="26">
        <v>769</v>
      </c>
      <c r="M224" s="26">
        <v>752</v>
      </c>
      <c r="N224" s="26">
        <v>734</v>
      </c>
      <c r="O224" s="26">
        <v>785</v>
      </c>
      <c r="P224" s="26">
        <v>779</v>
      </c>
      <c r="Q224" s="26">
        <v>758</v>
      </c>
      <c r="R224" s="26">
        <v>783</v>
      </c>
      <c r="S224" s="26">
        <v>759</v>
      </c>
      <c r="T224" s="26">
        <v>792</v>
      </c>
      <c r="U224" s="26">
        <v>740</v>
      </c>
      <c r="V224" s="26">
        <v>798</v>
      </c>
      <c r="W224" s="26">
        <v>796</v>
      </c>
      <c r="X224" s="26">
        <v>801</v>
      </c>
      <c r="Y224" s="26">
        <v>800</v>
      </c>
      <c r="Z224" s="26">
        <v>783</v>
      </c>
      <c r="AA224" s="26">
        <v>777</v>
      </c>
      <c r="AB224" s="26">
        <v>808</v>
      </c>
      <c r="AC224" s="26">
        <v>765</v>
      </c>
      <c r="AD224" s="26">
        <v>798</v>
      </c>
      <c r="AE224" s="26">
        <v>766</v>
      </c>
    </row>
    <row r="225" spans="1:38">
      <c r="A225" s="26">
        <v>103</v>
      </c>
      <c r="B225" s="30" t="s">
        <v>127</v>
      </c>
      <c r="C225" s="27">
        <v>67</v>
      </c>
      <c r="D225" s="44">
        <v>1</v>
      </c>
      <c r="E225" s="33">
        <f>표_악몽던전템위력[[#This Row],[ancestral dropped]]/표_악몽던전템위력[[#This Row],[rare+ dropped]]</f>
        <v>1</v>
      </c>
      <c r="F225" s="47">
        <f>COUNT(표_악몽던전템위력[[#This Row],[item1]:[item46]])</f>
        <v>26</v>
      </c>
      <c r="G225" s="47">
        <v>26</v>
      </c>
      <c r="H225" s="48">
        <f>AVERAGE(표_악몽던전템위력[[#This Row],[item1]:[item46]])</f>
        <v>782.53846153846155</v>
      </c>
      <c r="I225" s="26">
        <v>783</v>
      </c>
      <c r="J225" s="26">
        <v>775</v>
      </c>
      <c r="K225" s="26">
        <v>756</v>
      </c>
      <c r="L225" s="26">
        <v>806</v>
      </c>
      <c r="M225" s="26">
        <v>768</v>
      </c>
      <c r="N225" s="26">
        <v>800</v>
      </c>
      <c r="O225" s="26">
        <v>782</v>
      </c>
      <c r="P225" s="26">
        <v>780</v>
      </c>
      <c r="Q225" s="26">
        <v>810</v>
      </c>
      <c r="R225" s="26">
        <v>802</v>
      </c>
      <c r="S225" s="26">
        <v>779</v>
      </c>
      <c r="T225" s="26">
        <v>759</v>
      </c>
      <c r="U225" s="26">
        <v>784</v>
      </c>
      <c r="V225" s="26">
        <v>768</v>
      </c>
      <c r="W225" s="26">
        <v>730</v>
      </c>
      <c r="X225" s="26">
        <v>811</v>
      </c>
      <c r="Y225" s="26">
        <v>806</v>
      </c>
      <c r="Z225" s="26">
        <v>795</v>
      </c>
      <c r="AA225" s="26">
        <v>784</v>
      </c>
      <c r="AB225" s="26">
        <v>781</v>
      </c>
      <c r="AC225" s="26">
        <v>781</v>
      </c>
      <c r="AD225" s="26">
        <v>792</v>
      </c>
      <c r="AE225" s="26">
        <v>787</v>
      </c>
      <c r="AF225" s="26">
        <v>779</v>
      </c>
      <c r="AG225" s="26">
        <v>769</v>
      </c>
      <c r="AH225" s="26">
        <v>779</v>
      </c>
    </row>
    <row r="226" spans="1:38">
      <c r="A226" s="26">
        <v>103</v>
      </c>
      <c r="B226" s="30" t="s">
        <v>0</v>
      </c>
      <c r="C226" s="27">
        <v>38</v>
      </c>
      <c r="D226" s="44">
        <v>1</v>
      </c>
      <c r="E226" s="33">
        <f>표_악몽던전템위력[[#This Row],[ancestral dropped]]/표_악몽던전템위력[[#This Row],[rare+ dropped]]</f>
        <v>0.61764705882352944</v>
      </c>
      <c r="F226" s="47">
        <f>COUNT(표_악몽던전템위력[[#This Row],[item1]:[item46]])</f>
        <v>21</v>
      </c>
      <c r="G226" s="47">
        <v>34</v>
      </c>
      <c r="H226" s="48">
        <f>AVERAGE(표_악몽던전템위력[[#This Row],[item1]:[item46]])</f>
        <v>773.61904761904759</v>
      </c>
      <c r="I226" s="26">
        <v>793</v>
      </c>
      <c r="J226" s="26">
        <v>804</v>
      </c>
      <c r="K226" s="26">
        <v>797</v>
      </c>
      <c r="L226" s="26">
        <v>746</v>
      </c>
      <c r="M226" s="26">
        <v>767</v>
      </c>
      <c r="N226" s="26">
        <v>768</v>
      </c>
      <c r="O226" s="26">
        <v>779</v>
      </c>
      <c r="P226" s="26">
        <v>770</v>
      </c>
      <c r="Q226" s="26">
        <v>786</v>
      </c>
      <c r="R226" s="26">
        <v>758</v>
      </c>
      <c r="S226" s="26">
        <v>788</v>
      </c>
      <c r="T226" s="26">
        <v>766</v>
      </c>
      <c r="U226" s="26">
        <v>755</v>
      </c>
      <c r="V226" s="26">
        <v>747</v>
      </c>
      <c r="W226" s="26">
        <v>775</v>
      </c>
      <c r="X226" s="26">
        <v>784</v>
      </c>
      <c r="Y226" s="26">
        <v>796</v>
      </c>
      <c r="Z226" s="26">
        <v>783</v>
      </c>
      <c r="AA226" s="26">
        <v>762</v>
      </c>
      <c r="AB226" s="26">
        <v>746</v>
      </c>
      <c r="AC226" s="26">
        <v>776</v>
      </c>
    </row>
    <row r="227" spans="1:38">
      <c r="A227" s="26">
        <v>103</v>
      </c>
      <c r="B227" s="30" t="s">
        <v>159</v>
      </c>
      <c r="C227" s="27">
        <v>48</v>
      </c>
      <c r="D227" s="44">
        <v>1</v>
      </c>
      <c r="E227" s="33">
        <f>표_악몽던전템위력[[#This Row],[ancestral dropped]]/표_악몽던전템위력[[#This Row],[rare+ dropped]]</f>
        <v>0.68</v>
      </c>
      <c r="F227" s="47">
        <f>COUNT(표_악몽던전템위력[[#This Row],[item1]:[item46]])</f>
        <v>17</v>
      </c>
      <c r="G227" s="47">
        <v>25</v>
      </c>
      <c r="H227" s="48">
        <f>AVERAGE(표_악몽던전템위력[[#This Row],[item1]:[item46]])</f>
        <v>777.88235294117646</v>
      </c>
      <c r="I227" s="26">
        <v>761</v>
      </c>
      <c r="J227" s="26">
        <v>767</v>
      </c>
      <c r="K227" s="26">
        <v>769</v>
      </c>
      <c r="L227" s="26">
        <v>794</v>
      </c>
      <c r="M227" s="26">
        <v>789</v>
      </c>
      <c r="N227" s="26">
        <v>776</v>
      </c>
      <c r="O227" s="26">
        <v>780</v>
      </c>
      <c r="P227" s="26">
        <v>806</v>
      </c>
      <c r="Q227" s="26">
        <v>728</v>
      </c>
      <c r="R227" s="26">
        <v>784</v>
      </c>
      <c r="S227" s="26">
        <v>770</v>
      </c>
      <c r="T227" s="26">
        <v>776</v>
      </c>
      <c r="U227" s="26">
        <v>772</v>
      </c>
      <c r="V227" s="26">
        <v>783</v>
      </c>
      <c r="W227" s="26">
        <v>799</v>
      </c>
      <c r="X227" s="26">
        <v>792</v>
      </c>
      <c r="Y227" s="26">
        <v>778</v>
      </c>
    </row>
    <row r="228" spans="1:38">
      <c r="A228" s="26">
        <v>103</v>
      </c>
      <c r="B228" s="30" t="s">
        <v>145</v>
      </c>
      <c r="C228" s="27">
        <v>51</v>
      </c>
      <c r="D228" s="44"/>
      <c r="E228" s="33">
        <f>표_악몽던전템위력[[#This Row],[ancestral dropped]]/표_악몽던전템위력[[#This Row],[rare+ dropped]]</f>
        <v>0.78260869565217395</v>
      </c>
      <c r="F228" s="47">
        <f>COUNT(표_악몽던전템위력[[#This Row],[item1]:[item46]])</f>
        <v>18</v>
      </c>
      <c r="G228" s="47">
        <v>23</v>
      </c>
      <c r="H228" s="48">
        <f>AVERAGE(표_악몽던전템위력[[#This Row],[item1]:[item46]])</f>
        <v>770.44444444444446</v>
      </c>
      <c r="I228" s="26">
        <v>770</v>
      </c>
      <c r="J228" s="26">
        <v>763</v>
      </c>
      <c r="K228" s="26">
        <v>736</v>
      </c>
      <c r="L228" s="26">
        <v>749</v>
      </c>
      <c r="M228" s="26">
        <v>776</v>
      </c>
      <c r="N228" s="26">
        <v>787</v>
      </c>
      <c r="O228" s="26">
        <v>779</v>
      </c>
      <c r="P228" s="26">
        <v>784</v>
      </c>
      <c r="Q228" s="26">
        <v>750</v>
      </c>
      <c r="R228" s="26">
        <v>775</v>
      </c>
      <c r="S228" s="26">
        <v>776</v>
      </c>
      <c r="T228" s="26">
        <v>774</v>
      </c>
      <c r="U228" s="26">
        <v>788</v>
      </c>
      <c r="V228" s="26">
        <v>783</v>
      </c>
      <c r="W228" s="26">
        <v>766</v>
      </c>
      <c r="X228" s="26">
        <v>770</v>
      </c>
      <c r="Y228" s="26">
        <v>756</v>
      </c>
      <c r="Z228" s="26">
        <v>786</v>
      </c>
    </row>
    <row r="229" spans="1:38">
      <c r="A229" s="26">
        <v>103</v>
      </c>
      <c r="B229" s="30" t="s">
        <v>0</v>
      </c>
      <c r="C229" s="27">
        <v>42</v>
      </c>
      <c r="D229" s="44"/>
      <c r="E229" s="33">
        <f>표_악몽던전템위력[[#This Row],[ancestral dropped]]/표_악몽던전템위력[[#This Row],[rare+ dropped]]</f>
        <v>0.68965517241379315</v>
      </c>
      <c r="F229" s="47">
        <f>COUNT(표_악몽던전템위력[[#This Row],[item1]:[item46]])</f>
        <v>20</v>
      </c>
      <c r="G229" s="47">
        <v>29</v>
      </c>
      <c r="H229" s="48">
        <f>AVERAGE(표_악몽던전템위력[[#This Row],[item1]:[item46]])</f>
        <v>770.4</v>
      </c>
      <c r="I229" s="26">
        <v>760</v>
      </c>
      <c r="J229" s="26">
        <v>749</v>
      </c>
      <c r="K229" s="26">
        <v>793</v>
      </c>
      <c r="L229" s="26">
        <v>806</v>
      </c>
      <c r="M229" s="26">
        <v>749</v>
      </c>
      <c r="N229" s="26">
        <v>785</v>
      </c>
      <c r="O229" s="26">
        <v>750</v>
      </c>
      <c r="P229" s="26">
        <v>751</v>
      </c>
      <c r="Q229" s="26">
        <v>769</v>
      </c>
      <c r="R229" s="26">
        <v>762</v>
      </c>
      <c r="S229" s="26">
        <v>785</v>
      </c>
      <c r="T229" s="26">
        <v>751</v>
      </c>
      <c r="U229" s="26">
        <v>754</v>
      </c>
      <c r="V229" s="26">
        <v>775</v>
      </c>
      <c r="W229" s="26">
        <v>800</v>
      </c>
      <c r="X229" s="26">
        <v>790</v>
      </c>
      <c r="Y229" s="26">
        <v>782</v>
      </c>
      <c r="Z229" s="26">
        <v>799</v>
      </c>
      <c r="AA229" s="26">
        <v>761</v>
      </c>
      <c r="AB229" s="26">
        <v>737</v>
      </c>
    </row>
    <row r="230" spans="1:38">
      <c r="A230" s="26">
        <v>103</v>
      </c>
      <c r="B230" s="30" t="s">
        <v>71</v>
      </c>
      <c r="C230" s="27">
        <v>42</v>
      </c>
      <c r="D230" s="44"/>
      <c r="E230" s="33">
        <f>표_악몽던전템위력[[#This Row],[ancestral dropped]]/표_악몽던전템위력[[#This Row],[rare+ dropped]]</f>
        <v>0.7142857142857143</v>
      </c>
      <c r="F230" s="47">
        <f>COUNT(표_악몽던전템위력[[#This Row],[item1]:[item46]])</f>
        <v>20</v>
      </c>
      <c r="G230" s="47">
        <v>28</v>
      </c>
      <c r="H230" s="48">
        <f>AVERAGE(표_악몽던전템위력[[#This Row],[item1]:[item46]])</f>
        <v>769.85</v>
      </c>
      <c r="I230" s="26">
        <v>790</v>
      </c>
      <c r="J230" s="26">
        <v>760</v>
      </c>
      <c r="K230" s="26">
        <v>789</v>
      </c>
      <c r="L230" s="26">
        <v>764</v>
      </c>
      <c r="M230" s="26">
        <v>760</v>
      </c>
      <c r="N230" s="26">
        <v>790</v>
      </c>
      <c r="O230" s="26">
        <v>783</v>
      </c>
      <c r="P230" s="26">
        <v>774</v>
      </c>
      <c r="Q230" s="26">
        <v>772</v>
      </c>
      <c r="R230" s="26">
        <v>762</v>
      </c>
      <c r="S230" s="26">
        <v>761</v>
      </c>
      <c r="T230" s="26">
        <v>759</v>
      </c>
      <c r="U230" s="26">
        <v>750</v>
      </c>
      <c r="V230" s="26">
        <v>788</v>
      </c>
      <c r="W230" s="26">
        <v>753</v>
      </c>
      <c r="X230" s="26">
        <v>747</v>
      </c>
      <c r="Y230" s="26">
        <v>776</v>
      </c>
      <c r="Z230" s="26">
        <v>787</v>
      </c>
      <c r="AA230" s="26">
        <v>784</v>
      </c>
      <c r="AB230" s="26">
        <v>748</v>
      </c>
    </row>
    <row r="231" spans="1:38">
      <c r="A231" s="26">
        <v>103</v>
      </c>
      <c r="B231" s="30" t="s">
        <v>123</v>
      </c>
      <c r="C231" s="27">
        <v>43</v>
      </c>
      <c r="D231" s="44">
        <v>1</v>
      </c>
      <c r="E231" s="33">
        <f>표_악몽던전템위력[[#This Row],[ancestral dropped]]/표_악몽던전템위력[[#This Row],[rare+ dropped]]</f>
        <v>0.56000000000000005</v>
      </c>
      <c r="F231" s="47">
        <f>COUNT(표_악몽던전템위력[[#This Row],[item1]:[item46]])</f>
        <v>14</v>
      </c>
      <c r="G231" s="47">
        <v>25</v>
      </c>
      <c r="H231" s="48">
        <f>AVERAGE(표_악몽던전템위력[[#This Row],[item1]:[item46]])</f>
        <v>782.21428571428567</v>
      </c>
      <c r="I231" s="26">
        <v>797</v>
      </c>
      <c r="J231" s="26">
        <v>801</v>
      </c>
      <c r="K231" s="26">
        <v>791</v>
      </c>
      <c r="L231" s="26">
        <v>782</v>
      </c>
      <c r="M231" s="26">
        <v>773</v>
      </c>
      <c r="N231" s="26">
        <v>772</v>
      </c>
      <c r="O231" s="26">
        <v>772</v>
      </c>
      <c r="P231" s="26">
        <v>803</v>
      </c>
      <c r="Q231" s="26">
        <v>747</v>
      </c>
      <c r="R231" s="26">
        <v>770</v>
      </c>
      <c r="S231" s="26">
        <v>805</v>
      </c>
      <c r="T231" s="26">
        <v>789</v>
      </c>
      <c r="U231" s="26">
        <v>780</v>
      </c>
      <c r="V231" s="26">
        <v>769</v>
      </c>
    </row>
    <row r="232" spans="1:38">
      <c r="A232" s="26">
        <v>103</v>
      </c>
      <c r="B232" s="30" t="s">
        <v>122</v>
      </c>
      <c r="C232" s="27">
        <v>45</v>
      </c>
      <c r="D232" s="44">
        <v>1</v>
      </c>
      <c r="E232" s="33">
        <f>표_악몽던전템위력[[#This Row],[ancestral dropped]]/표_악몽던전템위력[[#This Row],[rare+ dropped]]</f>
        <v>0.63636363636363635</v>
      </c>
      <c r="F232" s="47">
        <f>COUNT(표_악몽던전템위력[[#This Row],[item1]:[item46]])</f>
        <v>21</v>
      </c>
      <c r="G232" s="47">
        <v>33</v>
      </c>
      <c r="H232" s="48">
        <f>AVERAGE(표_악몽던전템위력[[#This Row],[item1]:[item46]])</f>
        <v>773.09523809523807</v>
      </c>
      <c r="I232" s="26">
        <v>786</v>
      </c>
      <c r="J232" s="26">
        <v>793</v>
      </c>
      <c r="K232" s="26">
        <v>791</v>
      </c>
      <c r="L232" s="26">
        <v>762</v>
      </c>
      <c r="M232" s="26">
        <v>736</v>
      </c>
      <c r="N232" s="26">
        <v>796</v>
      </c>
      <c r="O232" s="26">
        <v>777</v>
      </c>
      <c r="P232" s="26">
        <v>773</v>
      </c>
      <c r="Q232" s="26">
        <v>767</v>
      </c>
      <c r="R232" s="26">
        <v>755</v>
      </c>
      <c r="S232" s="26">
        <v>755</v>
      </c>
      <c r="T232" s="26">
        <v>730</v>
      </c>
      <c r="U232" s="26">
        <v>787</v>
      </c>
      <c r="V232" s="26">
        <v>763</v>
      </c>
      <c r="W232" s="26">
        <v>793</v>
      </c>
      <c r="X232" s="26">
        <v>803</v>
      </c>
      <c r="Y232" s="26">
        <v>786</v>
      </c>
      <c r="Z232" s="26">
        <v>784</v>
      </c>
      <c r="AA232" s="26">
        <v>781</v>
      </c>
      <c r="AB232" s="26">
        <v>771</v>
      </c>
      <c r="AC232" s="26">
        <v>746</v>
      </c>
    </row>
    <row r="233" spans="1:38">
      <c r="A233" s="26">
        <v>103</v>
      </c>
      <c r="B233" s="30" t="s">
        <v>10</v>
      </c>
      <c r="C233" s="27">
        <v>45</v>
      </c>
      <c r="D233" s="44"/>
      <c r="E233" s="33">
        <f>표_악몽던전템위력[[#This Row],[ancestral dropped]]/표_악몽던전템위력[[#This Row],[rare+ dropped]]</f>
        <v>0.69696969696969702</v>
      </c>
      <c r="F233" s="47">
        <f>COUNT(표_악몽던전템위력[[#This Row],[item1]:[item46]])</f>
        <v>23</v>
      </c>
      <c r="G233" s="47">
        <v>33</v>
      </c>
      <c r="H233" s="48">
        <f>AVERAGE(표_악몽던전템위력[[#This Row],[item1]:[item46]])</f>
        <v>771.08695652173913</v>
      </c>
      <c r="I233" s="26">
        <v>776</v>
      </c>
      <c r="J233" s="26">
        <v>766</v>
      </c>
      <c r="K233" s="26">
        <v>789</v>
      </c>
      <c r="L233" s="26">
        <v>805</v>
      </c>
      <c r="M233" s="26">
        <v>763</v>
      </c>
      <c r="N233" s="26">
        <v>797</v>
      </c>
      <c r="O233" s="26">
        <v>776</v>
      </c>
      <c r="P233" s="26">
        <v>775</v>
      </c>
      <c r="Q233" s="26">
        <v>775</v>
      </c>
      <c r="R233" s="26">
        <v>770</v>
      </c>
      <c r="S233" s="26">
        <v>760</v>
      </c>
      <c r="T233" s="26">
        <v>754</v>
      </c>
      <c r="U233" s="26">
        <v>742</v>
      </c>
      <c r="V233" s="26">
        <v>736</v>
      </c>
      <c r="W233" s="26">
        <v>786</v>
      </c>
      <c r="X233" s="26">
        <v>767</v>
      </c>
      <c r="Y233" s="26">
        <v>744</v>
      </c>
      <c r="Z233" s="26">
        <v>798</v>
      </c>
      <c r="AA233" s="26">
        <v>789</v>
      </c>
      <c r="AB233" s="26">
        <v>780</v>
      </c>
      <c r="AC233" s="26">
        <v>778</v>
      </c>
      <c r="AD233" s="26">
        <v>729</v>
      </c>
      <c r="AE233" s="26">
        <v>780</v>
      </c>
    </row>
    <row r="234" spans="1:38">
      <c r="A234" s="26">
        <v>103</v>
      </c>
      <c r="B234" s="30" t="s">
        <v>12</v>
      </c>
      <c r="C234" s="27">
        <v>37</v>
      </c>
      <c r="D234" s="44">
        <v>1</v>
      </c>
      <c r="E234" s="33">
        <f>표_악몽던전템위력[[#This Row],[ancestral dropped]]/표_악몽던전템위력[[#This Row],[rare+ dropped]]</f>
        <v>0.47826086956521741</v>
      </c>
      <c r="F234" s="47">
        <f>COUNT(표_악몽던전템위력[[#This Row],[item1]:[item46]])</f>
        <v>11</v>
      </c>
      <c r="G234" s="47">
        <v>23</v>
      </c>
      <c r="H234" s="48">
        <f>AVERAGE(표_악몽던전템위력[[#This Row],[item1]:[item46]])</f>
        <v>780.72727272727275</v>
      </c>
      <c r="I234" s="26">
        <v>804</v>
      </c>
      <c r="J234" s="26">
        <v>785</v>
      </c>
      <c r="K234" s="26">
        <v>782</v>
      </c>
      <c r="L234" s="26">
        <v>788</v>
      </c>
      <c r="M234" s="26">
        <v>785</v>
      </c>
      <c r="N234" s="26">
        <v>726</v>
      </c>
      <c r="O234" s="26">
        <v>798</v>
      </c>
      <c r="P234" s="26">
        <v>775</v>
      </c>
      <c r="Q234" s="26">
        <v>793</v>
      </c>
      <c r="R234" s="26">
        <v>774</v>
      </c>
      <c r="S234" s="26">
        <v>778</v>
      </c>
    </row>
    <row r="235" spans="1:38">
      <c r="A235" s="26">
        <v>103</v>
      </c>
      <c r="B235" s="30" t="s">
        <v>28</v>
      </c>
      <c r="C235" s="27">
        <v>38</v>
      </c>
      <c r="D235" s="44"/>
      <c r="E235" s="33">
        <f>표_악몽던전템위력[[#This Row],[ancestral dropped]]/표_악몽던전템위력[[#This Row],[rare+ dropped]]</f>
        <v>0.78378378378378377</v>
      </c>
      <c r="F235" s="47">
        <f>COUNT(표_악몽던전템위력[[#This Row],[item1]:[item46]])</f>
        <v>29</v>
      </c>
      <c r="G235" s="47">
        <v>37</v>
      </c>
      <c r="H235" s="48">
        <f>AVERAGE(표_악몽던전템위력[[#This Row],[item1]:[item46]])</f>
        <v>765.51724137931035</v>
      </c>
      <c r="I235" s="26">
        <v>753</v>
      </c>
      <c r="J235" s="26">
        <v>736</v>
      </c>
      <c r="K235" s="26">
        <v>725</v>
      </c>
      <c r="L235" s="26">
        <v>779</v>
      </c>
      <c r="M235" s="26">
        <v>766</v>
      </c>
      <c r="N235" s="26">
        <v>817</v>
      </c>
      <c r="O235" s="26">
        <v>787</v>
      </c>
      <c r="P235" s="26">
        <v>806</v>
      </c>
      <c r="Q235" s="26">
        <v>796</v>
      </c>
      <c r="R235" s="26">
        <v>790</v>
      </c>
      <c r="S235" s="26">
        <v>788</v>
      </c>
      <c r="T235" s="26">
        <v>762</v>
      </c>
      <c r="U235" s="26">
        <v>760</v>
      </c>
      <c r="V235" s="26">
        <v>755</v>
      </c>
      <c r="W235" s="26">
        <v>747</v>
      </c>
      <c r="X235" s="26">
        <v>744</v>
      </c>
      <c r="Y235" s="26">
        <v>780</v>
      </c>
      <c r="Z235" s="26">
        <v>747</v>
      </c>
      <c r="AA235" s="26">
        <v>777</v>
      </c>
      <c r="AB235" s="26">
        <v>770</v>
      </c>
      <c r="AC235" s="26">
        <v>736</v>
      </c>
      <c r="AD235" s="26">
        <v>731</v>
      </c>
      <c r="AE235" s="26">
        <v>783</v>
      </c>
      <c r="AF235" s="26">
        <v>756</v>
      </c>
      <c r="AG235" s="26">
        <v>755</v>
      </c>
      <c r="AH235" s="26">
        <v>755</v>
      </c>
      <c r="AI235" s="26">
        <v>745</v>
      </c>
      <c r="AJ235" s="26">
        <v>781</v>
      </c>
      <c r="AK235" s="26">
        <v>773</v>
      </c>
    </row>
    <row r="236" spans="1:38">
      <c r="A236" s="26">
        <v>103</v>
      </c>
      <c r="B236" s="30" t="s">
        <v>144</v>
      </c>
      <c r="C236" s="27">
        <v>38</v>
      </c>
      <c r="D236" s="44"/>
      <c r="E236" s="33">
        <f>표_악몽던전템위력[[#This Row],[ancestral dropped]]/표_악몽던전템위력[[#This Row],[rare+ dropped]]</f>
        <v>0.55172413793103448</v>
      </c>
      <c r="F236" s="47">
        <f>COUNT(표_악몽던전템위력[[#This Row],[item1]:[item46]])</f>
        <v>16</v>
      </c>
      <c r="G236" s="47">
        <v>29</v>
      </c>
      <c r="H236" s="48">
        <f>AVERAGE(표_악몽던전템위력[[#This Row],[item1]:[item46]])</f>
        <v>769.875</v>
      </c>
      <c r="I236" s="26">
        <v>758</v>
      </c>
      <c r="J236" s="26">
        <v>769</v>
      </c>
      <c r="K236" s="26">
        <v>807</v>
      </c>
      <c r="L236" s="26">
        <v>791</v>
      </c>
      <c r="M236" s="26">
        <v>763</v>
      </c>
      <c r="N236" s="26">
        <v>788</v>
      </c>
      <c r="O236" s="26">
        <v>782</v>
      </c>
      <c r="P236" s="26">
        <v>771</v>
      </c>
      <c r="Q236" s="26">
        <v>772</v>
      </c>
      <c r="R236" s="26">
        <v>786</v>
      </c>
      <c r="S236" s="26">
        <v>748</v>
      </c>
      <c r="T236" s="26">
        <v>768</v>
      </c>
      <c r="U236" s="26">
        <v>747</v>
      </c>
      <c r="V236" s="26">
        <v>763</v>
      </c>
      <c r="W236" s="26">
        <v>753</v>
      </c>
      <c r="X236" s="26">
        <v>752</v>
      </c>
    </row>
    <row r="237" spans="1:38">
      <c r="A237" s="26">
        <v>103</v>
      </c>
      <c r="B237" s="30" t="s">
        <v>150</v>
      </c>
      <c r="C237" s="27">
        <v>38</v>
      </c>
      <c r="D237" s="44"/>
      <c r="E237" s="33">
        <f>표_악몽던전템위력[[#This Row],[ancestral dropped]]/표_악몽던전템위력[[#This Row],[rare+ dropped]]</f>
        <v>0.54545454545454541</v>
      </c>
      <c r="F237" s="47">
        <f>COUNT(표_악몽던전템위력[[#This Row],[item1]:[item46]])</f>
        <v>12</v>
      </c>
      <c r="G237" s="47">
        <v>22</v>
      </c>
      <c r="H237" s="48">
        <f>AVERAGE(표_악몽던전템위력[[#This Row],[item1]:[item46]])</f>
        <v>762.83333333333337</v>
      </c>
      <c r="I237" s="26">
        <v>754</v>
      </c>
      <c r="J237" s="26">
        <v>791</v>
      </c>
      <c r="K237" s="26">
        <v>757</v>
      </c>
      <c r="L237" s="26">
        <v>757</v>
      </c>
      <c r="M237" s="26">
        <v>739</v>
      </c>
      <c r="N237" s="26">
        <v>798</v>
      </c>
      <c r="O237" s="26">
        <v>747</v>
      </c>
      <c r="P237" s="26">
        <v>746</v>
      </c>
      <c r="Q237" s="26">
        <v>755</v>
      </c>
      <c r="R237" s="26">
        <v>752</v>
      </c>
      <c r="S237" s="26">
        <v>775</v>
      </c>
      <c r="T237" s="26">
        <v>783</v>
      </c>
    </row>
    <row r="238" spans="1:38">
      <c r="A238" s="26">
        <v>103</v>
      </c>
      <c r="B238" s="30" t="s">
        <v>185</v>
      </c>
      <c r="C238" s="27">
        <v>38</v>
      </c>
      <c r="D238" s="44"/>
      <c r="E238" s="33">
        <f>표_악몽던전템위력[[#This Row],[ancestral dropped]]/표_악몽던전템위력[[#This Row],[rare+ dropped]]</f>
        <v>0.51515151515151514</v>
      </c>
      <c r="F238" s="47">
        <f>COUNT(표_악몽던전템위력[[#This Row],[item1]:[item46]])</f>
        <v>17</v>
      </c>
      <c r="G238" s="47">
        <v>33</v>
      </c>
      <c r="H238" s="48">
        <f>AVERAGE(표_악몽던전템위력[[#This Row],[item1]:[item46]])</f>
        <v>776.41176470588232</v>
      </c>
      <c r="I238" s="26">
        <v>777</v>
      </c>
      <c r="J238" s="26">
        <v>757</v>
      </c>
      <c r="K238" s="26">
        <v>780</v>
      </c>
      <c r="L238" s="26">
        <v>760</v>
      </c>
      <c r="M238" s="26">
        <v>794</v>
      </c>
      <c r="N238" s="26">
        <v>787</v>
      </c>
      <c r="O238" s="26">
        <v>778</v>
      </c>
      <c r="P238" s="26">
        <v>778</v>
      </c>
      <c r="Q238" s="26">
        <v>777</v>
      </c>
      <c r="R238" s="26">
        <v>771</v>
      </c>
      <c r="S238" s="26">
        <v>739</v>
      </c>
      <c r="T238" s="26">
        <v>814</v>
      </c>
      <c r="U238" s="26">
        <v>789</v>
      </c>
      <c r="V238" s="26">
        <v>780</v>
      </c>
      <c r="W238" s="26">
        <v>776</v>
      </c>
      <c r="X238" s="26">
        <v>749</v>
      </c>
      <c r="Y238" s="26">
        <v>793</v>
      </c>
    </row>
    <row r="239" spans="1:38">
      <c r="A239" s="26">
        <v>103</v>
      </c>
      <c r="B239" s="30" t="s">
        <v>122</v>
      </c>
      <c r="C239" s="27">
        <v>38</v>
      </c>
      <c r="D239" s="44">
        <v>1</v>
      </c>
      <c r="E239" s="33">
        <f>표_악몽던전템위력[[#This Row],[ancestral dropped]]/표_악몽던전템위력[[#This Row],[rare+ dropped]]</f>
        <v>0.68571428571428572</v>
      </c>
      <c r="F239" s="47">
        <f>COUNT(표_악몽던전템위력[[#This Row],[item1]:[item46]])</f>
        <v>24</v>
      </c>
      <c r="G239" s="47">
        <v>35</v>
      </c>
      <c r="H239" s="48">
        <f>AVERAGE(표_악몽던전템위력[[#This Row],[item1]:[item46]])</f>
        <v>772.20833333333337</v>
      </c>
      <c r="I239" s="26">
        <v>796</v>
      </c>
      <c r="J239" s="26">
        <v>779</v>
      </c>
      <c r="K239" s="26">
        <v>801</v>
      </c>
      <c r="L239" s="26">
        <v>794</v>
      </c>
      <c r="M239" s="26">
        <v>791</v>
      </c>
      <c r="N239" s="26">
        <v>787</v>
      </c>
      <c r="O239" s="26">
        <v>783</v>
      </c>
      <c r="P239" s="26">
        <v>777</v>
      </c>
      <c r="Q239" s="26">
        <v>760</v>
      </c>
      <c r="R239" s="26">
        <v>746</v>
      </c>
      <c r="S239" s="26">
        <v>742</v>
      </c>
      <c r="T239" s="26">
        <v>736</v>
      </c>
      <c r="U239" s="26">
        <v>724</v>
      </c>
      <c r="V239" s="26">
        <v>793</v>
      </c>
      <c r="W239" s="26">
        <v>771</v>
      </c>
      <c r="X239" s="26">
        <v>768</v>
      </c>
      <c r="Y239" s="26">
        <v>748</v>
      </c>
      <c r="Z239" s="26">
        <v>814</v>
      </c>
      <c r="AA239" s="26">
        <v>771</v>
      </c>
      <c r="AB239" s="26">
        <v>770</v>
      </c>
      <c r="AC239" s="26">
        <v>769</v>
      </c>
      <c r="AD239" s="26">
        <v>760</v>
      </c>
      <c r="AE239" s="26">
        <v>793</v>
      </c>
      <c r="AF239" s="26">
        <v>760</v>
      </c>
    </row>
    <row r="240" spans="1:38">
      <c r="A240" s="26">
        <v>103</v>
      </c>
      <c r="B240" s="30" t="s">
        <v>138</v>
      </c>
      <c r="C240" s="27">
        <v>38</v>
      </c>
      <c r="D240" s="44"/>
      <c r="E240" s="33">
        <f>표_악몽던전템위력[[#This Row],[ancestral dropped]]/표_악몽던전템위력[[#This Row],[rare+ dropped]]</f>
        <v>0.625</v>
      </c>
      <c r="F240" s="47">
        <f>COUNT(표_악몽던전템위력[[#This Row],[item1]:[item46]])</f>
        <v>30</v>
      </c>
      <c r="G240" s="47">
        <v>48</v>
      </c>
      <c r="H240" s="48">
        <f>AVERAGE(표_악몽던전템위력[[#This Row],[item1]:[item46]])</f>
        <v>769.2</v>
      </c>
      <c r="I240" s="26">
        <v>791</v>
      </c>
      <c r="J240" s="26">
        <v>748</v>
      </c>
      <c r="K240" s="26">
        <v>793</v>
      </c>
      <c r="L240" s="26">
        <v>777</v>
      </c>
      <c r="M240" s="26">
        <v>761</v>
      </c>
      <c r="N240" s="26">
        <v>750</v>
      </c>
      <c r="O240" s="26">
        <v>756</v>
      </c>
      <c r="P240" s="26">
        <v>779</v>
      </c>
      <c r="Q240" s="26">
        <v>745</v>
      </c>
      <c r="R240" s="26">
        <v>738</v>
      </c>
      <c r="S240" s="26">
        <v>725</v>
      </c>
      <c r="T240" s="26">
        <v>809</v>
      </c>
      <c r="U240" s="26">
        <v>728</v>
      </c>
      <c r="V240" s="26">
        <v>741</v>
      </c>
      <c r="W240" s="26">
        <v>778</v>
      </c>
      <c r="X240" s="26">
        <v>808</v>
      </c>
      <c r="Y240" s="26">
        <v>781</v>
      </c>
      <c r="Z240" s="26">
        <v>777</v>
      </c>
      <c r="AA240" s="26">
        <v>761</v>
      </c>
      <c r="AB240" s="26">
        <v>760</v>
      </c>
      <c r="AC240" s="26">
        <v>749</v>
      </c>
      <c r="AD240" s="26">
        <v>814</v>
      </c>
      <c r="AE240" s="26">
        <v>771</v>
      </c>
      <c r="AF240" s="26">
        <v>755</v>
      </c>
      <c r="AG240" s="26">
        <v>754</v>
      </c>
      <c r="AH240" s="26">
        <v>798</v>
      </c>
      <c r="AI240" s="26">
        <v>772</v>
      </c>
      <c r="AJ240" s="26">
        <v>768</v>
      </c>
      <c r="AK240" s="26">
        <v>789</v>
      </c>
      <c r="AL240" s="26">
        <v>800</v>
      </c>
    </row>
    <row r="241" spans="1:43">
      <c r="A241" s="26">
        <v>103</v>
      </c>
      <c r="B241" s="30" t="s">
        <v>123</v>
      </c>
      <c r="C241" s="27">
        <v>40</v>
      </c>
      <c r="D241" s="44"/>
      <c r="E241" s="33">
        <f>표_악몽던전템위력[[#This Row],[ancestral dropped]]/표_악몽던전템위력[[#This Row],[rare+ dropped]]</f>
        <v>0.74285714285714288</v>
      </c>
      <c r="F241" s="47">
        <f>COUNT(표_악몽던전템위력[[#This Row],[item1]:[item46]])</f>
        <v>26</v>
      </c>
      <c r="G241" s="47">
        <v>35</v>
      </c>
      <c r="H241" s="48">
        <f>AVERAGE(표_악몽던전템위력[[#This Row],[item1]:[item46]])</f>
        <v>767.07692307692309</v>
      </c>
      <c r="I241" s="26">
        <v>761</v>
      </c>
      <c r="J241" s="26">
        <v>745</v>
      </c>
      <c r="K241" s="26">
        <v>795</v>
      </c>
      <c r="L241" s="26">
        <v>777</v>
      </c>
      <c r="M241" s="26">
        <v>759</v>
      </c>
      <c r="N241" s="26">
        <v>739</v>
      </c>
      <c r="O241" s="26">
        <v>789</v>
      </c>
      <c r="P241" s="26">
        <v>776</v>
      </c>
      <c r="Q241" s="26">
        <v>773</v>
      </c>
      <c r="R241" s="26">
        <v>770</v>
      </c>
      <c r="S241" s="26">
        <v>766</v>
      </c>
      <c r="T241" s="26">
        <v>749</v>
      </c>
      <c r="U241" s="26">
        <v>742</v>
      </c>
      <c r="V241" s="26">
        <v>790</v>
      </c>
      <c r="W241" s="26">
        <v>777</v>
      </c>
      <c r="X241" s="26">
        <v>769</v>
      </c>
      <c r="Y241" s="26">
        <v>768</v>
      </c>
      <c r="Z241" s="26">
        <v>739</v>
      </c>
      <c r="AA241" s="26">
        <v>778</v>
      </c>
      <c r="AB241" s="26">
        <v>781</v>
      </c>
      <c r="AC241" s="26">
        <v>764</v>
      </c>
      <c r="AD241" s="26">
        <v>764</v>
      </c>
      <c r="AE241" s="26">
        <v>763</v>
      </c>
      <c r="AF241" s="26">
        <v>783</v>
      </c>
      <c r="AG241" s="26">
        <v>768</v>
      </c>
      <c r="AH241" s="26">
        <v>759</v>
      </c>
    </row>
    <row r="242" spans="1:43">
      <c r="A242" s="26">
        <v>103</v>
      </c>
      <c r="B242" s="30" t="s">
        <v>124</v>
      </c>
      <c r="C242" s="27">
        <v>38</v>
      </c>
      <c r="D242" s="44"/>
      <c r="E242" s="33">
        <f>표_악몽던전템위력[[#This Row],[ancestral dropped]]/표_악몽던전템위력[[#This Row],[rare+ dropped]]</f>
        <v>0.5757575757575758</v>
      </c>
      <c r="F242" s="47">
        <f>COUNT(표_악몽던전템위력[[#This Row],[item1]:[item46]])</f>
        <v>19</v>
      </c>
      <c r="G242" s="47">
        <v>33</v>
      </c>
      <c r="H242" s="48">
        <f>AVERAGE(표_악몽던전템위력[[#This Row],[item1]:[item46]])</f>
        <v>781.84210526315792</v>
      </c>
      <c r="I242" s="26">
        <v>809</v>
      </c>
      <c r="J242" s="26">
        <v>801</v>
      </c>
      <c r="K242" s="26">
        <v>772</v>
      </c>
      <c r="L242" s="26">
        <v>760</v>
      </c>
      <c r="M242" s="26">
        <v>785</v>
      </c>
      <c r="N242" s="26">
        <v>776</v>
      </c>
      <c r="O242" s="26">
        <v>774</v>
      </c>
      <c r="P242" s="26">
        <v>764</v>
      </c>
      <c r="Q242" s="26">
        <v>747</v>
      </c>
      <c r="R242" s="26">
        <v>802</v>
      </c>
      <c r="S242" s="26">
        <v>772</v>
      </c>
      <c r="T242" s="26">
        <v>805</v>
      </c>
      <c r="U242" s="26">
        <v>793</v>
      </c>
      <c r="V242" s="26">
        <v>776</v>
      </c>
      <c r="W242" s="26">
        <v>809</v>
      </c>
      <c r="X242" s="26">
        <v>764</v>
      </c>
      <c r="Y242" s="26">
        <v>805</v>
      </c>
      <c r="Z242" s="26">
        <v>775</v>
      </c>
      <c r="AA242" s="26">
        <v>766</v>
      </c>
    </row>
    <row r="243" spans="1:43">
      <c r="A243" s="26">
        <v>103</v>
      </c>
      <c r="B243" s="30" t="s">
        <v>0</v>
      </c>
      <c r="C243" s="27">
        <v>40</v>
      </c>
      <c r="D243" s="44"/>
      <c r="E243" s="33">
        <f>표_악몽던전템위력[[#This Row],[ancestral dropped]]/표_악몽던전템위력[[#This Row],[rare+ dropped]]</f>
        <v>0.6428571428571429</v>
      </c>
      <c r="F243" s="47">
        <f>COUNT(표_악몽던전템위력[[#This Row],[item1]:[item46]])</f>
        <v>18</v>
      </c>
      <c r="G243" s="47">
        <v>28</v>
      </c>
      <c r="H243" s="48">
        <f>AVERAGE(표_악몽던전템위력[[#This Row],[item1]:[item46]])</f>
        <v>775.16666666666663</v>
      </c>
      <c r="I243" s="26">
        <v>801</v>
      </c>
      <c r="J243" s="26">
        <v>781</v>
      </c>
      <c r="K243" s="26">
        <v>774</v>
      </c>
      <c r="L243" s="26">
        <v>728</v>
      </c>
      <c r="M243" s="26">
        <v>793</v>
      </c>
      <c r="N243" s="26">
        <v>771</v>
      </c>
      <c r="O243" s="26">
        <v>765</v>
      </c>
      <c r="P243" s="26">
        <v>764</v>
      </c>
      <c r="Q243" s="26">
        <v>789</v>
      </c>
      <c r="R243" s="26">
        <v>788</v>
      </c>
      <c r="S243" s="26">
        <v>787</v>
      </c>
      <c r="T243" s="26">
        <v>767</v>
      </c>
      <c r="U243" s="26">
        <v>789</v>
      </c>
      <c r="V243" s="26">
        <v>773</v>
      </c>
      <c r="W243" s="26">
        <v>772</v>
      </c>
      <c r="X243" s="26">
        <v>757</v>
      </c>
      <c r="Y243" s="26">
        <v>788</v>
      </c>
      <c r="Z243" s="26">
        <v>766</v>
      </c>
    </row>
    <row r="244" spans="1:43">
      <c r="A244" s="26">
        <v>103</v>
      </c>
      <c r="B244" s="30" t="s">
        <v>127</v>
      </c>
      <c r="C244" s="27">
        <v>39</v>
      </c>
      <c r="D244" s="44"/>
      <c r="E244" s="33">
        <f>표_악몽던전템위력[[#This Row],[ancestral dropped]]/표_악몽던전템위력[[#This Row],[rare+ dropped]]</f>
        <v>0.57894736842105265</v>
      </c>
      <c r="F244" s="47">
        <f>COUNT(표_악몽던전템위력[[#This Row],[item1]:[item46]])</f>
        <v>11</v>
      </c>
      <c r="G244" s="47">
        <v>19</v>
      </c>
      <c r="H244" s="48">
        <f>AVERAGE(표_악몽던전템위력[[#This Row],[item1]:[item46]])</f>
        <v>761.09090909090912</v>
      </c>
      <c r="I244" s="26">
        <v>745</v>
      </c>
      <c r="J244" s="26">
        <v>798</v>
      </c>
      <c r="K244" s="26">
        <v>743</v>
      </c>
      <c r="L244" s="26">
        <v>771</v>
      </c>
      <c r="M244" s="26">
        <v>780</v>
      </c>
      <c r="N244" s="26">
        <v>762</v>
      </c>
      <c r="O244" s="26">
        <v>760</v>
      </c>
      <c r="P244" s="26">
        <v>751</v>
      </c>
      <c r="Q244" s="26">
        <v>731</v>
      </c>
      <c r="R244" s="26">
        <v>790</v>
      </c>
      <c r="S244" s="26">
        <v>741</v>
      </c>
    </row>
    <row r="245" spans="1:43">
      <c r="A245" s="26">
        <v>103</v>
      </c>
      <c r="B245" s="30" t="s">
        <v>126</v>
      </c>
      <c r="C245" s="27">
        <v>39</v>
      </c>
      <c r="D245" s="44"/>
      <c r="E245" s="33">
        <f>표_악몽던전템위력[[#This Row],[ancestral dropped]]/표_악몽던전템위력[[#This Row],[rare+ dropped]]</f>
        <v>0.76086956521739135</v>
      </c>
      <c r="F245" s="47">
        <f>COUNT(표_악몽던전템위력[[#This Row],[item1]:[item46]])</f>
        <v>35</v>
      </c>
      <c r="G245" s="47">
        <v>46</v>
      </c>
      <c r="H245" s="48">
        <f>AVERAGE(표_악몽던전템위력[[#This Row],[item1]:[item46]])</f>
        <v>766.97142857142853</v>
      </c>
      <c r="I245" s="26">
        <v>756</v>
      </c>
      <c r="J245" s="26">
        <v>775</v>
      </c>
      <c r="K245" s="26">
        <v>766</v>
      </c>
      <c r="L245" s="26">
        <v>763</v>
      </c>
      <c r="M245" s="26">
        <v>761</v>
      </c>
      <c r="N245" s="26">
        <v>744</v>
      </c>
      <c r="O245" s="26">
        <v>797</v>
      </c>
      <c r="P245" s="26">
        <v>791</v>
      </c>
      <c r="Q245" s="26">
        <v>766</v>
      </c>
      <c r="R245" s="26">
        <v>791</v>
      </c>
      <c r="S245" s="26">
        <v>789</v>
      </c>
      <c r="T245" s="26">
        <v>788</v>
      </c>
      <c r="U245" s="26">
        <v>775</v>
      </c>
      <c r="V245" s="26">
        <v>767</v>
      </c>
      <c r="W245" s="26">
        <v>763</v>
      </c>
      <c r="X245" s="26">
        <v>748</v>
      </c>
      <c r="Y245" s="26">
        <v>729</v>
      </c>
      <c r="Z245" s="26">
        <v>803</v>
      </c>
      <c r="AA245" s="26">
        <v>784</v>
      </c>
      <c r="AB245" s="26">
        <v>771</v>
      </c>
      <c r="AC245" s="26">
        <v>785</v>
      </c>
      <c r="AD245" s="26">
        <v>771</v>
      </c>
      <c r="AE245" s="26">
        <v>754</v>
      </c>
      <c r="AF245" s="26">
        <v>744</v>
      </c>
      <c r="AG245" s="26">
        <v>727</v>
      </c>
      <c r="AH245" s="26">
        <v>755</v>
      </c>
      <c r="AI245" s="26">
        <v>770</v>
      </c>
      <c r="AJ245" s="26">
        <v>760</v>
      </c>
      <c r="AK245" s="26">
        <v>799</v>
      </c>
      <c r="AL245" s="26">
        <v>752</v>
      </c>
      <c r="AM245" s="26">
        <v>781</v>
      </c>
      <c r="AN245" s="26">
        <v>747</v>
      </c>
      <c r="AO245" s="26">
        <v>796</v>
      </c>
      <c r="AP245" s="26">
        <v>729</v>
      </c>
      <c r="AQ245" s="26">
        <v>747</v>
      </c>
    </row>
    <row r="246" spans="1:43">
      <c r="A246" s="26">
        <v>103</v>
      </c>
      <c r="B246" s="30" t="s">
        <v>123</v>
      </c>
      <c r="C246" s="27">
        <v>42</v>
      </c>
      <c r="D246" s="44"/>
      <c r="E246" s="33">
        <f>표_악몽던전템위력[[#This Row],[ancestral dropped]]/표_악몽던전템위력[[#This Row],[rare+ dropped]]</f>
        <v>0.8</v>
      </c>
      <c r="F246" s="47">
        <f>COUNT(표_악몽던전템위력[[#This Row],[item1]:[item46]])</f>
        <v>24</v>
      </c>
      <c r="G246" s="47">
        <v>30</v>
      </c>
      <c r="H246" s="48">
        <f>AVERAGE(표_악몽던전템위력[[#This Row],[item1]:[item46]])</f>
        <v>774.58333333333337</v>
      </c>
      <c r="I246" s="26">
        <v>789</v>
      </c>
      <c r="J246" s="26">
        <v>787</v>
      </c>
      <c r="K246" s="26">
        <v>786</v>
      </c>
      <c r="L246" s="26">
        <v>774</v>
      </c>
      <c r="M246" s="26">
        <v>770</v>
      </c>
      <c r="N246" s="26">
        <v>769</v>
      </c>
      <c r="O246" s="26">
        <v>813</v>
      </c>
      <c r="P246" s="26">
        <v>795</v>
      </c>
      <c r="Q246" s="26">
        <v>779</v>
      </c>
      <c r="R246" s="26">
        <v>772</v>
      </c>
      <c r="S246" s="26">
        <v>763</v>
      </c>
      <c r="T246" s="26">
        <v>738</v>
      </c>
      <c r="U246" s="26">
        <v>802</v>
      </c>
      <c r="V246" s="26">
        <v>787</v>
      </c>
      <c r="W246" s="26">
        <v>790</v>
      </c>
      <c r="X246" s="26">
        <v>762</v>
      </c>
      <c r="Y246" s="26">
        <v>734</v>
      </c>
      <c r="Z246" s="26">
        <v>813</v>
      </c>
      <c r="AA246" s="26">
        <v>795</v>
      </c>
      <c r="AB246" s="26">
        <v>775</v>
      </c>
      <c r="AC246" s="26">
        <v>759</v>
      </c>
      <c r="AD246" s="26">
        <v>770</v>
      </c>
      <c r="AE246" s="26">
        <v>736</v>
      </c>
      <c r="AF246" s="26">
        <v>732</v>
      </c>
    </row>
    <row r="247" spans="1:43">
      <c r="A247" s="26">
        <v>103</v>
      </c>
      <c r="B247" s="30" t="s">
        <v>0</v>
      </c>
      <c r="C247" s="27">
        <v>39</v>
      </c>
      <c r="D247" s="44"/>
      <c r="E247" s="33">
        <f>표_악몽던전템위력[[#This Row],[ancestral dropped]]/표_악몽던전템위력[[#This Row],[rare+ dropped]]</f>
        <v>0.61904761904761907</v>
      </c>
      <c r="F247" s="47">
        <f>COUNT(표_악몽던전템위력[[#This Row],[item1]:[item46]])</f>
        <v>13</v>
      </c>
      <c r="G247" s="47">
        <v>21</v>
      </c>
      <c r="H247" s="48">
        <f>AVERAGE(표_악몽던전템위력[[#This Row],[item1]:[item46]])</f>
        <v>773</v>
      </c>
      <c r="I247" s="26">
        <v>791</v>
      </c>
      <c r="J247" s="26">
        <v>778</v>
      </c>
      <c r="K247" s="26">
        <v>794</v>
      </c>
      <c r="L247" s="26">
        <v>756</v>
      </c>
      <c r="M247" s="26">
        <v>749</v>
      </c>
      <c r="N247" s="26">
        <v>795</v>
      </c>
      <c r="O247" s="26">
        <v>774</v>
      </c>
      <c r="P247" s="26">
        <v>749</v>
      </c>
      <c r="Q247" s="26">
        <v>764</v>
      </c>
      <c r="R247" s="26">
        <v>759</v>
      </c>
      <c r="S247" s="26">
        <v>747</v>
      </c>
      <c r="T247" s="26">
        <v>782</v>
      </c>
      <c r="U247" s="26">
        <v>811</v>
      </c>
    </row>
    <row r="248" spans="1:43">
      <c r="A248" s="26">
        <v>103</v>
      </c>
      <c r="B248" s="30" t="s">
        <v>150</v>
      </c>
      <c r="C248" s="27">
        <v>39</v>
      </c>
      <c r="D248" s="44"/>
      <c r="E248" s="33">
        <f>표_악몽던전템위력[[#This Row],[ancestral dropped]]/표_악몽던전템위력[[#This Row],[rare+ dropped]]</f>
        <v>0.6428571428571429</v>
      </c>
      <c r="F248" s="47">
        <f>COUNT(표_악몽던전템위력[[#This Row],[item1]:[item46]])</f>
        <v>18</v>
      </c>
      <c r="G248" s="47">
        <v>28</v>
      </c>
      <c r="H248" s="48">
        <f>AVERAGE(표_악몽던전템위력[[#This Row],[item1]:[item46]])</f>
        <v>782.22222222222217</v>
      </c>
      <c r="I248" s="26">
        <v>757</v>
      </c>
      <c r="J248" s="26">
        <v>811</v>
      </c>
      <c r="K248" s="26">
        <v>781</v>
      </c>
      <c r="L248" s="26">
        <v>777</v>
      </c>
      <c r="M248" s="26">
        <v>790</v>
      </c>
      <c r="N248" s="26">
        <v>792</v>
      </c>
      <c r="O248" s="26">
        <v>784</v>
      </c>
      <c r="P248" s="26">
        <v>805</v>
      </c>
      <c r="Q248" s="26">
        <v>777</v>
      </c>
      <c r="R248" s="26">
        <v>775</v>
      </c>
      <c r="S248" s="26">
        <v>804</v>
      </c>
      <c r="T248" s="26">
        <v>742</v>
      </c>
      <c r="U248" s="26">
        <v>796</v>
      </c>
      <c r="V248" s="26">
        <v>779</v>
      </c>
      <c r="W248" s="26">
        <v>776</v>
      </c>
      <c r="X248" s="26">
        <v>766</v>
      </c>
      <c r="Y248" s="26">
        <v>804</v>
      </c>
      <c r="Z248" s="26">
        <v>764</v>
      </c>
    </row>
    <row r="249" spans="1:43">
      <c r="A249" s="26">
        <v>103</v>
      </c>
      <c r="B249" s="30" t="s">
        <v>121</v>
      </c>
      <c r="C249" s="27">
        <v>40</v>
      </c>
      <c r="D249" s="44"/>
      <c r="E249" s="33">
        <f>표_악몽던전템위력[[#This Row],[ancestral dropped]]/표_악몽던전템위력[[#This Row],[rare+ dropped]]</f>
        <v>0.6</v>
      </c>
      <c r="F249" s="47">
        <f>COUNT(표_악몽던전템위력[[#This Row],[item1]:[item46]])</f>
        <v>6</v>
      </c>
      <c r="G249" s="47">
        <v>10</v>
      </c>
      <c r="H249" s="48">
        <f>AVERAGE(표_악몽던전템위력[[#This Row],[item1]:[item46]])</f>
        <v>769.5</v>
      </c>
      <c r="I249" s="26">
        <v>775</v>
      </c>
      <c r="J249" s="26">
        <v>735</v>
      </c>
      <c r="K249" s="26">
        <v>791</v>
      </c>
      <c r="L249" s="26">
        <v>807</v>
      </c>
      <c r="M249" s="26">
        <v>737</v>
      </c>
      <c r="N249" s="26">
        <v>772</v>
      </c>
    </row>
    <row r="250" spans="1:43">
      <c r="A250" s="26">
        <v>103</v>
      </c>
      <c r="B250" s="30" t="s">
        <v>12</v>
      </c>
      <c r="C250" s="27">
        <v>41</v>
      </c>
      <c r="D250" s="44"/>
      <c r="E250" s="33">
        <f>표_악몽던전템위력[[#This Row],[ancestral dropped]]/표_악몽던전템위력[[#This Row],[rare+ dropped]]</f>
        <v>0.53333333333333333</v>
      </c>
      <c r="F250" s="47">
        <f>COUNT(표_악몽던전템위력[[#This Row],[item1]:[item46]])</f>
        <v>8</v>
      </c>
      <c r="G250" s="47">
        <v>15</v>
      </c>
      <c r="H250" s="48">
        <f>AVERAGE(표_악몽던전템위력[[#This Row],[item1]:[item46]])</f>
        <v>778.5</v>
      </c>
      <c r="I250" s="26">
        <v>783</v>
      </c>
      <c r="J250" s="26">
        <v>777</v>
      </c>
      <c r="K250" s="26">
        <v>798</v>
      </c>
      <c r="L250" s="26">
        <v>748</v>
      </c>
      <c r="M250" s="26">
        <v>793</v>
      </c>
      <c r="N250" s="26">
        <v>758</v>
      </c>
      <c r="O250" s="26">
        <v>789</v>
      </c>
      <c r="P250" s="26">
        <v>782</v>
      </c>
    </row>
    <row r="251" spans="1:43">
      <c r="A251" s="26">
        <v>103</v>
      </c>
      <c r="B251" s="30" t="s">
        <v>0</v>
      </c>
      <c r="C251" s="27">
        <v>42</v>
      </c>
      <c r="D251" s="44"/>
      <c r="E251" s="33">
        <f>표_악몽던전템위력[[#This Row],[ancestral dropped]]/표_악몽던전템위력[[#This Row],[rare+ dropped]]</f>
        <v>0.66666666666666663</v>
      </c>
      <c r="F251" s="47">
        <f>COUNT(표_악몽던전템위력[[#This Row],[item1]:[item46]])</f>
        <v>22</v>
      </c>
      <c r="G251" s="47">
        <v>33</v>
      </c>
      <c r="H251" s="48">
        <f>AVERAGE(표_악몽던전템위력[[#This Row],[item1]:[item46]])</f>
        <v>769.5</v>
      </c>
      <c r="I251" s="26">
        <v>765</v>
      </c>
      <c r="J251" s="26">
        <v>739</v>
      </c>
      <c r="K251" s="26">
        <v>763</v>
      </c>
      <c r="L251" s="26">
        <v>781</v>
      </c>
      <c r="M251" s="26">
        <v>732</v>
      </c>
      <c r="N251" s="26">
        <v>788</v>
      </c>
      <c r="O251" s="26">
        <v>731</v>
      </c>
      <c r="P251" s="26">
        <v>782</v>
      </c>
      <c r="Q251" s="26">
        <v>757</v>
      </c>
      <c r="R251" s="26">
        <v>788</v>
      </c>
      <c r="S251" s="26">
        <v>784</v>
      </c>
      <c r="T251" s="26">
        <v>804</v>
      </c>
      <c r="U251" s="26">
        <v>774</v>
      </c>
      <c r="V251" s="26">
        <v>781</v>
      </c>
      <c r="W251" s="26">
        <v>767</v>
      </c>
      <c r="X251" s="26">
        <v>762</v>
      </c>
      <c r="Y251" s="26">
        <v>774</v>
      </c>
      <c r="Z251" s="26">
        <v>750</v>
      </c>
      <c r="AA251" s="26">
        <v>770</v>
      </c>
      <c r="AB251" s="26">
        <v>772</v>
      </c>
      <c r="AC251" s="26">
        <v>773</v>
      </c>
      <c r="AD251" s="26">
        <v>792</v>
      </c>
    </row>
    <row r="252" spans="1:43">
      <c r="A252" s="26">
        <v>103</v>
      </c>
      <c r="B252" s="30" t="s">
        <v>123</v>
      </c>
      <c r="C252" s="27">
        <v>42</v>
      </c>
      <c r="D252" s="44"/>
      <c r="E252" s="33">
        <f>표_악몽던전템위력[[#This Row],[ancestral dropped]]/표_악몽던전템위력[[#This Row],[rare+ dropped]]</f>
        <v>0.73529411764705888</v>
      </c>
      <c r="F252" s="47">
        <f>COUNT(표_악몽던전템위력[[#This Row],[item1]:[item46]])</f>
        <v>25</v>
      </c>
      <c r="G252" s="47">
        <v>34</v>
      </c>
      <c r="H252" s="48">
        <f>AVERAGE(표_악몽던전템위력[[#This Row],[item1]:[item46]])</f>
        <v>779.96</v>
      </c>
      <c r="I252" s="26">
        <v>776</v>
      </c>
      <c r="J252" s="26">
        <v>777</v>
      </c>
      <c r="K252" s="26">
        <v>802</v>
      </c>
      <c r="L252" s="26">
        <v>791</v>
      </c>
      <c r="M252" s="26">
        <v>783</v>
      </c>
      <c r="N252" s="26">
        <v>784</v>
      </c>
      <c r="O252" s="26">
        <v>785</v>
      </c>
      <c r="P252" s="26">
        <v>771</v>
      </c>
      <c r="Q252" s="26">
        <v>778</v>
      </c>
      <c r="R252" s="26">
        <v>778</v>
      </c>
      <c r="S252" s="26">
        <v>756</v>
      </c>
      <c r="T252" s="26">
        <v>801</v>
      </c>
      <c r="U252" s="26">
        <v>799</v>
      </c>
      <c r="V252" s="26">
        <v>733</v>
      </c>
      <c r="W252" s="26">
        <v>797</v>
      </c>
      <c r="X252" s="26">
        <v>794</v>
      </c>
      <c r="Y252" s="26">
        <v>801</v>
      </c>
      <c r="Z252" s="26">
        <v>754</v>
      </c>
      <c r="AA252" s="26">
        <v>763</v>
      </c>
      <c r="AB252" s="26">
        <v>793</v>
      </c>
      <c r="AC252" s="26">
        <v>793</v>
      </c>
      <c r="AD252" s="26">
        <v>783</v>
      </c>
      <c r="AE252" s="26">
        <v>754</v>
      </c>
      <c r="AF252" s="26">
        <v>774</v>
      </c>
      <c r="AG252" s="26">
        <v>779</v>
      </c>
    </row>
    <row r="253" spans="1:43">
      <c r="A253" s="26">
        <v>103</v>
      </c>
      <c r="B253" s="30" t="s">
        <v>150</v>
      </c>
      <c r="C253" s="27">
        <v>42</v>
      </c>
      <c r="D253" s="44"/>
      <c r="E253" s="33">
        <f>표_악몽던전템위력[[#This Row],[ancestral dropped]]/표_악몽던전템위력[[#This Row],[rare+ dropped]]</f>
        <v>0.69696969696969702</v>
      </c>
      <c r="F253" s="47">
        <f>COUNT(표_악몽던전템위력[[#This Row],[item1]:[item46]])</f>
        <v>23</v>
      </c>
      <c r="G253" s="47">
        <v>33</v>
      </c>
      <c r="H253" s="48">
        <f>AVERAGE(표_악몽던전템위력[[#This Row],[item1]:[item46]])</f>
        <v>770.52173913043475</v>
      </c>
      <c r="I253" s="26">
        <v>746</v>
      </c>
      <c r="J253" s="26">
        <v>746</v>
      </c>
      <c r="K253" s="26">
        <v>737</v>
      </c>
      <c r="L253" s="26">
        <v>764</v>
      </c>
      <c r="M253" s="26">
        <v>783</v>
      </c>
      <c r="N253" s="26">
        <v>794</v>
      </c>
      <c r="O253" s="26">
        <v>748</v>
      </c>
      <c r="P253" s="26">
        <v>787</v>
      </c>
      <c r="Q253" s="26">
        <v>776</v>
      </c>
      <c r="R253" s="26">
        <v>754</v>
      </c>
      <c r="S253" s="26">
        <v>758</v>
      </c>
      <c r="T253" s="26">
        <v>806</v>
      </c>
      <c r="U253" s="26">
        <v>770</v>
      </c>
      <c r="V253" s="26">
        <v>794</v>
      </c>
      <c r="W253" s="26">
        <v>773</v>
      </c>
      <c r="X253" s="26">
        <v>770</v>
      </c>
      <c r="Y253" s="26">
        <v>777</v>
      </c>
      <c r="Z253" s="26">
        <v>751</v>
      </c>
      <c r="AA253" s="26">
        <v>761</v>
      </c>
      <c r="AB253" s="26">
        <v>783</v>
      </c>
      <c r="AC253" s="26">
        <v>757</v>
      </c>
      <c r="AD253" s="26">
        <v>789</v>
      </c>
      <c r="AE253" s="26">
        <v>798</v>
      </c>
    </row>
    <row r="254" spans="1:43">
      <c r="A254" s="26">
        <v>103</v>
      </c>
      <c r="B254" s="30" t="s">
        <v>150</v>
      </c>
      <c r="C254" s="27">
        <v>45</v>
      </c>
      <c r="D254" s="44"/>
      <c r="E254" s="33">
        <f>표_악몽던전템위력[[#This Row],[ancestral dropped]]/표_악몽던전템위력[[#This Row],[rare+ dropped]]</f>
        <v>0.69696969696969702</v>
      </c>
      <c r="F254" s="47">
        <f>COUNT(표_악몽던전템위력[[#This Row],[item1]:[item46]])</f>
        <v>23</v>
      </c>
      <c r="G254" s="47">
        <v>33</v>
      </c>
      <c r="H254" s="48">
        <f>AVERAGE(표_악몽던전템위력[[#This Row],[item1]:[item46]])</f>
        <v>770.304347826087</v>
      </c>
      <c r="I254" s="26">
        <v>748</v>
      </c>
      <c r="J254" s="26">
        <v>762</v>
      </c>
      <c r="K254" s="26">
        <v>784</v>
      </c>
      <c r="L254" s="26">
        <v>792</v>
      </c>
      <c r="M254" s="26">
        <v>791</v>
      </c>
      <c r="N254" s="26">
        <v>738</v>
      </c>
      <c r="O254" s="26">
        <v>802</v>
      </c>
      <c r="P254" s="26">
        <v>754</v>
      </c>
      <c r="Q254" s="26">
        <v>792</v>
      </c>
      <c r="R254" s="26">
        <v>756</v>
      </c>
      <c r="S254" s="26">
        <v>769</v>
      </c>
      <c r="T254" s="26">
        <v>787</v>
      </c>
      <c r="U254" s="26">
        <v>783</v>
      </c>
      <c r="V254" s="26">
        <v>779</v>
      </c>
      <c r="W254" s="26">
        <v>780</v>
      </c>
      <c r="X254" s="26">
        <v>760</v>
      </c>
      <c r="Y254" s="26">
        <v>761</v>
      </c>
      <c r="Z254" s="26">
        <v>761</v>
      </c>
      <c r="AA254" s="26">
        <v>794</v>
      </c>
      <c r="AB254" s="26">
        <v>777</v>
      </c>
      <c r="AC254" s="26">
        <v>729</v>
      </c>
      <c r="AD254" s="26">
        <v>764</v>
      </c>
      <c r="AE254" s="26">
        <v>754</v>
      </c>
    </row>
    <row r="255" spans="1:43">
      <c r="A255" s="26">
        <v>103</v>
      </c>
      <c r="B255" s="30" t="s">
        <v>150</v>
      </c>
      <c r="C255" s="27">
        <v>42</v>
      </c>
      <c r="D255" s="44"/>
      <c r="E255" s="33">
        <f>표_악몽던전템위력[[#This Row],[ancestral dropped]]/표_악몽던전템위력[[#This Row],[rare+ dropped]]</f>
        <v>0.73076923076923073</v>
      </c>
      <c r="F255" s="47">
        <f>COUNT(표_악몽던전템위력[[#This Row],[item1]:[item46]])</f>
        <v>19</v>
      </c>
      <c r="G255" s="47">
        <v>26</v>
      </c>
      <c r="H255" s="48">
        <f>AVERAGE(표_악몽던전템위력[[#This Row],[item1]:[item46]])</f>
        <v>774.63157894736844</v>
      </c>
      <c r="I255" s="26">
        <v>794</v>
      </c>
      <c r="J255" s="26">
        <v>797</v>
      </c>
      <c r="K255" s="26">
        <v>758</v>
      </c>
      <c r="L255" s="26">
        <v>779</v>
      </c>
      <c r="M255" s="26">
        <v>761</v>
      </c>
      <c r="N255" s="26">
        <v>766</v>
      </c>
      <c r="O255" s="26">
        <v>762</v>
      </c>
      <c r="P255" s="26">
        <v>780</v>
      </c>
      <c r="Q255" s="26">
        <v>762</v>
      </c>
      <c r="R255" s="26">
        <v>784</v>
      </c>
      <c r="S255" s="26">
        <v>764</v>
      </c>
      <c r="T255" s="26">
        <v>777</v>
      </c>
      <c r="U255" s="26">
        <v>775</v>
      </c>
      <c r="V255" s="26">
        <v>781</v>
      </c>
      <c r="W255" s="26">
        <v>763</v>
      </c>
      <c r="X255" s="26">
        <v>797</v>
      </c>
      <c r="Y255" s="26">
        <v>748</v>
      </c>
      <c r="Z255" s="26">
        <v>778</v>
      </c>
      <c r="AA255" s="26">
        <v>792</v>
      </c>
    </row>
    <row r="256" spans="1:43">
      <c r="A256" s="26">
        <v>103</v>
      </c>
      <c r="B256" s="30" t="s">
        <v>10</v>
      </c>
      <c r="C256" s="27">
        <v>45</v>
      </c>
      <c r="D256" s="44"/>
      <c r="E256" s="33">
        <f>표_악몽던전템위력[[#This Row],[ancestral dropped]]/표_악몽던전템위력[[#This Row],[rare+ dropped]]</f>
        <v>0.75</v>
      </c>
      <c r="F256" s="47">
        <f>COUNT(표_악몽던전템위력[[#This Row],[item1]:[item46]])</f>
        <v>18</v>
      </c>
      <c r="G256" s="47">
        <v>24</v>
      </c>
      <c r="H256" s="48">
        <f>AVERAGE(표_악몽던전템위력[[#This Row],[item1]:[item46]])</f>
        <v>769.05555555555554</v>
      </c>
      <c r="I256" s="26">
        <v>783</v>
      </c>
      <c r="J256" s="26">
        <v>771</v>
      </c>
      <c r="K256" s="26">
        <v>737</v>
      </c>
      <c r="L256" s="26">
        <v>788</v>
      </c>
      <c r="M256" s="26">
        <v>782</v>
      </c>
      <c r="N256" s="26">
        <v>781</v>
      </c>
      <c r="O256" s="26">
        <v>763</v>
      </c>
      <c r="P256" s="26">
        <v>752</v>
      </c>
      <c r="Q256" s="26">
        <v>750</v>
      </c>
      <c r="R256" s="26">
        <v>800</v>
      </c>
      <c r="S256" s="26">
        <v>758</v>
      </c>
      <c r="T256" s="26">
        <v>757</v>
      </c>
      <c r="U256" s="26">
        <v>759</v>
      </c>
      <c r="V256" s="26">
        <v>783</v>
      </c>
      <c r="W256" s="26">
        <v>767</v>
      </c>
      <c r="X256" s="26">
        <v>752</v>
      </c>
      <c r="Y256" s="26">
        <v>749</v>
      </c>
      <c r="Z256" s="26">
        <v>811</v>
      </c>
    </row>
    <row r="257" spans="1:46">
      <c r="A257" s="26">
        <v>103</v>
      </c>
      <c r="B257" s="30" t="s">
        <v>144</v>
      </c>
      <c r="C257" s="27">
        <v>48</v>
      </c>
      <c r="D257" s="44"/>
      <c r="E257" s="33">
        <f>표_악몽던전템위력[[#This Row],[ancestral dropped]]/표_악몽던전템위력[[#This Row],[rare+ dropped]]</f>
        <v>0.72727272727272729</v>
      </c>
      <c r="F257" s="47">
        <f>COUNT(표_악몽던전템위력[[#This Row],[item1]:[item46]])</f>
        <v>16</v>
      </c>
      <c r="G257" s="47">
        <v>22</v>
      </c>
      <c r="H257" s="48">
        <f>AVERAGE(표_악몽던전템위력[[#This Row],[item1]:[item46]])</f>
        <v>769.125</v>
      </c>
      <c r="I257" s="26">
        <v>762</v>
      </c>
      <c r="J257" s="26">
        <v>758</v>
      </c>
      <c r="K257" s="26">
        <v>754</v>
      </c>
      <c r="L257" s="26">
        <v>787</v>
      </c>
      <c r="M257" s="26">
        <v>777</v>
      </c>
      <c r="N257" s="26">
        <v>783</v>
      </c>
      <c r="O257" s="26">
        <v>785</v>
      </c>
      <c r="P257" s="26">
        <v>771</v>
      </c>
      <c r="Q257" s="26">
        <v>764</v>
      </c>
      <c r="R257" s="26">
        <v>752</v>
      </c>
      <c r="S257" s="26">
        <v>736</v>
      </c>
      <c r="T257" s="26">
        <v>796</v>
      </c>
      <c r="U257" s="26">
        <v>776</v>
      </c>
      <c r="V257" s="26">
        <v>770</v>
      </c>
      <c r="W257" s="26">
        <v>742</v>
      </c>
      <c r="X257" s="26">
        <v>793</v>
      </c>
    </row>
    <row r="258" spans="1:46">
      <c r="A258" s="26">
        <v>103</v>
      </c>
      <c r="B258" s="30" t="s">
        <v>121</v>
      </c>
      <c r="C258" s="27">
        <v>47</v>
      </c>
      <c r="D258" s="44"/>
      <c r="E258" s="33">
        <f>표_악몽던전템위력[[#This Row],[ancestral dropped]]/표_악몽던전템위력[[#This Row],[rare+ dropped]]</f>
        <v>0.72727272727272729</v>
      </c>
      <c r="F258" s="47">
        <f>COUNT(표_악몽던전템위력[[#This Row],[item1]:[item46]])</f>
        <v>16</v>
      </c>
      <c r="G258" s="47">
        <v>22</v>
      </c>
      <c r="H258" s="48">
        <f>AVERAGE(표_악몽던전템위력[[#This Row],[item1]:[item46]])</f>
        <v>771.8125</v>
      </c>
      <c r="I258" s="26">
        <v>783</v>
      </c>
      <c r="J258" s="26">
        <v>782</v>
      </c>
      <c r="K258" s="26">
        <v>780</v>
      </c>
      <c r="L258" s="26">
        <v>770</v>
      </c>
      <c r="M258" s="26">
        <v>748</v>
      </c>
      <c r="N258" s="26">
        <v>770</v>
      </c>
      <c r="O258" s="26">
        <v>763</v>
      </c>
      <c r="P258" s="26">
        <v>794</v>
      </c>
      <c r="Q258" s="26">
        <v>794</v>
      </c>
      <c r="R258" s="26">
        <v>783</v>
      </c>
      <c r="S258" s="26">
        <v>765</v>
      </c>
      <c r="T258" s="26">
        <v>749</v>
      </c>
      <c r="U258" s="26">
        <v>733</v>
      </c>
      <c r="V258" s="26">
        <v>788</v>
      </c>
      <c r="W258" s="26">
        <v>788</v>
      </c>
      <c r="X258" s="26">
        <v>759</v>
      </c>
    </row>
    <row r="259" spans="1:46">
      <c r="A259" s="26">
        <v>103</v>
      </c>
      <c r="B259" s="30" t="s">
        <v>123</v>
      </c>
      <c r="C259" s="27">
        <v>47</v>
      </c>
      <c r="D259" s="44"/>
      <c r="E259" s="33">
        <f>표_악몽던전템위력[[#This Row],[ancestral dropped]]/표_악몽던전템위력[[#This Row],[rare+ dropped]]</f>
        <v>0.7142857142857143</v>
      </c>
      <c r="F259" s="47">
        <f>COUNT(표_악몽던전템위력[[#This Row],[item1]:[item46]])</f>
        <v>20</v>
      </c>
      <c r="G259" s="47">
        <v>28</v>
      </c>
      <c r="H259" s="48">
        <f>AVERAGE(표_악몽던전템위력[[#This Row],[item1]:[item46]])</f>
        <v>773.4</v>
      </c>
      <c r="I259" s="26">
        <v>763</v>
      </c>
      <c r="J259" s="26">
        <v>789</v>
      </c>
      <c r="K259" s="26">
        <v>777</v>
      </c>
      <c r="L259" s="26">
        <v>756</v>
      </c>
      <c r="M259" s="26">
        <v>802</v>
      </c>
      <c r="N259" s="26">
        <v>791</v>
      </c>
      <c r="O259" s="26">
        <v>781</v>
      </c>
      <c r="P259" s="26">
        <v>740</v>
      </c>
      <c r="Q259" s="26">
        <v>792</v>
      </c>
      <c r="R259" s="26">
        <v>764</v>
      </c>
      <c r="S259" s="26">
        <v>745</v>
      </c>
      <c r="T259" s="26">
        <v>789</v>
      </c>
      <c r="U259" s="26">
        <v>771</v>
      </c>
      <c r="V259" s="26">
        <v>755</v>
      </c>
      <c r="W259" s="26">
        <v>790</v>
      </c>
      <c r="X259" s="26">
        <v>788</v>
      </c>
      <c r="Y259" s="26">
        <v>760</v>
      </c>
      <c r="Z259" s="26">
        <v>782</v>
      </c>
      <c r="AA259" s="26">
        <v>773</v>
      </c>
      <c r="AB259" s="26">
        <v>760</v>
      </c>
    </row>
    <row r="260" spans="1:46">
      <c r="A260" s="26">
        <v>103</v>
      </c>
      <c r="B260" s="30" t="s">
        <v>138</v>
      </c>
      <c r="C260" s="27">
        <v>47</v>
      </c>
      <c r="D260" s="44"/>
      <c r="E260" s="33">
        <f>표_악몽던전템위력[[#This Row],[ancestral dropped]]/표_악몽던전템위력[[#This Row],[rare+ dropped]]</f>
        <v>0.59375</v>
      </c>
      <c r="F260" s="47">
        <f>COUNT(표_악몽던전템위력[[#This Row],[item1]:[item46]])</f>
        <v>38</v>
      </c>
      <c r="G260" s="47">
        <v>64</v>
      </c>
      <c r="H260" s="48">
        <f>AVERAGE(표_악몽던전템위력[[#This Row],[item1]:[item46]])</f>
        <v>777.02631578947364</v>
      </c>
      <c r="I260" s="26">
        <v>786</v>
      </c>
      <c r="J260" s="26">
        <v>776</v>
      </c>
      <c r="K260" s="26">
        <v>755</v>
      </c>
      <c r="L260" s="26">
        <v>804</v>
      </c>
      <c r="M260" s="26">
        <v>789</v>
      </c>
      <c r="N260" s="26">
        <v>782</v>
      </c>
      <c r="O260" s="26">
        <v>776</v>
      </c>
      <c r="P260" s="26">
        <v>764</v>
      </c>
      <c r="Q260" s="26">
        <v>789</v>
      </c>
      <c r="R260" s="26">
        <v>780</v>
      </c>
      <c r="S260" s="26">
        <v>781</v>
      </c>
      <c r="T260" s="26">
        <v>748</v>
      </c>
      <c r="U260" s="26">
        <v>796</v>
      </c>
      <c r="V260" s="26">
        <v>791</v>
      </c>
      <c r="W260" s="26">
        <v>765</v>
      </c>
      <c r="X260" s="26">
        <v>753</v>
      </c>
      <c r="Y260" s="26">
        <v>770</v>
      </c>
      <c r="Z260" s="26">
        <v>801</v>
      </c>
      <c r="AA260" s="26">
        <v>785</v>
      </c>
      <c r="AB260" s="26">
        <v>762</v>
      </c>
      <c r="AC260" s="26">
        <v>753</v>
      </c>
      <c r="AD260" s="26">
        <v>795</v>
      </c>
      <c r="AE260" s="26">
        <v>784</v>
      </c>
      <c r="AF260" s="26">
        <v>771</v>
      </c>
      <c r="AG260" s="26">
        <v>776</v>
      </c>
      <c r="AH260" s="26">
        <v>773</v>
      </c>
      <c r="AI260" s="26">
        <v>775</v>
      </c>
      <c r="AJ260" s="26">
        <v>772</v>
      </c>
      <c r="AK260" s="26">
        <v>762</v>
      </c>
      <c r="AL260" s="26">
        <v>802</v>
      </c>
      <c r="AM260" s="26">
        <v>770</v>
      </c>
      <c r="AN260" s="26">
        <v>757</v>
      </c>
      <c r="AO260" s="26">
        <v>798</v>
      </c>
      <c r="AP260" s="26">
        <v>772</v>
      </c>
      <c r="AQ260" s="26">
        <v>765</v>
      </c>
      <c r="AR260" s="26">
        <v>781</v>
      </c>
      <c r="AS260" s="26">
        <v>776</v>
      </c>
      <c r="AT260" s="26">
        <v>792</v>
      </c>
    </row>
    <row r="261" spans="1:46">
      <c r="A261" s="26">
        <v>103</v>
      </c>
      <c r="B261" s="30" t="s">
        <v>122</v>
      </c>
      <c r="C261" s="27">
        <v>47</v>
      </c>
      <c r="D261" s="44"/>
      <c r="E261" s="33">
        <f>표_악몽던전템위력[[#This Row],[ancestral dropped]]/표_악몽던전템위력[[#This Row],[rare+ dropped]]</f>
        <v>0.65</v>
      </c>
      <c r="F261" s="47">
        <f>COUNT(표_악몽던전템위력[[#This Row],[item1]:[item46]])</f>
        <v>26</v>
      </c>
      <c r="G261" s="47">
        <v>40</v>
      </c>
      <c r="H261" s="48">
        <f>AVERAGE(표_악몽던전템위력[[#This Row],[item1]:[item46]])</f>
        <v>770</v>
      </c>
      <c r="I261" s="26">
        <v>790</v>
      </c>
      <c r="J261" s="26">
        <v>789</v>
      </c>
      <c r="K261" s="26">
        <v>772</v>
      </c>
      <c r="L261" s="26">
        <v>755</v>
      </c>
      <c r="M261" s="26">
        <v>788</v>
      </c>
      <c r="N261" s="26">
        <v>779</v>
      </c>
      <c r="O261" s="26">
        <v>776</v>
      </c>
      <c r="P261" s="26">
        <v>767</v>
      </c>
      <c r="Q261" s="26">
        <v>757</v>
      </c>
      <c r="R261" s="26">
        <v>750</v>
      </c>
      <c r="S261" s="26">
        <v>745</v>
      </c>
      <c r="T261" s="26">
        <v>785</v>
      </c>
      <c r="U261" s="26">
        <v>770</v>
      </c>
      <c r="V261" s="26">
        <v>770</v>
      </c>
      <c r="W261" s="26">
        <v>805</v>
      </c>
      <c r="X261" s="26">
        <v>762</v>
      </c>
      <c r="Y261" s="26">
        <v>757</v>
      </c>
      <c r="Z261" s="26">
        <v>800</v>
      </c>
      <c r="AA261" s="26">
        <v>790</v>
      </c>
      <c r="AB261" s="26">
        <v>753</v>
      </c>
      <c r="AC261" s="26">
        <v>773</v>
      </c>
      <c r="AD261" s="26">
        <v>748</v>
      </c>
      <c r="AE261" s="26">
        <v>736</v>
      </c>
      <c r="AF261" s="26">
        <v>792</v>
      </c>
      <c r="AG261" s="26">
        <v>776</v>
      </c>
      <c r="AH261" s="26">
        <v>735</v>
      </c>
    </row>
    <row r="262" spans="1:46">
      <c r="A262" s="26">
        <v>103</v>
      </c>
      <c r="B262" s="30" t="s">
        <v>28</v>
      </c>
      <c r="C262" s="27">
        <v>48</v>
      </c>
      <c r="D262" s="44"/>
      <c r="E262" s="33">
        <f>표_악몽던전템위력[[#This Row],[ancestral dropped]]/표_악몽던전템위력[[#This Row],[rare+ dropped]]</f>
        <v>0.7857142857142857</v>
      </c>
      <c r="F262" s="47">
        <f>COUNT(표_악몽던전템위력[[#This Row],[item1]:[item46]])</f>
        <v>22</v>
      </c>
      <c r="G262" s="47">
        <v>28</v>
      </c>
      <c r="H262" s="48">
        <f>AVERAGE(표_악몽던전템위력[[#This Row],[item1]:[item46]])</f>
        <v>772.59090909090912</v>
      </c>
      <c r="I262" s="26">
        <v>789</v>
      </c>
      <c r="J262" s="26">
        <v>766</v>
      </c>
      <c r="K262" s="26">
        <v>788</v>
      </c>
      <c r="L262" s="26">
        <v>785</v>
      </c>
      <c r="M262" s="26">
        <v>781</v>
      </c>
      <c r="N262" s="26">
        <v>771</v>
      </c>
      <c r="O262" s="26">
        <v>765</v>
      </c>
      <c r="P262" s="26">
        <v>765</v>
      </c>
      <c r="Q262" s="26">
        <v>754</v>
      </c>
      <c r="R262" s="26">
        <v>745</v>
      </c>
      <c r="S262" s="26">
        <v>775</v>
      </c>
      <c r="T262" s="26">
        <v>801</v>
      </c>
      <c r="U262" s="26">
        <v>789</v>
      </c>
      <c r="V262" s="26">
        <v>769</v>
      </c>
      <c r="W262" s="26">
        <v>763</v>
      </c>
      <c r="X262" s="26">
        <v>806</v>
      </c>
      <c r="Y262" s="26">
        <v>791</v>
      </c>
      <c r="Z262" s="26">
        <v>768</v>
      </c>
      <c r="AA262" s="26">
        <v>757</v>
      </c>
      <c r="AB262" s="26">
        <v>754</v>
      </c>
      <c r="AC262" s="26">
        <v>751</v>
      </c>
      <c r="AD262" s="26">
        <v>764</v>
      </c>
    </row>
    <row r="263" spans="1:46">
      <c r="A263" s="26">
        <v>103</v>
      </c>
      <c r="B263" s="30" t="s">
        <v>0</v>
      </c>
      <c r="C263" s="27">
        <v>57</v>
      </c>
      <c r="D263" s="44"/>
      <c r="E263" s="33">
        <f>표_악몽던전템위력[[#This Row],[ancestral dropped]]/표_악몽던전템위력[[#This Row],[rare+ dropped]]</f>
        <v>0.87096774193548387</v>
      </c>
      <c r="F263" s="47">
        <f>COUNT(표_악몽던전템위력[[#This Row],[item1]:[item46]])</f>
        <v>27</v>
      </c>
      <c r="G263" s="47">
        <v>31</v>
      </c>
      <c r="H263" s="48">
        <f>AVERAGE(표_악몽던전템위력[[#This Row],[item1]:[item46]])</f>
        <v>772.96296296296293</v>
      </c>
      <c r="I263" s="26">
        <v>808</v>
      </c>
      <c r="J263" s="26">
        <v>783</v>
      </c>
      <c r="K263" s="26">
        <v>775</v>
      </c>
      <c r="L263" s="26">
        <v>789</v>
      </c>
      <c r="M263" s="26">
        <v>777</v>
      </c>
      <c r="N263" s="26">
        <v>773</v>
      </c>
      <c r="O263" s="26">
        <v>763</v>
      </c>
      <c r="P263" s="26">
        <v>757</v>
      </c>
      <c r="Q263" s="26">
        <v>743</v>
      </c>
      <c r="R263" s="26">
        <v>793</v>
      </c>
      <c r="S263" s="26">
        <v>750</v>
      </c>
      <c r="T263" s="26">
        <v>740</v>
      </c>
      <c r="U263" s="26">
        <v>810</v>
      </c>
      <c r="V263" s="26">
        <v>800</v>
      </c>
      <c r="W263" s="26">
        <v>780</v>
      </c>
      <c r="X263" s="26">
        <v>766</v>
      </c>
      <c r="Y263" s="26">
        <v>762</v>
      </c>
      <c r="Z263" s="26">
        <v>757</v>
      </c>
      <c r="AA263" s="26">
        <v>751</v>
      </c>
      <c r="AB263" s="26">
        <v>789</v>
      </c>
      <c r="AC263" s="26">
        <v>787</v>
      </c>
      <c r="AD263" s="26">
        <v>766</v>
      </c>
      <c r="AE263" s="26">
        <v>769</v>
      </c>
      <c r="AF263" s="26">
        <v>763</v>
      </c>
      <c r="AG263" s="26">
        <v>758</v>
      </c>
      <c r="AH263" s="26">
        <v>791</v>
      </c>
      <c r="AI263" s="26">
        <v>770</v>
      </c>
    </row>
    <row r="264" spans="1:46">
      <c r="A264" s="26">
        <v>103</v>
      </c>
      <c r="B264" s="30" t="s">
        <v>132</v>
      </c>
      <c r="C264" s="27">
        <v>44</v>
      </c>
      <c r="D264" s="44"/>
      <c r="E264" s="33">
        <f>표_악몽던전템위력[[#This Row],[ancestral dropped]]/표_악몽던전템위력[[#This Row],[rare+ dropped]]</f>
        <v>0.7857142857142857</v>
      </c>
      <c r="F264" s="47">
        <f>COUNT(표_악몽던전템위력[[#This Row],[item1]:[item46]])</f>
        <v>22</v>
      </c>
      <c r="G264" s="47">
        <v>28</v>
      </c>
      <c r="H264" s="48">
        <f>AVERAGE(표_악몽던전템위력[[#This Row],[item1]:[item46]])</f>
        <v>771.22727272727275</v>
      </c>
      <c r="I264" s="26">
        <v>768</v>
      </c>
      <c r="J264" s="26">
        <v>800</v>
      </c>
      <c r="K264" s="26">
        <v>784</v>
      </c>
      <c r="L264" s="26">
        <v>774</v>
      </c>
      <c r="M264" s="26">
        <v>750</v>
      </c>
      <c r="N264" s="26">
        <v>798</v>
      </c>
      <c r="O264" s="26">
        <v>787</v>
      </c>
      <c r="P264" s="26">
        <v>779</v>
      </c>
      <c r="Q264" s="26">
        <v>775</v>
      </c>
      <c r="R264" s="26">
        <v>765</v>
      </c>
      <c r="S264" s="26">
        <v>755</v>
      </c>
      <c r="T264" s="26">
        <v>751</v>
      </c>
      <c r="U264" s="26">
        <v>751</v>
      </c>
      <c r="V264" s="26">
        <v>782</v>
      </c>
      <c r="W264" s="26">
        <v>775</v>
      </c>
      <c r="X264" s="26">
        <v>759</v>
      </c>
      <c r="Y264" s="26">
        <v>782</v>
      </c>
      <c r="Z264" s="26">
        <v>766</v>
      </c>
      <c r="AA264" s="26">
        <v>794</v>
      </c>
      <c r="AB264" s="26">
        <v>741</v>
      </c>
      <c r="AC264" s="26">
        <v>768</v>
      </c>
      <c r="AD264" s="26">
        <v>763</v>
      </c>
    </row>
    <row r="265" spans="1:46">
      <c r="A265" s="26">
        <v>103</v>
      </c>
      <c r="B265" s="30" t="s">
        <v>125</v>
      </c>
      <c r="C265" s="27">
        <v>54</v>
      </c>
      <c r="D265" s="44"/>
      <c r="E265" s="33">
        <f>표_악몽던전템위력[[#This Row],[ancestral dropped]]/표_악몽던전템위력[[#This Row],[rare+ dropped]]</f>
        <v>0.77777777777777779</v>
      </c>
      <c r="F265" s="47">
        <f>COUNT(표_악몽던전템위력[[#This Row],[item1]:[item46]])</f>
        <v>14</v>
      </c>
      <c r="G265" s="47">
        <v>18</v>
      </c>
      <c r="H265" s="48">
        <f>AVERAGE(표_악몽던전템위력[[#This Row],[item1]:[item46]])</f>
        <v>778.35714285714289</v>
      </c>
      <c r="I265" s="26">
        <v>776</v>
      </c>
      <c r="J265" s="26">
        <v>784</v>
      </c>
      <c r="K265" s="26">
        <v>775</v>
      </c>
      <c r="L265" s="26">
        <v>767</v>
      </c>
      <c r="M265" s="26">
        <v>765</v>
      </c>
      <c r="N265" s="26">
        <v>793</v>
      </c>
      <c r="O265" s="26">
        <v>768</v>
      </c>
      <c r="P265" s="26">
        <v>767</v>
      </c>
      <c r="Q265" s="26">
        <v>809</v>
      </c>
      <c r="R265" s="26">
        <v>751</v>
      </c>
      <c r="S265" s="26">
        <v>781</v>
      </c>
      <c r="T265" s="26">
        <v>785</v>
      </c>
      <c r="U265" s="26">
        <v>816</v>
      </c>
      <c r="V265" s="26">
        <v>760</v>
      </c>
    </row>
    <row r="266" spans="1:46">
      <c r="A266" s="26">
        <v>103</v>
      </c>
      <c r="B266" s="30" t="s">
        <v>138</v>
      </c>
      <c r="C266" s="27">
        <v>54</v>
      </c>
      <c r="D266" s="44"/>
      <c r="E266" s="33">
        <f>표_악몽던전템위력[[#This Row],[ancestral dropped]]/표_악몽던전템위력[[#This Row],[rare+ dropped]]</f>
        <v>0.82857142857142863</v>
      </c>
      <c r="F266" s="47">
        <f>COUNT(표_악몽던전템위력[[#This Row],[item1]:[item46]])</f>
        <v>29</v>
      </c>
      <c r="G266" s="47">
        <v>35</v>
      </c>
      <c r="H266" s="48">
        <f>AVERAGE(표_악몽던전템위력[[#This Row],[item1]:[item46]])</f>
        <v>771.34482758620686</v>
      </c>
      <c r="I266" s="26">
        <v>785</v>
      </c>
      <c r="J266" s="26">
        <v>783</v>
      </c>
      <c r="K266" s="26">
        <v>776</v>
      </c>
      <c r="L266" s="26">
        <v>754</v>
      </c>
      <c r="M266" s="26">
        <v>777</v>
      </c>
      <c r="N266" s="26">
        <v>776</v>
      </c>
      <c r="O266" s="26">
        <v>764</v>
      </c>
      <c r="P266" s="26">
        <v>762</v>
      </c>
      <c r="Q266" s="26">
        <v>786</v>
      </c>
      <c r="R266" s="26">
        <v>781</v>
      </c>
      <c r="S266" s="26">
        <v>775</v>
      </c>
      <c r="T266" s="26">
        <v>768</v>
      </c>
      <c r="U266" s="26">
        <v>748</v>
      </c>
      <c r="V266" s="26">
        <v>744</v>
      </c>
      <c r="W266" s="26">
        <v>740</v>
      </c>
      <c r="X266" s="26">
        <v>794</v>
      </c>
      <c r="Y266" s="26">
        <v>781</v>
      </c>
      <c r="Z266" s="26">
        <v>780</v>
      </c>
      <c r="AA266" s="26">
        <v>768</v>
      </c>
      <c r="AB266" s="26">
        <v>765</v>
      </c>
      <c r="AC266" s="26">
        <v>796</v>
      </c>
      <c r="AD266" s="26">
        <v>755</v>
      </c>
      <c r="AE266" s="26">
        <v>778</v>
      </c>
      <c r="AF266" s="26">
        <v>777</v>
      </c>
      <c r="AG266" s="26">
        <v>800</v>
      </c>
      <c r="AH266" s="26">
        <v>788</v>
      </c>
      <c r="AI266" s="26">
        <v>755</v>
      </c>
      <c r="AJ266" s="26">
        <v>748</v>
      </c>
      <c r="AK266" s="26">
        <v>765</v>
      </c>
    </row>
    <row r="267" spans="1:46">
      <c r="A267" s="26">
        <v>103</v>
      </c>
      <c r="B267" s="30" t="s">
        <v>145</v>
      </c>
      <c r="C267" s="27">
        <v>52</v>
      </c>
      <c r="D267" s="44"/>
      <c r="E267" s="33">
        <f>표_악몽던전템위력[[#This Row],[ancestral dropped]]/표_악몽던전템위력[[#This Row],[rare+ dropped]]</f>
        <v>0.65217391304347827</v>
      </c>
      <c r="F267" s="47">
        <f>COUNT(표_악몽던전템위력[[#This Row],[item1]:[item46]])</f>
        <v>15</v>
      </c>
      <c r="G267" s="47">
        <v>23</v>
      </c>
      <c r="H267" s="48">
        <f>AVERAGE(표_악몽던전템위력[[#This Row],[item1]:[item46]])</f>
        <v>776.26666666666665</v>
      </c>
      <c r="I267" s="26">
        <v>766</v>
      </c>
      <c r="J267" s="26">
        <v>762</v>
      </c>
      <c r="K267" s="26">
        <v>789</v>
      </c>
      <c r="L267" s="26">
        <v>794</v>
      </c>
      <c r="M267" s="26">
        <v>776</v>
      </c>
      <c r="N267" s="26">
        <v>774</v>
      </c>
      <c r="O267" s="26">
        <v>762</v>
      </c>
      <c r="P267" s="26">
        <v>801</v>
      </c>
      <c r="Q267" s="26">
        <v>783</v>
      </c>
      <c r="R267" s="26">
        <v>806</v>
      </c>
      <c r="S267" s="26">
        <v>776</v>
      </c>
      <c r="T267" s="26">
        <v>790</v>
      </c>
      <c r="U267" s="26">
        <v>772</v>
      </c>
      <c r="V267" s="26">
        <v>763</v>
      </c>
      <c r="W267" s="26">
        <v>730</v>
      </c>
    </row>
    <row r="268" spans="1:46">
      <c r="A268" s="26">
        <v>103</v>
      </c>
      <c r="B268" s="30" t="s">
        <v>138</v>
      </c>
      <c r="C268" s="27">
        <v>52</v>
      </c>
      <c r="D268" s="44"/>
      <c r="E268" s="33">
        <f>표_악몽던전템위력[[#This Row],[ancestral dropped]]/표_악몽던전템위력[[#This Row],[rare+ dropped]]</f>
        <v>0.625</v>
      </c>
      <c r="F268" s="47">
        <f>COUNT(표_악몽던전템위력[[#This Row],[item1]:[item46]])</f>
        <v>25</v>
      </c>
      <c r="G268" s="47">
        <v>40</v>
      </c>
      <c r="H268" s="48">
        <f>AVERAGE(표_악몽던전템위력[[#This Row],[item1]:[item46]])</f>
        <v>770.2</v>
      </c>
      <c r="I268" s="26">
        <v>780</v>
      </c>
      <c r="J268" s="26">
        <v>773</v>
      </c>
      <c r="K268" s="26">
        <v>769</v>
      </c>
      <c r="L268" s="26">
        <v>756</v>
      </c>
      <c r="M268" s="26">
        <v>787</v>
      </c>
      <c r="N268" s="26">
        <v>758</v>
      </c>
      <c r="O268" s="26">
        <v>809</v>
      </c>
      <c r="P268" s="26">
        <v>787</v>
      </c>
      <c r="Q268" s="26">
        <v>784</v>
      </c>
      <c r="R268" s="26">
        <v>780</v>
      </c>
      <c r="S268" s="26">
        <v>775</v>
      </c>
      <c r="T268" s="26">
        <v>761</v>
      </c>
      <c r="U268" s="26">
        <v>747</v>
      </c>
      <c r="V268" s="26">
        <v>758</v>
      </c>
      <c r="W268" s="26">
        <v>780</v>
      </c>
      <c r="X268" s="26">
        <v>759</v>
      </c>
      <c r="Y268" s="26">
        <v>756</v>
      </c>
      <c r="Z268" s="26">
        <v>744</v>
      </c>
      <c r="AA268" s="26">
        <v>790</v>
      </c>
      <c r="AB268" s="26">
        <v>781</v>
      </c>
      <c r="AC268" s="26">
        <v>772</v>
      </c>
      <c r="AD268" s="26">
        <v>764</v>
      </c>
      <c r="AE268" s="26">
        <v>755</v>
      </c>
      <c r="AF268" s="26">
        <v>745</v>
      </c>
      <c r="AG268" s="26">
        <v>785</v>
      </c>
    </row>
    <row r="269" spans="1:46">
      <c r="A269" s="26">
        <v>103</v>
      </c>
      <c r="B269" s="30" t="s">
        <v>127</v>
      </c>
      <c r="C269" s="27">
        <v>53</v>
      </c>
      <c r="D269" s="44"/>
      <c r="E269" s="33">
        <f>표_악몽던전템위력[[#This Row],[ancestral dropped]]/표_악몽던전템위력[[#This Row],[rare+ dropped]]</f>
        <v>0.8</v>
      </c>
      <c r="F269" s="47">
        <f>COUNT(표_악몽던전템위력[[#This Row],[item1]:[item46]])</f>
        <v>20</v>
      </c>
      <c r="G269" s="47">
        <v>25</v>
      </c>
      <c r="H269" s="48">
        <f>AVERAGE(표_악몽던전템위력[[#This Row],[item1]:[item46]])</f>
        <v>777.5</v>
      </c>
      <c r="I269" s="26">
        <v>788</v>
      </c>
      <c r="J269" s="26">
        <v>779</v>
      </c>
      <c r="K269" s="26">
        <v>763</v>
      </c>
      <c r="L269" s="26">
        <v>776</v>
      </c>
      <c r="M269" s="26">
        <v>770</v>
      </c>
      <c r="N269" s="26">
        <v>769</v>
      </c>
      <c r="O269" s="26">
        <v>748</v>
      </c>
      <c r="P269" s="26">
        <v>795</v>
      </c>
      <c r="Q269" s="26">
        <v>782</v>
      </c>
      <c r="R269" s="26">
        <v>779</v>
      </c>
      <c r="S269" s="26">
        <v>765</v>
      </c>
      <c r="T269" s="26">
        <v>789</v>
      </c>
      <c r="U269" s="26">
        <v>746</v>
      </c>
      <c r="V269" s="26">
        <v>816</v>
      </c>
      <c r="W269" s="26">
        <v>765</v>
      </c>
      <c r="X269" s="26">
        <v>789</v>
      </c>
      <c r="Y269" s="26">
        <v>807</v>
      </c>
      <c r="Z269" s="26">
        <v>777</v>
      </c>
      <c r="AA269" s="26">
        <v>777</v>
      </c>
      <c r="AB269" s="26">
        <v>770</v>
      </c>
    </row>
    <row r="270" spans="1:46">
      <c r="A270" s="26">
        <v>103</v>
      </c>
      <c r="B270" s="30" t="s">
        <v>10</v>
      </c>
      <c r="C270" s="27">
        <v>53</v>
      </c>
      <c r="D270" s="44"/>
      <c r="E270" s="33">
        <f>표_악몽던전템위력[[#This Row],[ancestral dropped]]/표_악몽던전템위력[[#This Row],[rare+ dropped]]</f>
        <v>0.8</v>
      </c>
      <c r="F270" s="47">
        <f>COUNT(표_악몽던전템위력[[#This Row],[item1]:[item46]])</f>
        <v>24</v>
      </c>
      <c r="G270" s="47">
        <v>30</v>
      </c>
      <c r="H270" s="48">
        <f>AVERAGE(표_악몽던전템위력[[#This Row],[item1]:[item46]])</f>
        <v>771.70833333333337</v>
      </c>
      <c r="I270" s="26">
        <v>795</v>
      </c>
      <c r="J270" s="26">
        <v>792</v>
      </c>
      <c r="K270" s="26">
        <v>746</v>
      </c>
      <c r="L270" s="26">
        <v>814</v>
      </c>
      <c r="M270" s="26">
        <v>791</v>
      </c>
      <c r="N270" s="26">
        <v>779</v>
      </c>
      <c r="O270" s="26">
        <v>777</v>
      </c>
      <c r="P270" s="26">
        <v>751</v>
      </c>
      <c r="Q270" s="26">
        <v>757</v>
      </c>
      <c r="R270" s="26">
        <v>746</v>
      </c>
      <c r="S270" s="26">
        <v>775</v>
      </c>
      <c r="T270" s="26">
        <v>754</v>
      </c>
      <c r="U270" s="26">
        <v>771</v>
      </c>
      <c r="V270" s="26">
        <v>770</v>
      </c>
      <c r="W270" s="26">
        <v>769</v>
      </c>
      <c r="X270" s="26">
        <v>762</v>
      </c>
      <c r="Y270" s="26">
        <v>799</v>
      </c>
      <c r="Z270" s="26">
        <v>771</v>
      </c>
      <c r="AA270" s="26">
        <v>742</v>
      </c>
      <c r="AB270" s="26">
        <v>789</v>
      </c>
      <c r="AC270" s="26">
        <v>770</v>
      </c>
      <c r="AD270" s="26">
        <v>734</v>
      </c>
      <c r="AE270" s="26">
        <v>791</v>
      </c>
      <c r="AF270" s="26">
        <v>776</v>
      </c>
    </row>
    <row r="271" spans="1:46">
      <c r="A271" s="26">
        <v>103</v>
      </c>
      <c r="B271" s="30" t="s">
        <v>131</v>
      </c>
      <c r="C271" s="27">
        <v>53</v>
      </c>
      <c r="D271" s="44"/>
      <c r="E271" s="33">
        <f>표_악몽던전템위력[[#This Row],[ancestral dropped]]/표_악몽던전템위력[[#This Row],[rare+ dropped]]</f>
        <v>0.82352941176470584</v>
      </c>
      <c r="F271" s="47">
        <f>COUNT(표_악몽던전템위력[[#This Row],[item1]:[item46]])</f>
        <v>14</v>
      </c>
      <c r="G271" s="47">
        <v>17</v>
      </c>
      <c r="H271" s="48">
        <f>AVERAGE(표_악몽던전템위력[[#This Row],[item1]:[item46]])</f>
        <v>775.92857142857144</v>
      </c>
      <c r="I271" s="26">
        <v>798</v>
      </c>
      <c r="J271" s="26">
        <v>772</v>
      </c>
      <c r="K271" s="26">
        <v>752</v>
      </c>
      <c r="L271" s="26">
        <v>790</v>
      </c>
      <c r="M271" s="26">
        <v>785</v>
      </c>
      <c r="N271" s="26">
        <v>772</v>
      </c>
      <c r="O271" s="26">
        <v>761</v>
      </c>
      <c r="P271" s="26">
        <v>759</v>
      </c>
      <c r="Q271" s="26">
        <v>732</v>
      </c>
      <c r="R271" s="26">
        <v>793</v>
      </c>
      <c r="S271" s="26">
        <v>772</v>
      </c>
      <c r="T271" s="26">
        <v>809</v>
      </c>
      <c r="U271" s="26">
        <v>785</v>
      </c>
      <c r="V271" s="26">
        <v>783</v>
      </c>
    </row>
    <row r="272" spans="1:46">
      <c r="A272" s="26">
        <v>103</v>
      </c>
      <c r="B272" s="30" t="s">
        <v>125</v>
      </c>
      <c r="C272" s="27">
        <v>53</v>
      </c>
      <c r="D272" s="44"/>
      <c r="E272" s="33">
        <f>표_악몽던전템위력[[#This Row],[ancestral dropped]]/표_악몽던전템위력[[#This Row],[rare+ dropped]]</f>
        <v>0.6470588235294118</v>
      </c>
      <c r="F272" s="47">
        <f>COUNT(표_악몽던전템위력[[#This Row],[item1]:[item46]])</f>
        <v>11</v>
      </c>
      <c r="G272" s="47">
        <v>17</v>
      </c>
      <c r="H272" s="48">
        <f>AVERAGE(표_악몽던전템위력[[#This Row],[item1]:[item46]])</f>
        <v>771</v>
      </c>
      <c r="I272" s="26">
        <v>766</v>
      </c>
      <c r="J272" s="26">
        <v>738</v>
      </c>
      <c r="K272" s="26">
        <v>787</v>
      </c>
      <c r="L272" s="26">
        <v>787</v>
      </c>
      <c r="M272" s="26">
        <v>776</v>
      </c>
      <c r="N272" s="26">
        <v>743</v>
      </c>
      <c r="O272" s="26">
        <v>781</v>
      </c>
      <c r="P272" s="26">
        <v>756</v>
      </c>
      <c r="Q272" s="26">
        <v>791</v>
      </c>
      <c r="R272" s="26">
        <v>781</v>
      </c>
      <c r="S272" s="26">
        <v>775</v>
      </c>
    </row>
    <row r="273" spans="1:44">
      <c r="A273" s="26">
        <v>103</v>
      </c>
      <c r="B273" s="30" t="s">
        <v>12</v>
      </c>
      <c r="C273" s="27">
        <v>54</v>
      </c>
      <c r="D273" s="44"/>
      <c r="E273" s="33">
        <f>표_악몽던전템위력[[#This Row],[ancestral dropped]]/표_악몽던전템위력[[#This Row],[rare+ dropped]]</f>
        <v>0.6470588235294118</v>
      </c>
      <c r="F273" s="47">
        <f>COUNT(표_악몽던전템위력[[#This Row],[item1]:[item46]])</f>
        <v>11</v>
      </c>
      <c r="G273" s="47">
        <v>17</v>
      </c>
      <c r="H273" s="48">
        <f>AVERAGE(표_악몽던전템위력[[#This Row],[item1]:[item46]])</f>
        <v>768.36363636363637</v>
      </c>
      <c r="I273" s="26">
        <v>788</v>
      </c>
      <c r="J273" s="26">
        <v>756</v>
      </c>
      <c r="K273" s="26">
        <v>751</v>
      </c>
      <c r="L273" s="26">
        <v>771</v>
      </c>
      <c r="M273" s="26">
        <v>788</v>
      </c>
      <c r="N273" s="26">
        <v>803</v>
      </c>
      <c r="O273" s="26">
        <v>786</v>
      </c>
      <c r="P273" s="26">
        <v>769</v>
      </c>
      <c r="Q273" s="26">
        <v>747</v>
      </c>
      <c r="R273" s="26">
        <v>748</v>
      </c>
      <c r="S273" s="26">
        <v>745</v>
      </c>
    </row>
    <row r="274" spans="1:44">
      <c r="A274" s="26">
        <v>103</v>
      </c>
      <c r="B274" s="30" t="s">
        <v>0</v>
      </c>
      <c r="C274" s="27">
        <v>60</v>
      </c>
      <c r="D274" s="44"/>
      <c r="E274" s="33">
        <f>표_악몽던전템위력[[#This Row],[ancestral dropped]]/표_악몽던전템위력[[#This Row],[rare+ dropped]]</f>
        <v>0.91304347826086951</v>
      </c>
      <c r="F274" s="47">
        <f>COUNT(표_악몽던전템위력[[#This Row],[item1]:[item46]])</f>
        <v>21</v>
      </c>
      <c r="G274" s="47">
        <v>23</v>
      </c>
      <c r="H274" s="48">
        <f>AVERAGE(표_악몽던전템위력[[#This Row],[item1]:[item46]])</f>
        <v>777.23809523809518</v>
      </c>
      <c r="I274" s="26">
        <v>770</v>
      </c>
      <c r="J274" s="26">
        <v>788</v>
      </c>
      <c r="K274" s="26">
        <v>781</v>
      </c>
      <c r="L274" s="26">
        <v>774</v>
      </c>
      <c r="M274" s="26">
        <v>770</v>
      </c>
      <c r="N274" s="26">
        <v>803</v>
      </c>
      <c r="O274" s="26">
        <v>801</v>
      </c>
      <c r="P274" s="26">
        <v>779</v>
      </c>
      <c r="Q274" s="26">
        <v>755</v>
      </c>
      <c r="R274" s="26">
        <v>772</v>
      </c>
      <c r="S274" s="26">
        <v>743</v>
      </c>
      <c r="T274" s="26">
        <v>769</v>
      </c>
      <c r="U274" s="26">
        <v>811</v>
      </c>
      <c r="V274" s="26">
        <v>799</v>
      </c>
      <c r="W274" s="26">
        <v>789</v>
      </c>
      <c r="X274" s="26">
        <v>774</v>
      </c>
      <c r="Y274" s="26">
        <v>747</v>
      </c>
      <c r="Z274" s="26">
        <v>738</v>
      </c>
      <c r="AA274" s="26">
        <v>784</v>
      </c>
      <c r="AB274" s="26">
        <v>775</v>
      </c>
      <c r="AC274" s="26">
        <v>800</v>
      </c>
    </row>
    <row r="275" spans="1:44">
      <c r="A275" s="26">
        <v>103</v>
      </c>
      <c r="B275" s="30" t="s">
        <v>10</v>
      </c>
      <c r="C275" s="27">
        <v>60</v>
      </c>
      <c r="D275" s="44"/>
      <c r="E275" s="33">
        <f>표_악몽던전템위력[[#This Row],[ancestral dropped]]/표_악몽던전템위력[[#This Row],[rare+ dropped]]</f>
        <v>0.8529411764705882</v>
      </c>
      <c r="F275" s="47">
        <f>COUNT(표_악몽던전템위력[[#This Row],[item1]:[item46]])</f>
        <v>29</v>
      </c>
      <c r="G275" s="47">
        <v>34</v>
      </c>
      <c r="H275" s="48">
        <f>AVERAGE(표_악몽던전템위력[[#This Row],[item1]:[item46]])</f>
        <v>773.48275862068965</v>
      </c>
      <c r="I275" s="26">
        <v>787</v>
      </c>
      <c r="J275" s="26">
        <v>777</v>
      </c>
      <c r="K275" s="26">
        <v>770</v>
      </c>
      <c r="L275" s="26">
        <v>793</v>
      </c>
      <c r="M275" s="26">
        <v>781</v>
      </c>
      <c r="N275" s="26">
        <v>774</v>
      </c>
      <c r="O275" s="26">
        <v>762</v>
      </c>
      <c r="P275" s="26">
        <v>798</v>
      </c>
      <c r="Q275" s="26">
        <v>782</v>
      </c>
      <c r="R275" s="26">
        <v>768</v>
      </c>
      <c r="S275" s="26">
        <v>767</v>
      </c>
      <c r="T275" s="26">
        <v>764</v>
      </c>
      <c r="U275" s="26">
        <v>755</v>
      </c>
      <c r="V275" s="26">
        <v>745</v>
      </c>
      <c r="W275" s="26">
        <v>791</v>
      </c>
      <c r="X275" s="26">
        <v>776</v>
      </c>
      <c r="Y275" s="26">
        <v>774</v>
      </c>
      <c r="Z275" s="26">
        <v>760</v>
      </c>
      <c r="AA275" s="26">
        <v>759</v>
      </c>
      <c r="AB275" s="26">
        <v>804</v>
      </c>
      <c r="AC275" s="26">
        <v>786</v>
      </c>
      <c r="AD275" s="26">
        <v>783</v>
      </c>
      <c r="AE275" s="26">
        <v>774</v>
      </c>
      <c r="AF275" s="26">
        <v>761</v>
      </c>
      <c r="AG275" s="26">
        <v>787</v>
      </c>
      <c r="AH275" s="26">
        <v>779</v>
      </c>
      <c r="AI275" s="26">
        <v>783</v>
      </c>
      <c r="AJ275" s="26">
        <v>754</v>
      </c>
      <c r="AK275" s="26">
        <v>737</v>
      </c>
    </row>
    <row r="276" spans="1:44">
      <c r="A276" s="26">
        <v>103</v>
      </c>
      <c r="B276" s="30" t="s">
        <v>0</v>
      </c>
      <c r="C276" s="27">
        <v>60</v>
      </c>
      <c r="D276" s="44"/>
      <c r="E276" s="33">
        <f>표_악몽던전템위력[[#This Row],[ancestral dropped]]/표_악몽던전템위력[[#This Row],[rare+ dropped]]</f>
        <v>0.9</v>
      </c>
      <c r="F276" s="47">
        <f>COUNT(표_악몽던전템위력[[#This Row],[item1]:[item46]])</f>
        <v>36</v>
      </c>
      <c r="G276" s="47">
        <v>40</v>
      </c>
      <c r="H276" s="48">
        <f>AVERAGE(표_악몽던전템위력[[#This Row],[item1]:[item46]])</f>
        <v>773.52777777777783</v>
      </c>
      <c r="I276" s="26">
        <v>803</v>
      </c>
      <c r="J276" s="26">
        <v>782</v>
      </c>
      <c r="K276" s="26">
        <v>777</v>
      </c>
      <c r="L276" s="26">
        <v>760</v>
      </c>
      <c r="M276" s="26">
        <v>759</v>
      </c>
      <c r="N276" s="26">
        <v>780</v>
      </c>
      <c r="O276" s="26">
        <v>797</v>
      </c>
      <c r="P276" s="26">
        <v>775</v>
      </c>
      <c r="Q276" s="26">
        <v>756</v>
      </c>
      <c r="R276" s="26">
        <v>736</v>
      </c>
      <c r="S276" s="26">
        <v>797</v>
      </c>
      <c r="T276" s="26">
        <v>771</v>
      </c>
      <c r="U276" s="26">
        <v>762</v>
      </c>
      <c r="V276" s="26">
        <v>756</v>
      </c>
      <c r="W276" s="26">
        <v>810</v>
      </c>
      <c r="X276" s="26">
        <v>793</v>
      </c>
      <c r="Y276" s="26">
        <v>777</v>
      </c>
      <c r="Z276" s="26">
        <v>773</v>
      </c>
      <c r="AA276" s="26">
        <v>767</v>
      </c>
      <c r="AB276" s="26">
        <v>790</v>
      </c>
      <c r="AC276" s="26">
        <v>786</v>
      </c>
      <c r="AD276" s="26">
        <v>776</v>
      </c>
      <c r="AE276" s="26">
        <v>775</v>
      </c>
      <c r="AF276" s="26">
        <v>768</v>
      </c>
      <c r="AG276" s="26">
        <v>762</v>
      </c>
      <c r="AH276" s="26">
        <v>758</v>
      </c>
      <c r="AI276" s="26">
        <v>750</v>
      </c>
      <c r="AJ276" s="26">
        <v>742</v>
      </c>
      <c r="AK276" s="26">
        <v>796</v>
      </c>
      <c r="AL276" s="26">
        <v>780</v>
      </c>
      <c r="AM276" s="26">
        <v>769</v>
      </c>
      <c r="AN276" s="26">
        <v>773</v>
      </c>
      <c r="AO276" s="26">
        <v>743</v>
      </c>
      <c r="AP276" s="26">
        <v>771</v>
      </c>
      <c r="AQ276" s="26">
        <v>805</v>
      </c>
      <c r="AR276" s="26">
        <v>772</v>
      </c>
    </row>
    <row r="277" spans="1:44">
      <c r="A277" s="26">
        <v>103</v>
      </c>
      <c r="B277" s="30" t="s">
        <v>144</v>
      </c>
      <c r="C277" s="27">
        <v>57</v>
      </c>
      <c r="D277" s="44"/>
      <c r="E277" s="33">
        <f>표_악몽던전템위력[[#This Row],[ancestral dropped]]/표_악몽던전템위력[[#This Row],[rare+ dropped]]</f>
        <v>0.84</v>
      </c>
      <c r="F277" s="47">
        <f>COUNT(표_악몽던전템위력[[#This Row],[item1]:[item46]])</f>
        <v>21</v>
      </c>
      <c r="G277" s="47">
        <v>25</v>
      </c>
      <c r="H277" s="48">
        <f>AVERAGE(표_악몽던전템위력[[#This Row],[item1]:[item46]])</f>
        <v>774.19047619047615</v>
      </c>
      <c r="I277" s="26">
        <v>759</v>
      </c>
      <c r="J277" s="26">
        <v>791</v>
      </c>
      <c r="K277" s="26">
        <v>789</v>
      </c>
      <c r="L277" s="26">
        <v>779</v>
      </c>
      <c r="M277" s="26">
        <v>764</v>
      </c>
      <c r="N277" s="26">
        <v>801</v>
      </c>
      <c r="O277" s="26">
        <v>785</v>
      </c>
      <c r="P277" s="26">
        <v>769</v>
      </c>
      <c r="Q277" s="26">
        <v>765</v>
      </c>
      <c r="R277" s="26">
        <v>753</v>
      </c>
      <c r="S277" s="26">
        <v>810</v>
      </c>
      <c r="T277" s="26">
        <v>792</v>
      </c>
      <c r="U277" s="26">
        <v>759</v>
      </c>
      <c r="V277" s="26">
        <v>747</v>
      </c>
      <c r="W277" s="26">
        <v>796</v>
      </c>
      <c r="X277" s="26">
        <v>777</v>
      </c>
      <c r="Y277" s="26">
        <v>753</v>
      </c>
      <c r="Z277" s="26">
        <v>791</v>
      </c>
      <c r="AA277" s="26">
        <v>756</v>
      </c>
      <c r="AB277" s="26">
        <v>760</v>
      </c>
      <c r="AC277" s="26">
        <v>762</v>
      </c>
    </row>
    <row r="278" spans="1:44">
      <c r="A278" s="26">
        <v>103</v>
      </c>
      <c r="B278" s="30" t="s">
        <v>0</v>
      </c>
      <c r="C278" s="27">
        <v>55</v>
      </c>
      <c r="D278" s="44"/>
      <c r="E278" s="33">
        <f>표_악몽던전템위력[[#This Row],[ancestral dropped]]/표_악몽던전템위력[[#This Row],[rare+ dropped]]</f>
        <v>0.84615384615384615</v>
      </c>
      <c r="F278" s="47">
        <f>COUNT(표_악몽던전템위력[[#This Row],[item1]:[item46]])</f>
        <v>11</v>
      </c>
      <c r="G278" s="47">
        <v>13</v>
      </c>
      <c r="H278" s="48">
        <f>AVERAGE(표_악몽던전템위력[[#This Row],[item1]:[item46]])</f>
        <v>775.36363636363637</v>
      </c>
      <c r="I278" s="26">
        <v>753</v>
      </c>
      <c r="J278" s="26">
        <v>776</v>
      </c>
      <c r="K278" s="26">
        <v>775</v>
      </c>
      <c r="L278" s="26">
        <v>793</v>
      </c>
      <c r="M278" s="26">
        <v>795</v>
      </c>
      <c r="N278" s="26">
        <v>765</v>
      </c>
      <c r="O278" s="26">
        <v>785</v>
      </c>
      <c r="P278" s="26">
        <v>759</v>
      </c>
      <c r="Q278" s="26">
        <v>800</v>
      </c>
      <c r="R278" s="26">
        <v>769</v>
      </c>
      <c r="S278" s="26">
        <v>759</v>
      </c>
    </row>
    <row r="279" spans="1:44">
      <c r="A279" s="26">
        <v>103</v>
      </c>
      <c r="B279" s="30" t="s">
        <v>151</v>
      </c>
      <c r="C279" s="27">
        <v>53</v>
      </c>
      <c r="D279" s="44"/>
      <c r="E279" s="33">
        <f>표_악몽던전템위력[[#This Row],[ancestral dropped]]/표_악몽던전템위력[[#This Row],[rare+ dropped]]</f>
        <v>0.86956521739130432</v>
      </c>
      <c r="F279" s="47">
        <f>COUNT(표_악몽던전템위력[[#This Row],[item1]:[item46]])</f>
        <v>20</v>
      </c>
      <c r="G279" s="47">
        <v>23</v>
      </c>
      <c r="H279" s="48">
        <f>AVERAGE(표_악몽던전템위력[[#This Row],[item1]:[item46]])</f>
        <v>776.15</v>
      </c>
      <c r="I279" s="26">
        <v>759</v>
      </c>
      <c r="J279" s="26">
        <v>745</v>
      </c>
      <c r="K279" s="26">
        <v>814</v>
      </c>
      <c r="L279" s="26">
        <v>782</v>
      </c>
      <c r="M279" s="26">
        <v>759</v>
      </c>
      <c r="N279" s="26">
        <v>755</v>
      </c>
      <c r="O279" s="26">
        <v>798</v>
      </c>
      <c r="P279" s="26">
        <v>798</v>
      </c>
      <c r="Q279" s="26">
        <v>797</v>
      </c>
      <c r="R279" s="26">
        <v>763</v>
      </c>
      <c r="S279" s="26">
        <v>756</v>
      </c>
      <c r="T279" s="26">
        <v>742</v>
      </c>
      <c r="U279" s="26">
        <v>799</v>
      </c>
      <c r="V279" s="26">
        <v>797</v>
      </c>
      <c r="W279" s="26">
        <v>784</v>
      </c>
      <c r="X279" s="26">
        <v>770</v>
      </c>
      <c r="Y279" s="26">
        <v>786</v>
      </c>
      <c r="Z279" s="26">
        <v>765</v>
      </c>
      <c r="AA279" s="26">
        <v>787</v>
      </c>
      <c r="AB279" s="26">
        <v>767</v>
      </c>
    </row>
    <row r="280" spans="1:44">
      <c r="A280" s="26">
        <v>103</v>
      </c>
      <c r="B280" s="30" t="s">
        <v>150</v>
      </c>
      <c r="C280" s="27">
        <v>54</v>
      </c>
      <c r="D280" s="44"/>
      <c r="E280" s="33">
        <f>표_악몽던전템위력[[#This Row],[ancestral dropped]]/표_악몽던전템위력[[#This Row],[rare+ dropped]]</f>
        <v>0.65625</v>
      </c>
      <c r="F280" s="47">
        <f>COUNT(표_악몽던전템위력[[#This Row],[item1]:[item46]])</f>
        <v>21</v>
      </c>
      <c r="G280" s="47">
        <v>32</v>
      </c>
      <c r="H280" s="48">
        <f>AVERAGE(표_악몽던전템위력[[#This Row],[item1]:[item46]])</f>
        <v>774</v>
      </c>
      <c r="I280" s="26">
        <v>775</v>
      </c>
      <c r="J280" s="26">
        <v>773</v>
      </c>
      <c r="K280" s="26">
        <v>771</v>
      </c>
      <c r="L280" s="26">
        <v>761</v>
      </c>
      <c r="M280" s="26">
        <v>763</v>
      </c>
      <c r="N280" s="26">
        <v>747</v>
      </c>
      <c r="O280" s="26">
        <v>811</v>
      </c>
      <c r="P280" s="26">
        <v>788</v>
      </c>
      <c r="Q280" s="26">
        <v>781</v>
      </c>
      <c r="R280" s="26">
        <v>780</v>
      </c>
      <c r="S280" s="26">
        <v>780</v>
      </c>
      <c r="T280" s="26">
        <v>767</v>
      </c>
      <c r="U280" s="26">
        <v>754</v>
      </c>
      <c r="V280" s="26">
        <v>796</v>
      </c>
      <c r="W280" s="26">
        <v>787</v>
      </c>
      <c r="X280" s="26">
        <v>774</v>
      </c>
      <c r="Y280" s="26">
        <v>759</v>
      </c>
      <c r="Z280" s="26">
        <v>801</v>
      </c>
      <c r="AA280" s="26">
        <v>760</v>
      </c>
      <c r="AB280" s="26">
        <v>758</v>
      </c>
      <c r="AC280" s="26">
        <v>768</v>
      </c>
    </row>
    <row r="281" spans="1:44">
      <c r="A281" s="26">
        <v>103</v>
      </c>
      <c r="B281" s="30" t="s">
        <v>150</v>
      </c>
      <c r="C281" s="27">
        <v>54</v>
      </c>
      <c r="D281" s="44"/>
      <c r="E281" s="33">
        <f>표_악몽던전템위력[[#This Row],[ancestral dropped]]/표_악몽던전템위력[[#This Row],[rare+ dropped]]</f>
        <v>0.70967741935483875</v>
      </c>
      <c r="F281" s="47">
        <f>COUNT(표_악몽던전템위력[[#This Row],[item1]:[item46]])</f>
        <v>22</v>
      </c>
      <c r="G281" s="47">
        <v>31</v>
      </c>
      <c r="H281" s="48">
        <f>AVERAGE(표_악몽던전템위력[[#This Row],[item1]:[item46]])</f>
        <v>773.4545454545455</v>
      </c>
      <c r="I281" s="26">
        <v>800</v>
      </c>
      <c r="J281" s="26">
        <v>758</v>
      </c>
      <c r="K281" s="26">
        <v>742</v>
      </c>
      <c r="L281" s="26">
        <v>777</v>
      </c>
      <c r="M281" s="26">
        <v>789</v>
      </c>
      <c r="N281" s="26">
        <v>761</v>
      </c>
      <c r="O281" s="26">
        <v>798</v>
      </c>
      <c r="P281" s="26">
        <v>785</v>
      </c>
      <c r="Q281" s="26">
        <v>782</v>
      </c>
      <c r="R281" s="26">
        <v>774</v>
      </c>
      <c r="S281" s="26">
        <v>771</v>
      </c>
      <c r="T281" s="26">
        <v>769</v>
      </c>
      <c r="U281" s="26">
        <v>767</v>
      </c>
      <c r="V281" s="26">
        <v>755</v>
      </c>
      <c r="W281" s="26">
        <v>754</v>
      </c>
      <c r="X281" s="26">
        <v>781</v>
      </c>
      <c r="Y281" s="26">
        <v>775</v>
      </c>
      <c r="Z281" s="26">
        <v>796</v>
      </c>
      <c r="AA281" s="26">
        <v>779</v>
      </c>
      <c r="AB281" s="26">
        <v>774</v>
      </c>
      <c r="AC281" s="26">
        <v>762</v>
      </c>
      <c r="AD281" s="26">
        <v>767</v>
      </c>
    </row>
    <row r="282" spans="1:44">
      <c r="A282" s="26">
        <v>103</v>
      </c>
      <c r="B282" s="30" t="s">
        <v>124</v>
      </c>
      <c r="C282" s="27">
        <v>54</v>
      </c>
      <c r="D282" s="44"/>
      <c r="E282" s="33">
        <f>표_악몽던전템위력[[#This Row],[ancestral dropped]]/표_악몽던전템위력[[#This Row],[rare+ dropped]]</f>
        <v>0.78260869565217395</v>
      </c>
      <c r="F282" s="47">
        <f>COUNT(표_악몽던전템위력[[#This Row],[item1]:[item46]])</f>
        <v>18</v>
      </c>
      <c r="G282" s="47">
        <v>23</v>
      </c>
      <c r="H282" s="48">
        <f>AVERAGE(표_악몽던전템위력[[#This Row],[item1]:[item46]])</f>
        <v>767</v>
      </c>
      <c r="I282" s="26">
        <v>771</v>
      </c>
      <c r="J282" s="26">
        <v>788</v>
      </c>
      <c r="K282" s="26">
        <v>755</v>
      </c>
      <c r="L282" s="26">
        <v>780</v>
      </c>
      <c r="M282" s="26">
        <v>746</v>
      </c>
      <c r="N282" s="26">
        <v>768</v>
      </c>
      <c r="O282" s="26">
        <v>742</v>
      </c>
      <c r="P282" s="26">
        <v>809</v>
      </c>
      <c r="Q282" s="26">
        <v>800</v>
      </c>
      <c r="R282" s="26">
        <v>781</v>
      </c>
      <c r="S282" s="26">
        <v>748</v>
      </c>
      <c r="T282" s="26">
        <v>778</v>
      </c>
      <c r="U282" s="26">
        <v>743</v>
      </c>
      <c r="V282" s="26">
        <v>772</v>
      </c>
      <c r="W282" s="26">
        <v>766</v>
      </c>
      <c r="X282" s="26">
        <v>751</v>
      </c>
      <c r="Y282" s="26">
        <v>728</v>
      </c>
      <c r="Z282" s="26">
        <v>780</v>
      </c>
    </row>
    <row r="283" spans="1:44">
      <c r="A283" s="26">
        <v>103</v>
      </c>
      <c r="B283" s="30" t="s">
        <v>124</v>
      </c>
      <c r="C283" s="27">
        <v>55</v>
      </c>
      <c r="D283" s="44"/>
      <c r="E283" s="33">
        <f>표_악몽던전템위력[[#This Row],[ancestral dropped]]/표_악몽던전템위력[[#This Row],[rare+ dropped]]</f>
        <v>0.85</v>
      </c>
      <c r="F283" s="47">
        <f>COUNT(표_악몽던전템위력[[#This Row],[item1]:[item46]])</f>
        <v>17</v>
      </c>
      <c r="G283" s="47">
        <v>20</v>
      </c>
      <c r="H283" s="48">
        <f>AVERAGE(표_악몽던전템위력[[#This Row],[item1]:[item46]])</f>
        <v>774.11764705882354</v>
      </c>
      <c r="I283" s="26">
        <v>791</v>
      </c>
      <c r="J283" s="26">
        <v>757</v>
      </c>
      <c r="K283" s="26">
        <v>750</v>
      </c>
      <c r="L283" s="26">
        <v>788</v>
      </c>
      <c r="M283" s="26">
        <v>784</v>
      </c>
      <c r="N283" s="26">
        <v>771</v>
      </c>
      <c r="O283" s="26">
        <v>783</v>
      </c>
      <c r="P283" s="26">
        <v>773</v>
      </c>
      <c r="Q283" s="26">
        <v>787</v>
      </c>
      <c r="R283" s="26">
        <v>776</v>
      </c>
      <c r="S283" s="26">
        <v>772</v>
      </c>
      <c r="T283" s="26">
        <v>767</v>
      </c>
      <c r="U283" s="26">
        <v>786</v>
      </c>
      <c r="V283" s="26">
        <v>773</v>
      </c>
      <c r="W283" s="26">
        <v>766</v>
      </c>
      <c r="X283" s="26">
        <v>747</v>
      </c>
      <c r="Y283" s="26">
        <v>789</v>
      </c>
    </row>
    <row r="284" spans="1:44">
      <c r="A284" s="26">
        <v>103</v>
      </c>
      <c r="B284" s="30" t="s">
        <v>120</v>
      </c>
      <c r="C284" s="27">
        <v>56</v>
      </c>
      <c r="D284" s="44"/>
      <c r="E284" s="33">
        <f>표_악몽던전템위력[[#This Row],[ancestral dropped]]/표_악몽던전템위력[[#This Row],[rare+ dropped]]</f>
        <v>0.85185185185185186</v>
      </c>
      <c r="F284" s="47">
        <f>COUNT(표_악몽던전템위력[[#This Row],[item1]:[item46]])</f>
        <v>23</v>
      </c>
      <c r="G284" s="47">
        <v>27</v>
      </c>
      <c r="H284" s="48">
        <f>AVERAGE(표_악몽던전템위력[[#This Row],[item1]:[item46]])</f>
        <v>778.21739130434787</v>
      </c>
      <c r="I284" s="26">
        <v>790</v>
      </c>
      <c r="J284" s="26">
        <v>786</v>
      </c>
      <c r="K284" s="26">
        <v>771</v>
      </c>
      <c r="L284" s="26">
        <v>759</v>
      </c>
      <c r="M284" s="26">
        <v>751</v>
      </c>
      <c r="N284" s="26">
        <v>779</v>
      </c>
      <c r="O284" s="26">
        <v>768</v>
      </c>
      <c r="P284" s="26">
        <v>768</v>
      </c>
      <c r="Q284" s="26">
        <v>767</v>
      </c>
      <c r="R284" s="26">
        <v>779</v>
      </c>
      <c r="S284" s="26">
        <v>767</v>
      </c>
      <c r="T284" s="26">
        <v>781</v>
      </c>
      <c r="U284" s="26">
        <v>813</v>
      </c>
      <c r="V284" s="26">
        <v>796</v>
      </c>
      <c r="W284" s="26">
        <v>777</v>
      </c>
      <c r="X284" s="26">
        <v>762</v>
      </c>
      <c r="Y284" s="26">
        <v>791</v>
      </c>
      <c r="Z284" s="26">
        <v>784</v>
      </c>
      <c r="AA284" s="26">
        <v>797</v>
      </c>
      <c r="AB284" s="26">
        <v>789</v>
      </c>
      <c r="AC284" s="26">
        <v>765</v>
      </c>
      <c r="AD284" s="26">
        <v>789</v>
      </c>
      <c r="AE284" s="26">
        <v>770</v>
      </c>
    </row>
    <row r="285" spans="1:44">
      <c r="A285" s="26">
        <v>103</v>
      </c>
      <c r="B285" s="30" t="s">
        <v>127</v>
      </c>
      <c r="C285" s="27">
        <v>54</v>
      </c>
      <c r="D285" s="44"/>
      <c r="E285" s="33">
        <f>표_악몽던전템위력[[#This Row],[ancestral dropped]]/표_악몽던전템위력[[#This Row],[rare+ dropped]]</f>
        <v>0.76923076923076927</v>
      </c>
      <c r="F285" s="47">
        <f>COUNT(표_악몽던전템위력[[#This Row],[item1]:[item46]])</f>
        <v>20</v>
      </c>
      <c r="G285" s="47">
        <v>26</v>
      </c>
      <c r="H285" s="48">
        <f>AVERAGE(표_악몽던전템위력[[#This Row],[item1]:[item46]])</f>
        <v>778.05</v>
      </c>
      <c r="I285" s="26">
        <v>815</v>
      </c>
      <c r="J285" s="26">
        <v>806</v>
      </c>
      <c r="K285" s="26">
        <v>803</v>
      </c>
      <c r="L285" s="26">
        <v>778</v>
      </c>
      <c r="M285" s="26">
        <v>768</v>
      </c>
      <c r="N285" s="26">
        <v>751</v>
      </c>
      <c r="O285" s="26">
        <v>800</v>
      </c>
      <c r="P285" s="26">
        <v>779</v>
      </c>
      <c r="Q285" s="26">
        <v>776</v>
      </c>
      <c r="R285" s="26">
        <v>770</v>
      </c>
      <c r="S285" s="26">
        <v>766</v>
      </c>
      <c r="T285" s="26">
        <v>752</v>
      </c>
      <c r="U285" s="26">
        <v>748</v>
      </c>
      <c r="V285" s="26">
        <v>787</v>
      </c>
      <c r="W285" s="26">
        <v>779</v>
      </c>
      <c r="X285" s="26">
        <v>760</v>
      </c>
      <c r="Y285" s="26">
        <v>778</v>
      </c>
      <c r="Z285" s="26">
        <v>802</v>
      </c>
      <c r="AA285" s="26">
        <v>779</v>
      </c>
      <c r="AB285" s="26">
        <v>764</v>
      </c>
    </row>
    <row r="286" spans="1:44">
      <c r="A286" s="26">
        <v>103</v>
      </c>
      <c r="B286" s="30" t="s">
        <v>150</v>
      </c>
      <c r="C286" s="27">
        <v>54</v>
      </c>
      <c r="D286" s="44"/>
      <c r="E286" s="33">
        <f>표_악몽던전템위력[[#This Row],[ancestral dropped]]/표_악몽던전템위력[[#This Row],[rare+ dropped]]</f>
        <v>0.82352941176470584</v>
      </c>
      <c r="F286" s="47">
        <f>COUNT(표_악몽던전템위력[[#This Row],[item1]:[item46]])</f>
        <v>28</v>
      </c>
      <c r="G286" s="47">
        <v>34</v>
      </c>
      <c r="H286" s="48">
        <f>AVERAGE(표_악몽던전템위력[[#This Row],[item1]:[item46]])</f>
        <v>779.60714285714289</v>
      </c>
      <c r="I286" s="26">
        <v>779</v>
      </c>
      <c r="J286" s="26">
        <v>763</v>
      </c>
      <c r="K286" s="26">
        <v>756</v>
      </c>
      <c r="L286" s="26">
        <v>744</v>
      </c>
      <c r="M286" s="26">
        <v>806</v>
      </c>
      <c r="N286" s="26">
        <v>786</v>
      </c>
      <c r="O286" s="26">
        <v>813</v>
      </c>
      <c r="P286" s="26">
        <v>803</v>
      </c>
      <c r="Q286" s="26">
        <v>787</v>
      </c>
      <c r="R286" s="26">
        <v>780</v>
      </c>
      <c r="S286" s="26">
        <v>778</v>
      </c>
      <c r="T286" s="26">
        <v>773</v>
      </c>
      <c r="U286" s="26">
        <v>771</v>
      </c>
      <c r="V286" s="26">
        <v>761</v>
      </c>
      <c r="W286" s="26">
        <v>804</v>
      </c>
      <c r="X286" s="26">
        <v>790</v>
      </c>
      <c r="Y286" s="26">
        <v>781</v>
      </c>
      <c r="Z286" s="26">
        <v>778</v>
      </c>
      <c r="AA286" s="26">
        <v>775</v>
      </c>
      <c r="AB286" s="26">
        <v>756</v>
      </c>
      <c r="AC286" s="26">
        <v>806</v>
      </c>
      <c r="AD286" s="26">
        <v>801</v>
      </c>
      <c r="AE286" s="26">
        <v>787</v>
      </c>
      <c r="AF286" s="26">
        <v>775</v>
      </c>
      <c r="AG286" s="26">
        <v>760</v>
      </c>
      <c r="AH286" s="26">
        <v>792</v>
      </c>
      <c r="AI286" s="26">
        <v>760</v>
      </c>
      <c r="AJ286" s="26">
        <v>764</v>
      </c>
    </row>
    <row r="287" spans="1:44">
      <c r="A287" s="26">
        <v>103</v>
      </c>
      <c r="B287" s="30" t="s">
        <v>123</v>
      </c>
      <c r="C287" s="27">
        <v>54</v>
      </c>
      <c r="D287" s="44"/>
      <c r="E287" s="33">
        <f>표_악몽던전템위력[[#This Row],[ancestral dropped]]/표_악몽던전템위력[[#This Row],[rare+ dropped]]</f>
        <v>0.7142857142857143</v>
      </c>
      <c r="F287" s="47">
        <f>COUNT(표_악몽던전템위력[[#This Row],[item1]:[item46]])</f>
        <v>20</v>
      </c>
      <c r="G287" s="47">
        <v>28</v>
      </c>
      <c r="H287" s="48">
        <f>AVERAGE(표_악몽던전템위력[[#This Row],[item1]:[item46]])</f>
        <v>774.65</v>
      </c>
      <c r="I287" s="26">
        <v>773</v>
      </c>
      <c r="J287" s="26">
        <v>777</v>
      </c>
      <c r="K287" s="26">
        <v>774</v>
      </c>
      <c r="L287" s="26">
        <v>805</v>
      </c>
      <c r="M287" s="26">
        <v>781</v>
      </c>
      <c r="N287" s="26">
        <v>779</v>
      </c>
      <c r="O287" s="26">
        <v>741</v>
      </c>
      <c r="P287" s="26">
        <v>810</v>
      </c>
      <c r="Q287" s="26">
        <v>784</v>
      </c>
      <c r="R287" s="26">
        <v>776</v>
      </c>
      <c r="S287" s="26">
        <v>770</v>
      </c>
      <c r="T287" s="26">
        <v>779</v>
      </c>
      <c r="U287" s="26">
        <v>763</v>
      </c>
      <c r="V287" s="26">
        <v>761</v>
      </c>
      <c r="W287" s="26">
        <v>804</v>
      </c>
      <c r="X287" s="26">
        <v>794</v>
      </c>
      <c r="Y287" s="26">
        <v>750</v>
      </c>
      <c r="Z287" s="26">
        <v>780</v>
      </c>
      <c r="AA287" s="26">
        <v>746</v>
      </c>
      <c r="AB287" s="26">
        <v>746</v>
      </c>
    </row>
    <row r="288" spans="1:44">
      <c r="A288" s="26">
        <v>103</v>
      </c>
      <c r="B288" s="30" t="s">
        <v>131</v>
      </c>
      <c r="C288" s="27">
        <v>54</v>
      </c>
      <c r="D288" s="44"/>
      <c r="E288" s="33">
        <f>표_악몽던전템위력[[#This Row],[ancestral dropped]]/표_악몽던전템위력[[#This Row],[rare+ dropped]]</f>
        <v>0.73076923076923073</v>
      </c>
      <c r="F288" s="47">
        <f>COUNT(표_악몽던전템위력[[#This Row],[item1]:[item46]])</f>
        <v>19</v>
      </c>
      <c r="G288" s="47">
        <v>26</v>
      </c>
      <c r="H288" s="48">
        <f>AVERAGE(표_악몽던전템위력[[#This Row],[item1]:[item46]])</f>
        <v>770.9473684210526</v>
      </c>
      <c r="I288" s="26">
        <v>791</v>
      </c>
      <c r="J288" s="26">
        <v>747</v>
      </c>
      <c r="K288" s="26">
        <v>774</v>
      </c>
      <c r="L288" s="26">
        <v>769</v>
      </c>
      <c r="M288" s="26">
        <v>764</v>
      </c>
      <c r="N288" s="26">
        <v>762</v>
      </c>
      <c r="O288" s="26">
        <v>807</v>
      </c>
      <c r="P288" s="26">
        <v>766</v>
      </c>
      <c r="Q288" s="26">
        <v>764</v>
      </c>
      <c r="R288" s="26">
        <v>751</v>
      </c>
      <c r="S288" s="26">
        <v>780</v>
      </c>
      <c r="T288" s="26">
        <v>770</v>
      </c>
      <c r="U288" s="26">
        <v>799</v>
      </c>
      <c r="V288" s="26">
        <v>763</v>
      </c>
      <c r="W288" s="26">
        <v>805</v>
      </c>
      <c r="X288" s="26">
        <v>784</v>
      </c>
      <c r="Y288" s="26">
        <v>751</v>
      </c>
      <c r="Z288" s="26">
        <v>751</v>
      </c>
      <c r="AA288" s="26">
        <v>750</v>
      </c>
    </row>
    <row r="289" spans="1:38">
      <c r="A289" s="26">
        <v>103</v>
      </c>
      <c r="B289" s="30" t="s">
        <v>138</v>
      </c>
      <c r="C289" s="27">
        <v>57</v>
      </c>
      <c r="D289" s="44"/>
      <c r="E289" s="33">
        <f>표_악몽던전템위력[[#This Row],[ancestral dropped]]/표_악몽던전템위력[[#This Row],[rare+ dropped]]</f>
        <v>0.78125</v>
      </c>
      <c r="F289" s="47">
        <f>COUNT(표_악몽던전템위력[[#This Row],[item1]:[item46]])</f>
        <v>25</v>
      </c>
      <c r="G289" s="47">
        <v>32</v>
      </c>
      <c r="H289" s="48">
        <f>AVERAGE(표_악몽던전템위력[[#This Row],[item1]:[item46]])</f>
        <v>767.44</v>
      </c>
      <c r="I289" s="26">
        <v>802</v>
      </c>
      <c r="J289" s="26">
        <v>768</v>
      </c>
      <c r="K289" s="26">
        <v>767</v>
      </c>
      <c r="L289" s="26">
        <v>766</v>
      </c>
      <c r="M289" s="26">
        <v>765</v>
      </c>
      <c r="N289" s="26">
        <v>791</v>
      </c>
      <c r="O289" s="26">
        <v>770</v>
      </c>
      <c r="P289" s="26">
        <v>753</v>
      </c>
      <c r="Q289" s="26">
        <v>750</v>
      </c>
      <c r="R289" s="26">
        <v>781</v>
      </c>
      <c r="S289" s="26">
        <v>777</v>
      </c>
      <c r="T289" s="26">
        <v>775</v>
      </c>
      <c r="U289" s="26">
        <v>774</v>
      </c>
      <c r="V289" s="26">
        <v>745</v>
      </c>
      <c r="W289" s="26">
        <v>781</v>
      </c>
      <c r="X289" s="26">
        <v>776</v>
      </c>
      <c r="Y289" s="26">
        <v>771</v>
      </c>
      <c r="Z289" s="26">
        <v>757</v>
      </c>
      <c r="AA289" s="26">
        <v>765</v>
      </c>
      <c r="AB289" s="26">
        <v>760</v>
      </c>
      <c r="AC289" s="26">
        <v>754</v>
      </c>
      <c r="AD289" s="26">
        <v>746</v>
      </c>
      <c r="AE289" s="26">
        <v>787</v>
      </c>
      <c r="AF289" s="26">
        <v>750</v>
      </c>
      <c r="AG289" s="26">
        <v>755</v>
      </c>
    </row>
    <row r="290" spans="1:38">
      <c r="A290" s="26">
        <v>103</v>
      </c>
      <c r="B290" s="30" t="s">
        <v>9</v>
      </c>
      <c r="C290" s="27">
        <v>58</v>
      </c>
      <c r="D290" s="44">
        <v>2</v>
      </c>
      <c r="E290" s="33">
        <f>표_악몽던전템위력[[#This Row],[ancestral dropped]]/표_악몽던전템위력[[#This Row],[rare+ dropped]]</f>
        <v>0.8214285714285714</v>
      </c>
      <c r="F290" s="47">
        <f>COUNT(표_악몽던전템위력[[#This Row],[item1]:[item46]])</f>
        <v>23</v>
      </c>
      <c r="G290" s="47">
        <v>28</v>
      </c>
      <c r="H290" s="48">
        <f>AVERAGE(표_악몽던전템위력[[#This Row],[item1]:[item46]])</f>
        <v>780.86956521739125</v>
      </c>
      <c r="I290" s="26">
        <v>755</v>
      </c>
      <c r="J290" s="26">
        <v>784</v>
      </c>
      <c r="K290" s="26">
        <v>780</v>
      </c>
      <c r="L290" s="26">
        <v>805</v>
      </c>
      <c r="M290" s="26">
        <v>798</v>
      </c>
      <c r="N290" s="26">
        <v>785</v>
      </c>
      <c r="O290" s="26">
        <v>770</v>
      </c>
      <c r="P290" s="26">
        <v>776</v>
      </c>
      <c r="Q290" s="26">
        <v>772</v>
      </c>
      <c r="R290" s="26">
        <v>758</v>
      </c>
      <c r="S290" s="26">
        <v>802</v>
      </c>
      <c r="T290" s="26">
        <v>786</v>
      </c>
      <c r="U290" s="26">
        <v>735</v>
      </c>
      <c r="V290" s="26">
        <v>790</v>
      </c>
      <c r="W290" s="26">
        <v>784</v>
      </c>
      <c r="X290" s="26">
        <v>783</v>
      </c>
      <c r="Y290" s="26">
        <v>788</v>
      </c>
      <c r="Z290" s="26">
        <v>771</v>
      </c>
      <c r="AA290" s="26">
        <v>770</v>
      </c>
      <c r="AB290" s="26">
        <v>802</v>
      </c>
      <c r="AC290" s="26">
        <v>793</v>
      </c>
      <c r="AD290" s="26">
        <v>787</v>
      </c>
      <c r="AE290" s="26">
        <v>786</v>
      </c>
    </row>
    <row r="291" spans="1:38">
      <c r="A291" s="26">
        <v>103</v>
      </c>
      <c r="B291" s="30" t="s">
        <v>122</v>
      </c>
      <c r="C291" s="27">
        <v>59</v>
      </c>
      <c r="D291" s="44"/>
      <c r="E291" s="33">
        <f>표_악몽던전템위력[[#This Row],[ancestral dropped]]/표_악몽던전템위력[[#This Row],[rare+ dropped]]</f>
        <v>0.74193548387096775</v>
      </c>
      <c r="F291" s="47">
        <f>COUNT(표_악몽던전템위력[[#This Row],[item1]:[item46]])</f>
        <v>23</v>
      </c>
      <c r="G291" s="47">
        <v>31</v>
      </c>
      <c r="H291" s="48">
        <f>AVERAGE(표_악몽던전템위력[[#This Row],[item1]:[item46]])</f>
        <v>770</v>
      </c>
      <c r="I291" s="26">
        <v>769</v>
      </c>
      <c r="J291" s="26">
        <v>762</v>
      </c>
      <c r="K291" s="26">
        <v>741</v>
      </c>
      <c r="L291" s="26">
        <v>763</v>
      </c>
      <c r="M291" s="26">
        <v>757</v>
      </c>
      <c r="N291" s="26">
        <v>791</v>
      </c>
      <c r="O291" s="26">
        <v>772</v>
      </c>
      <c r="P291" s="26">
        <v>765</v>
      </c>
      <c r="Q291" s="26">
        <v>758</v>
      </c>
      <c r="R291" s="26">
        <v>748</v>
      </c>
      <c r="S291" s="26">
        <v>766</v>
      </c>
      <c r="T291" s="26">
        <v>759</v>
      </c>
      <c r="U291" s="26">
        <v>734</v>
      </c>
      <c r="V291" s="26">
        <v>797</v>
      </c>
      <c r="W291" s="26">
        <v>788</v>
      </c>
      <c r="X291" s="26">
        <v>788</v>
      </c>
      <c r="Y291" s="26">
        <v>779</v>
      </c>
      <c r="Z291" s="26">
        <v>762</v>
      </c>
      <c r="AA291" s="26">
        <v>804</v>
      </c>
      <c r="AB291" s="26">
        <v>753</v>
      </c>
      <c r="AC291" s="26">
        <v>780</v>
      </c>
      <c r="AD291" s="26">
        <v>768</v>
      </c>
      <c r="AE291" s="26">
        <v>806</v>
      </c>
    </row>
    <row r="292" spans="1:38">
      <c r="A292" s="26">
        <v>103</v>
      </c>
      <c r="B292" s="30" t="s">
        <v>150</v>
      </c>
      <c r="C292" s="27">
        <v>62</v>
      </c>
      <c r="D292" s="44"/>
      <c r="E292" s="33">
        <f>표_악몽던전템위력[[#This Row],[ancestral dropped]]/표_악몽던전템위력[[#This Row],[rare+ dropped]]</f>
        <v>0.76923076923076927</v>
      </c>
      <c r="F292" s="47">
        <f>COUNT(표_악몽던전템위력[[#This Row],[item1]:[item46]])</f>
        <v>20</v>
      </c>
      <c r="G292" s="47">
        <v>26</v>
      </c>
      <c r="H292" s="48">
        <f>AVERAGE(표_악몽던전템위력[[#This Row],[item1]:[item46]])</f>
        <v>776.55</v>
      </c>
      <c r="I292" s="26">
        <v>783</v>
      </c>
      <c r="J292" s="26">
        <v>772</v>
      </c>
      <c r="K292" s="26">
        <v>782</v>
      </c>
      <c r="L292" s="26">
        <v>771</v>
      </c>
      <c r="M292" s="26">
        <v>765</v>
      </c>
      <c r="N292" s="26">
        <v>807</v>
      </c>
      <c r="O292" s="26">
        <v>786</v>
      </c>
      <c r="P292" s="26">
        <v>771</v>
      </c>
      <c r="Q292" s="26">
        <v>767</v>
      </c>
      <c r="R292" s="26">
        <v>764</v>
      </c>
      <c r="S292" s="26">
        <v>789</v>
      </c>
      <c r="T292" s="26">
        <v>785</v>
      </c>
      <c r="U292" s="26">
        <v>756</v>
      </c>
      <c r="V292" s="26">
        <v>755</v>
      </c>
      <c r="W292" s="26">
        <v>793</v>
      </c>
      <c r="X292" s="26">
        <v>794</v>
      </c>
      <c r="Y292" s="26">
        <v>791</v>
      </c>
      <c r="Z292" s="26">
        <v>785</v>
      </c>
      <c r="AA292" s="26">
        <v>755</v>
      </c>
      <c r="AB292" s="26">
        <v>760</v>
      </c>
    </row>
    <row r="293" spans="1:38">
      <c r="A293" s="26">
        <v>103</v>
      </c>
      <c r="B293" s="30" t="s">
        <v>150</v>
      </c>
      <c r="C293" s="27">
        <v>62</v>
      </c>
      <c r="D293" s="44">
        <v>1</v>
      </c>
      <c r="E293" s="33">
        <f>표_악몽던전템위력[[#This Row],[ancestral dropped]]/표_악몽던전템위력[[#This Row],[rare+ dropped]]</f>
        <v>0.7931034482758621</v>
      </c>
      <c r="F293" s="47">
        <f>COUNT(표_악몽던전템위력[[#This Row],[item1]:[item46]])</f>
        <v>23</v>
      </c>
      <c r="G293" s="47">
        <v>29</v>
      </c>
      <c r="H293" s="48">
        <f>AVERAGE(표_악몽던전템위력[[#This Row],[item1]:[item46]])</f>
        <v>773.04347826086962</v>
      </c>
      <c r="I293" s="26">
        <v>786</v>
      </c>
      <c r="J293" s="26">
        <v>756</v>
      </c>
      <c r="K293" s="26">
        <v>795</v>
      </c>
      <c r="L293" s="26">
        <v>775</v>
      </c>
      <c r="M293" s="26">
        <v>791</v>
      </c>
      <c r="N293" s="26">
        <v>759</v>
      </c>
      <c r="O293" s="26">
        <v>757</v>
      </c>
      <c r="P293" s="26">
        <v>789</v>
      </c>
      <c r="Q293" s="26">
        <v>780</v>
      </c>
      <c r="R293" s="26">
        <v>779</v>
      </c>
      <c r="S293" s="26">
        <v>779</v>
      </c>
      <c r="T293" s="26">
        <v>770</v>
      </c>
      <c r="U293" s="26">
        <v>750</v>
      </c>
      <c r="V293" s="26">
        <v>776</v>
      </c>
      <c r="W293" s="26">
        <v>765</v>
      </c>
      <c r="X293" s="26">
        <v>758</v>
      </c>
      <c r="Y293" s="26">
        <v>807</v>
      </c>
      <c r="Z293" s="26">
        <v>788</v>
      </c>
      <c r="AA293" s="26">
        <v>779</v>
      </c>
      <c r="AB293" s="26">
        <v>764</v>
      </c>
      <c r="AC293" s="26">
        <v>761</v>
      </c>
      <c r="AD293" s="26">
        <v>759</v>
      </c>
      <c r="AE293" s="26">
        <v>757</v>
      </c>
    </row>
    <row r="294" spans="1:38">
      <c r="A294" s="26">
        <v>103</v>
      </c>
      <c r="B294" s="30" t="s">
        <v>126</v>
      </c>
      <c r="C294" s="27">
        <v>58</v>
      </c>
      <c r="D294" s="44"/>
      <c r="E294" s="33">
        <f>표_악몽던전템위력[[#This Row],[ancestral dropped]]/표_악몽던전템위력[[#This Row],[rare+ dropped]]</f>
        <v>0.64</v>
      </c>
      <c r="F294" s="47">
        <f>COUNT(표_악몽던전템위력[[#This Row],[item1]:[item46]])</f>
        <v>16</v>
      </c>
      <c r="G294" s="47">
        <v>25</v>
      </c>
      <c r="H294" s="48">
        <f>AVERAGE(표_악몽던전템위력[[#This Row],[item1]:[item46]])</f>
        <v>773.875</v>
      </c>
      <c r="I294" s="26">
        <v>815</v>
      </c>
      <c r="J294" s="26">
        <v>773</v>
      </c>
      <c r="K294" s="26">
        <v>771</v>
      </c>
      <c r="L294" s="26">
        <v>761</v>
      </c>
      <c r="M294" s="26">
        <v>759</v>
      </c>
      <c r="N294" s="26">
        <v>759</v>
      </c>
      <c r="O294" s="26">
        <v>751</v>
      </c>
      <c r="P294" s="26">
        <v>812</v>
      </c>
      <c r="Q294" s="26">
        <v>801</v>
      </c>
      <c r="R294" s="26">
        <v>777</v>
      </c>
      <c r="S294" s="26">
        <v>775</v>
      </c>
      <c r="T294" s="26">
        <v>751</v>
      </c>
      <c r="U294" s="26">
        <v>738</v>
      </c>
      <c r="V294" s="26">
        <v>795</v>
      </c>
      <c r="W294" s="26">
        <v>779</v>
      </c>
      <c r="X294" s="26">
        <v>765</v>
      </c>
    </row>
    <row r="295" spans="1:38">
      <c r="A295" s="26">
        <v>103</v>
      </c>
      <c r="B295" s="30" t="s">
        <v>138</v>
      </c>
      <c r="C295" s="27">
        <v>58</v>
      </c>
      <c r="D295" s="44"/>
      <c r="E295" s="33">
        <f>표_악몽던전템위력[[#This Row],[ancestral dropped]]/표_악몽던전템위력[[#This Row],[rare+ dropped]]</f>
        <v>0.78947368421052633</v>
      </c>
      <c r="F295" s="47">
        <f>COUNT(표_악몽던전템위력[[#This Row],[item1]:[item46]])</f>
        <v>30</v>
      </c>
      <c r="G295" s="47">
        <v>38</v>
      </c>
      <c r="H295" s="48">
        <f>AVERAGE(표_악몽던전템위력[[#This Row],[item1]:[item46]])</f>
        <v>771.9</v>
      </c>
      <c r="I295" s="26">
        <v>794</v>
      </c>
      <c r="J295" s="26">
        <v>787</v>
      </c>
      <c r="K295" s="26">
        <v>775</v>
      </c>
      <c r="L295" s="26">
        <v>765</v>
      </c>
      <c r="M295" s="26">
        <v>799</v>
      </c>
      <c r="N295" s="26">
        <v>787</v>
      </c>
      <c r="O295" s="26">
        <v>756</v>
      </c>
      <c r="P295" s="26">
        <v>744</v>
      </c>
      <c r="Q295" s="26">
        <v>766</v>
      </c>
      <c r="R295" s="26">
        <v>755</v>
      </c>
      <c r="S295" s="26">
        <v>783</v>
      </c>
      <c r="T295" s="26">
        <v>774</v>
      </c>
      <c r="U295" s="26">
        <v>749</v>
      </c>
      <c r="V295" s="26">
        <v>748</v>
      </c>
      <c r="W295" s="26">
        <v>785</v>
      </c>
      <c r="X295" s="26">
        <v>779</v>
      </c>
      <c r="Y295" s="26">
        <v>776</v>
      </c>
      <c r="Z295" s="26">
        <v>772</v>
      </c>
      <c r="AA295" s="26">
        <v>775</v>
      </c>
      <c r="AB295" s="26">
        <v>753</v>
      </c>
      <c r="AC295" s="26">
        <v>782</v>
      </c>
      <c r="AD295" s="26">
        <v>758</v>
      </c>
      <c r="AE295" s="26">
        <v>804</v>
      </c>
      <c r="AF295" s="26">
        <v>802</v>
      </c>
      <c r="AG295" s="26">
        <v>782</v>
      </c>
      <c r="AH295" s="26">
        <v>753</v>
      </c>
      <c r="AI295" s="26">
        <v>788</v>
      </c>
      <c r="AJ295" s="26">
        <v>771</v>
      </c>
      <c r="AK295" s="26">
        <v>744</v>
      </c>
      <c r="AL295" s="26">
        <v>751</v>
      </c>
    </row>
    <row r="296" spans="1:38">
      <c r="A296" s="26">
        <v>103</v>
      </c>
      <c r="B296" s="30" t="s">
        <v>0</v>
      </c>
      <c r="C296" s="27">
        <v>58</v>
      </c>
      <c r="D296" s="44"/>
      <c r="E296" s="33">
        <f>표_악몽던전템위력[[#This Row],[ancestral dropped]]/표_악몽던전템위력[[#This Row],[rare+ dropped]]</f>
        <v>0.9</v>
      </c>
      <c r="F296" s="47">
        <f>COUNT(표_악몽던전템위력[[#This Row],[item1]:[item46]])</f>
        <v>18</v>
      </c>
      <c r="G296" s="47">
        <v>20</v>
      </c>
      <c r="H296" s="48">
        <f>AVERAGE(표_악몽던전템위력[[#This Row],[item1]:[item46]])</f>
        <v>772.61111111111109</v>
      </c>
      <c r="I296" s="26">
        <v>786</v>
      </c>
      <c r="J296" s="26">
        <v>757</v>
      </c>
      <c r="K296" s="26">
        <v>793</v>
      </c>
      <c r="L296" s="26">
        <v>772</v>
      </c>
      <c r="M296" s="26">
        <v>763</v>
      </c>
      <c r="N296" s="26">
        <v>763</v>
      </c>
      <c r="O296" s="26">
        <v>751</v>
      </c>
      <c r="P296" s="26">
        <v>788</v>
      </c>
      <c r="Q296" s="26">
        <v>770</v>
      </c>
      <c r="R296" s="26">
        <v>766</v>
      </c>
      <c r="S296" s="26">
        <v>794</v>
      </c>
      <c r="T296" s="26">
        <v>752</v>
      </c>
      <c r="U296" s="26">
        <v>796</v>
      </c>
      <c r="V296" s="26">
        <v>788</v>
      </c>
      <c r="W296" s="26">
        <v>782</v>
      </c>
      <c r="X296" s="26">
        <v>776</v>
      </c>
      <c r="Y296" s="26">
        <v>768</v>
      </c>
      <c r="Z296" s="26">
        <v>742</v>
      </c>
    </row>
    <row r="297" spans="1:38">
      <c r="A297" s="26">
        <v>103</v>
      </c>
      <c r="B297" s="30" t="s">
        <v>122</v>
      </c>
      <c r="C297" s="27">
        <v>58</v>
      </c>
      <c r="D297" s="44"/>
      <c r="E297" s="33">
        <f>표_악몽던전템위력[[#This Row],[ancestral dropped]]/표_악몽던전템위력[[#This Row],[rare+ dropped]]</f>
        <v>0.79166666666666663</v>
      </c>
      <c r="F297" s="47">
        <f>COUNT(표_악몽던전템위력[[#This Row],[item1]:[item46]])</f>
        <v>19</v>
      </c>
      <c r="G297" s="47">
        <v>24</v>
      </c>
      <c r="H297" s="48">
        <f>AVERAGE(표_악몽던전템위력[[#This Row],[item1]:[item46]])</f>
        <v>772.21052631578948</v>
      </c>
      <c r="I297" s="26">
        <v>771</v>
      </c>
      <c r="J297" s="26">
        <v>762</v>
      </c>
      <c r="K297" s="26">
        <v>796</v>
      </c>
      <c r="L297" s="26">
        <v>790</v>
      </c>
      <c r="M297" s="26">
        <v>781</v>
      </c>
      <c r="N297" s="26">
        <v>770</v>
      </c>
      <c r="O297" s="26">
        <v>765</v>
      </c>
      <c r="P297" s="26">
        <v>809</v>
      </c>
      <c r="Q297" s="26">
        <v>777</v>
      </c>
      <c r="R297" s="26">
        <v>772</v>
      </c>
      <c r="S297" s="26">
        <v>771</v>
      </c>
      <c r="T297" s="26">
        <v>746</v>
      </c>
      <c r="U297" s="26">
        <v>778</v>
      </c>
      <c r="V297" s="26">
        <v>761</v>
      </c>
      <c r="W297" s="26">
        <v>775</v>
      </c>
      <c r="X297" s="26">
        <v>788</v>
      </c>
      <c r="Y297" s="26">
        <v>777</v>
      </c>
      <c r="Z297" s="26">
        <v>751</v>
      </c>
      <c r="AA297" s="26">
        <v>732</v>
      </c>
    </row>
    <row r="298" spans="1:38">
      <c r="A298" s="26">
        <v>103</v>
      </c>
      <c r="B298" s="30" t="s">
        <v>126</v>
      </c>
      <c r="C298" s="27">
        <v>55</v>
      </c>
      <c r="D298" s="44"/>
      <c r="E298" s="33">
        <f>표_악몽던전템위력[[#This Row],[ancestral dropped]]/표_악몽던전템위력[[#This Row],[rare+ dropped]]</f>
        <v>0.65</v>
      </c>
      <c r="F298" s="47">
        <f>COUNT(표_악몽던전템위력[[#This Row],[item1]:[item46]])</f>
        <v>13</v>
      </c>
      <c r="G298" s="47">
        <v>20</v>
      </c>
      <c r="H298" s="48">
        <f>AVERAGE(표_악몽던전템위력[[#This Row],[item1]:[item46]])</f>
        <v>785.15384615384619</v>
      </c>
      <c r="I298" s="26">
        <v>772</v>
      </c>
      <c r="J298" s="26">
        <v>791</v>
      </c>
      <c r="K298" s="26">
        <v>802</v>
      </c>
      <c r="L298" s="26">
        <v>753</v>
      </c>
      <c r="M298" s="26">
        <v>785</v>
      </c>
      <c r="N298" s="26">
        <v>775</v>
      </c>
      <c r="O298" s="26">
        <v>814</v>
      </c>
      <c r="P298" s="26">
        <v>789</v>
      </c>
      <c r="Q298" s="26">
        <v>789</v>
      </c>
      <c r="R298" s="26">
        <v>793</v>
      </c>
      <c r="S298" s="26">
        <v>768</v>
      </c>
      <c r="T298" s="26">
        <v>798</v>
      </c>
      <c r="U298" s="26">
        <v>778</v>
      </c>
    </row>
    <row r="299" spans="1:38">
      <c r="A299" s="26">
        <v>103</v>
      </c>
      <c r="B299" s="30" t="s">
        <v>0</v>
      </c>
      <c r="C299" s="27">
        <v>55</v>
      </c>
      <c r="D299" s="44"/>
      <c r="E299" s="33">
        <f>표_악몽던전템위력[[#This Row],[ancestral dropped]]/표_악몽던전템위력[[#This Row],[rare+ dropped]]</f>
        <v>0.55555555555555558</v>
      </c>
      <c r="F299" s="47">
        <f>COUNT(표_악몽던전템위력[[#This Row],[item1]:[item46]])</f>
        <v>10</v>
      </c>
      <c r="G299" s="47">
        <v>18</v>
      </c>
      <c r="H299" s="48">
        <f>AVERAGE(표_악몽던전템위력[[#This Row],[item1]:[item46]])</f>
        <v>778</v>
      </c>
      <c r="I299" s="26">
        <v>798</v>
      </c>
      <c r="J299" s="26">
        <v>780</v>
      </c>
      <c r="K299" s="26">
        <v>764</v>
      </c>
      <c r="L299" s="26">
        <v>766</v>
      </c>
      <c r="M299" s="26">
        <v>796</v>
      </c>
      <c r="N299" s="26">
        <v>758</v>
      </c>
      <c r="O299" s="26">
        <v>804</v>
      </c>
      <c r="P299" s="26">
        <v>786</v>
      </c>
      <c r="Q299" s="26">
        <v>745</v>
      </c>
      <c r="R299" s="26">
        <v>783</v>
      </c>
    </row>
    <row r="300" spans="1:38">
      <c r="A300" s="26">
        <v>103</v>
      </c>
      <c r="B300" s="30" t="s">
        <v>121</v>
      </c>
      <c r="C300" s="27">
        <v>55</v>
      </c>
      <c r="D300" s="44"/>
      <c r="E300" s="33">
        <f>표_악몽던전템위력[[#This Row],[ancestral dropped]]/표_악몽던전템위력[[#This Row],[rare+ dropped]]</f>
        <v>0.76190476190476186</v>
      </c>
      <c r="F300" s="47">
        <f>COUNT(표_악몽던전템위력[[#This Row],[item1]:[item46]])</f>
        <v>16</v>
      </c>
      <c r="G300" s="47">
        <v>21</v>
      </c>
      <c r="H300" s="48">
        <f>AVERAGE(표_악몽던전템위력[[#This Row],[item1]:[item46]])</f>
        <v>768.5625</v>
      </c>
      <c r="I300" s="26">
        <v>788</v>
      </c>
      <c r="J300" s="26">
        <v>742</v>
      </c>
      <c r="K300" s="26">
        <v>770</v>
      </c>
      <c r="L300" s="26">
        <v>796</v>
      </c>
      <c r="M300" s="26">
        <v>782</v>
      </c>
      <c r="N300" s="26">
        <v>758</v>
      </c>
      <c r="O300" s="26">
        <v>739</v>
      </c>
      <c r="P300" s="26">
        <v>764</v>
      </c>
      <c r="Q300" s="26">
        <v>751</v>
      </c>
      <c r="R300" s="26">
        <v>796</v>
      </c>
      <c r="S300" s="26">
        <v>776</v>
      </c>
      <c r="T300" s="26">
        <v>775</v>
      </c>
      <c r="U300" s="26">
        <v>765</v>
      </c>
      <c r="V300" s="26">
        <v>745</v>
      </c>
      <c r="W300" s="26">
        <v>793</v>
      </c>
      <c r="X300" s="26">
        <v>757</v>
      </c>
    </row>
    <row r="301" spans="1:38">
      <c r="A301" s="26">
        <v>103</v>
      </c>
      <c r="B301" s="30" t="s">
        <v>185</v>
      </c>
      <c r="C301" s="27">
        <v>54</v>
      </c>
      <c r="D301" s="44"/>
      <c r="E301" s="33">
        <f>표_악몽던전템위력[[#This Row],[ancestral dropped]]/표_악몽던전템위력[[#This Row],[rare+ dropped]]</f>
        <v>0.65384615384615385</v>
      </c>
      <c r="F301" s="47">
        <f>COUNT(표_악몽던전템위력[[#This Row],[item1]:[item46]])</f>
        <v>17</v>
      </c>
      <c r="G301" s="47">
        <v>26</v>
      </c>
      <c r="H301" s="48">
        <f>AVERAGE(표_악몽던전템위력[[#This Row],[item1]:[item46]])</f>
        <v>777.58823529411768</v>
      </c>
      <c r="I301" s="26">
        <v>793</v>
      </c>
      <c r="J301" s="26">
        <v>773</v>
      </c>
      <c r="K301" s="26">
        <v>793</v>
      </c>
      <c r="L301" s="26">
        <v>777</v>
      </c>
      <c r="M301" s="26">
        <v>758</v>
      </c>
      <c r="N301" s="26">
        <v>755</v>
      </c>
      <c r="O301" s="26">
        <v>737</v>
      </c>
      <c r="P301" s="26">
        <v>809</v>
      </c>
      <c r="Q301" s="26">
        <v>802</v>
      </c>
      <c r="R301" s="26">
        <v>762</v>
      </c>
      <c r="S301" s="26">
        <v>789</v>
      </c>
      <c r="T301" s="26">
        <v>781</v>
      </c>
      <c r="U301" s="26">
        <v>751</v>
      </c>
      <c r="V301" s="26">
        <v>789</v>
      </c>
      <c r="W301" s="26">
        <v>789</v>
      </c>
      <c r="X301" s="26">
        <v>788</v>
      </c>
      <c r="Y301" s="26">
        <v>773</v>
      </c>
    </row>
    <row r="302" spans="1:38">
      <c r="A302" s="26">
        <v>103</v>
      </c>
      <c r="B302" s="30" t="s">
        <v>123</v>
      </c>
      <c r="C302" s="27">
        <v>53</v>
      </c>
      <c r="D302" s="44"/>
      <c r="E302" s="33">
        <f>표_악몽던전템위력[[#This Row],[ancestral dropped]]/표_악몽던전템위력[[#This Row],[rare+ dropped]]</f>
        <v>0.70588235294117652</v>
      </c>
      <c r="F302" s="47">
        <f>COUNT(표_악몽던전템위력[[#This Row],[item1]:[item46]])</f>
        <v>24</v>
      </c>
      <c r="G302" s="47">
        <v>34</v>
      </c>
      <c r="H302" s="48">
        <f>AVERAGE(표_악몽던전템위력[[#This Row],[item1]:[item46]])</f>
        <v>778.125</v>
      </c>
      <c r="I302" s="26">
        <v>788</v>
      </c>
      <c r="J302" s="26">
        <v>759</v>
      </c>
      <c r="K302" s="26">
        <v>803</v>
      </c>
      <c r="L302" s="26">
        <v>797</v>
      </c>
      <c r="M302" s="26">
        <v>761</v>
      </c>
      <c r="N302" s="26">
        <v>787</v>
      </c>
      <c r="O302" s="26">
        <v>799</v>
      </c>
      <c r="P302" s="26">
        <v>793</v>
      </c>
      <c r="Q302" s="26">
        <v>786</v>
      </c>
      <c r="R302" s="26">
        <v>779</v>
      </c>
      <c r="S302" s="26">
        <v>779</v>
      </c>
      <c r="T302" s="26">
        <v>772</v>
      </c>
      <c r="U302" s="26">
        <v>759</v>
      </c>
      <c r="V302" s="26">
        <v>803</v>
      </c>
      <c r="W302" s="26">
        <v>784</v>
      </c>
      <c r="X302" s="26">
        <v>767</v>
      </c>
      <c r="Y302" s="26">
        <v>752</v>
      </c>
      <c r="Z302" s="26">
        <v>749</v>
      </c>
      <c r="AA302" s="26">
        <v>797</v>
      </c>
      <c r="AB302" s="26">
        <v>766</v>
      </c>
      <c r="AC302" s="26">
        <v>789</v>
      </c>
      <c r="AD302" s="26">
        <v>782</v>
      </c>
      <c r="AE302" s="26">
        <v>766</v>
      </c>
      <c r="AF302" s="26">
        <v>758</v>
      </c>
    </row>
    <row r="303" spans="1:38">
      <c r="A303" s="26">
        <v>103</v>
      </c>
      <c r="B303" s="30" t="s">
        <v>131</v>
      </c>
      <c r="C303" s="27">
        <v>55</v>
      </c>
      <c r="D303" s="44"/>
      <c r="E303" s="33">
        <f>표_악몽던전템위력[[#This Row],[ancestral dropped]]/표_악몽던전템위력[[#This Row],[rare+ dropped]]</f>
        <v>0.90909090909090906</v>
      </c>
      <c r="F303" s="47">
        <f>COUNT(표_악몽던전템위력[[#This Row],[item1]:[item46]])</f>
        <v>10</v>
      </c>
      <c r="G303" s="47">
        <v>11</v>
      </c>
      <c r="H303" s="48">
        <f>AVERAGE(표_악몽던전템위력[[#This Row],[item1]:[item46]])</f>
        <v>773.5</v>
      </c>
      <c r="I303" s="26">
        <v>780</v>
      </c>
      <c r="J303" s="26">
        <v>771</v>
      </c>
      <c r="K303" s="26">
        <v>789</v>
      </c>
      <c r="L303" s="26">
        <v>763</v>
      </c>
      <c r="M303" s="26">
        <v>759</v>
      </c>
      <c r="N303" s="26">
        <v>744</v>
      </c>
      <c r="O303" s="26">
        <v>802</v>
      </c>
      <c r="P303" s="26">
        <v>772</v>
      </c>
      <c r="Q303" s="26">
        <v>778</v>
      </c>
      <c r="R303" s="26">
        <v>777</v>
      </c>
    </row>
    <row r="304" spans="1:38">
      <c r="A304" s="26">
        <v>103</v>
      </c>
      <c r="B304" s="30" t="s">
        <v>150</v>
      </c>
      <c r="C304" s="27">
        <v>58</v>
      </c>
      <c r="D304" s="44"/>
      <c r="E304" s="33">
        <f>표_악몽던전템위력[[#This Row],[ancestral dropped]]/표_악몽던전템위력[[#This Row],[rare+ dropped]]</f>
        <v>0.9285714285714286</v>
      </c>
      <c r="F304" s="47">
        <f>COUNT(표_악몽던전템위력[[#This Row],[item1]:[item46]])</f>
        <v>26</v>
      </c>
      <c r="G304" s="47">
        <v>28</v>
      </c>
      <c r="H304" s="48">
        <f>AVERAGE(표_악몽던전템위력[[#This Row],[item1]:[item46]])</f>
        <v>774.76923076923072</v>
      </c>
      <c r="I304" s="26">
        <v>781</v>
      </c>
      <c r="J304" s="26">
        <v>776</v>
      </c>
      <c r="K304" s="26">
        <v>751</v>
      </c>
      <c r="L304" s="26">
        <v>783</v>
      </c>
      <c r="M304" s="26">
        <v>772</v>
      </c>
      <c r="N304" s="26">
        <v>757</v>
      </c>
      <c r="O304" s="26">
        <v>808</v>
      </c>
      <c r="P304" s="26">
        <v>802</v>
      </c>
      <c r="Q304" s="26">
        <v>793</v>
      </c>
      <c r="R304" s="26">
        <v>792</v>
      </c>
      <c r="S304" s="26">
        <v>768</v>
      </c>
      <c r="T304" s="26">
        <v>766</v>
      </c>
      <c r="U304" s="26">
        <v>764</v>
      </c>
      <c r="V304" s="26">
        <v>757</v>
      </c>
      <c r="W304" s="26">
        <v>742</v>
      </c>
      <c r="X304" s="26">
        <v>792</v>
      </c>
      <c r="Y304" s="26">
        <v>792</v>
      </c>
      <c r="Z304" s="26">
        <v>804</v>
      </c>
      <c r="AA304" s="26">
        <v>787</v>
      </c>
      <c r="AB304" s="26">
        <v>782</v>
      </c>
      <c r="AC304" s="26">
        <v>767</v>
      </c>
      <c r="AD304" s="26">
        <v>797</v>
      </c>
      <c r="AE304" s="26">
        <v>761</v>
      </c>
      <c r="AF304" s="26">
        <v>758</v>
      </c>
      <c r="AG304" s="26">
        <v>756</v>
      </c>
      <c r="AH304" s="26">
        <v>736</v>
      </c>
    </row>
    <row r="305" spans="1:43">
      <c r="A305" s="26">
        <v>103</v>
      </c>
      <c r="B305" s="30" t="s">
        <v>150</v>
      </c>
      <c r="C305" s="27">
        <v>59</v>
      </c>
      <c r="D305" s="44"/>
      <c r="E305" s="33">
        <f>표_악몽던전템위력[[#This Row],[ancestral dropped]]/표_악몽던전템위력[[#This Row],[rare+ dropped]]</f>
        <v>0.84</v>
      </c>
      <c r="F305" s="47">
        <f>COUNT(표_악몽던전템위력[[#This Row],[item1]:[item46]])</f>
        <v>21</v>
      </c>
      <c r="G305" s="47">
        <v>25</v>
      </c>
      <c r="H305" s="48">
        <f>AVERAGE(표_악몽던전템위력[[#This Row],[item1]:[item46]])</f>
        <v>774.23809523809518</v>
      </c>
      <c r="I305" s="26">
        <v>776</v>
      </c>
      <c r="J305" s="26">
        <v>775</v>
      </c>
      <c r="K305" s="26">
        <v>770</v>
      </c>
      <c r="L305" s="26">
        <v>770</v>
      </c>
      <c r="M305" s="26">
        <v>780</v>
      </c>
      <c r="N305" s="26">
        <v>751</v>
      </c>
      <c r="O305" s="26">
        <v>790</v>
      </c>
      <c r="P305" s="26">
        <v>771</v>
      </c>
      <c r="Q305" s="26">
        <v>768</v>
      </c>
      <c r="R305" s="26">
        <v>764</v>
      </c>
      <c r="S305" s="26">
        <v>763</v>
      </c>
      <c r="T305" s="26">
        <v>751</v>
      </c>
      <c r="U305" s="26">
        <v>798</v>
      </c>
      <c r="V305" s="26">
        <v>780</v>
      </c>
      <c r="W305" s="26">
        <v>760</v>
      </c>
      <c r="X305" s="26">
        <v>802</v>
      </c>
      <c r="Y305" s="26">
        <v>780</v>
      </c>
      <c r="Z305" s="26">
        <v>740</v>
      </c>
      <c r="AA305" s="26">
        <v>796</v>
      </c>
      <c r="AB305" s="26">
        <v>793</v>
      </c>
      <c r="AC305" s="26">
        <v>781</v>
      </c>
    </row>
    <row r="306" spans="1:43">
      <c r="A306" s="26">
        <v>103</v>
      </c>
      <c r="B306" s="30" t="s">
        <v>151</v>
      </c>
      <c r="C306" s="27">
        <v>52</v>
      </c>
      <c r="D306" s="44"/>
      <c r="E306" s="33">
        <f>표_악몽던전템위력[[#This Row],[ancestral dropped]]/표_악몽던전템위력[[#This Row],[rare+ dropped]]</f>
        <v>0.6428571428571429</v>
      </c>
      <c r="F306" s="47">
        <f>COUNT(표_악몽던전템위력[[#This Row],[item1]:[item46]])</f>
        <v>18</v>
      </c>
      <c r="G306" s="47">
        <v>28</v>
      </c>
      <c r="H306" s="48">
        <f>AVERAGE(표_악몽던전템위력[[#This Row],[item1]:[item46]])</f>
        <v>774.22222222222217</v>
      </c>
      <c r="I306" s="26">
        <v>795</v>
      </c>
      <c r="J306" s="26">
        <v>782</v>
      </c>
      <c r="K306" s="26">
        <v>790</v>
      </c>
      <c r="L306" s="26">
        <v>766</v>
      </c>
      <c r="M306" s="26">
        <v>759</v>
      </c>
      <c r="N306" s="26">
        <v>790</v>
      </c>
      <c r="O306" s="26">
        <v>774</v>
      </c>
      <c r="P306" s="26">
        <v>768</v>
      </c>
      <c r="Q306" s="26">
        <v>768</v>
      </c>
      <c r="R306" s="26">
        <v>759</v>
      </c>
      <c r="S306" s="26">
        <v>752</v>
      </c>
      <c r="T306" s="26">
        <v>730</v>
      </c>
      <c r="U306" s="26">
        <v>784</v>
      </c>
      <c r="V306" s="26">
        <v>793</v>
      </c>
      <c r="W306" s="26">
        <v>790</v>
      </c>
      <c r="X306" s="26">
        <v>785</v>
      </c>
      <c r="Y306" s="26">
        <v>759</v>
      </c>
      <c r="Z306" s="26">
        <v>792</v>
      </c>
    </row>
    <row r="307" spans="1:43">
      <c r="A307" s="26">
        <v>103</v>
      </c>
      <c r="B307" s="30" t="s">
        <v>120</v>
      </c>
      <c r="C307" s="27">
        <v>52</v>
      </c>
      <c r="D307" s="44"/>
      <c r="E307" s="33">
        <f>표_악몽던전템위력[[#This Row],[ancestral dropped]]/표_악몽던전템위력[[#This Row],[rare+ dropped]]</f>
        <v>0.76923076923076927</v>
      </c>
      <c r="F307" s="47">
        <f>COUNT(표_악몽던전템위력[[#This Row],[item1]:[item46]])</f>
        <v>10</v>
      </c>
      <c r="G307" s="47">
        <v>13</v>
      </c>
      <c r="H307" s="48">
        <f>AVERAGE(표_악몽던전템위력[[#This Row],[item1]:[item46]])</f>
        <v>769.5</v>
      </c>
      <c r="I307" s="26">
        <v>782</v>
      </c>
      <c r="J307" s="26">
        <v>788</v>
      </c>
      <c r="K307" s="26">
        <v>766</v>
      </c>
      <c r="L307" s="26">
        <v>763</v>
      </c>
      <c r="M307" s="26">
        <v>742</v>
      </c>
      <c r="N307" s="26">
        <v>793</v>
      </c>
      <c r="O307" s="26">
        <v>762</v>
      </c>
      <c r="P307" s="26">
        <v>770</v>
      </c>
      <c r="Q307" s="26">
        <v>762</v>
      </c>
      <c r="R307" s="26">
        <v>767</v>
      </c>
    </row>
    <row r="308" spans="1:43">
      <c r="A308" s="26">
        <v>103</v>
      </c>
      <c r="B308" s="30" t="s">
        <v>122</v>
      </c>
      <c r="C308" s="27">
        <v>60</v>
      </c>
      <c r="D308" s="44"/>
      <c r="E308" s="33">
        <f>표_악몽던전템위력[[#This Row],[ancestral dropped]]/표_악몽던전템위력[[#This Row],[rare+ dropped]]</f>
        <v>0.79069767441860461</v>
      </c>
      <c r="F308" s="47">
        <f>COUNT(표_악몽던전템위력[[#This Row],[item1]:[item46]])</f>
        <v>34</v>
      </c>
      <c r="G308" s="47">
        <v>43</v>
      </c>
      <c r="H308" s="48">
        <f>AVERAGE(표_악몽던전템위력[[#This Row],[item1]:[item46]])</f>
        <v>770.29411764705878</v>
      </c>
      <c r="I308" s="26">
        <v>800</v>
      </c>
      <c r="J308" s="26">
        <v>764</v>
      </c>
      <c r="K308" s="26">
        <v>753</v>
      </c>
      <c r="L308" s="26">
        <v>758</v>
      </c>
      <c r="M308" s="26">
        <v>786</v>
      </c>
      <c r="N308" s="26">
        <v>781</v>
      </c>
      <c r="O308" s="26">
        <v>778</v>
      </c>
      <c r="P308" s="26">
        <v>755</v>
      </c>
      <c r="Q308" s="26">
        <v>771</v>
      </c>
      <c r="R308" s="26">
        <v>762</v>
      </c>
      <c r="S308" s="26">
        <v>762</v>
      </c>
      <c r="T308" s="26">
        <v>759</v>
      </c>
      <c r="U308" s="26">
        <v>776</v>
      </c>
      <c r="V308" s="26">
        <v>752</v>
      </c>
      <c r="W308" s="26">
        <v>815</v>
      </c>
      <c r="X308" s="26">
        <v>782</v>
      </c>
      <c r="Y308" s="26">
        <v>766</v>
      </c>
      <c r="Z308" s="26">
        <v>790</v>
      </c>
      <c r="AA308" s="26">
        <v>758</v>
      </c>
      <c r="AB308" s="26">
        <v>748</v>
      </c>
      <c r="AC308" s="26">
        <v>745</v>
      </c>
      <c r="AD308" s="26">
        <v>785</v>
      </c>
      <c r="AE308" s="26">
        <v>780</v>
      </c>
      <c r="AF308" s="26">
        <v>789</v>
      </c>
      <c r="AG308" s="26">
        <v>773</v>
      </c>
      <c r="AH308" s="26">
        <v>744</v>
      </c>
      <c r="AI308" s="26">
        <v>741</v>
      </c>
      <c r="AJ308" s="26">
        <v>786</v>
      </c>
      <c r="AK308" s="26">
        <v>766</v>
      </c>
      <c r="AL308" s="26">
        <v>776</v>
      </c>
      <c r="AM308" s="26">
        <v>774</v>
      </c>
      <c r="AN308" s="26">
        <v>778</v>
      </c>
      <c r="AO308" s="26">
        <v>773</v>
      </c>
      <c r="AP308" s="26">
        <v>764</v>
      </c>
    </row>
    <row r="309" spans="1:43">
      <c r="A309" s="26">
        <v>103</v>
      </c>
      <c r="B309" s="30" t="s">
        <v>123</v>
      </c>
      <c r="C309" s="27">
        <v>61</v>
      </c>
      <c r="D309" s="44"/>
      <c r="E309" s="33">
        <f>표_악몽던전템위력[[#This Row],[ancestral dropped]]/표_악몽던전템위력[[#This Row],[rare+ dropped]]</f>
        <v>0.82758620689655171</v>
      </c>
      <c r="F309" s="47">
        <f>COUNT(표_악몽던전템위력[[#This Row],[item1]:[item46]])</f>
        <v>24</v>
      </c>
      <c r="G309" s="47">
        <v>29</v>
      </c>
      <c r="H309" s="48">
        <f>AVERAGE(표_악몽던전템위력[[#This Row],[item1]:[item46]])</f>
        <v>769.79166666666663</v>
      </c>
      <c r="I309" s="26">
        <v>794</v>
      </c>
      <c r="J309" s="26">
        <v>767</v>
      </c>
      <c r="K309" s="26">
        <v>765</v>
      </c>
      <c r="L309" s="26">
        <v>763</v>
      </c>
      <c r="M309" s="26">
        <v>755</v>
      </c>
      <c r="N309" s="26">
        <v>756</v>
      </c>
      <c r="O309" s="26">
        <v>745</v>
      </c>
      <c r="P309" s="26">
        <v>805</v>
      </c>
      <c r="Q309" s="26">
        <v>798</v>
      </c>
      <c r="R309" s="26">
        <v>782</v>
      </c>
      <c r="S309" s="26">
        <v>810</v>
      </c>
      <c r="T309" s="26">
        <v>774</v>
      </c>
      <c r="U309" s="26">
        <v>763</v>
      </c>
      <c r="V309" s="26">
        <v>756</v>
      </c>
      <c r="W309" s="26">
        <v>770</v>
      </c>
      <c r="X309" s="26">
        <v>734</v>
      </c>
      <c r="Y309" s="26">
        <v>810</v>
      </c>
      <c r="Z309" s="26">
        <v>769</v>
      </c>
      <c r="AA309" s="26">
        <v>761</v>
      </c>
      <c r="AB309" s="26">
        <v>751</v>
      </c>
      <c r="AC309" s="26">
        <v>786</v>
      </c>
      <c r="AD309" s="26">
        <v>751</v>
      </c>
      <c r="AE309" s="26">
        <v>759</v>
      </c>
      <c r="AF309" s="26">
        <v>751</v>
      </c>
    </row>
    <row r="310" spans="1:43">
      <c r="A310" s="26">
        <v>103</v>
      </c>
      <c r="B310" s="30" t="s">
        <v>71</v>
      </c>
      <c r="C310" s="27">
        <v>61</v>
      </c>
      <c r="D310" s="44"/>
      <c r="E310" s="33">
        <f>표_악몽던전템위력[[#This Row],[ancestral dropped]]/표_악몽던전템위력[[#This Row],[rare+ dropped]]</f>
        <v>0.89473684210526316</v>
      </c>
      <c r="F310" s="47">
        <f>COUNT(표_악몽던전템위력[[#This Row],[item1]:[item46]])</f>
        <v>17</v>
      </c>
      <c r="G310" s="47">
        <v>19</v>
      </c>
      <c r="H310" s="48">
        <f>AVERAGE(표_악몽던전템위력[[#This Row],[item1]:[item46]])</f>
        <v>769.82352941176475</v>
      </c>
      <c r="I310" s="26">
        <v>750</v>
      </c>
      <c r="J310" s="26">
        <v>742</v>
      </c>
      <c r="K310" s="26">
        <v>780</v>
      </c>
      <c r="L310" s="26">
        <v>775</v>
      </c>
      <c r="M310" s="26">
        <v>762</v>
      </c>
      <c r="N310" s="26">
        <v>759</v>
      </c>
      <c r="O310" s="26">
        <v>788</v>
      </c>
      <c r="P310" s="26">
        <v>786</v>
      </c>
      <c r="Q310" s="26">
        <v>758</v>
      </c>
      <c r="R310" s="26">
        <v>743</v>
      </c>
      <c r="S310" s="26">
        <v>779</v>
      </c>
      <c r="T310" s="26">
        <v>778</v>
      </c>
      <c r="U310" s="26">
        <v>772</v>
      </c>
      <c r="V310" s="26">
        <v>778</v>
      </c>
      <c r="W310" s="26">
        <v>767</v>
      </c>
      <c r="X310" s="26">
        <v>798</v>
      </c>
      <c r="Y310" s="26">
        <v>772</v>
      </c>
    </row>
    <row r="311" spans="1:43">
      <c r="A311" s="26">
        <v>103</v>
      </c>
      <c r="B311" s="30" t="s">
        <v>28</v>
      </c>
      <c r="C311" s="27">
        <v>61</v>
      </c>
      <c r="D311" s="44"/>
      <c r="E311" s="33">
        <f>표_악몽던전템위력[[#This Row],[ancestral dropped]]/표_악몽던전템위력[[#This Row],[rare+ dropped]]</f>
        <v>0.88888888888888884</v>
      </c>
      <c r="F311" s="47">
        <f>COUNT(표_악몽던전템위력[[#This Row],[item1]:[item46]])</f>
        <v>24</v>
      </c>
      <c r="G311" s="47">
        <v>27</v>
      </c>
      <c r="H311" s="48">
        <f>AVERAGE(표_악몽던전템위력[[#This Row],[item1]:[item46]])</f>
        <v>776.25</v>
      </c>
      <c r="I311" s="26">
        <v>799</v>
      </c>
      <c r="J311" s="26">
        <v>793</v>
      </c>
      <c r="K311" s="26">
        <v>777</v>
      </c>
      <c r="L311" s="26">
        <v>773</v>
      </c>
      <c r="M311" s="26">
        <v>765</v>
      </c>
      <c r="N311" s="26">
        <v>770</v>
      </c>
      <c r="O311" s="26">
        <v>795</v>
      </c>
      <c r="P311" s="26">
        <v>777</v>
      </c>
      <c r="Q311" s="26">
        <v>776</v>
      </c>
      <c r="R311" s="26">
        <v>775</v>
      </c>
      <c r="S311" s="26">
        <v>739</v>
      </c>
      <c r="T311" s="26">
        <v>790</v>
      </c>
      <c r="U311" s="26">
        <v>790</v>
      </c>
      <c r="V311" s="26">
        <v>781</v>
      </c>
      <c r="W311" s="26">
        <v>765</v>
      </c>
      <c r="X311" s="26">
        <v>741</v>
      </c>
      <c r="Y311" s="26">
        <v>779</v>
      </c>
      <c r="Z311" s="26">
        <v>805</v>
      </c>
      <c r="AA311" s="26">
        <v>797</v>
      </c>
      <c r="AB311" s="26">
        <v>772</v>
      </c>
      <c r="AC311" s="26">
        <v>770</v>
      </c>
      <c r="AD311" s="26">
        <v>770</v>
      </c>
      <c r="AE311" s="26">
        <v>793</v>
      </c>
      <c r="AF311" s="26">
        <v>738</v>
      </c>
    </row>
    <row r="312" spans="1:43">
      <c r="A312" s="26">
        <v>103</v>
      </c>
      <c r="B312" s="30" t="s">
        <v>28</v>
      </c>
      <c r="C312" s="27">
        <v>62</v>
      </c>
      <c r="D312" s="44"/>
      <c r="E312" s="33">
        <f>표_악몽던전템위력[[#This Row],[ancestral dropped]]/표_악몽던전템위력[[#This Row],[rare+ dropped]]</f>
        <v>0.55555555555555558</v>
      </c>
      <c r="F312" s="47">
        <f>COUNT(표_악몽던전템위력[[#This Row],[item1]:[item46]])</f>
        <v>5</v>
      </c>
      <c r="G312" s="47">
        <v>9</v>
      </c>
      <c r="H312" s="48">
        <f>AVERAGE(표_악몽던전템위력[[#This Row],[item1]:[item46]])</f>
        <v>776.2</v>
      </c>
      <c r="I312" s="26">
        <v>788</v>
      </c>
      <c r="J312" s="26">
        <v>785</v>
      </c>
      <c r="K312" s="26">
        <v>776</v>
      </c>
      <c r="L312" s="26">
        <v>757</v>
      </c>
      <c r="M312" s="26">
        <v>775</v>
      </c>
    </row>
    <row r="313" spans="1:43">
      <c r="A313" s="26">
        <v>103</v>
      </c>
      <c r="B313" s="30" t="s">
        <v>159</v>
      </c>
      <c r="C313" s="27">
        <v>62</v>
      </c>
      <c r="D313" s="44"/>
      <c r="E313" s="33">
        <f>표_악몽던전템위력[[#This Row],[ancestral dropped]]/표_악몽던전템위력[[#This Row],[rare+ dropped]]</f>
        <v>0.875</v>
      </c>
      <c r="F313" s="47">
        <f>COUNT(표_악몽던전템위력[[#This Row],[item1]:[item46]])</f>
        <v>21</v>
      </c>
      <c r="G313" s="47">
        <v>24</v>
      </c>
      <c r="H313" s="48">
        <f>AVERAGE(표_악몽던전템위력[[#This Row],[item1]:[item46]])</f>
        <v>777.71428571428567</v>
      </c>
      <c r="I313" s="26">
        <v>792</v>
      </c>
      <c r="J313" s="26">
        <v>773</v>
      </c>
      <c r="K313" s="26">
        <v>763</v>
      </c>
      <c r="L313" s="26">
        <v>803</v>
      </c>
      <c r="M313" s="26">
        <v>778</v>
      </c>
      <c r="N313" s="26">
        <v>782</v>
      </c>
      <c r="O313" s="26">
        <v>745</v>
      </c>
      <c r="P313" s="26">
        <v>796</v>
      </c>
      <c r="Q313" s="26">
        <v>779</v>
      </c>
      <c r="R313" s="26">
        <v>767</v>
      </c>
      <c r="S313" s="26">
        <v>797</v>
      </c>
      <c r="T313" s="26">
        <v>779</v>
      </c>
      <c r="U313" s="26">
        <v>766</v>
      </c>
      <c r="V313" s="26">
        <v>803</v>
      </c>
      <c r="W313" s="26">
        <v>793</v>
      </c>
      <c r="X313" s="26">
        <v>783</v>
      </c>
      <c r="Y313" s="26">
        <v>744</v>
      </c>
      <c r="Z313" s="26">
        <v>787</v>
      </c>
      <c r="AA313" s="26">
        <v>772</v>
      </c>
      <c r="AB313" s="26">
        <v>769</v>
      </c>
      <c r="AC313" s="26">
        <v>761</v>
      </c>
    </row>
    <row r="314" spans="1:43">
      <c r="A314" s="26">
        <v>103</v>
      </c>
      <c r="B314" s="30" t="s">
        <v>71</v>
      </c>
      <c r="C314" s="27">
        <v>62</v>
      </c>
      <c r="D314" s="44"/>
      <c r="E314" s="33">
        <f>표_악몽던전템위력[[#This Row],[ancestral dropped]]/표_악몽던전템위력[[#This Row],[rare+ dropped]]</f>
        <v>0.76470588235294112</v>
      </c>
      <c r="F314" s="47">
        <f>COUNT(표_악몽던전템위력[[#This Row],[item1]:[item46]])</f>
        <v>13</v>
      </c>
      <c r="G314" s="47">
        <v>17</v>
      </c>
      <c r="H314" s="48">
        <f>AVERAGE(표_악몽던전템위력[[#This Row],[item1]:[item46]])</f>
        <v>770.23076923076928</v>
      </c>
      <c r="I314" s="26">
        <v>776</v>
      </c>
      <c r="J314" s="26">
        <v>760</v>
      </c>
      <c r="K314" s="26">
        <v>776</v>
      </c>
      <c r="L314" s="26">
        <v>790</v>
      </c>
      <c r="M314" s="26">
        <v>763</v>
      </c>
      <c r="N314" s="26">
        <v>744</v>
      </c>
      <c r="O314" s="26">
        <v>794</v>
      </c>
      <c r="P314" s="26">
        <v>792</v>
      </c>
      <c r="Q314" s="26">
        <v>787</v>
      </c>
      <c r="R314" s="26">
        <v>772</v>
      </c>
      <c r="S314" s="26">
        <v>752</v>
      </c>
      <c r="T314" s="26">
        <v>771</v>
      </c>
      <c r="U314" s="26">
        <v>736</v>
      </c>
    </row>
    <row r="315" spans="1:43">
      <c r="A315" s="26">
        <v>103</v>
      </c>
      <c r="B315" s="30" t="s">
        <v>122</v>
      </c>
      <c r="C315" s="27">
        <v>63</v>
      </c>
      <c r="D315" s="44"/>
      <c r="E315" s="33">
        <f>표_악몽던전템위력[[#This Row],[ancestral dropped]]/표_악몽던전템위력[[#This Row],[rare+ dropped]]</f>
        <v>0.8666666666666667</v>
      </c>
      <c r="F315" s="47">
        <f>COUNT(표_악몽던전템위력[[#This Row],[item1]:[item46]])</f>
        <v>26</v>
      </c>
      <c r="G315" s="47">
        <v>30</v>
      </c>
      <c r="H315" s="48">
        <f>AVERAGE(표_악몽던전템위력[[#This Row],[item1]:[item46]])</f>
        <v>773.42307692307691</v>
      </c>
      <c r="I315" s="26">
        <v>791</v>
      </c>
      <c r="J315" s="26">
        <v>775</v>
      </c>
      <c r="K315" s="26">
        <v>802</v>
      </c>
      <c r="L315" s="26">
        <v>785</v>
      </c>
      <c r="M315" s="26">
        <v>775</v>
      </c>
      <c r="N315" s="26">
        <v>740</v>
      </c>
      <c r="O315" s="26">
        <v>784</v>
      </c>
      <c r="P315" s="26">
        <v>784</v>
      </c>
      <c r="Q315" s="26">
        <v>783</v>
      </c>
      <c r="R315" s="26">
        <v>782</v>
      </c>
      <c r="S315" s="26">
        <v>755</v>
      </c>
      <c r="T315" s="26">
        <v>743</v>
      </c>
      <c r="U315" s="26">
        <v>766</v>
      </c>
      <c r="V315" s="26">
        <v>806</v>
      </c>
      <c r="W315" s="26">
        <v>793</v>
      </c>
      <c r="X315" s="26">
        <v>772</v>
      </c>
      <c r="Y315" s="26">
        <v>769</v>
      </c>
      <c r="Z315" s="26">
        <v>765</v>
      </c>
      <c r="AA315" s="26">
        <v>746</v>
      </c>
      <c r="AB315" s="26">
        <v>741</v>
      </c>
      <c r="AC315" s="26">
        <v>727</v>
      </c>
      <c r="AD315" s="26">
        <v>794</v>
      </c>
      <c r="AE315" s="26">
        <v>772</v>
      </c>
      <c r="AF315" s="26">
        <v>768</v>
      </c>
      <c r="AG315" s="26">
        <v>802</v>
      </c>
      <c r="AH315" s="26">
        <v>789</v>
      </c>
    </row>
    <row r="316" spans="1:43">
      <c r="A316" s="26">
        <v>103</v>
      </c>
      <c r="B316" s="30" t="s">
        <v>0</v>
      </c>
      <c r="C316" s="27">
        <v>65</v>
      </c>
      <c r="D316" s="44"/>
      <c r="E316" s="33">
        <f>표_악몽던전템위력[[#This Row],[ancestral dropped]]/표_악몽던전템위력[[#This Row],[rare+ dropped]]</f>
        <v>0.89655172413793105</v>
      </c>
      <c r="F316" s="47">
        <f>COUNT(표_악몽던전템위력[[#This Row],[item1]:[item46]])</f>
        <v>26</v>
      </c>
      <c r="G316" s="47">
        <v>29</v>
      </c>
      <c r="H316" s="48">
        <f>AVERAGE(표_악몽던전템위력[[#This Row],[item1]:[item46]])</f>
        <v>766</v>
      </c>
      <c r="I316" s="26">
        <v>759</v>
      </c>
      <c r="J316" s="26">
        <v>742</v>
      </c>
      <c r="K316" s="26">
        <v>791</v>
      </c>
      <c r="L316" s="26">
        <v>781</v>
      </c>
      <c r="M316" s="26">
        <v>762</v>
      </c>
      <c r="N316" s="26">
        <v>760</v>
      </c>
      <c r="O316" s="26">
        <v>749</v>
      </c>
      <c r="P316" s="26">
        <v>779</v>
      </c>
      <c r="Q316" s="26">
        <v>777</v>
      </c>
      <c r="R316" s="26">
        <v>775</v>
      </c>
      <c r="S316" s="26">
        <v>775</v>
      </c>
      <c r="T316" s="26">
        <v>762</v>
      </c>
      <c r="U316" s="26">
        <v>761</v>
      </c>
      <c r="V316" s="26">
        <v>755</v>
      </c>
      <c r="W316" s="26">
        <v>764</v>
      </c>
      <c r="X316" s="26">
        <v>754</v>
      </c>
      <c r="Y316" s="26">
        <v>744</v>
      </c>
      <c r="Z316" s="26">
        <v>733</v>
      </c>
      <c r="AA316" s="26">
        <v>786</v>
      </c>
      <c r="AB316" s="26">
        <v>776</v>
      </c>
      <c r="AC316" s="26">
        <v>771</v>
      </c>
      <c r="AD316" s="26">
        <v>746</v>
      </c>
      <c r="AE316" s="26">
        <v>792</v>
      </c>
      <c r="AF316" s="26">
        <v>752</v>
      </c>
      <c r="AG316" s="26">
        <v>804</v>
      </c>
      <c r="AH316" s="26">
        <v>766</v>
      </c>
    </row>
    <row r="317" spans="1:43">
      <c r="A317" s="26">
        <v>103</v>
      </c>
      <c r="B317" s="30" t="s">
        <v>120</v>
      </c>
      <c r="C317" s="27">
        <v>65</v>
      </c>
      <c r="D317" s="44"/>
      <c r="E317" s="33">
        <f>표_악몽던전템위력[[#This Row],[ancestral dropped]]/표_악몽던전템위력[[#This Row],[rare+ dropped]]</f>
        <v>0.83333333333333337</v>
      </c>
      <c r="F317" s="47">
        <f>COUNT(표_악몽던전템위력[[#This Row],[item1]:[item46]])</f>
        <v>15</v>
      </c>
      <c r="G317" s="47">
        <v>18</v>
      </c>
      <c r="H317" s="48">
        <f>AVERAGE(표_악몽던전템위력[[#This Row],[item1]:[item46]])</f>
        <v>770.8</v>
      </c>
      <c r="I317" s="26">
        <v>759</v>
      </c>
      <c r="J317" s="26">
        <v>781</v>
      </c>
      <c r="K317" s="26">
        <v>774</v>
      </c>
      <c r="L317" s="26">
        <v>771</v>
      </c>
      <c r="M317" s="26">
        <v>797</v>
      </c>
      <c r="N317" s="26">
        <v>768</v>
      </c>
      <c r="O317" s="26">
        <v>738</v>
      </c>
      <c r="P317" s="26">
        <v>768</v>
      </c>
      <c r="Q317" s="26">
        <v>765</v>
      </c>
      <c r="R317" s="26">
        <v>752</v>
      </c>
      <c r="S317" s="26">
        <v>807</v>
      </c>
      <c r="T317" s="26">
        <v>792</v>
      </c>
      <c r="U317" s="26">
        <v>771</v>
      </c>
      <c r="V317" s="26">
        <v>761</v>
      </c>
      <c r="W317" s="26">
        <v>758</v>
      </c>
    </row>
    <row r="318" spans="1:43">
      <c r="A318" s="26">
        <v>103</v>
      </c>
      <c r="B318" s="30" t="s">
        <v>122</v>
      </c>
      <c r="C318" s="27">
        <v>68</v>
      </c>
      <c r="D318" s="44">
        <v>1</v>
      </c>
      <c r="E318" s="33">
        <f>표_악몽던전템위력[[#This Row],[ancestral dropped]]/표_악몽던전템위력[[#This Row],[rare+ dropped]]</f>
        <v>0.85365853658536583</v>
      </c>
      <c r="F318" s="47">
        <f>COUNT(표_악몽던전템위력[[#This Row],[item1]:[item46]])</f>
        <v>35</v>
      </c>
      <c r="G318" s="47">
        <v>41</v>
      </c>
      <c r="H318" s="48">
        <f>AVERAGE(표_악몽던전템위력[[#This Row],[item1]:[item46]])</f>
        <v>774.91428571428571</v>
      </c>
      <c r="I318" s="26">
        <v>794</v>
      </c>
      <c r="J318" s="26">
        <v>792</v>
      </c>
      <c r="K318" s="26">
        <v>779</v>
      </c>
      <c r="L318" s="26">
        <v>766</v>
      </c>
      <c r="M318" s="26">
        <v>748</v>
      </c>
      <c r="N318" s="26">
        <v>799</v>
      </c>
      <c r="O318" s="26">
        <v>789</v>
      </c>
      <c r="P318" s="26">
        <v>787</v>
      </c>
      <c r="Q318" s="26">
        <v>787</v>
      </c>
      <c r="R318" s="26">
        <v>760</v>
      </c>
      <c r="S318" s="26">
        <v>746</v>
      </c>
      <c r="T318" s="26">
        <v>779</v>
      </c>
      <c r="U318" s="26">
        <v>756</v>
      </c>
      <c r="V318" s="26">
        <v>754</v>
      </c>
      <c r="W318" s="26">
        <v>747</v>
      </c>
      <c r="X318" s="26">
        <v>809</v>
      </c>
      <c r="Y318" s="26">
        <v>767</v>
      </c>
      <c r="Z318" s="26">
        <v>760</v>
      </c>
      <c r="AA318" s="26">
        <v>748</v>
      </c>
      <c r="AB318" s="26">
        <v>779</v>
      </c>
      <c r="AC318" s="26">
        <v>765</v>
      </c>
      <c r="AD318" s="26">
        <v>756</v>
      </c>
      <c r="AE318" s="26">
        <v>784</v>
      </c>
      <c r="AF318" s="26">
        <v>803</v>
      </c>
      <c r="AG318" s="26">
        <v>791</v>
      </c>
      <c r="AH318" s="26">
        <v>766</v>
      </c>
      <c r="AI318" s="26">
        <v>760</v>
      </c>
      <c r="AJ318" s="26">
        <v>807</v>
      </c>
      <c r="AK318" s="26">
        <v>810</v>
      </c>
      <c r="AL318" s="26">
        <v>791</v>
      </c>
      <c r="AM318" s="26">
        <v>783</v>
      </c>
      <c r="AN318" s="26">
        <v>770</v>
      </c>
      <c r="AO318" s="26">
        <v>773</v>
      </c>
      <c r="AP318" s="26">
        <v>784</v>
      </c>
      <c r="AQ318" s="26">
        <v>733</v>
      </c>
    </row>
    <row r="319" spans="1:43">
      <c r="A319" s="26">
        <v>103</v>
      </c>
      <c r="B319" s="30" t="s">
        <v>146</v>
      </c>
      <c r="C319" s="27">
        <v>69</v>
      </c>
      <c r="D319" s="44"/>
      <c r="E319" s="33">
        <f>표_악몽던전템위력[[#This Row],[ancestral dropped]]/표_악몽던전템위력[[#This Row],[rare+ dropped]]</f>
        <v>0.93103448275862066</v>
      </c>
      <c r="F319" s="47">
        <f>COUNT(표_악몽던전템위력[[#This Row],[item1]:[item46]])</f>
        <v>27</v>
      </c>
      <c r="G319" s="47">
        <v>29</v>
      </c>
      <c r="H319" s="48">
        <f>AVERAGE(표_악몽던전템위력[[#This Row],[item1]:[item46]])</f>
        <v>772.2962962962963</v>
      </c>
      <c r="I319" s="26">
        <v>786</v>
      </c>
      <c r="J319" s="26">
        <v>769</v>
      </c>
      <c r="K319" s="26">
        <v>765</v>
      </c>
      <c r="L319" s="26">
        <v>765</v>
      </c>
      <c r="M319" s="26">
        <v>754</v>
      </c>
      <c r="N319" s="26">
        <v>750</v>
      </c>
      <c r="O319" s="26">
        <v>803</v>
      </c>
      <c r="P319" s="26">
        <v>801</v>
      </c>
      <c r="Q319" s="26">
        <v>794</v>
      </c>
      <c r="R319" s="26">
        <v>775</v>
      </c>
      <c r="S319" s="26">
        <v>774</v>
      </c>
      <c r="T319" s="26">
        <v>772</v>
      </c>
      <c r="U319" s="26">
        <v>772</v>
      </c>
      <c r="V319" s="26">
        <v>759</v>
      </c>
      <c r="W319" s="26">
        <v>755</v>
      </c>
      <c r="X319" s="26">
        <v>762</v>
      </c>
      <c r="Y319" s="26">
        <v>760</v>
      </c>
      <c r="Z319" s="26">
        <v>787</v>
      </c>
      <c r="AA319" s="26">
        <v>779</v>
      </c>
      <c r="AB319" s="26">
        <v>774</v>
      </c>
      <c r="AC319" s="26">
        <v>795</v>
      </c>
      <c r="AD319" s="26">
        <v>772</v>
      </c>
      <c r="AE319" s="26">
        <v>752</v>
      </c>
      <c r="AF319" s="26">
        <v>749</v>
      </c>
      <c r="AG319" s="26">
        <v>790</v>
      </c>
      <c r="AH319" s="26">
        <v>753</v>
      </c>
      <c r="AI319" s="26">
        <v>785</v>
      </c>
    </row>
    <row r="320" spans="1:43">
      <c r="A320" s="26">
        <v>103</v>
      </c>
      <c r="B320" s="30" t="s">
        <v>10</v>
      </c>
      <c r="C320" s="27">
        <v>69</v>
      </c>
      <c r="D320" s="44"/>
      <c r="E320" s="33">
        <f>표_악몽던전템위력[[#This Row],[ancestral dropped]]/표_악몽던전템위력[[#This Row],[rare+ dropped]]</f>
        <v>0.9285714285714286</v>
      </c>
      <c r="F320" s="47">
        <f>COUNT(표_악몽던전템위력[[#This Row],[item1]:[item46]])</f>
        <v>13</v>
      </c>
      <c r="G320" s="47">
        <v>14</v>
      </c>
      <c r="H320" s="48">
        <f>AVERAGE(표_악몽던전템위력[[#This Row],[item1]:[item46]])</f>
        <v>769</v>
      </c>
      <c r="I320" s="26">
        <v>793</v>
      </c>
      <c r="J320" s="26">
        <v>761</v>
      </c>
      <c r="K320" s="26">
        <v>785</v>
      </c>
      <c r="L320" s="26">
        <v>785</v>
      </c>
      <c r="M320" s="26">
        <v>774</v>
      </c>
      <c r="N320" s="26">
        <v>758</v>
      </c>
      <c r="O320" s="26">
        <v>770</v>
      </c>
      <c r="P320" s="26">
        <v>799</v>
      </c>
      <c r="Q320" s="26">
        <v>755</v>
      </c>
      <c r="R320" s="26">
        <v>747</v>
      </c>
      <c r="S320" s="26">
        <v>771</v>
      </c>
      <c r="T320" s="26">
        <v>752</v>
      </c>
      <c r="U320" s="26">
        <v>747</v>
      </c>
    </row>
    <row r="321" spans="1:48">
      <c r="A321" s="26">
        <v>103</v>
      </c>
      <c r="B321" s="30" t="s">
        <v>125</v>
      </c>
      <c r="C321" s="27">
        <v>69</v>
      </c>
      <c r="D321" s="44"/>
      <c r="E321" s="33">
        <f>표_악몽던전템위력[[#This Row],[ancestral dropped]]/표_악몽던전템위력[[#This Row],[rare+ dropped]]</f>
        <v>0.84615384615384615</v>
      </c>
      <c r="F321" s="47">
        <f>COUNT(표_악몽던전템위력[[#This Row],[item1]:[item46]])</f>
        <v>11</v>
      </c>
      <c r="G321" s="47">
        <v>13</v>
      </c>
      <c r="H321" s="48">
        <f>AVERAGE(표_악몽던전템위력[[#This Row],[item1]:[item46]])</f>
        <v>771.63636363636363</v>
      </c>
      <c r="I321" s="26">
        <v>770</v>
      </c>
      <c r="J321" s="26">
        <v>775</v>
      </c>
      <c r="K321" s="26">
        <v>770</v>
      </c>
      <c r="L321" s="26">
        <v>794</v>
      </c>
      <c r="M321" s="26">
        <v>786</v>
      </c>
      <c r="N321" s="26">
        <v>780</v>
      </c>
      <c r="O321" s="26">
        <v>766</v>
      </c>
      <c r="P321" s="26">
        <v>761</v>
      </c>
      <c r="Q321" s="26">
        <v>761</v>
      </c>
      <c r="R321" s="26">
        <v>747</v>
      </c>
      <c r="S321" s="26">
        <v>778</v>
      </c>
    </row>
    <row r="322" spans="1:48">
      <c r="A322" s="26">
        <v>103</v>
      </c>
      <c r="B322" s="30" t="s">
        <v>127</v>
      </c>
      <c r="C322" s="27">
        <v>65</v>
      </c>
      <c r="D322" s="44"/>
      <c r="E322" s="33">
        <f>표_악몽던전템위력[[#This Row],[ancestral dropped]]/표_악몽던전템위력[[#This Row],[rare+ dropped]]</f>
        <v>0.875</v>
      </c>
      <c r="F322" s="47">
        <f>COUNT(표_악몽던전템위력[[#This Row],[item1]:[item46]])</f>
        <v>14</v>
      </c>
      <c r="G322" s="47">
        <v>16</v>
      </c>
      <c r="H322" s="48">
        <f>AVERAGE(표_악몽던전템위력[[#This Row],[item1]:[item46]])</f>
        <v>770.64285714285711</v>
      </c>
      <c r="I322" s="26">
        <v>781</v>
      </c>
      <c r="J322" s="26">
        <v>779</v>
      </c>
      <c r="K322" s="26">
        <v>770</v>
      </c>
      <c r="L322" s="26">
        <v>736</v>
      </c>
      <c r="M322" s="26">
        <v>794</v>
      </c>
      <c r="N322" s="26">
        <v>766</v>
      </c>
      <c r="O322" s="26">
        <v>785</v>
      </c>
      <c r="P322" s="26">
        <v>745</v>
      </c>
      <c r="Q322" s="26">
        <v>773</v>
      </c>
      <c r="R322" s="26">
        <v>806</v>
      </c>
      <c r="S322" s="26">
        <v>749</v>
      </c>
      <c r="T322" s="26">
        <v>758</v>
      </c>
      <c r="U322" s="26">
        <v>748</v>
      </c>
      <c r="V322" s="26">
        <v>799</v>
      </c>
    </row>
    <row r="323" spans="1:48">
      <c r="A323" s="26">
        <v>103</v>
      </c>
      <c r="B323" s="30" t="s">
        <v>0</v>
      </c>
      <c r="C323" s="27">
        <v>63</v>
      </c>
      <c r="D323" s="44"/>
      <c r="E323" s="33">
        <f>표_악몽던전템위력[[#This Row],[ancestral dropped]]/표_악몽던전템위력[[#This Row],[rare+ dropped]]</f>
        <v>0.8571428571428571</v>
      </c>
      <c r="F323" s="47">
        <f>COUNT(표_악몽던전템위력[[#This Row],[item1]:[item46]])</f>
        <v>18</v>
      </c>
      <c r="G323" s="47">
        <v>21</v>
      </c>
      <c r="H323" s="48">
        <f>AVERAGE(표_악몽던전템위력[[#This Row],[item1]:[item46]])</f>
        <v>770.5</v>
      </c>
      <c r="I323" s="26">
        <v>781</v>
      </c>
      <c r="J323" s="26">
        <v>773</v>
      </c>
      <c r="K323" s="26">
        <v>762</v>
      </c>
      <c r="L323" s="26">
        <v>782</v>
      </c>
      <c r="M323" s="26">
        <v>773</v>
      </c>
      <c r="N323" s="26">
        <v>793</v>
      </c>
      <c r="O323" s="26">
        <v>782</v>
      </c>
      <c r="P323" s="26">
        <v>796</v>
      </c>
      <c r="Q323" s="26">
        <v>781</v>
      </c>
      <c r="R323" s="26">
        <v>769</v>
      </c>
      <c r="S323" s="26">
        <v>762</v>
      </c>
      <c r="T323" s="26">
        <v>788</v>
      </c>
      <c r="U323" s="26">
        <v>785</v>
      </c>
      <c r="V323" s="26">
        <v>751</v>
      </c>
      <c r="W323" s="26">
        <v>751</v>
      </c>
      <c r="X323" s="26">
        <v>738</v>
      </c>
      <c r="Y323" s="26">
        <v>739</v>
      </c>
      <c r="Z323" s="26">
        <v>763</v>
      </c>
    </row>
    <row r="324" spans="1:48">
      <c r="A324" s="26">
        <v>103</v>
      </c>
      <c r="B324" s="30" t="s">
        <v>131</v>
      </c>
      <c r="C324" s="27">
        <v>62</v>
      </c>
      <c r="D324" s="44"/>
      <c r="E324" s="33">
        <f>표_악몽던전템위력[[#This Row],[ancestral dropped]]/표_악몽던전템위력[[#This Row],[rare+ dropped]]</f>
        <v>0.7</v>
      </c>
      <c r="F324" s="47">
        <f>COUNT(표_악몽던전템위력[[#This Row],[item1]:[item46]])</f>
        <v>21</v>
      </c>
      <c r="G324" s="47">
        <v>30</v>
      </c>
      <c r="H324" s="48">
        <f>AVERAGE(표_악몽던전템위력[[#This Row],[item1]:[item46]])</f>
        <v>774.04761904761904</v>
      </c>
      <c r="I324" s="26">
        <v>774</v>
      </c>
      <c r="J324" s="26">
        <v>760</v>
      </c>
      <c r="K324" s="26">
        <v>748</v>
      </c>
      <c r="L324" s="26">
        <v>767</v>
      </c>
      <c r="M324" s="26">
        <v>809</v>
      </c>
      <c r="N324" s="26">
        <v>808</v>
      </c>
      <c r="O324" s="26">
        <v>790</v>
      </c>
      <c r="P324" s="26">
        <v>766</v>
      </c>
      <c r="Q324" s="26">
        <v>763</v>
      </c>
      <c r="R324" s="26">
        <v>762</v>
      </c>
      <c r="S324" s="26">
        <v>754</v>
      </c>
      <c r="T324" s="26">
        <v>742</v>
      </c>
      <c r="U324" s="26">
        <v>798</v>
      </c>
      <c r="V324" s="26">
        <v>759</v>
      </c>
      <c r="W324" s="26">
        <v>766</v>
      </c>
      <c r="X324" s="26">
        <v>811</v>
      </c>
      <c r="Y324" s="26">
        <v>776</v>
      </c>
      <c r="Z324" s="26">
        <v>759</v>
      </c>
      <c r="AA324" s="26">
        <v>799</v>
      </c>
      <c r="AB324" s="26">
        <v>771</v>
      </c>
      <c r="AC324" s="26">
        <v>773</v>
      </c>
    </row>
    <row r="325" spans="1:48">
      <c r="A325" s="26">
        <v>103</v>
      </c>
      <c r="B325" s="30" t="s">
        <v>123</v>
      </c>
      <c r="C325" s="27">
        <v>62</v>
      </c>
      <c r="D325" s="44"/>
      <c r="E325" s="33">
        <f>표_악몽던전템위력[[#This Row],[ancestral dropped]]/표_악몽던전템위력[[#This Row],[rare+ dropped]]</f>
        <v>0.8</v>
      </c>
      <c r="F325" s="47">
        <f>COUNT(표_악몽던전템위력[[#This Row],[item1]:[item46]])</f>
        <v>28</v>
      </c>
      <c r="G325" s="47">
        <v>35</v>
      </c>
      <c r="H325" s="48">
        <f>AVERAGE(표_악몽던전템위력[[#This Row],[item1]:[item46]])</f>
        <v>771.92857142857144</v>
      </c>
      <c r="I325" s="26">
        <v>804</v>
      </c>
      <c r="J325" s="26">
        <v>750</v>
      </c>
      <c r="K325" s="26">
        <v>739</v>
      </c>
      <c r="L325" s="26">
        <v>806</v>
      </c>
      <c r="M325" s="26">
        <v>771</v>
      </c>
      <c r="N325" s="26">
        <v>756</v>
      </c>
      <c r="O325" s="26">
        <v>792</v>
      </c>
      <c r="P325" s="26">
        <v>808</v>
      </c>
      <c r="Q325" s="26">
        <v>772</v>
      </c>
      <c r="R325" s="26">
        <v>772</v>
      </c>
      <c r="S325" s="26">
        <v>760</v>
      </c>
      <c r="T325" s="26">
        <v>800</v>
      </c>
      <c r="U325" s="26">
        <v>789</v>
      </c>
      <c r="V325" s="26">
        <v>783</v>
      </c>
      <c r="W325" s="26">
        <v>772</v>
      </c>
      <c r="X325" s="26">
        <v>772</v>
      </c>
      <c r="Y325" s="26">
        <v>771</v>
      </c>
      <c r="Z325" s="26">
        <v>756</v>
      </c>
      <c r="AA325" s="26">
        <v>751</v>
      </c>
      <c r="AB325" s="26">
        <v>751</v>
      </c>
      <c r="AC325" s="26">
        <v>747</v>
      </c>
      <c r="AD325" s="26">
        <v>809</v>
      </c>
      <c r="AE325" s="26">
        <v>789</v>
      </c>
      <c r="AF325" s="26">
        <v>743</v>
      </c>
      <c r="AG325" s="26">
        <v>794</v>
      </c>
      <c r="AH325" s="26">
        <v>779</v>
      </c>
      <c r="AI325" s="26">
        <v>751</v>
      </c>
      <c r="AJ325" s="26">
        <v>727</v>
      </c>
    </row>
    <row r="326" spans="1:48">
      <c r="A326" s="26">
        <v>103</v>
      </c>
      <c r="B326" s="30" t="s">
        <v>150</v>
      </c>
      <c r="C326" s="27">
        <v>64</v>
      </c>
      <c r="D326" s="44"/>
      <c r="E326" s="33">
        <f>표_악몽던전템위력[[#This Row],[ancestral dropped]]/표_악몽던전템위력[[#This Row],[rare+ dropped]]</f>
        <v>0.80769230769230771</v>
      </c>
      <c r="F326" s="47">
        <f>COUNT(표_악몽던전템위력[[#This Row],[item1]:[item46]])</f>
        <v>21</v>
      </c>
      <c r="G326" s="47">
        <v>26</v>
      </c>
      <c r="H326" s="48">
        <f>AVERAGE(표_악몽던전템위력[[#This Row],[item1]:[item46]])</f>
        <v>778.33333333333337</v>
      </c>
      <c r="I326" s="26">
        <v>782</v>
      </c>
      <c r="J326" s="26">
        <v>762</v>
      </c>
      <c r="K326" s="26">
        <v>782</v>
      </c>
      <c r="L326" s="26">
        <v>784</v>
      </c>
      <c r="M326" s="26">
        <v>804</v>
      </c>
      <c r="N326" s="26">
        <v>786</v>
      </c>
      <c r="O326" s="26">
        <v>782</v>
      </c>
      <c r="P326" s="26">
        <v>777</v>
      </c>
      <c r="Q326" s="26">
        <v>768</v>
      </c>
      <c r="R326" s="26">
        <v>765</v>
      </c>
      <c r="S326" s="26">
        <v>792</v>
      </c>
      <c r="T326" s="26">
        <v>783</v>
      </c>
      <c r="U326" s="26">
        <v>788</v>
      </c>
      <c r="V326" s="26">
        <v>754</v>
      </c>
      <c r="W326" s="26">
        <v>797</v>
      </c>
      <c r="X326" s="26">
        <v>766</v>
      </c>
      <c r="Y326" s="26">
        <v>744</v>
      </c>
      <c r="Z326" s="26">
        <v>743</v>
      </c>
      <c r="AA326" s="26">
        <v>790</v>
      </c>
      <c r="AB326" s="26">
        <v>801</v>
      </c>
      <c r="AC326" s="26">
        <v>795</v>
      </c>
    </row>
    <row r="327" spans="1:48">
      <c r="A327" s="26">
        <v>103</v>
      </c>
      <c r="B327" s="30" t="s">
        <v>151</v>
      </c>
      <c r="C327" s="27">
        <v>62</v>
      </c>
      <c r="D327" s="44"/>
      <c r="E327" s="33">
        <f>표_악몽던전템위력[[#This Row],[ancestral dropped]]/표_악몽던전템위력[[#This Row],[rare+ dropped]]</f>
        <v>0.73913043478260865</v>
      </c>
      <c r="F327" s="47">
        <f>COUNT(표_악몽던전템위력[[#This Row],[item1]:[item46]])</f>
        <v>17</v>
      </c>
      <c r="G327" s="47">
        <v>23</v>
      </c>
      <c r="H327" s="48">
        <f>AVERAGE(표_악몽던전템위력[[#This Row],[item1]:[item46]])</f>
        <v>775.11764705882354</v>
      </c>
      <c r="I327" s="26">
        <v>779</v>
      </c>
      <c r="J327" s="26">
        <v>761</v>
      </c>
      <c r="K327" s="26">
        <v>801</v>
      </c>
      <c r="L327" s="26">
        <v>776</v>
      </c>
      <c r="M327" s="26">
        <v>790</v>
      </c>
      <c r="N327" s="26">
        <v>769</v>
      </c>
      <c r="O327" s="26">
        <v>732</v>
      </c>
      <c r="P327" s="26">
        <v>800</v>
      </c>
      <c r="Q327" s="26">
        <v>766</v>
      </c>
      <c r="R327" s="26">
        <v>792</v>
      </c>
      <c r="S327" s="26">
        <v>785</v>
      </c>
      <c r="T327" s="26">
        <v>781</v>
      </c>
      <c r="U327" s="26">
        <v>768</v>
      </c>
      <c r="V327" s="26">
        <v>750</v>
      </c>
      <c r="W327" s="26">
        <v>750</v>
      </c>
      <c r="X327" s="26">
        <v>800</v>
      </c>
      <c r="Y327" s="26">
        <v>777</v>
      </c>
    </row>
    <row r="328" spans="1:48">
      <c r="A328" s="26">
        <v>103</v>
      </c>
      <c r="B328" s="30" t="s">
        <v>123</v>
      </c>
      <c r="C328" s="27">
        <v>62</v>
      </c>
      <c r="D328" s="44"/>
      <c r="E328" s="33">
        <f>표_악몽던전템위력[[#This Row],[ancestral dropped]]/표_악몽던전템위력[[#This Row],[rare+ dropped]]</f>
        <v>0.93333333333333335</v>
      </c>
      <c r="F328" s="47">
        <f>COUNT(표_악몽던전템위력[[#This Row],[item1]:[item46]])</f>
        <v>28</v>
      </c>
      <c r="G328" s="47">
        <v>30</v>
      </c>
      <c r="H328" s="48">
        <f>AVERAGE(표_악몽던전템위력[[#This Row],[item1]:[item46]])</f>
        <v>769.85714285714289</v>
      </c>
      <c r="I328" s="26">
        <v>780</v>
      </c>
      <c r="J328" s="26">
        <v>755</v>
      </c>
      <c r="K328" s="26">
        <v>806</v>
      </c>
      <c r="L328" s="26">
        <v>781</v>
      </c>
      <c r="M328" s="26">
        <v>776</v>
      </c>
      <c r="N328" s="26">
        <v>775</v>
      </c>
      <c r="O328" s="26">
        <v>767</v>
      </c>
      <c r="P328" s="26">
        <v>790</v>
      </c>
      <c r="Q328" s="26">
        <v>778</v>
      </c>
      <c r="R328" s="26">
        <v>768</v>
      </c>
      <c r="S328" s="26">
        <v>761</v>
      </c>
      <c r="T328" s="26">
        <v>759</v>
      </c>
      <c r="U328" s="26">
        <v>756</v>
      </c>
      <c r="V328" s="26">
        <v>785</v>
      </c>
      <c r="W328" s="26">
        <v>778</v>
      </c>
      <c r="X328" s="26">
        <v>758</v>
      </c>
      <c r="Y328" s="26">
        <v>755</v>
      </c>
      <c r="Z328" s="26">
        <v>750</v>
      </c>
      <c r="AA328" s="26">
        <v>795</v>
      </c>
      <c r="AB328" s="26">
        <v>752</v>
      </c>
      <c r="AC328" s="26">
        <v>743</v>
      </c>
      <c r="AD328" s="26">
        <v>777</v>
      </c>
      <c r="AE328" s="26">
        <v>774</v>
      </c>
      <c r="AF328" s="26">
        <v>769</v>
      </c>
      <c r="AG328" s="26">
        <v>763</v>
      </c>
      <c r="AH328" s="26">
        <v>759</v>
      </c>
      <c r="AI328" s="26">
        <v>779</v>
      </c>
      <c r="AJ328" s="26">
        <v>767</v>
      </c>
    </row>
    <row r="329" spans="1:48">
      <c r="A329" s="26">
        <v>103</v>
      </c>
      <c r="B329" s="30" t="s">
        <v>151</v>
      </c>
      <c r="C329" s="27">
        <v>63</v>
      </c>
      <c r="D329" s="44"/>
      <c r="E329" s="33">
        <f>표_악몽던전템위력[[#This Row],[ancestral dropped]]/표_악몽던전템위력[[#This Row],[rare+ dropped]]</f>
        <v>0.81818181818181823</v>
      </c>
      <c r="F329" s="47">
        <f>COUNT(표_악몽던전템위력[[#This Row],[item1]:[item46]])</f>
        <v>18</v>
      </c>
      <c r="G329" s="47">
        <v>22</v>
      </c>
      <c r="H329" s="48">
        <f>AVERAGE(표_악몽던전템위력[[#This Row],[item1]:[item46]])</f>
        <v>772.05555555555554</v>
      </c>
      <c r="I329" s="26">
        <v>805</v>
      </c>
      <c r="J329" s="26">
        <v>769</v>
      </c>
      <c r="K329" s="26">
        <v>741</v>
      </c>
      <c r="L329" s="26">
        <v>733</v>
      </c>
      <c r="M329" s="26">
        <v>796</v>
      </c>
      <c r="N329" s="26">
        <v>786</v>
      </c>
      <c r="O329" s="26">
        <v>782</v>
      </c>
      <c r="P329" s="26">
        <v>765</v>
      </c>
      <c r="Q329" s="26">
        <v>780</v>
      </c>
      <c r="R329" s="26">
        <v>750</v>
      </c>
      <c r="S329" s="26">
        <v>804</v>
      </c>
      <c r="T329" s="26">
        <v>794</v>
      </c>
      <c r="U329" s="26">
        <v>745</v>
      </c>
      <c r="V329" s="26">
        <v>771</v>
      </c>
      <c r="W329" s="26">
        <v>732</v>
      </c>
      <c r="X329" s="26">
        <v>779</v>
      </c>
      <c r="Y329" s="26">
        <v>772</v>
      </c>
      <c r="Z329" s="26">
        <v>793</v>
      </c>
    </row>
    <row r="330" spans="1:48">
      <c r="A330" s="26">
        <v>103</v>
      </c>
      <c r="B330" s="30" t="s">
        <v>0</v>
      </c>
      <c r="C330" s="27">
        <v>64</v>
      </c>
      <c r="D330" s="44"/>
      <c r="E330" s="33">
        <f>표_악몽던전템위력[[#This Row],[ancestral dropped]]/표_악몽던전템위력[[#This Row],[rare+ dropped]]</f>
        <v>0.90476190476190477</v>
      </c>
      <c r="F330" s="47">
        <f>COUNT(표_악몽던전템위력[[#This Row],[item1]:[item46]])</f>
        <v>19</v>
      </c>
      <c r="G330" s="47">
        <v>21</v>
      </c>
      <c r="H330" s="48">
        <f>AVERAGE(표_악몽던전템위력[[#This Row],[item1]:[item46]])</f>
        <v>770.47368421052636</v>
      </c>
      <c r="I330" s="26">
        <v>764</v>
      </c>
      <c r="J330" s="26">
        <v>754</v>
      </c>
      <c r="K330" s="26">
        <v>747</v>
      </c>
      <c r="L330" s="26">
        <v>784</v>
      </c>
      <c r="M330" s="26">
        <v>772</v>
      </c>
      <c r="N330" s="26">
        <v>771</v>
      </c>
      <c r="O330" s="26">
        <v>743</v>
      </c>
      <c r="P330" s="26">
        <v>793</v>
      </c>
      <c r="Q330" s="26">
        <v>775</v>
      </c>
      <c r="R330" s="26">
        <v>766</v>
      </c>
      <c r="S330" s="26">
        <v>766</v>
      </c>
      <c r="T330" s="26">
        <v>786</v>
      </c>
      <c r="U330" s="26">
        <v>783</v>
      </c>
      <c r="V330" s="26">
        <v>780</v>
      </c>
      <c r="W330" s="26">
        <v>770</v>
      </c>
      <c r="X330" s="26">
        <v>768</v>
      </c>
      <c r="Y330" s="26">
        <v>800</v>
      </c>
      <c r="Z330" s="26">
        <v>762</v>
      </c>
      <c r="AA330" s="26">
        <v>755</v>
      </c>
    </row>
    <row r="331" spans="1:48">
      <c r="A331" s="26">
        <v>103</v>
      </c>
      <c r="B331" s="30" t="s">
        <v>123</v>
      </c>
      <c r="C331" s="27">
        <v>66</v>
      </c>
      <c r="D331" s="44"/>
      <c r="E331" s="33">
        <f>표_악몽던전템위력[[#This Row],[ancestral dropped]]/표_악몽던전템위력[[#This Row],[rare+ dropped]]</f>
        <v>0.8214285714285714</v>
      </c>
      <c r="F331" s="47">
        <f>COUNT(표_악몽던전템위력[[#This Row],[item1]:[item46]])</f>
        <v>23</v>
      </c>
      <c r="G331" s="47">
        <v>28</v>
      </c>
      <c r="H331" s="48">
        <f>AVERAGE(표_악몽던전템위력[[#This Row],[item1]:[item46]])</f>
        <v>775.78260869565213</v>
      </c>
      <c r="I331" s="26">
        <v>783</v>
      </c>
      <c r="J331" s="26">
        <v>777</v>
      </c>
      <c r="K331" s="26">
        <v>776</v>
      </c>
      <c r="L331" s="26">
        <v>756</v>
      </c>
      <c r="M331" s="26">
        <v>730</v>
      </c>
      <c r="N331" s="26">
        <v>789</v>
      </c>
      <c r="O331" s="26">
        <v>777</v>
      </c>
      <c r="P331" s="26">
        <v>786</v>
      </c>
      <c r="Q331" s="26">
        <v>761</v>
      </c>
      <c r="R331" s="26">
        <v>789</v>
      </c>
      <c r="S331" s="26">
        <v>781</v>
      </c>
      <c r="T331" s="26">
        <v>797</v>
      </c>
      <c r="U331" s="26">
        <v>791</v>
      </c>
      <c r="V331" s="26">
        <v>772</v>
      </c>
      <c r="W331" s="26">
        <v>780</v>
      </c>
      <c r="X331" s="26">
        <v>750</v>
      </c>
      <c r="Y331" s="26">
        <v>794</v>
      </c>
      <c r="Z331" s="26">
        <v>793</v>
      </c>
      <c r="AA331" s="26">
        <v>774</v>
      </c>
      <c r="AB331" s="26">
        <v>764</v>
      </c>
      <c r="AC331" s="26">
        <v>772</v>
      </c>
      <c r="AD331" s="26">
        <v>786</v>
      </c>
      <c r="AE331" s="26">
        <v>765</v>
      </c>
    </row>
    <row r="332" spans="1:48">
      <c r="A332" s="26">
        <v>103</v>
      </c>
      <c r="B332" s="30" t="s">
        <v>127</v>
      </c>
      <c r="C332" s="27">
        <v>64</v>
      </c>
      <c r="D332" s="44"/>
      <c r="E332" s="33">
        <f>표_악몽던전템위력[[#This Row],[ancestral dropped]]/표_악몽던전템위력[[#This Row],[rare+ dropped]]</f>
        <v>0.75</v>
      </c>
      <c r="F332" s="47">
        <f>COUNT(표_악몽던전템위력[[#This Row],[item1]:[item46]])</f>
        <v>15</v>
      </c>
      <c r="G332" s="47">
        <v>20</v>
      </c>
      <c r="H332" s="48">
        <f>AVERAGE(표_악몽던전템위력[[#This Row],[item1]:[item46]])</f>
        <v>773.13333333333333</v>
      </c>
      <c r="I332" s="26">
        <v>786</v>
      </c>
      <c r="J332" s="26">
        <v>744</v>
      </c>
      <c r="K332" s="26">
        <v>776</v>
      </c>
      <c r="L332" s="26">
        <v>789</v>
      </c>
      <c r="M332" s="26">
        <v>763</v>
      </c>
      <c r="N332" s="26">
        <v>804</v>
      </c>
      <c r="O332" s="26">
        <v>793</v>
      </c>
      <c r="P332" s="26">
        <v>772</v>
      </c>
      <c r="Q332" s="26">
        <v>764</v>
      </c>
      <c r="R332" s="26">
        <v>750</v>
      </c>
      <c r="S332" s="26">
        <v>733</v>
      </c>
      <c r="T332" s="26">
        <v>765</v>
      </c>
      <c r="U332" s="26">
        <v>787</v>
      </c>
      <c r="V332" s="26">
        <v>770</v>
      </c>
      <c r="W332" s="26">
        <v>801</v>
      </c>
    </row>
    <row r="333" spans="1:48">
      <c r="A333" s="26">
        <v>103</v>
      </c>
      <c r="B333" s="30" t="s">
        <v>150</v>
      </c>
      <c r="C333" s="27">
        <v>66</v>
      </c>
      <c r="D333" s="44"/>
      <c r="E333" s="33">
        <f>표_악몽던전템위력[[#This Row],[ancestral dropped]]/표_악몽던전템위력[[#This Row],[rare+ dropped]]</f>
        <v>0.86111111111111116</v>
      </c>
      <c r="F333" s="47">
        <f>COUNT(표_악몽던전템위력[[#This Row],[item1]:[item46]])</f>
        <v>31</v>
      </c>
      <c r="G333" s="47">
        <v>36</v>
      </c>
      <c r="H333" s="48">
        <f>AVERAGE(표_악몽던전템위력[[#This Row],[item1]:[item46]])</f>
        <v>771.29032258064512</v>
      </c>
      <c r="I333" s="26">
        <v>806</v>
      </c>
      <c r="J333" s="26">
        <v>773</v>
      </c>
      <c r="K333" s="26">
        <v>771</v>
      </c>
      <c r="L333" s="26">
        <v>754</v>
      </c>
      <c r="M333" s="26">
        <v>753</v>
      </c>
      <c r="N333" s="26">
        <v>745</v>
      </c>
      <c r="O333" s="26">
        <v>756</v>
      </c>
      <c r="P333" s="26">
        <v>812</v>
      </c>
      <c r="Q333" s="26">
        <v>800</v>
      </c>
      <c r="R333" s="26">
        <v>788</v>
      </c>
      <c r="S333" s="26">
        <v>774</v>
      </c>
      <c r="T333" s="26">
        <v>760</v>
      </c>
      <c r="U333" s="26">
        <v>751</v>
      </c>
      <c r="V333" s="26">
        <v>792</v>
      </c>
      <c r="W333" s="26">
        <v>790</v>
      </c>
      <c r="X333" s="26">
        <v>780</v>
      </c>
      <c r="Y333" s="26">
        <v>770</v>
      </c>
      <c r="Z333" s="26">
        <v>751</v>
      </c>
      <c r="AA333" s="26">
        <v>750</v>
      </c>
      <c r="AB333" s="26">
        <v>785</v>
      </c>
      <c r="AC333" s="26">
        <v>780</v>
      </c>
      <c r="AD333" s="26">
        <v>766</v>
      </c>
      <c r="AE333" s="26">
        <v>761</v>
      </c>
      <c r="AF333" s="26">
        <v>760</v>
      </c>
      <c r="AG333" s="26">
        <v>750</v>
      </c>
      <c r="AH333" s="26">
        <v>798</v>
      </c>
      <c r="AI333" s="26">
        <v>770</v>
      </c>
      <c r="AJ333" s="26">
        <v>758</v>
      </c>
      <c r="AK333" s="26">
        <v>785</v>
      </c>
      <c r="AL333" s="26">
        <v>770</v>
      </c>
      <c r="AM333" s="26">
        <v>751</v>
      </c>
    </row>
    <row r="334" spans="1:48">
      <c r="A334" s="26">
        <v>103</v>
      </c>
      <c r="B334" s="30" t="s">
        <v>138</v>
      </c>
      <c r="C334" s="27">
        <v>64</v>
      </c>
      <c r="D334" s="44"/>
      <c r="E334" s="33">
        <f>표_악몽던전템위력[[#This Row],[ancestral dropped]]/표_악몽던전템위력[[#This Row],[rare+ dropped]]</f>
        <v>0.90909090909090906</v>
      </c>
      <c r="F334" s="47">
        <f>COUNT(표_악몽던전템위력[[#This Row],[item1]:[item46]])</f>
        <v>40</v>
      </c>
      <c r="G334" s="47">
        <v>44</v>
      </c>
      <c r="H334" s="48">
        <f>AVERAGE(표_악몽던전템위력[[#This Row],[item1]:[item46]])</f>
        <v>770.07500000000005</v>
      </c>
      <c r="I334" s="26">
        <v>792</v>
      </c>
      <c r="J334" s="26">
        <v>784</v>
      </c>
      <c r="K334" s="26">
        <v>756</v>
      </c>
      <c r="L334" s="26">
        <v>747</v>
      </c>
      <c r="M334" s="26">
        <v>798</v>
      </c>
      <c r="N334" s="26">
        <v>790</v>
      </c>
      <c r="O334" s="26">
        <v>774</v>
      </c>
      <c r="P334" s="26">
        <v>769</v>
      </c>
      <c r="Q334" s="26">
        <v>769</v>
      </c>
      <c r="R334" s="26">
        <v>759</v>
      </c>
      <c r="S334" s="26">
        <v>791</v>
      </c>
      <c r="T334" s="26">
        <v>751</v>
      </c>
      <c r="U334" s="26">
        <v>749</v>
      </c>
      <c r="V334" s="26">
        <v>791</v>
      </c>
      <c r="W334" s="26">
        <v>786</v>
      </c>
      <c r="X334" s="26">
        <v>777</v>
      </c>
      <c r="Y334" s="26">
        <v>776</v>
      </c>
      <c r="Z334" s="26">
        <v>774</v>
      </c>
      <c r="AA334" s="26">
        <v>773</v>
      </c>
      <c r="AB334" s="26">
        <v>767</v>
      </c>
      <c r="AC334" s="26">
        <v>762</v>
      </c>
      <c r="AD334" s="26">
        <v>754</v>
      </c>
      <c r="AE334" s="26">
        <v>744</v>
      </c>
      <c r="AF334" s="26">
        <v>805</v>
      </c>
      <c r="AG334" s="26">
        <v>746</v>
      </c>
      <c r="AH334" s="26">
        <v>762</v>
      </c>
      <c r="AI334" s="26">
        <v>761</v>
      </c>
      <c r="AJ334" s="26">
        <v>759</v>
      </c>
      <c r="AK334" s="26">
        <v>779</v>
      </c>
      <c r="AL334" s="26">
        <v>757</v>
      </c>
      <c r="AM334" s="26">
        <v>750</v>
      </c>
      <c r="AN334" s="26">
        <v>805</v>
      </c>
      <c r="AO334" s="26">
        <v>768</v>
      </c>
      <c r="AP334" s="26">
        <v>761</v>
      </c>
      <c r="AQ334" s="26">
        <v>793</v>
      </c>
      <c r="AR334" s="26">
        <v>770</v>
      </c>
      <c r="AS334" s="26">
        <v>775</v>
      </c>
      <c r="AT334" s="26">
        <v>765</v>
      </c>
      <c r="AU334" s="26">
        <v>752</v>
      </c>
      <c r="AV334" s="26">
        <v>762</v>
      </c>
    </row>
    <row r="335" spans="1:48">
      <c r="A335" s="26">
        <v>103</v>
      </c>
      <c r="B335" s="30" t="s">
        <v>71</v>
      </c>
      <c r="C335" s="27">
        <v>65</v>
      </c>
      <c r="D335" s="44"/>
      <c r="E335" s="33">
        <f>표_악몽던전템위력[[#This Row],[ancestral dropped]]/표_악몽던전템위력[[#This Row],[rare+ dropped]]</f>
        <v>0.90909090909090906</v>
      </c>
      <c r="F335" s="47">
        <f>COUNT(표_악몽던전템위력[[#This Row],[item1]:[item46]])</f>
        <v>20</v>
      </c>
      <c r="G335" s="47">
        <v>22</v>
      </c>
      <c r="H335" s="48">
        <f>AVERAGE(표_악몽던전템위력[[#This Row],[item1]:[item46]])</f>
        <v>769.85</v>
      </c>
      <c r="I335" s="26">
        <v>777</v>
      </c>
      <c r="J335" s="26">
        <v>771</v>
      </c>
      <c r="K335" s="26">
        <v>759</v>
      </c>
      <c r="L335" s="26">
        <v>743</v>
      </c>
      <c r="M335" s="26">
        <v>760</v>
      </c>
      <c r="N335" s="26">
        <v>757</v>
      </c>
      <c r="O335" s="26">
        <v>813</v>
      </c>
      <c r="P335" s="26">
        <v>778</v>
      </c>
      <c r="Q335" s="26">
        <v>771</v>
      </c>
      <c r="R335" s="26">
        <v>766</v>
      </c>
      <c r="S335" s="26">
        <v>784</v>
      </c>
      <c r="T335" s="26">
        <v>780</v>
      </c>
      <c r="U335" s="26">
        <v>814</v>
      </c>
      <c r="V335" s="26">
        <v>770</v>
      </c>
      <c r="W335" s="26">
        <v>791</v>
      </c>
      <c r="X335" s="26">
        <v>773</v>
      </c>
      <c r="Y335" s="26">
        <v>738</v>
      </c>
      <c r="Z335" s="26">
        <v>765</v>
      </c>
      <c r="AA335" s="26">
        <v>750</v>
      </c>
      <c r="AB335" s="26">
        <v>737</v>
      </c>
    </row>
    <row r="336" spans="1:48">
      <c r="A336" s="26">
        <v>103</v>
      </c>
      <c r="B336" s="30" t="s">
        <v>127</v>
      </c>
      <c r="C336" s="27">
        <v>66</v>
      </c>
      <c r="D336" s="44"/>
      <c r="E336" s="33">
        <f>표_악몽던전템위력[[#This Row],[ancestral dropped]]/표_악몽던전템위력[[#This Row],[rare+ dropped]]</f>
        <v>0.77777777777777779</v>
      </c>
      <c r="F336" s="47">
        <f>COUNT(표_악몽던전템위력[[#This Row],[item1]:[item46]])</f>
        <v>7</v>
      </c>
      <c r="G336" s="47">
        <v>9</v>
      </c>
      <c r="H336" s="48">
        <f>AVERAGE(표_악몽던전템위력[[#This Row],[item1]:[item46]])</f>
        <v>772.85714285714289</v>
      </c>
      <c r="I336" s="26">
        <v>793</v>
      </c>
      <c r="J336" s="26">
        <v>787</v>
      </c>
      <c r="K336" s="26">
        <v>768</v>
      </c>
      <c r="L336" s="26">
        <v>743</v>
      </c>
      <c r="M336" s="26">
        <v>763</v>
      </c>
      <c r="N336" s="26">
        <v>788</v>
      </c>
      <c r="O336" s="26">
        <v>768</v>
      </c>
    </row>
    <row r="337" spans="1:37">
      <c r="A337" s="26">
        <v>103</v>
      </c>
      <c r="B337" s="30" t="s">
        <v>124</v>
      </c>
      <c r="C337" s="27">
        <v>66</v>
      </c>
      <c r="D337" s="44"/>
      <c r="E337" s="33">
        <f>표_악몽던전템위력[[#This Row],[ancestral dropped]]/표_악몽던전템위력[[#This Row],[rare+ dropped]]</f>
        <v>0.84375</v>
      </c>
      <c r="F337" s="47">
        <f>COUNT(표_악몽던전템위력[[#This Row],[item1]:[item46]])</f>
        <v>27</v>
      </c>
      <c r="G337" s="47">
        <v>32</v>
      </c>
      <c r="H337" s="48">
        <f>AVERAGE(표_악몽던전템위력[[#This Row],[item1]:[item46]])</f>
        <v>766.7037037037037</v>
      </c>
      <c r="I337" s="26">
        <v>772</v>
      </c>
      <c r="J337" s="26">
        <v>765</v>
      </c>
      <c r="K337" s="26">
        <v>728</v>
      </c>
      <c r="L337" s="26">
        <v>773</v>
      </c>
      <c r="M337" s="26">
        <v>774</v>
      </c>
      <c r="N337" s="26">
        <v>774</v>
      </c>
      <c r="O337" s="26">
        <v>763</v>
      </c>
      <c r="P337" s="26">
        <v>759</v>
      </c>
      <c r="Q337" s="26">
        <v>809</v>
      </c>
      <c r="R337" s="26">
        <v>799</v>
      </c>
      <c r="S337" s="26">
        <v>774</v>
      </c>
      <c r="T337" s="26">
        <v>770</v>
      </c>
      <c r="U337" s="26">
        <v>764</v>
      </c>
      <c r="V337" s="26">
        <v>758</v>
      </c>
      <c r="W337" s="26">
        <v>802</v>
      </c>
      <c r="X337" s="26">
        <v>728</v>
      </c>
      <c r="Y337" s="26">
        <v>775</v>
      </c>
      <c r="Z337" s="26">
        <v>772</v>
      </c>
      <c r="AA337" s="26">
        <v>751</v>
      </c>
      <c r="AB337" s="26">
        <v>742</v>
      </c>
      <c r="AC337" s="26">
        <v>758</v>
      </c>
      <c r="AD337" s="26">
        <v>758</v>
      </c>
      <c r="AE337" s="26">
        <v>752</v>
      </c>
      <c r="AF337" s="26">
        <v>750</v>
      </c>
      <c r="AG337" s="26">
        <v>798</v>
      </c>
      <c r="AH337" s="26">
        <v>788</v>
      </c>
      <c r="AI337" s="26">
        <v>745</v>
      </c>
    </row>
    <row r="338" spans="1:37">
      <c r="A338" s="26">
        <v>103</v>
      </c>
      <c r="B338" s="30" t="s">
        <v>122</v>
      </c>
      <c r="C338" s="27">
        <v>65</v>
      </c>
      <c r="D338" s="44">
        <v>1</v>
      </c>
      <c r="E338" s="33">
        <f>표_악몽던전템위력[[#This Row],[ancestral dropped]]/표_악몽던전템위력[[#This Row],[rare+ dropped]]</f>
        <v>0.84615384615384615</v>
      </c>
      <c r="F338" s="47">
        <f>COUNT(표_악몽던전템위력[[#This Row],[item1]:[item46]])</f>
        <v>22</v>
      </c>
      <c r="G338" s="47">
        <v>26</v>
      </c>
      <c r="H338" s="48">
        <f>AVERAGE(표_악몽던전템위력[[#This Row],[item1]:[item46]])</f>
        <v>775.59090909090912</v>
      </c>
      <c r="I338" s="26">
        <v>797</v>
      </c>
      <c r="J338" s="26">
        <v>772</v>
      </c>
      <c r="K338" s="26">
        <v>765</v>
      </c>
      <c r="L338" s="26">
        <v>756</v>
      </c>
      <c r="M338" s="26">
        <v>751</v>
      </c>
      <c r="N338" s="26">
        <v>743</v>
      </c>
      <c r="O338" s="26">
        <v>804</v>
      </c>
      <c r="P338" s="26">
        <v>798</v>
      </c>
      <c r="Q338" s="26">
        <v>789</v>
      </c>
      <c r="R338" s="26">
        <v>776</v>
      </c>
      <c r="S338" s="26">
        <v>775</v>
      </c>
      <c r="T338" s="26">
        <v>761</v>
      </c>
      <c r="U338" s="26">
        <v>752</v>
      </c>
      <c r="V338" s="26">
        <v>735</v>
      </c>
      <c r="W338" s="26">
        <v>794</v>
      </c>
      <c r="X338" s="26">
        <v>766</v>
      </c>
      <c r="Y338" s="26">
        <v>805</v>
      </c>
      <c r="Z338" s="26">
        <v>804</v>
      </c>
      <c r="AA338" s="26">
        <v>799</v>
      </c>
      <c r="AB338" s="26">
        <v>776</v>
      </c>
      <c r="AC338" s="26">
        <v>758</v>
      </c>
      <c r="AD338" s="26">
        <v>787</v>
      </c>
    </row>
    <row r="339" spans="1:37">
      <c r="A339" s="26">
        <v>103</v>
      </c>
      <c r="B339" s="30" t="s">
        <v>126</v>
      </c>
      <c r="C339" s="27">
        <v>65</v>
      </c>
      <c r="D339" s="44"/>
      <c r="E339" s="33">
        <f>표_악몽던전템위력[[#This Row],[ancestral dropped]]/표_악몽던전템위력[[#This Row],[rare+ dropped]]</f>
        <v>0.90625</v>
      </c>
      <c r="F339" s="47">
        <f>COUNT(표_악몽던전템위력[[#This Row],[item1]:[item46]])</f>
        <v>29</v>
      </c>
      <c r="G339" s="47">
        <v>32</v>
      </c>
      <c r="H339" s="48">
        <f>AVERAGE(표_악몽던전템위력[[#This Row],[item1]:[item46]])</f>
        <v>768</v>
      </c>
      <c r="I339" s="26">
        <v>807</v>
      </c>
      <c r="J339" s="26">
        <v>785</v>
      </c>
      <c r="K339" s="26">
        <v>770</v>
      </c>
      <c r="L339" s="26">
        <v>762</v>
      </c>
      <c r="M339" s="26">
        <v>760</v>
      </c>
      <c r="N339" s="26">
        <v>759</v>
      </c>
      <c r="O339" s="26">
        <v>748</v>
      </c>
      <c r="P339" s="26">
        <v>769</v>
      </c>
      <c r="Q339" s="26">
        <v>745</v>
      </c>
      <c r="R339" s="26">
        <v>770</v>
      </c>
      <c r="S339" s="26">
        <v>768</v>
      </c>
      <c r="T339" s="26">
        <v>755</v>
      </c>
      <c r="U339" s="26">
        <v>742</v>
      </c>
      <c r="V339" s="26">
        <v>735</v>
      </c>
      <c r="W339" s="26">
        <v>775</v>
      </c>
      <c r="X339" s="26">
        <v>758</v>
      </c>
      <c r="Y339" s="26">
        <v>804</v>
      </c>
      <c r="Z339" s="26">
        <v>767</v>
      </c>
      <c r="AA339" s="26">
        <v>753</v>
      </c>
      <c r="AB339" s="26">
        <v>741</v>
      </c>
      <c r="AC339" s="26">
        <v>796</v>
      </c>
      <c r="AD339" s="26">
        <v>793</v>
      </c>
      <c r="AE339" s="26">
        <v>787</v>
      </c>
      <c r="AF339" s="26">
        <v>786</v>
      </c>
      <c r="AG339" s="26">
        <v>784</v>
      </c>
      <c r="AH339" s="26">
        <v>772</v>
      </c>
      <c r="AI339" s="26">
        <v>766</v>
      </c>
      <c r="AJ339" s="26">
        <v>761</v>
      </c>
      <c r="AK339" s="26">
        <v>754</v>
      </c>
    </row>
    <row r="340" spans="1:37">
      <c r="A340" s="26">
        <v>103</v>
      </c>
      <c r="B340" s="30" t="s">
        <v>150</v>
      </c>
      <c r="C340" s="27">
        <v>64</v>
      </c>
      <c r="D340" s="44"/>
      <c r="E340" s="33">
        <f>표_악몽던전템위력[[#This Row],[ancestral dropped]]/표_악몽던전템위력[[#This Row],[rare+ dropped]]</f>
        <v>0.82857142857142863</v>
      </c>
      <c r="F340" s="47">
        <f>COUNT(표_악몽던전템위력[[#This Row],[item1]:[item46]])</f>
        <v>29</v>
      </c>
      <c r="G340" s="47">
        <v>35</v>
      </c>
      <c r="H340" s="48">
        <f>AVERAGE(표_악몽던전템위력[[#This Row],[item1]:[item46]])</f>
        <v>776.13793103448279</v>
      </c>
      <c r="I340" s="26">
        <v>804</v>
      </c>
      <c r="J340" s="26">
        <v>800</v>
      </c>
      <c r="K340" s="26">
        <v>787</v>
      </c>
      <c r="L340" s="26">
        <v>763</v>
      </c>
      <c r="M340" s="26">
        <v>770</v>
      </c>
      <c r="N340" s="26">
        <v>736</v>
      </c>
      <c r="O340" s="26">
        <v>790</v>
      </c>
      <c r="P340" s="26">
        <v>786</v>
      </c>
      <c r="Q340" s="26">
        <v>785</v>
      </c>
      <c r="R340" s="26">
        <v>780</v>
      </c>
      <c r="S340" s="26">
        <v>779</v>
      </c>
      <c r="T340" s="26">
        <v>779</v>
      </c>
      <c r="U340" s="26">
        <v>772</v>
      </c>
      <c r="V340" s="26">
        <v>767</v>
      </c>
      <c r="W340" s="26">
        <v>798</v>
      </c>
      <c r="X340" s="26">
        <v>786</v>
      </c>
      <c r="Y340" s="26">
        <v>781</v>
      </c>
      <c r="Z340" s="26">
        <v>746</v>
      </c>
      <c r="AA340" s="26">
        <v>788</v>
      </c>
      <c r="AB340" s="26">
        <v>746</v>
      </c>
      <c r="AC340" s="26">
        <v>786</v>
      </c>
      <c r="AD340" s="26">
        <v>763</v>
      </c>
      <c r="AE340" s="26">
        <v>762</v>
      </c>
      <c r="AF340" s="26">
        <v>795</v>
      </c>
      <c r="AG340" s="26">
        <v>774</v>
      </c>
      <c r="AH340" s="26">
        <v>787</v>
      </c>
      <c r="AI340" s="26">
        <v>782</v>
      </c>
      <c r="AJ340" s="26">
        <v>773</v>
      </c>
      <c r="AK340" s="26">
        <v>743</v>
      </c>
    </row>
    <row r="341" spans="1:37">
      <c r="A341" s="26">
        <v>103</v>
      </c>
      <c r="B341" s="30" t="s">
        <v>126</v>
      </c>
      <c r="C341" s="27">
        <v>62</v>
      </c>
      <c r="D341" s="44"/>
      <c r="E341" s="33">
        <f>표_악몽던전템위력[[#This Row],[ancestral dropped]]/표_악몽던전템위력[[#This Row],[rare+ dropped]]</f>
        <v>0.78947368421052633</v>
      </c>
      <c r="F341" s="47">
        <f>COUNT(표_악몽던전템위력[[#This Row],[item1]:[item46]])</f>
        <v>15</v>
      </c>
      <c r="G341" s="47">
        <v>19</v>
      </c>
      <c r="H341" s="48">
        <f>AVERAGE(표_악몽던전템위력[[#This Row],[item1]:[item46]])</f>
        <v>776</v>
      </c>
      <c r="I341" s="26">
        <v>764</v>
      </c>
      <c r="J341" s="26">
        <v>758</v>
      </c>
      <c r="K341" s="26">
        <v>746</v>
      </c>
      <c r="L341" s="26">
        <v>774</v>
      </c>
      <c r="M341" s="26">
        <v>798</v>
      </c>
      <c r="N341" s="26">
        <v>771</v>
      </c>
      <c r="O341" s="26">
        <v>788</v>
      </c>
      <c r="P341" s="26">
        <v>779</v>
      </c>
      <c r="Q341" s="26">
        <v>742</v>
      </c>
      <c r="R341" s="26">
        <v>792</v>
      </c>
      <c r="S341" s="26">
        <v>777</v>
      </c>
      <c r="T341" s="26">
        <v>787</v>
      </c>
      <c r="U341" s="26">
        <v>760</v>
      </c>
      <c r="V341" s="26">
        <v>808</v>
      </c>
      <c r="W341" s="26">
        <v>796</v>
      </c>
    </row>
    <row r="342" spans="1:37">
      <c r="A342" s="26">
        <v>103</v>
      </c>
      <c r="B342" s="30" t="s">
        <v>159</v>
      </c>
      <c r="C342" s="27">
        <v>63</v>
      </c>
      <c r="D342" s="44"/>
      <c r="E342" s="33">
        <f>표_악몽던전템위력[[#This Row],[ancestral dropped]]/표_악몽던전템위력[[#This Row],[rare+ dropped]]</f>
        <v>0.90909090909090906</v>
      </c>
      <c r="F342" s="47">
        <f>COUNT(표_악몽던전템위력[[#This Row],[item1]:[item46]])</f>
        <v>20</v>
      </c>
      <c r="G342" s="47">
        <v>22</v>
      </c>
      <c r="H342" s="48">
        <f>AVERAGE(표_악몽던전템위력[[#This Row],[item1]:[item46]])</f>
        <v>776.1</v>
      </c>
      <c r="I342" s="26">
        <v>783</v>
      </c>
      <c r="J342" s="26">
        <v>782</v>
      </c>
      <c r="K342" s="26">
        <v>768</v>
      </c>
      <c r="L342" s="26">
        <v>764</v>
      </c>
      <c r="M342" s="26">
        <v>796</v>
      </c>
      <c r="N342" s="26">
        <v>777</v>
      </c>
      <c r="O342" s="26">
        <v>794</v>
      </c>
      <c r="P342" s="26">
        <v>793</v>
      </c>
      <c r="Q342" s="26">
        <v>786</v>
      </c>
      <c r="R342" s="26">
        <v>773</v>
      </c>
      <c r="S342" s="26">
        <v>768</v>
      </c>
      <c r="T342" s="26">
        <v>750</v>
      </c>
      <c r="U342" s="26">
        <v>781</v>
      </c>
      <c r="V342" s="26">
        <v>777</v>
      </c>
      <c r="W342" s="26">
        <v>750</v>
      </c>
      <c r="X342" s="26">
        <v>744</v>
      </c>
      <c r="Y342" s="26">
        <v>755</v>
      </c>
      <c r="Z342" s="26">
        <v>804</v>
      </c>
      <c r="AA342" s="26">
        <v>789</v>
      </c>
      <c r="AB342" s="26">
        <v>788</v>
      </c>
    </row>
    <row r="343" spans="1:37">
      <c r="A343" s="26">
        <v>103</v>
      </c>
      <c r="B343" s="30" t="s">
        <v>145</v>
      </c>
      <c r="C343" s="27">
        <v>63</v>
      </c>
      <c r="D343" s="44"/>
      <c r="E343" s="33">
        <f>표_악몽던전템위력[[#This Row],[ancestral dropped]]/표_악몽던전템위력[[#This Row],[rare+ dropped]]</f>
        <v>0.8125</v>
      </c>
      <c r="F343" s="47">
        <f>COUNT(표_악몽던전템위력[[#This Row],[item1]:[item46]])</f>
        <v>26</v>
      </c>
      <c r="G343" s="47">
        <v>32</v>
      </c>
      <c r="H343" s="48">
        <f>AVERAGE(표_악몽던전템위력[[#This Row],[item1]:[item46]])</f>
        <v>772.23076923076928</v>
      </c>
      <c r="I343" s="26">
        <v>767</v>
      </c>
      <c r="J343" s="26">
        <v>765</v>
      </c>
      <c r="K343" s="26">
        <v>758</v>
      </c>
      <c r="L343" s="26">
        <v>740</v>
      </c>
      <c r="M343" s="26">
        <v>778</v>
      </c>
      <c r="N343" s="26">
        <v>767</v>
      </c>
      <c r="O343" s="26">
        <v>763</v>
      </c>
      <c r="P343" s="26">
        <v>754</v>
      </c>
      <c r="Q343" s="26">
        <v>752</v>
      </c>
      <c r="R343" s="26">
        <v>752</v>
      </c>
      <c r="S343" s="26">
        <v>774</v>
      </c>
      <c r="T343" s="26">
        <v>793</v>
      </c>
      <c r="U343" s="26">
        <v>769</v>
      </c>
      <c r="V343" s="26">
        <v>752</v>
      </c>
      <c r="W343" s="26">
        <v>814</v>
      </c>
      <c r="X343" s="26">
        <v>792</v>
      </c>
      <c r="Y343" s="26">
        <v>786</v>
      </c>
      <c r="Z343" s="26">
        <v>774</v>
      </c>
      <c r="AA343" s="26">
        <v>773</v>
      </c>
      <c r="AB343" s="26">
        <v>784</v>
      </c>
      <c r="AC343" s="26">
        <v>791</v>
      </c>
      <c r="AD343" s="26">
        <v>790</v>
      </c>
      <c r="AE343" s="26">
        <v>764</v>
      </c>
      <c r="AF343" s="26">
        <v>759</v>
      </c>
      <c r="AG343" s="26">
        <v>801</v>
      </c>
      <c r="AH343" s="26">
        <v>766</v>
      </c>
    </row>
    <row r="344" spans="1:37">
      <c r="A344" s="26">
        <v>103</v>
      </c>
      <c r="B344" s="30" t="s">
        <v>123</v>
      </c>
      <c r="C344" s="27">
        <v>63</v>
      </c>
      <c r="D344" s="44"/>
      <c r="E344" s="33">
        <f>표_악몽던전템위력[[#This Row],[ancestral dropped]]/표_악몽던전템위력[[#This Row],[rare+ dropped]]</f>
        <v>0.86956521739130432</v>
      </c>
      <c r="F344" s="47">
        <f>COUNT(표_악몽던전템위력[[#This Row],[item1]:[item46]])</f>
        <v>20</v>
      </c>
      <c r="G344" s="47">
        <v>23</v>
      </c>
      <c r="H344" s="48">
        <f>AVERAGE(표_악몽던전템위력[[#This Row],[item1]:[item46]])</f>
        <v>771.8</v>
      </c>
      <c r="I344" s="26">
        <v>780</v>
      </c>
      <c r="J344" s="26">
        <v>777</v>
      </c>
      <c r="K344" s="26">
        <v>762</v>
      </c>
      <c r="L344" s="26">
        <v>792</v>
      </c>
      <c r="M344" s="26">
        <v>781</v>
      </c>
      <c r="N344" s="26">
        <v>754</v>
      </c>
      <c r="O344" s="26">
        <v>749</v>
      </c>
      <c r="P344" s="26">
        <v>772</v>
      </c>
      <c r="Q344" s="26">
        <v>766</v>
      </c>
      <c r="R344" s="26">
        <v>758</v>
      </c>
      <c r="S344" s="26">
        <v>758</v>
      </c>
      <c r="T344" s="26">
        <v>782</v>
      </c>
      <c r="U344" s="26">
        <v>775</v>
      </c>
      <c r="V344" s="26">
        <v>757</v>
      </c>
      <c r="W344" s="26">
        <v>770</v>
      </c>
      <c r="X344" s="26">
        <v>768</v>
      </c>
      <c r="Y344" s="26">
        <v>806</v>
      </c>
      <c r="Z344" s="26">
        <v>766</v>
      </c>
      <c r="AA344" s="26">
        <v>809</v>
      </c>
      <c r="AB344" s="26">
        <v>754</v>
      </c>
    </row>
    <row r="345" spans="1:37">
      <c r="A345" s="26">
        <v>103</v>
      </c>
      <c r="B345" s="30" t="s">
        <v>71</v>
      </c>
      <c r="C345" s="27">
        <v>63</v>
      </c>
      <c r="D345" s="44"/>
      <c r="E345" s="33">
        <f>표_악몽던전템위력[[#This Row],[ancestral dropped]]/표_악몽던전템위력[[#This Row],[rare+ dropped]]</f>
        <v>0.84615384615384615</v>
      </c>
      <c r="F345" s="47">
        <f>COUNT(표_악몽던전템위력[[#This Row],[item1]:[item46]])</f>
        <v>22</v>
      </c>
      <c r="G345" s="47">
        <v>26</v>
      </c>
      <c r="H345" s="48">
        <f>AVERAGE(표_악몽던전템위력[[#This Row],[item1]:[item46]])</f>
        <v>774.36363636363637</v>
      </c>
      <c r="I345" s="26">
        <v>759</v>
      </c>
      <c r="J345" s="26">
        <v>801</v>
      </c>
      <c r="K345" s="26">
        <v>756</v>
      </c>
      <c r="L345" s="26">
        <v>800</v>
      </c>
      <c r="M345" s="26">
        <v>778</v>
      </c>
      <c r="N345" s="26">
        <v>757</v>
      </c>
      <c r="O345" s="26">
        <v>757</v>
      </c>
      <c r="P345" s="26">
        <v>756</v>
      </c>
      <c r="Q345" s="26">
        <v>739</v>
      </c>
      <c r="R345" s="26">
        <v>792</v>
      </c>
      <c r="S345" s="26">
        <v>789</v>
      </c>
      <c r="T345" s="26">
        <v>794</v>
      </c>
      <c r="U345" s="26">
        <v>784</v>
      </c>
      <c r="V345" s="26">
        <v>783</v>
      </c>
      <c r="W345" s="26">
        <v>774</v>
      </c>
      <c r="X345" s="26">
        <v>766</v>
      </c>
      <c r="Y345" s="26">
        <v>778</v>
      </c>
      <c r="Z345" s="26">
        <v>760</v>
      </c>
      <c r="AA345" s="26">
        <v>753</v>
      </c>
      <c r="AB345" s="26">
        <v>788</v>
      </c>
      <c r="AC345" s="26">
        <v>801</v>
      </c>
      <c r="AD345" s="26">
        <v>771</v>
      </c>
    </row>
    <row r="346" spans="1:37">
      <c r="A346" s="26">
        <v>103</v>
      </c>
      <c r="B346" s="30" t="s">
        <v>124</v>
      </c>
      <c r="C346" s="27">
        <v>66</v>
      </c>
      <c r="D346" s="44"/>
      <c r="E346" s="33">
        <f>표_악몽던전템위력[[#This Row],[ancestral dropped]]/표_악몽던전템위력[[#This Row],[rare+ dropped]]</f>
        <v>0.88</v>
      </c>
      <c r="F346" s="47">
        <f>COUNT(표_악몽던전템위력[[#This Row],[item1]:[item46]])</f>
        <v>22</v>
      </c>
      <c r="G346" s="47">
        <v>25</v>
      </c>
      <c r="H346" s="48">
        <f>AVERAGE(표_악몽던전템위력[[#This Row],[item1]:[item46]])</f>
        <v>771.40909090909088</v>
      </c>
      <c r="I346" s="26">
        <v>796</v>
      </c>
      <c r="J346" s="26">
        <v>760</v>
      </c>
      <c r="K346" s="26">
        <v>786</v>
      </c>
      <c r="L346" s="26">
        <v>759</v>
      </c>
      <c r="M346" s="26">
        <v>754</v>
      </c>
      <c r="N346" s="26">
        <v>783</v>
      </c>
      <c r="O346" s="26">
        <v>777</v>
      </c>
      <c r="P346" s="26">
        <v>772</v>
      </c>
      <c r="Q346" s="26">
        <v>757</v>
      </c>
      <c r="R346" s="26">
        <v>756</v>
      </c>
      <c r="S346" s="26">
        <v>742</v>
      </c>
      <c r="T346" s="26">
        <v>756</v>
      </c>
      <c r="U346" s="26">
        <v>783</v>
      </c>
      <c r="V346" s="26">
        <v>782</v>
      </c>
      <c r="W346" s="26">
        <v>769</v>
      </c>
      <c r="X346" s="26">
        <v>756</v>
      </c>
      <c r="Y346" s="26">
        <v>775</v>
      </c>
      <c r="Z346" s="26">
        <v>757</v>
      </c>
      <c r="AA346" s="26">
        <v>804</v>
      </c>
      <c r="AB346" s="26">
        <v>781</v>
      </c>
      <c r="AC346" s="26">
        <v>764</v>
      </c>
      <c r="AD346" s="26">
        <v>802</v>
      </c>
    </row>
    <row r="347" spans="1:37">
      <c r="A347" s="26">
        <v>103</v>
      </c>
      <c r="B347" s="30" t="s">
        <v>126</v>
      </c>
      <c r="C347" s="27">
        <v>62</v>
      </c>
      <c r="D347" s="44">
        <v>1</v>
      </c>
      <c r="E347" s="33">
        <f>표_악몽던전템위력[[#This Row],[ancestral dropped]]/표_악몽던전템위력[[#This Row],[rare+ dropped]]</f>
        <v>0.91304347826086951</v>
      </c>
      <c r="F347" s="47">
        <f>COUNT(표_악몽던전템위력[[#This Row],[item1]:[item46]])</f>
        <v>21</v>
      </c>
      <c r="G347" s="47">
        <v>23</v>
      </c>
      <c r="H347" s="48">
        <f>AVERAGE(표_악몽던전템위력[[#This Row],[item1]:[item46]])</f>
        <v>772.47619047619048</v>
      </c>
      <c r="I347" s="26">
        <v>749</v>
      </c>
      <c r="J347" s="26">
        <v>810</v>
      </c>
      <c r="K347" s="26">
        <v>785</v>
      </c>
      <c r="L347" s="26">
        <v>780</v>
      </c>
      <c r="M347" s="26">
        <v>778</v>
      </c>
      <c r="N347" s="26">
        <v>777</v>
      </c>
      <c r="O347" s="26">
        <v>776</v>
      </c>
      <c r="P347" s="26">
        <v>755</v>
      </c>
      <c r="Q347" s="26">
        <v>764</v>
      </c>
      <c r="R347" s="26">
        <v>743</v>
      </c>
      <c r="S347" s="26">
        <v>790</v>
      </c>
      <c r="T347" s="26">
        <v>786</v>
      </c>
      <c r="U347" s="26">
        <v>776</v>
      </c>
      <c r="V347" s="26">
        <v>758</v>
      </c>
      <c r="W347" s="26">
        <v>756</v>
      </c>
      <c r="X347" s="26">
        <v>781</v>
      </c>
      <c r="Y347" s="26">
        <v>794</v>
      </c>
      <c r="Z347" s="26">
        <v>778</v>
      </c>
      <c r="AA347" s="26">
        <v>777</v>
      </c>
      <c r="AB347" s="26">
        <v>760</v>
      </c>
      <c r="AC347" s="26">
        <v>749</v>
      </c>
    </row>
    <row r="348" spans="1:37">
      <c r="A348" s="26">
        <v>103</v>
      </c>
      <c r="B348" s="30" t="s">
        <v>0</v>
      </c>
      <c r="C348" s="27">
        <v>63</v>
      </c>
      <c r="D348" s="44"/>
      <c r="E348" s="33">
        <f>표_악몽던전템위력[[#This Row],[ancestral dropped]]/표_악몽던전템위력[[#This Row],[rare+ dropped]]</f>
        <v>0.625</v>
      </c>
      <c r="F348" s="47">
        <f>COUNT(표_악몽던전템위력[[#This Row],[item1]:[item46]])</f>
        <v>10</v>
      </c>
      <c r="G348" s="47">
        <v>16</v>
      </c>
      <c r="H348" s="48">
        <f>AVERAGE(표_악몽던전템위력[[#This Row],[item1]:[item46]])</f>
        <v>770.3</v>
      </c>
      <c r="I348" s="26">
        <v>776</v>
      </c>
      <c r="J348" s="26">
        <v>771</v>
      </c>
      <c r="K348" s="26">
        <v>770</v>
      </c>
      <c r="L348" s="26">
        <v>740</v>
      </c>
      <c r="M348" s="26">
        <v>779</v>
      </c>
      <c r="N348" s="26">
        <v>769</v>
      </c>
      <c r="O348" s="26">
        <v>806</v>
      </c>
      <c r="P348" s="26">
        <v>782</v>
      </c>
      <c r="Q348" s="26">
        <v>761</v>
      </c>
      <c r="R348" s="26">
        <v>749</v>
      </c>
    </row>
    <row r="349" spans="1:37">
      <c r="A349" s="26">
        <v>103</v>
      </c>
      <c r="B349" s="30" t="s">
        <v>150</v>
      </c>
      <c r="C349" s="27">
        <v>63</v>
      </c>
      <c r="D349" s="44"/>
      <c r="E349" s="33">
        <f>표_악몽던전템위력[[#This Row],[ancestral dropped]]/표_악몽던전템위력[[#This Row],[rare+ dropped]]</f>
        <v>0.85185185185185186</v>
      </c>
      <c r="F349" s="47">
        <f>COUNT(표_악몽던전템위력[[#This Row],[item1]:[item46]])</f>
        <v>23</v>
      </c>
      <c r="G349" s="47">
        <v>27</v>
      </c>
      <c r="H349" s="48">
        <f>AVERAGE(표_악몽던전템위력[[#This Row],[item1]:[item46]])</f>
        <v>772.26086956521738</v>
      </c>
      <c r="I349" s="26">
        <v>788</v>
      </c>
      <c r="J349" s="26">
        <v>766</v>
      </c>
      <c r="K349" s="26">
        <v>763</v>
      </c>
      <c r="L349" s="26">
        <v>810</v>
      </c>
      <c r="M349" s="26">
        <v>780</v>
      </c>
      <c r="N349" s="26">
        <v>774</v>
      </c>
      <c r="O349" s="26">
        <v>762</v>
      </c>
      <c r="P349" s="26">
        <v>751</v>
      </c>
      <c r="Q349" s="26">
        <v>799</v>
      </c>
      <c r="R349" s="26">
        <v>789</v>
      </c>
      <c r="S349" s="26">
        <v>788</v>
      </c>
      <c r="T349" s="26">
        <v>784</v>
      </c>
      <c r="U349" s="26">
        <v>755</v>
      </c>
      <c r="V349" s="26">
        <v>754</v>
      </c>
      <c r="W349" s="26">
        <v>748</v>
      </c>
      <c r="X349" s="26">
        <v>741</v>
      </c>
      <c r="Y349" s="26">
        <v>781</v>
      </c>
      <c r="Z349" s="26">
        <v>779</v>
      </c>
      <c r="AA349" s="26">
        <v>791</v>
      </c>
      <c r="AB349" s="26">
        <v>786</v>
      </c>
      <c r="AC349" s="26">
        <v>764</v>
      </c>
      <c r="AD349" s="26">
        <v>759</v>
      </c>
      <c r="AE349" s="26">
        <v>750</v>
      </c>
    </row>
    <row r="350" spans="1:37">
      <c r="A350" s="26">
        <v>103</v>
      </c>
      <c r="B350" s="30" t="s">
        <v>12</v>
      </c>
      <c r="C350" s="27">
        <v>65</v>
      </c>
      <c r="D350" s="44"/>
      <c r="E350" s="33">
        <f>표_악몽던전템위력[[#This Row],[ancestral dropped]]/표_악몽던전템위력[[#This Row],[rare+ dropped]]</f>
        <v>0.875</v>
      </c>
      <c r="F350" s="47">
        <f>COUNT(표_악몽던전템위력[[#This Row],[item1]:[item46]])</f>
        <v>14</v>
      </c>
      <c r="G350" s="47">
        <v>16</v>
      </c>
      <c r="H350" s="48">
        <f>AVERAGE(표_악몽던전템위력[[#This Row],[item1]:[item46]])</f>
        <v>774.07142857142856</v>
      </c>
      <c r="I350" s="26">
        <v>814</v>
      </c>
      <c r="J350" s="26">
        <v>779</v>
      </c>
      <c r="K350" s="26">
        <v>802</v>
      </c>
      <c r="L350" s="26">
        <v>796</v>
      </c>
      <c r="M350" s="26">
        <v>788</v>
      </c>
      <c r="N350" s="26">
        <v>756</v>
      </c>
      <c r="O350" s="26">
        <v>752</v>
      </c>
      <c r="P350" s="26">
        <v>758</v>
      </c>
      <c r="Q350" s="26">
        <v>751</v>
      </c>
      <c r="R350" s="26">
        <v>743</v>
      </c>
      <c r="S350" s="26">
        <v>778</v>
      </c>
      <c r="T350" s="26">
        <v>765</v>
      </c>
      <c r="U350" s="26">
        <v>784</v>
      </c>
      <c r="V350" s="26">
        <v>771</v>
      </c>
    </row>
    <row r="351" spans="1:37">
      <c r="A351" s="26">
        <v>103</v>
      </c>
      <c r="B351" s="30" t="s">
        <v>122</v>
      </c>
      <c r="C351" s="27">
        <v>65</v>
      </c>
      <c r="D351" s="44">
        <v>1</v>
      </c>
      <c r="E351" s="33">
        <f>표_악몽던전템위력[[#This Row],[ancestral dropped]]/표_악몽던전템위력[[#This Row],[rare+ dropped]]</f>
        <v>1</v>
      </c>
      <c r="F351" s="47">
        <f>COUNT(표_악몽던전템위력[[#This Row],[item1]:[item46]])</f>
        <v>28</v>
      </c>
      <c r="G351" s="47">
        <v>28</v>
      </c>
      <c r="H351" s="48">
        <f>AVERAGE(표_악몽던전템위력[[#This Row],[item1]:[item46]])</f>
        <v>775.42857142857144</v>
      </c>
      <c r="I351" s="26">
        <v>801</v>
      </c>
      <c r="J351" s="26">
        <v>789</v>
      </c>
      <c r="K351" s="26">
        <v>766</v>
      </c>
      <c r="L351" s="26">
        <v>765</v>
      </c>
      <c r="M351" s="26">
        <v>759</v>
      </c>
      <c r="N351" s="26">
        <v>798</v>
      </c>
      <c r="O351" s="26">
        <v>760</v>
      </c>
      <c r="P351" s="26">
        <v>794</v>
      </c>
      <c r="Q351" s="26">
        <v>792</v>
      </c>
      <c r="R351" s="26">
        <v>781</v>
      </c>
      <c r="S351" s="26">
        <v>800</v>
      </c>
      <c r="T351" s="26">
        <v>783</v>
      </c>
      <c r="U351" s="26">
        <v>780</v>
      </c>
      <c r="V351" s="26">
        <v>764</v>
      </c>
      <c r="W351" s="26">
        <v>759</v>
      </c>
      <c r="X351" s="26">
        <v>754</v>
      </c>
      <c r="Y351" s="26">
        <v>752</v>
      </c>
      <c r="Z351" s="26">
        <v>785</v>
      </c>
      <c r="AA351" s="26">
        <v>781</v>
      </c>
      <c r="AB351" s="26">
        <v>768</v>
      </c>
      <c r="AC351" s="26">
        <v>759</v>
      </c>
      <c r="AD351" s="26">
        <v>755</v>
      </c>
      <c r="AE351" s="26">
        <v>745</v>
      </c>
      <c r="AF351" s="26">
        <v>804</v>
      </c>
      <c r="AG351" s="26">
        <v>766</v>
      </c>
      <c r="AH351" s="26">
        <v>807</v>
      </c>
      <c r="AI351" s="26">
        <v>778</v>
      </c>
      <c r="AJ351" s="26">
        <v>767</v>
      </c>
    </row>
    <row r="352" spans="1:37">
      <c r="A352" s="26">
        <v>103</v>
      </c>
      <c r="B352" s="30" t="s">
        <v>159</v>
      </c>
      <c r="C352" s="27">
        <v>66</v>
      </c>
      <c r="D352" s="44"/>
      <c r="E352" s="33">
        <f>표_악몽던전템위력[[#This Row],[ancestral dropped]]/표_악몽던전템위력[[#This Row],[rare+ dropped]]</f>
        <v>0.81818181818181823</v>
      </c>
      <c r="F352" s="47">
        <f>COUNT(표_악몽던전템위력[[#This Row],[item1]:[item46]])</f>
        <v>18</v>
      </c>
      <c r="G352" s="47">
        <v>22</v>
      </c>
      <c r="H352" s="48">
        <f>AVERAGE(표_악몽던전템위력[[#This Row],[item1]:[item46]])</f>
        <v>773.27777777777783</v>
      </c>
      <c r="I352" s="26">
        <v>782</v>
      </c>
      <c r="J352" s="26">
        <v>762</v>
      </c>
      <c r="K352" s="26">
        <v>762</v>
      </c>
      <c r="L352" s="26">
        <v>798</v>
      </c>
      <c r="M352" s="26">
        <v>761</v>
      </c>
      <c r="N352" s="26">
        <v>794</v>
      </c>
      <c r="O352" s="26">
        <v>768</v>
      </c>
      <c r="P352" s="26">
        <v>768</v>
      </c>
      <c r="Q352" s="26">
        <v>804</v>
      </c>
      <c r="R352" s="26">
        <v>752</v>
      </c>
      <c r="S352" s="26">
        <v>807</v>
      </c>
      <c r="T352" s="26">
        <v>775</v>
      </c>
      <c r="U352" s="26">
        <v>766</v>
      </c>
      <c r="V352" s="26">
        <v>758</v>
      </c>
      <c r="W352" s="26">
        <v>745</v>
      </c>
      <c r="X352" s="26">
        <v>746</v>
      </c>
      <c r="Y352" s="26">
        <v>788</v>
      </c>
      <c r="Z352" s="26">
        <v>783</v>
      </c>
    </row>
    <row r="353" spans="1:47">
      <c r="A353" s="26">
        <v>103</v>
      </c>
      <c r="B353" s="30" t="s">
        <v>138</v>
      </c>
      <c r="C353" s="27">
        <v>66</v>
      </c>
      <c r="D353" s="44"/>
      <c r="E353" s="33">
        <f>표_악몽던전템위력[[#This Row],[ancestral dropped]]/표_악몽던전템위력[[#This Row],[rare+ dropped]]</f>
        <v>0.92307692307692313</v>
      </c>
      <c r="F353" s="47">
        <f>COUNT(표_악몽던전템위력[[#This Row],[item1]:[item46]])</f>
        <v>36</v>
      </c>
      <c r="G353" s="47">
        <v>39</v>
      </c>
      <c r="H353" s="48">
        <f>AVERAGE(표_악몽던전템위력[[#This Row],[item1]:[item46]])</f>
        <v>773.83333333333337</v>
      </c>
      <c r="I353" s="26">
        <v>796</v>
      </c>
      <c r="J353" s="26">
        <v>785</v>
      </c>
      <c r="K353" s="26">
        <v>764</v>
      </c>
      <c r="L353" s="26">
        <v>787</v>
      </c>
      <c r="M353" s="26">
        <v>786</v>
      </c>
      <c r="N353" s="26">
        <v>769</v>
      </c>
      <c r="O353" s="26">
        <v>757</v>
      </c>
      <c r="P353" s="26">
        <v>750</v>
      </c>
      <c r="Q353" s="26">
        <v>737</v>
      </c>
      <c r="R353" s="26">
        <v>796</v>
      </c>
      <c r="S353" s="26">
        <v>790</v>
      </c>
      <c r="T353" s="26">
        <v>777</v>
      </c>
      <c r="U353" s="26">
        <v>747</v>
      </c>
      <c r="V353" s="26">
        <v>746</v>
      </c>
      <c r="W353" s="26">
        <v>802</v>
      </c>
      <c r="X353" s="26">
        <v>754</v>
      </c>
      <c r="Y353" s="26">
        <v>773</v>
      </c>
      <c r="Z353" s="26">
        <v>762</v>
      </c>
      <c r="AA353" s="26">
        <v>755</v>
      </c>
      <c r="AB353" s="26">
        <v>815</v>
      </c>
      <c r="AC353" s="26">
        <v>769</v>
      </c>
      <c r="AD353" s="26">
        <v>798</v>
      </c>
      <c r="AE353" s="26">
        <v>795</v>
      </c>
      <c r="AF353" s="26">
        <v>788</v>
      </c>
      <c r="AG353" s="26">
        <v>784</v>
      </c>
      <c r="AH353" s="26">
        <v>779</v>
      </c>
      <c r="AI353" s="26">
        <v>771</v>
      </c>
      <c r="AJ353" s="26">
        <v>766</v>
      </c>
      <c r="AK353" s="26">
        <v>761</v>
      </c>
      <c r="AL353" s="26">
        <v>732</v>
      </c>
      <c r="AM353" s="26">
        <v>781</v>
      </c>
      <c r="AN353" s="26">
        <v>770</v>
      </c>
      <c r="AO353" s="26">
        <v>774</v>
      </c>
      <c r="AP353" s="26">
        <v>770</v>
      </c>
      <c r="AQ353" s="26">
        <v>757</v>
      </c>
      <c r="AR353" s="26">
        <v>815</v>
      </c>
    </row>
    <row r="354" spans="1:47">
      <c r="A354" s="26">
        <v>103</v>
      </c>
      <c r="B354" s="30" t="s">
        <v>123</v>
      </c>
      <c r="C354" s="27">
        <v>66</v>
      </c>
      <c r="D354" s="44"/>
      <c r="E354" s="33">
        <f>표_악몽던전템위력[[#This Row],[ancestral dropped]]/표_악몽던전템위력[[#This Row],[rare+ dropped]]</f>
        <v>0.86363636363636365</v>
      </c>
      <c r="F354" s="47">
        <f>COUNT(표_악몽던전템위력[[#This Row],[item1]:[item46]])</f>
        <v>19</v>
      </c>
      <c r="G354" s="47">
        <v>22</v>
      </c>
      <c r="H354" s="48">
        <f>AVERAGE(표_악몽던전템위력[[#This Row],[item1]:[item46]])</f>
        <v>772.73684210526312</v>
      </c>
      <c r="I354" s="26">
        <v>802</v>
      </c>
      <c r="J354" s="26">
        <v>767</v>
      </c>
      <c r="K354" s="26">
        <v>751</v>
      </c>
      <c r="L354" s="26">
        <v>780</v>
      </c>
      <c r="M354" s="26">
        <v>778</v>
      </c>
      <c r="N354" s="26">
        <v>784</v>
      </c>
      <c r="O354" s="26">
        <v>769</v>
      </c>
      <c r="P354" s="26">
        <v>767</v>
      </c>
      <c r="Q354" s="26">
        <v>793</v>
      </c>
      <c r="R354" s="26">
        <v>793</v>
      </c>
      <c r="S354" s="26">
        <v>774</v>
      </c>
      <c r="T354" s="26">
        <v>743</v>
      </c>
      <c r="U354" s="26">
        <v>758</v>
      </c>
      <c r="V354" s="26">
        <v>777</v>
      </c>
      <c r="W354" s="26">
        <v>764</v>
      </c>
      <c r="X354" s="26">
        <v>775</v>
      </c>
      <c r="Y354" s="26">
        <v>760</v>
      </c>
      <c r="Z354" s="26">
        <v>798</v>
      </c>
      <c r="AA354" s="26">
        <v>749</v>
      </c>
    </row>
    <row r="355" spans="1:47">
      <c r="A355" s="26">
        <v>103</v>
      </c>
      <c r="B355" s="30" t="s">
        <v>13</v>
      </c>
      <c r="C355" s="27">
        <v>67</v>
      </c>
      <c r="D355" s="44">
        <v>1</v>
      </c>
      <c r="E355" s="33">
        <f>표_악몽던전템위력[[#This Row],[ancestral dropped]]/표_악몽던전템위력[[#This Row],[rare+ dropped]]</f>
        <v>0.88</v>
      </c>
      <c r="F355" s="47">
        <f>COUNT(표_악몽던전템위력[[#This Row],[item1]:[item46]])</f>
        <v>22</v>
      </c>
      <c r="G355" s="47">
        <v>25</v>
      </c>
      <c r="H355" s="48">
        <f>AVERAGE(표_악몽던전템위력[[#This Row],[item1]:[item46]])</f>
        <v>770.5</v>
      </c>
      <c r="I355" s="26">
        <v>788</v>
      </c>
      <c r="J355" s="26">
        <v>743</v>
      </c>
      <c r="K355" s="26">
        <v>783</v>
      </c>
      <c r="L355" s="26">
        <v>773</v>
      </c>
      <c r="M355" s="26">
        <v>771</v>
      </c>
      <c r="N355" s="26">
        <v>754</v>
      </c>
      <c r="O355" s="26">
        <v>799</v>
      </c>
      <c r="P355" s="26">
        <v>739</v>
      </c>
      <c r="Q355" s="26">
        <v>789</v>
      </c>
      <c r="R355" s="26">
        <v>773</v>
      </c>
      <c r="S355" s="26">
        <v>770</v>
      </c>
      <c r="T355" s="26">
        <v>766</v>
      </c>
      <c r="U355" s="26">
        <v>751</v>
      </c>
      <c r="V355" s="26">
        <v>798</v>
      </c>
      <c r="W355" s="26">
        <v>760</v>
      </c>
      <c r="X355" s="26">
        <v>751</v>
      </c>
      <c r="Y355" s="26">
        <v>741</v>
      </c>
      <c r="Z355" s="26">
        <v>806</v>
      </c>
      <c r="AA355" s="26">
        <v>794</v>
      </c>
      <c r="AB355" s="26">
        <v>775</v>
      </c>
      <c r="AC355" s="26">
        <v>758</v>
      </c>
      <c r="AD355" s="26">
        <v>769</v>
      </c>
    </row>
    <row r="356" spans="1:47">
      <c r="A356" s="26">
        <v>103</v>
      </c>
      <c r="B356" s="30" t="s">
        <v>138</v>
      </c>
      <c r="C356" s="27">
        <v>70</v>
      </c>
      <c r="D356" s="44">
        <v>1</v>
      </c>
      <c r="E356" s="33">
        <f>표_악몽던전템위력[[#This Row],[ancestral dropped]]/표_악몽던전템위력[[#This Row],[rare+ dropped]]</f>
        <v>0.95121951219512191</v>
      </c>
      <c r="F356" s="47">
        <f>COUNT(표_악몽던전템위력[[#This Row],[item1]:[item46]])</f>
        <v>39</v>
      </c>
      <c r="G356" s="47">
        <v>41</v>
      </c>
      <c r="H356" s="48">
        <f>AVERAGE(표_악몽던전템위력[[#This Row],[item1]:[item46]])</f>
        <v>772.51282051282055</v>
      </c>
      <c r="I356" s="26">
        <v>776</v>
      </c>
      <c r="J356" s="26">
        <v>776</v>
      </c>
      <c r="K356" s="26">
        <v>771</v>
      </c>
      <c r="L356" s="26">
        <v>762</v>
      </c>
      <c r="M356" s="26">
        <v>757</v>
      </c>
      <c r="N356" s="26">
        <v>796</v>
      </c>
      <c r="O356" s="26">
        <v>783</v>
      </c>
      <c r="P356" s="26">
        <v>781</v>
      </c>
      <c r="Q356" s="26">
        <v>778</v>
      </c>
      <c r="R356" s="26">
        <v>762</v>
      </c>
      <c r="S356" s="26">
        <v>743</v>
      </c>
      <c r="T356" s="26">
        <v>739</v>
      </c>
      <c r="U356" s="26">
        <v>784</v>
      </c>
      <c r="V356" s="26">
        <v>742</v>
      </c>
      <c r="W356" s="26">
        <v>791</v>
      </c>
      <c r="X356" s="26">
        <v>790</v>
      </c>
      <c r="Y356" s="26">
        <v>781</v>
      </c>
      <c r="Z356" s="26">
        <v>777</v>
      </c>
      <c r="AA356" s="26">
        <v>773</v>
      </c>
      <c r="AB356" s="26">
        <v>766</v>
      </c>
      <c r="AC356" s="26">
        <v>761</v>
      </c>
      <c r="AD356" s="26">
        <v>758</v>
      </c>
      <c r="AE356" s="26">
        <v>742</v>
      </c>
      <c r="AF356" s="26">
        <v>755</v>
      </c>
      <c r="AG356" s="26">
        <v>787</v>
      </c>
      <c r="AH356" s="26">
        <v>779</v>
      </c>
      <c r="AI356" s="26">
        <v>771</v>
      </c>
      <c r="AJ356" s="26">
        <v>742</v>
      </c>
      <c r="AK356" s="26">
        <v>749</v>
      </c>
      <c r="AL356" s="26">
        <v>796</v>
      </c>
      <c r="AM356" s="26">
        <v>780</v>
      </c>
      <c r="AN356" s="26">
        <v>803</v>
      </c>
      <c r="AO356" s="26">
        <v>805</v>
      </c>
      <c r="AP356" s="26">
        <v>782</v>
      </c>
      <c r="AQ356" s="26">
        <v>795</v>
      </c>
      <c r="AR356" s="26">
        <v>789</v>
      </c>
      <c r="AS356" s="26">
        <v>764</v>
      </c>
      <c r="AT356" s="26">
        <v>782</v>
      </c>
      <c r="AU356" s="26">
        <v>760</v>
      </c>
    </row>
    <row r="357" spans="1:47">
      <c r="A357" s="26">
        <v>103</v>
      </c>
      <c r="B357" s="30" t="s">
        <v>124</v>
      </c>
      <c r="C357" s="27">
        <v>70</v>
      </c>
      <c r="D357" s="44"/>
      <c r="E357" s="33">
        <f>표_악몽던전템위력[[#This Row],[ancestral dropped]]/표_악몽던전템위력[[#This Row],[rare+ dropped]]</f>
        <v>0.95454545454545459</v>
      </c>
      <c r="F357" s="47">
        <f>COUNT(표_악몽던전템위력[[#This Row],[item1]:[item46]])</f>
        <v>21</v>
      </c>
      <c r="G357" s="47">
        <v>22</v>
      </c>
      <c r="H357" s="48">
        <f>AVERAGE(표_악몽던전템위력[[#This Row],[item1]:[item46]])</f>
        <v>770.28571428571433</v>
      </c>
      <c r="I357" s="26">
        <v>779</v>
      </c>
      <c r="J357" s="26">
        <v>758</v>
      </c>
      <c r="K357" s="26">
        <v>753</v>
      </c>
      <c r="L357" s="26">
        <v>764</v>
      </c>
      <c r="M357" s="26">
        <v>771</v>
      </c>
      <c r="N357" s="26">
        <v>765</v>
      </c>
      <c r="O357" s="26">
        <v>735</v>
      </c>
      <c r="P357" s="26">
        <v>795</v>
      </c>
      <c r="Q357" s="26">
        <v>764</v>
      </c>
      <c r="R357" s="26">
        <v>763</v>
      </c>
      <c r="S357" s="26">
        <v>804</v>
      </c>
      <c r="T357" s="26">
        <v>779</v>
      </c>
      <c r="U357" s="26">
        <v>750</v>
      </c>
      <c r="V357" s="26">
        <v>796</v>
      </c>
      <c r="W357" s="26">
        <v>792</v>
      </c>
      <c r="X357" s="26">
        <v>775</v>
      </c>
      <c r="Y357" s="26">
        <v>769</v>
      </c>
      <c r="Z357" s="26">
        <v>763</v>
      </c>
      <c r="AA357" s="26">
        <v>748</v>
      </c>
      <c r="AB357" s="26">
        <v>761</v>
      </c>
      <c r="AC357" s="26">
        <v>792</v>
      </c>
    </row>
    <row r="358" spans="1:47">
      <c r="A358" s="26">
        <v>103</v>
      </c>
      <c r="B358" s="30" t="s">
        <v>9</v>
      </c>
      <c r="C358" s="27">
        <v>70</v>
      </c>
      <c r="D358" s="44"/>
      <c r="E358" s="33">
        <f>표_악몽던전템위력[[#This Row],[ancestral dropped]]/표_악몽던전템위력[[#This Row],[rare+ dropped]]</f>
        <v>0.88235294117647056</v>
      </c>
      <c r="F358" s="47">
        <f>COUNT(표_악몽던전템위력[[#This Row],[item1]:[item46]])</f>
        <v>30</v>
      </c>
      <c r="G358" s="47">
        <v>34</v>
      </c>
      <c r="H358" s="48">
        <f>AVERAGE(표_악몽던전템위력[[#This Row],[item1]:[item46]])</f>
        <v>773.66666666666663</v>
      </c>
      <c r="I358" s="26">
        <v>789</v>
      </c>
      <c r="J358" s="26">
        <v>786</v>
      </c>
      <c r="K358" s="26">
        <v>764</v>
      </c>
      <c r="L358" s="26">
        <v>755</v>
      </c>
      <c r="M358" s="26">
        <v>760</v>
      </c>
      <c r="N358" s="26">
        <v>745</v>
      </c>
      <c r="O358" s="26">
        <v>798</v>
      </c>
      <c r="P358" s="26">
        <v>793</v>
      </c>
      <c r="Q358" s="26">
        <v>783</v>
      </c>
      <c r="R358" s="26">
        <v>776</v>
      </c>
      <c r="S358" s="26">
        <v>773</v>
      </c>
      <c r="T358" s="26">
        <v>764</v>
      </c>
      <c r="U358" s="26">
        <v>792</v>
      </c>
      <c r="V358" s="26">
        <v>774</v>
      </c>
      <c r="W358" s="26">
        <v>787</v>
      </c>
      <c r="X358" s="26">
        <v>783</v>
      </c>
      <c r="Y358" s="26">
        <v>768</v>
      </c>
      <c r="Z358" s="26">
        <v>766</v>
      </c>
      <c r="AA358" s="26">
        <v>754</v>
      </c>
      <c r="AB358" s="26">
        <v>799</v>
      </c>
      <c r="AC358" s="26">
        <v>789</v>
      </c>
      <c r="AD358" s="26">
        <v>788</v>
      </c>
      <c r="AE358" s="26">
        <v>764</v>
      </c>
      <c r="AF358" s="26">
        <v>789</v>
      </c>
      <c r="AG358" s="26">
        <v>782</v>
      </c>
      <c r="AH358" s="26">
        <v>774</v>
      </c>
      <c r="AI358" s="26">
        <v>765</v>
      </c>
      <c r="AJ358" s="26">
        <v>763</v>
      </c>
      <c r="AK358" s="26">
        <v>727</v>
      </c>
      <c r="AL358" s="26">
        <v>760</v>
      </c>
    </row>
    <row r="359" spans="1:47">
      <c r="A359" s="26">
        <v>104</v>
      </c>
      <c r="B359" s="30" t="s">
        <v>126</v>
      </c>
      <c r="C359" s="27">
        <v>63</v>
      </c>
      <c r="D359" s="44"/>
      <c r="E359" s="33">
        <f>표_악몽던전템위력[[#This Row],[ancestral dropped]]/표_악몽던전템위력[[#This Row],[rare+ dropped]]</f>
        <v>0.84210526315789469</v>
      </c>
      <c r="F359" s="47">
        <f>COUNT(표_악몽던전템위력[[#This Row],[item1]:[item46]])</f>
        <v>16</v>
      </c>
      <c r="G359" s="47">
        <v>19</v>
      </c>
      <c r="H359" s="48">
        <f>AVERAGE(표_악몽던전템위력[[#This Row],[item1]:[item46]])</f>
        <v>779.375</v>
      </c>
      <c r="I359" s="26">
        <v>777</v>
      </c>
      <c r="J359" s="26">
        <v>772</v>
      </c>
      <c r="K359" s="26">
        <v>744</v>
      </c>
      <c r="L359" s="26">
        <v>778</v>
      </c>
      <c r="M359" s="26">
        <v>786</v>
      </c>
      <c r="N359" s="26">
        <v>778</v>
      </c>
      <c r="O359" s="26">
        <v>782</v>
      </c>
      <c r="P359" s="26">
        <v>778</v>
      </c>
      <c r="Q359" s="26">
        <v>802</v>
      </c>
      <c r="R359" s="26">
        <v>793</v>
      </c>
      <c r="S359" s="26">
        <v>756</v>
      </c>
      <c r="T359" s="26">
        <v>794</v>
      </c>
      <c r="U359" s="26">
        <v>782</v>
      </c>
      <c r="V359" s="26">
        <v>781</v>
      </c>
      <c r="W359" s="26">
        <v>813</v>
      </c>
      <c r="X359" s="26">
        <v>754</v>
      </c>
    </row>
    <row r="360" spans="1:47">
      <c r="A360" s="26">
        <v>104</v>
      </c>
      <c r="B360" s="30" t="s">
        <v>9</v>
      </c>
      <c r="C360" s="27">
        <v>72</v>
      </c>
      <c r="D360" s="44"/>
      <c r="E360" s="33">
        <f>표_악몽던전템위력[[#This Row],[ancestral dropped]]/표_악몽던전템위력[[#This Row],[rare+ dropped]]</f>
        <v>0.94285714285714284</v>
      </c>
      <c r="F360" s="47">
        <f>COUNT(표_악몽던전템위력[[#This Row],[item1]:[item46]])</f>
        <v>33</v>
      </c>
      <c r="G360" s="47">
        <v>35</v>
      </c>
      <c r="H360" s="48">
        <f>AVERAGE(표_악몽던전템위력[[#This Row],[item1]:[item46]])</f>
        <v>777.4848484848485</v>
      </c>
      <c r="I360" s="26">
        <v>808</v>
      </c>
      <c r="J360" s="26">
        <v>792</v>
      </c>
      <c r="K360" s="26">
        <v>790</v>
      </c>
      <c r="L360" s="26">
        <v>786</v>
      </c>
      <c r="M360" s="26">
        <v>783</v>
      </c>
      <c r="N360" s="26">
        <v>765</v>
      </c>
      <c r="O360" s="26">
        <v>782</v>
      </c>
      <c r="P360" s="26">
        <v>763</v>
      </c>
      <c r="Q360" s="26">
        <v>784</v>
      </c>
      <c r="R360" s="26">
        <v>757</v>
      </c>
      <c r="S360" s="26">
        <v>806</v>
      </c>
      <c r="T360" s="26">
        <v>793</v>
      </c>
      <c r="U360" s="26">
        <v>787</v>
      </c>
      <c r="V360" s="26">
        <v>775</v>
      </c>
      <c r="W360" s="26">
        <v>766</v>
      </c>
      <c r="X360" s="26">
        <v>761</v>
      </c>
      <c r="Y360" s="26">
        <v>757</v>
      </c>
      <c r="Z360" s="26">
        <v>794</v>
      </c>
      <c r="AA360" s="26">
        <v>774</v>
      </c>
      <c r="AB360" s="26">
        <v>743</v>
      </c>
      <c r="AC360" s="26">
        <v>805</v>
      </c>
      <c r="AD360" s="26">
        <v>755</v>
      </c>
      <c r="AE360" s="26">
        <v>752</v>
      </c>
      <c r="AF360" s="26">
        <v>775</v>
      </c>
      <c r="AG360" s="26">
        <v>746</v>
      </c>
      <c r="AH360" s="26">
        <v>792</v>
      </c>
      <c r="AI360" s="26">
        <v>783</v>
      </c>
      <c r="AJ360" s="26">
        <v>776</v>
      </c>
      <c r="AK360" s="26">
        <v>756</v>
      </c>
      <c r="AL360" s="26">
        <v>781</v>
      </c>
      <c r="AM360" s="26">
        <v>778</v>
      </c>
      <c r="AN360" s="26">
        <v>801</v>
      </c>
      <c r="AO360" s="26">
        <v>791</v>
      </c>
    </row>
    <row r="361" spans="1:47">
      <c r="A361" s="26">
        <v>104</v>
      </c>
      <c r="B361" s="30" t="s">
        <v>124</v>
      </c>
      <c r="C361" s="27">
        <v>74</v>
      </c>
      <c r="D361" s="44"/>
      <c r="E361" s="33">
        <f>표_악몽던전템위력[[#This Row],[ancestral dropped]]/표_악몽던전템위력[[#This Row],[rare+ dropped]]</f>
        <v>0.92307692307692313</v>
      </c>
      <c r="F361" s="47">
        <f>COUNT(표_악몽던전템위력[[#This Row],[item1]:[item46]])</f>
        <v>24</v>
      </c>
      <c r="G361" s="47">
        <v>26</v>
      </c>
      <c r="H361" s="48">
        <f>AVERAGE(표_악몽던전템위력[[#This Row],[item1]:[item46]])</f>
        <v>770.54166666666663</v>
      </c>
      <c r="I361" s="26">
        <v>781</v>
      </c>
      <c r="J361" s="26">
        <v>773</v>
      </c>
      <c r="K361" s="26">
        <v>767</v>
      </c>
      <c r="L361" s="26">
        <v>766</v>
      </c>
      <c r="M361" s="26">
        <v>765</v>
      </c>
      <c r="N361" s="26">
        <v>761</v>
      </c>
      <c r="O361" s="26">
        <v>757</v>
      </c>
      <c r="P361" s="26">
        <v>775</v>
      </c>
      <c r="Q361" s="26">
        <v>742</v>
      </c>
      <c r="R361" s="26">
        <v>795</v>
      </c>
      <c r="S361" s="26">
        <v>779</v>
      </c>
      <c r="T361" s="26">
        <v>775</v>
      </c>
      <c r="U361" s="26">
        <v>777</v>
      </c>
      <c r="V361" s="26">
        <v>784</v>
      </c>
      <c r="W361" s="26">
        <v>789</v>
      </c>
      <c r="X361" s="26">
        <v>788</v>
      </c>
      <c r="Y361" s="26">
        <v>783</v>
      </c>
      <c r="Z361" s="26">
        <v>776</v>
      </c>
      <c r="AA361" s="26">
        <v>760</v>
      </c>
      <c r="AB361" s="26">
        <v>754</v>
      </c>
      <c r="AC361" s="26">
        <v>749</v>
      </c>
      <c r="AD361" s="26">
        <v>740</v>
      </c>
      <c r="AE361" s="26">
        <v>793</v>
      </c>
      <c r="AF361" s="26">
        <v>764</v>
      </c>
    </row>
    <row r="362" spans="1:47">
      <c r="A362" s="26">
        <v>104</v>
      </c>
      <c r="B362" s="30" t="s">
        <v>150</v>
      </c>
      <c r="C362" s="27">
        <v>75</v>
      </c>
      <c r="D362" s="44"/>
      <c r="E362" s="33">
        <f>표_악몽던전템위력[[#This Row],[ancestral dropped]]/표_악몽던전템위력[[#This Row],[rare+ dropped]]</f>
        <v>1</v>
      </c>
      <c r="F362" s="47">
        <f>COUNT(표_악몽던전템위력[[#This Row],[item1]:[item46]])</f>
        <v>25</v>
      </c>
      <c r="G362" s="47">
        <v>25</v>
      </c>
      <c r="H362" s="48">
        <f>AVERAGE(표_악몽던전템위력[[#This Row],[item1]:[item46]])</f>
        <v>774.12</v>
      </c>
      <c r="I362" s="26">
        <v>756</v>
      </c>
      <c r="J362" s="26">
        <v>798</v>
      </c>
      <c r="K362" s="26">
        <v>783</v>
      </c>
      <c r="L362" s="26">
        <v>775</v>
      </c>
      <c r="M362" s="26">
        <v>774</v>
      </c>
      <c r="N362" s="26">
        <v>767</v>
      </c>
      <c r="O362" s="26">
        <v>754</v>
      </c>
      <c r="P362" s="26">
        <v>805</v>
      </c>
      <c r="Q362" s="26">
        <v>801</v>
      </c>
      <c r="R362" s="26">
        <v>798</v>
      </c>
      <c r="S362" s="26">
        <v>791</v>
      </c>
      <c r="T362" s="26">
        <v>779</v>
      </c>
      <c r="U362" s="26">
        <v>775</v>
      </c>
      <c r="V362" s="26">
        <v>774</v>
      </c>
      <c r="W362" s="26">
        <v>757</v>
      </c>
      <c r="X362" s="26">
        <v>750</v>
      </c>
      <c r="Y362" s="26">
        <v>749</v>
      </c>
      <c r="Z362" s="26">
        <v>780</v>
      </c>
      <c r="AA362" s="26">
        <v>771</v>
      </c>
      <c r="AB362" s="26">
        <v>750</v>
      </c>
      <c r="AC362" s="26">
        <v>797</v>
      </c>
      <c r="AD362" s="26">
        <v>762</v>
      </c>
      <c r="AE362" s="26">
        <v>747</v>
      </c>
      <c r="AF362" s="26">
        <v>780</v>
      </c>
      <c r="AG362" s="26">
        <v>780</v>
      </c>
    </row>
    <row r="363" spans="1:47">
      <c r="A363" s="26">
        <v>104</v>
      </c>
      <c r="B363" s="30" t="s">
        <v>0</v>
      </c>
      <c r="C363" s="27">
        <v>78</v>
      </c>
      <c r="D363" s="44"/>
      <c r="E363" s="33">
        <f>표_악몽던전템위력[[#This Row],[ancestral dropped]]/표_악몽던전템위력[[#This Row],[rare+ dropped]]</f>
        <v>1</v>
      </c>
      <c r="F363" s="47">
        <f>COUNT(표_악몽던전템위력[[#This Row],[item1]:[item46]])</f>
        <v>29</v>
      </c>
      <c r="G363" s="47">
        <v>29</v>
      </c>
      <c r="H363" s="48">
        <f>AVERAGE(표_악몽던전템위력[[#This Row],[item1]:[item46]])</f>
        <v>773.89655172413791</v>
      </c>
      <c r="I363" s="26">
        <v>802</v>
      </c>
      <c r="J363" s="26">
        <v>773</v>
      </c>
      <c r="K363" s="26">
        <v>771</v>
      </c>
      <c r="L363" s="26">
        <v>765</v>
      </c>
      <c r="M363" s="26">
        <v>757</v>
      </c>
      <c r="N363" s="26">
        <v>744</v>
      </c>
      <c r="O363" s="26">
        <v>805</v>
      </c>
      <c r="P363" s="26">
        <v>770</v>
      </c>
      <c r="Q363" s="26">
        <v>760</v>
      </c>
      <c r="R363" s="26">
        <v>742</v>
      </c>
      <c r="S363" s="26">
        <v>812</v>
      </c>
      <c r="T363" s="26">
        <v>798</v>
      </c>
      <c r="U363" s="26">
        <v>782</v>
      </c>
      <c r="V363" s="26">
        <v>772</v>
      </c>
      <c r="W363" s="26">
        <v>759</v>
      </c>
      <c r="X363" s="26">
        <v>802</v>
      </c>
      <c r="Y363" s="26">
        <v>764</v>
      </c>
      <c r="Z363" s="26">
        <v>800</v>
      </c>
      <c r="AA363" s="26">
        <v>777</v>
      </c>
      <c r="AB363" s="26">
        <v>774</v>
      </c>
      <c r="AC363" s="26">
        <v>764</v>
      </c>
      <c r="AD363" s="26">
        <v>757</v>
      </c>
      <c r="AE363" s="26">
        <v>743</v>
      </c>
      <c r="AF363" s="26">
        <v>805</v>
      </c>
      <c r="AG363" s="26">
        <v>755</v>
      </c>
      <c r="AH363" s="26">
        <v>787</v>
      </c>
      <c r="AI363" s="26">
        <v>786</v>
      </c>
      <c r="AJ363" s="26">
        <v>767</v>
      </c>
      <c r="AK363" s="26">
        <v>750</v>
      </c>
    </row>
    <row r="364" spans="1:47">
      <c r="A364" s="26">
        <v>104</v>
      </c>
      <c r="B364" s="30" t="s">
        <v>0</v>
      </c>
      <c r="C364" s="27">
        <v>80</v>
      </c>
      <c r="D364" s="44"/>
      <c r="E364" s="33">
        <f>표_악몽던전템위력[[#This Row],[ancestral dropped]]/표_악몽던전템위력[[#This Row],[rare+ dropped]]</f>
        <v>0.94117647058823528</v>
      </c>
      <c r="F364" s="47">
        <f>COUNT(표_악몽던전템위력[[#This Row],[item1]:[item46]])</f>
        <v>16</v>
      </c>
      <c r="G364" s="47">
        <v>17</v>
      </c>
      <c r="H364" s="48">
        <f>AVERAGE(표_악몽던전템위력[[#This Row],[item1]:[item46]])</f>
        <v>763.75</v>
      </c>
      <c r="I364" s="26">
        <v>785</v>
      </c>
      <c r="J364" s="26">
        <v>781</v>
      </c>
      <c r="K364" s="26">
        <v>762</v>
      </c>
      <c r="L364" s="26">
        <v>732</v>
      </c>
      <c r="M364" s="26">
        <v>775</v>
      </c>
      <c r="N364" s="26">
        <v>765</v>
      </c>
      <c r="O364" s="26">
        <v>748</v>
      </c>
      <c r="P364" s="26">
        <v>794</v>
      </c>
      <c r="Q364" s="26">
        <v>745</v>
      </c>
      <c r="R364" s="26">
        <v>775</v>
      </c>
      <c r="S364" s="26">
        <v>753</v>
      </c>
      <c r="T364" s="26">
        <v>789</v>
      </c>
      <c r="U364" s="26">
        <v>769</v>
      </c>
      <c r="V364" s="26">
        <v>748</v>
      </c>
      <c r="W364" s="26">
        <v>746</v>
      </c>
      <c r="X364" s="26">
        <v>753</v>
      </c>
    </row>
    <row r="365" spans="1:47">
      <c r="A365" s="26">
        <v>104</v>
      </c>
      <c r="B365" s="30" t="s">
        <v>129</v>
      </c>
      <c r="C365" s="27">
        <v>75</v>
      </c>
      <c r="D365" s="44"/>
      <c r="E365" s="33">
        <f>표_악몽던전템위력[[#This Row],[ancestral dropped]]/표_악몽던전템위력[[#This Row],[rare+ dropped]]</f>
        <v>0.96</v>
      </c>
      <c r="F365" s="47">
        <f>COUNT(표_악몽던전템위력[[#This Row],[item1]:[item46]])</f>
        <v>24</v>
      </c>
      <c r="G365" s="47">
        <v>25</v>
      </c>
      <c r="H365" s="48">
        <f>AVERAGE(표_악몽던전템위력[[#This Row],[item1]:[item46]])</f>
        <v>774.70833333333337</v>
      </c>
      <c r="I365" s="26">
        <v>790</v>
      </c>
      <c r="J365" s="26">
        <v>787</v>
      </c>
      <c r="K365" s="26">
        <v>773</v>
      </c>
      <c r="L365" s="26">
        <v>768</v>
      </c>
      <c r="M365" s="26">
        <v>764</v>
      </c>
      <c r="N365" s="26">
        <v>777</v>
      </c>
      <c r="O365" s="26">
        <v>808</v>
      </c>
      <c r="P365" s="26">
        <v>751</v>
      </c>
      <c r="Q365" s="26">
        <v>748</v>
      </c>
      <c r="R365" s="26">
        <v>780</v>
      </c>
      <c r="S365" s="26">
        <v>775</v>
      </c>
      <c r="T365" s="26">
        <v>807</v>
      </c>
      <c r="U365" s="26">
        <v>777</v>
      </c>
      <c r="V365" s="26">
        <v>767</v>
      </c>
      <c r="W365" s="26">
        <v>760</v>
      </c>
      <c r="X365" s="26">
        <v>758</v>
      </c>
      <c r="Y365" s="26">
        <v>751</v>
      </c>
      <c r="Z365" s="26">
        <v>799</v>
      </c>
      <c r="AA365" s="26">
        <v>776</v>
      </c>
      <c r="AB365" s="26">
        <v>767</v>
      </c>
      <c r="AC365" s="26">
        <v>734</v>
      </c>
      <c r="AD365" s="26">
        <v>807</v>
      </c>
      <c r="AE365" s="26">
        <v>787</v>
      </c>
      <c r="AF365" s="26">
        <v>782</v>
      </c>
    </row>
    <row r="366" spans="1:47">
      <c r="A366" s="26">
        <v>104</v>
      </c>
      <c r="B366" s="30" t="s">
        <v>131</v>
      </c>
      <c r="C366" s="27">
        <v>75</v>
      </c>
      <c r="D366" s="44"/>
      <c r="E366" s="33">
        <f>표_악몽던전템위력[[#This Row],[ancestral dropped]]/표_악몽던전템위력[[#This Row],[rare+ dropped]]</f>
        <v>0.9</v>
      </c>
      <c r="F366" s="47">
        <f>COUNT(표_악몽던전템위력[[#This Row],[item1]:[item46]])</f>
        <v>9</v>
      </c>
      <c r="G366" s="47">
        <v>10</v>
      </c>
      <c r="H366" s="48">
        <f>AVERAGE(표_악몽던전템위력[[#This Row],[item1]:[item46]])</f>
        <v>770.88888888888891</v>
      </c>
      <c r="I366" s="26">
        <v>794</v>
      </c>
      <c r="J366" s="26">
        <v>768</v>
      </c>
      <c r="K366" s="26">
        <v>748</v>
      </c>
      <c r="L366" s="26">
        <v>745</v>
      </c>
      <c r="M366" s="26">
        <v>786</v>
      </c>
      <c r="N366" s="26">
        <v>792</v>
      </c>
      <c r="O366" s="26">
        <v>776</v>
      </c>
      <c r="P366" s="26">
        <v>785</v>
      </c>
      <c r="Q366" s="26">
        <v>744</v>
      </c>
    </row>
    <row r="367" spans="1:47">
      <c r="A367" s="26">
        <v>104</v>
      </c>
      <c r="B367" s="30" t="s">
        <v>9</v>
      </c>
      <c r="C367" s="27">
        <v>62</v>
      </c>
      <c r="D367" s="44"/>
      <c r="E367" s="33">
        <f>표_악몽던전템위력[[#This Row],[ancestral dropped]]/표_악몽던전템위력[[#This Row],[rare+ dropped]]</f>
        <v>0.81481481481481477</v>
      </c>
      <c r="F367" s="47">
        <f>COUNT(표_악몽던전템위력[[#This Row],[item1]:[item46]])</f>
        <v>22</v>
      </c>
      <c r="G367" s="47">
        <v>27</v>
      </c>
      <c r="H367" s="48">
        <f>AVERAGE(표_악몽던전템위력[[#This Row],[item1]:[item46]])</f>
        <v>771.81818181818187</v>
      </c>
      <c r="I367" s="26">
        <v>774</v>
      </c>
      <c r="J367" s="26">
        <v>758</v>
      </c>
      <c r="K367" s="26">
        <v>755</v>
      </c>
      <c r="L367" s="26">
        <v>747</v>
      </c>
      <c r="M367" s="26">
        <v>793</v>
      </c>
      <c r="N367" s="26">
        <v>784</v>
      </c>
      <c r="O367" s="26">
        <v>781</v>
      </c>
      <c r="P367" s="26">
        <v>779</v>
      </c>
      <c r="Q367" s="26">
        <v>770</v>
      </c>
      <c r="R367" s="26">
        <v>767</v>
      </c>
      <c r="S367" s="26">
        <v>763</v>
      </c>
      <c r="T367" s="26">
        <v>788</v>
      </c>
      <c r="U367" s="26">
        <v>780</v>
      </c>
      <c r="V367" s="26">
        <v>768</v>
      </c>
      <c r="W367" s="26">
        <v>753</v>
      </c>
      <c r="X367" s="26">
        <v>789</v>
      </c>
      <c r="Y367" s="26">
        <v>774</v>
      </c>
      <c r="Z367" s="26">
        <v>769</v>
      </c>
      <c r="AA367" s="26">
        <v>761</v>
      </c>
      <c r="AB367" s="26">
        <v>793</v>
      </c>
      <c r="AC367" s="26">
        <v>779</v>
      </c>
      <c r="AD367" s="26">
        <v>755</v>
      </c>
    </row>
    <row r="368" spans="1:47">
      <c r="A368" s="26">
        <v>104</v>
      </c>
      <c r="B368" s="30" t="s">
        <v>10</v>
      </c>
      <c r="C368" s="27">
        <v>62</v>
      </c>
      <c r="D368" s="44"/>
      <c r="E368" s="33">
        <f>표_악몽던전템위력[[#This Row],[ancestral dropped]]/표_악몽던전템위력[[#This Row],[rare+ dropped]]</f>
        <v>0.85365853658536583</v>
      </c>
      <c r="F368" s="47">
        <f>COUNT(표_악몽던전템위력[[#This Row],[item1]:[item46]])</f>
        <v>35</v>
      </c>
      <c r="G368" s="47">
        <v>41</v>
      </c>
      <c r="H368" s="48">
        <f>AVERAGE(표_악몽던전템위력[[#This Row],[item1]:[item46]])</f>
        <v>767.97142857142853</v>
      </c>
      <c r="I368" s="26">
        <v>774</v>
      </c>
      <c r="J368" s="26">
        <v>758</v>
      </c>
      <c r="K368" s="26">
        <v>807</v>
      </c>
      <c r="L368" s="26">
        <v>783</v>
      </c>
      <c r="M368" s="26">
        <v>779</v>
      </c>
      <c r="N368" s="26">
        <v>766</v>
      </c>
      <c r="O368" s="26">
        <v>755</v>
      </c>
      <c r="P368" s="26">
        <v>802</v>
      </c>
      <c r="Q368" s="26">
        <v>781</v>
      </c>
      <c r="R368" s="26">
        <v>781</v>
      </c>
      <c r="S368" s="26">
        <v>763</v>
      </c>
      <c r="T368" s="26">
        <v>758</v>
      </c>
      <c r="U368" s="26">
        <v>738</v>
      </c>
      <c r="V368" s="26">
        <v>759</v>
      </c>
      <c r="W368" s="26">
        <v>764</v>
      </c>
      <c r="X368" s="26">
        <v>758</v>
      </c>
      <c r="Y368" s="26">
        <v>747</v>
      </c>
      <c r="Z368" s="26">
        <v>776</v>
      </c>
      <c r="AA368" s="26">
        <v>770</v>
      </c>
      <c r="AB368" s="26">
        <v>763</v>
      </c>
      <c r="AC368" s="26">
        <v>762</v>
      </c>
      <c r="AD368" s="26">
        <v>757</v>
      </c>
      <c r="AE368" s="26">
        <v>735</v>
      </c>
      <c r="AF368" s="26">
        <v>816</v>
      </c>
      <c r="AG368" s="26">
        <v>780</v>
      </c>
      <c r="AH368" s="26">
        <v>779</v>
      </c>
      <c r="AI368" s="26">
        <v>759</v>
      </c>
      <c r="AJ368" s="26">
        <v>796</v>
      </c>
      <c r="AK368" s="26">
        <v>756</v>
      </c>
      <c r="AL368" s="26">
        <v>788</v>
      </c>
      <c r="AM368" s="26">
        <v>755</v>
      </c>
      <c r="AN368" s="26">
        <v>749</v>
      </c>
      <c r="AO368" s="26">
        <v>769</v>
      </c>
      <c r="AP368" s="26">
        <v>756</v>
      </c>
      <c r="AQ368" s="26">
        <v>740</v>
      </c>
    </row>
    <row r="369" spans="1:41">
      <c r="A369" s="26">
        <v>104</v>
      </c>
      <c r="B369" s="30" t="s">
        <v>122</v>
      </c>
      <c r="C369" s="27">
        <v>62</v>
      </c>
      <c r="D369" s="44"/>
      <c r="E369" s="33">
        <f>표_악몽던전템위력[[#This Row],[ancestral dropped]]/표_악몽던전템위력[[#This Row],[rare+ dropped]]</f>
        <v>0.92307692307692313</v>
      </c>
      <c r="F369" s="47">
        <f>COUNT(표_악몽던전템위력[[#This Row],[item1]:[item46]])</f>
        <v>24</v>
      </c>
      <c r="G369" s="47">
        <v>26</v>
      </c>
      <c r="H369" s="48">
        <f>AVERAGE(표_악몽던전템위력[[#This Row],[item1]:[item46]])</f>
        <v>769.95833333333337</v>
      </c>
      <c r="I369" s="26">
        <v>776</v>
      </c>
      <c r="J369" s="26">
        <v>751</v>
      </c>
      <c r="K369" s="26">
        <v>779</v>
      </c>
      <c r="L369" s="26">
        <v>801</v>
      </c>
      <c r="M369" s="26">
        <v>782</v>
      </c>
      <c r="N369" s="26">
        <v>770</v>
      </c>
      <c r="O369" s="26">
        <v>763</v>
      </c>
      <c r="P369" s="26">
        <v>757</v>
      </c>
      <c r="Q369" s="26">
        <v>802</v>
      </c>
      <c r="R369" s="26">
        <v>789</v>
      </c>
      <c r="S369" s="26">
        <v>758</v>
      </c>
      <c r="T369" s="26">
        <v>789</v>
      </c>
      <c r="U369" s="26">
        <v>771</v>
      </c>
      <c r="V369" s="26">
        <v>766</v>
      </c>
      <c r="W369" s="26">
        <v>790</v>
      </c>
      <c r="X369" s="26">
        <v>790</v>
      </c>
      <c r="Y369" s="26">
        <v>764</v>
      </c>
      <c r="Z369" s="26">
        <v>760</v>
      </c>
      <c r="AA369" s="26">
        <v>756</v>
      </c>
      <c r="AB369" s="26">
        <v>753</v>
      </c>
      <c r="AC369" s="26">
        <v>757</v>
      </c>
      <c r="AD369" s="26">
        <v>754</v>
      </c>
      <c r="AE369" s="26">
        <v>735</v>
      </c>
      <c r="AF369" s="26">
        <v>766</v>
      </c>
    </row>
    <row r="370" spans="1:41">
      <c r="A370" s="26">
        <v>104</v>
      </c>
      <c r="B370" s="30" t="s">
        <v>120</v>
      </c>
      <c r="C370" s="27">
        <v>63</v>
      </c>
      <c r="D370" s="44"/>
      <c r="E370" s="33">
        <f>표_악몽던전템위력[[#This Row],[ancestral dropped]]/표_악몽던전템위력[[#This Row],[rare+ dropped]]</f>
        <v>0.8928571428571429</v>
      </c>
      <c r="F370" s="47">
        <f>COUNT(표_악몽던전템위력[[#This Row],[item1]:[item46]])</f>
        <v>25</v>
      </c>
      <c r="G370" s="47">
        <v>28</v>
      </c>
      <c r="H370" s="48">
        <f>AVERAGE(표_악몽던전템위력[[#This Row],[item1]:[item46]])</f>
        <v>775.76</v>
      </c>
      <c r="I370" s="26">
        <v>790</v>
      </c>
      <c r="J370" s="26">
        <v>786</v>
      </c>
      <c r="K370" s="26">
        <v>773</v>
      </c>
      <c r="L370" s="26">
        <v>770</v>
      </c>
      <c r="M370" s="26">
        <v>750</v>
      </c>
      <c r="N370" s="26">
        <v>799</v>
      </c>
      <c r="O370" s="26">
        <v>783</v>
      </c>
      <c r="P370" s="26">
        <v>777</v>
      </c>
      <c r="Q370" s="26">
        <v>774</v>
      </c>
      <c r="R370" s="26">
        <v>772</v>
      </c>
      <c r="S370" s="26">
        <v>757</v>
      </c>
      <c r="T370" s="26">
        <v>746</v>
      </c>
      <c r="U370" s="26">
        <v>740</v>
      </c>
      <c r="V370" s="26">
        <v>800</v>
      </c>
      <c r="W370" s="26">
        <v>765</v>
      </c>
      <c r="X370" s="26">
        <v>794</v>
      </c>
      <c r="Y370" s="26">
        <v>792</v>
      </c>
      <c r="Z370" s="26">
        <v>781</v>
      </c>
      <c r="AA370" s="26">
        <v>788</v>
      </c>
      <c r="AB370" s="26">
        <v>772</v>
      </c>
      <c r="AC370" s="26">
        <v>771</v>
      </c>
      <c r="AD370" s="26">
        <v>765</v>
      </c>
      <c r="AE370" s="26">
        <v>765</v>
      </c>
      <c r="AF370" s="26">
        <v>804</v>
      </c>
      <c r="AG370" s="26">
        <v>780</v>
      </c>
    </row>
    <row r="371" spans="1:41">
      <c r="A371" s="26">
        <v>104</v>
      </c>
      <c r="B371" s="30" t="s">
        <v>131</v>
      </c>
      <c r="C371" s="27">
        <v>73</v>
      </c>
      <c r="D371" s="44"/>
      <c r="E371" s="33">
        <f>표_악몽던전템위력[[#This Row],[ancestral dropped]]/표_악몽던전템위력[[#This Row],[rare+ dropped]]</f>
        <v>1</v>
      </c>
      <c r="F371" s="47">
        <f>COUNT(표_악몽던전템위력[[#This Row],[item1]:[item46]])</f>
        <v>15</v>
      </c>
      <c r="G371" s="47">
        <v>15</v>
      </c>
      <c r="H371" s="48">
        <f>AVERAGE(표_악몽던전템위력[[#This Row],[item1]:[item46]])</f>
        <v>773.13333333333333</v>
      </c>
      <c r="I371" s="26">
        <v>789</v>
      </c>
      <c r="J371" s="26">
        <v>785</v>
      </c>
      <c r="K371" s="26">
        <v>784</v>
      </c>
      <c r="L371" s="26">
        <v>776</v>
      </c>
      <c r="M371" s="26">
        <v>761</v>
      </c>
      <c r="N371" s="26">
        <v>773</v>
      </c>
      <c r="O371" s="26">
        <v>775</v>
      </c>
      <c r="P371" s="26">
        <v>759</v>
      </c>
      <c r="Q371" s="26">
        <v>759</v>
      </c>
      <c r="R371" s="26">
        <v>771</v>
      </c>
      <c r="S371" s="26">
        <v>767</v>
      </c>
      <c r="T371" s="26">
        <v>764</v>
      </c>
      <c r="U371" s="26">
        <v>780</v>
      </c>
      <c r="V371" s="26">
        <v>780</v>
      </c>
      <c r="W371" s="26">
        <v>774</v>
      </c>
    </row>
    <row r="372" spans="1:41">
      <c r="A372" s="26">
        <v>104</v>
      </c>
      <c r="B372" s="30" t="s">
        <v>10</v>
      </c>
      <c r="C372" s="27">
        <v>63</v>
      </c>
      <c r="D372" s="44"/>
      <c r="E372" s="33">
        <f>표_악몽던전템위력[[#This Row],[ancestral dropped]]/표_악몽던전템위력[[#This Row],[rare+ dropped]]</f>
        <v>0.84615384615384615</v>
      </c>
      <c r="F372" s="47">
        <f>COUNT(표_악몽던전템위력[[#This Row],[item1]:[item46]])</f>
        <v>22</v>
      </c>
      <c r="G372" s="47">
        <v>26</v>
      </c>
      <c r="H372" s="48">
        <f>AVERAGE(표_악몽던전템위력[[#This Row],[item1]:[item46]])</f>
        <v>775.13636363636363</v>
      </c>
      <c r="I372" s="26">
        <v>783</v>
      </c>
      <c r="J372" s="26">
        <v>779</v>
      </c>
      <c r="K372" s="26">
        <v>788</v>
      </c>
      <c r="L372" s="26">
        <v>787</v>
      </c>
      <c r="M372" s="26">
        <v>778</v>
      </c>
      <c r="N372" s="26">
        <v>776</v>
      </c>
      <c r="O372" s="26">
        <v>761</v>
      </c>
      <c r="P372" s="26">
        <v>740</v>
      </c>
      <c r="Q372" s="26">
        <v>775</v>
      </c>
      <c r="R372" s="26">
        <v>752</v>
      </c>
      <c r="S372" s="26">
        <v>739</v>
      </c>
      <c r="T372" s="26">
        <v>805</v>
      </c>
      <c r="U372" s="26">
        <v>802</v>
      </c>
      <c r="V372" s="26">
        <v>798</v>
      </c>
      <c r="W372" s="26">
        <v>791</v>
      </c>
      <c r="X372" s="26">
        <v>775</v>
      </c>
      <c r="Y372" s="26">
        <v>754</v>
      </c>
      <c r="Z372" s="26">
        <v>798</v>
      </c>
      <c r="AA372" s="26">
        <v>765</v>
      </c>
      <c r="AB372" s="26">
        <v>744</v>
      </c>
      <c r="AC372" s="26">
        <v>794</v>
      </c>
      <c r="AD372" s="26">
        <v>769</v>
      </c>
    </row>
    <row r="373" spans="1:41">
      <c r="A373" s="26">
        <v>104</v>
      </c>
      <c r="B373" s="30" t="s">
        <v>124</v>
      </c>
      <c r="C373" s="27">
        <v>75</v>
      </c>
      <c r="D373" s="44"/>
      <c r="E373" s="33">
        <f>표_악몽던전템위력[[#This Row],[ancestral dropped]]/표_악몽던전템위력[[#This Row],[rare+ dropped]]</f>
        <v>0.8571428571428571</v>
      </c>
      <c r="F373" s="47">
        <f>COUNT(표_악몽던전템위력[[#This Row],[item1]:[item46]])</f>
        <v>12</v>
      </c>
      <c r="G373" s="47">
        <v>14</v>
      </c>
      <c r="H373" s="48">
        <f>AVERAGE(표_악몽던전템위력[[#This Row],[item1]:[item46]])</f>
        <v>782.41666666666663</v>
      </c>
      <c r="I373" s="26">
        <v>762</v>
      </c>
      <c r="J373" s="26">
        <v>815</v>
      </c>
      <c r="K373" s="26">
        <v>794</v>
      </c>
      <c r="L373" s="26">
        <v>790</v>
      </c>
      <c r="M373" s="26">
        <v>761</v>
      </c>
      <c r="N373" s="26">
        <v>758</v>
      </c>
      <c r="O373" s="26">
        <v>756</v>
      </c>
      <c r="P373" s="26">
        <v>812</v>
      </c>
      <c r="Q373" s="26">
        <v>770</v>
      </c>
      <c r="R373" s="26">
        <v>799</v>
      </c>
      <c r="S373" s="26">
        <v>789</v>
      </c>
      <c r="T373" s="26">
        <v>783</v>
      </c>
    </row>
    <row r="374" spans="1:41">
      <c r="A374" s="26">
        <v>104</v>
      </c>
      <c r="B374" s="30" t="s">
        <v>131</v>
      </c>
      <c r="C374" s="27">
        <v>78</v>
      </c>
      <c r="D374" s="44"/>
      <c r="E374" s="33">
        <f>표_악몽던전템위력[[#This Row],[ancestral dropped]]/표_악몽던전템위력[[#This Row],[rare+ dropped]]</f>
        <v>0.8</v>
      </c>
      <c r="F374" s="47">
        <f>COUNT(표_악몽던전템위력[[#This Row],[item1]:[item46]])</f>
        <v>8</v>
      </c>
      <c r="G374" s="47">
        <v>10</v>
      </c>
      <c r="H374" s="48">
        <f>AVERAGE(표_악몽던전템위력[[#This Row],[item1]:[item46]])</f>
        <v>774.375</v>
      </c>
      <c r="I374" s="26">
        <v>770</v>
      </c>
      <c r="J374" s="26">
        <v>763</v>
      </c>
      <c r="K374" s="26">
        <v>788</v>
      </c>
      <c r="L374" s="26">
        <v>809</v>
      </c>
      <c r="M374" s="26">
        <v>765</v>
      </c>
      <c r="N374" s="26">
        <v>763</v>
      </c>
      <c r="O374" s="26">
        <v>797</v>
      </c>
      <c r="P374" s="26">
        <v>740</v>
      </c>
    </row>
    <row r="375" spans="1:41">
      <c r="A375" s="26">
        <v>104</v>
      </c>
      <c r="B375" s="30" t="s">
        <v>0</v>
      </c>
      <c r="C375" s="27">
        <v>94</v>
      </c>
      <c r="D375" s="44"/>
      <c r="E375" s="33">
        <f>표_악몽던전템위력[[#This Row],[ancestral dropped]]/표_악몽던전템위력[[#This Row],[rare+ dropped]]</f>
        <v>1</v>
      </c>
      <c r="F375" s="47">
        <f>COUNT(표_악몽던전템위력[[#This Row],[item1]:[item46]])</f>
        <v>25</v>
      </c>
      <c r="G375" s="47">
        <v>25</v>
      </c>
      <c r="H375" s="48">
        <f>AVERAGE(표_악몽던전템위력[[#This Row],[item1]:[item46]])</f>
        <v>771</v>
      </c>
      <c r="I375" s="26">
        <v>774</v>
      </c>
      <c r="J375" s="26">
        <v>782</v>
      </c>
      <c r="K375" s="26">
        <v>771</v>
      </c>
      <c r="L375" s="26">
        <v>760</v>
      </c>
      <c r="M375" s="26">
        <v>751</v>
      </c>
      <c r="N375" s="26">
        <v>737</v>
      </c>
      <c r="O375" s="26">
        <v>804</v>
      </c>
      <c r="P375" s="26">
        <v>786</v>
      </c>
      <c r="Q375" s="26">
        <v>780</v>
      </c>
      <c r="R375" s="26">
        <v>769</v>
      </c>
      <c r="S375" s="26">
        <v>768</v>
      </c>
      <c r="T375" s="26">
        <v>756</v>
      </c>
      <c r="U375" s="26">
        <v>754</v>
      </c>
      <c r="V375" s="26">
        <v>766</v>
      </c>
      <c r="W375" s="26">
        <v>755</v>
      </c>
      <c r="X375" s="26">
        <v>745</v>
      </c>
      <c r="Y375" s="26">
        <v>798</v>
      </c>
      <c r="Z375" s="26">
        <v>798</v>
      </c>
      <c r="AA375" s="26">
        <v>790</v>
      </c>
      <c r="AB375" s="26">
        <v>786</v>
      </c>
      <c r="AC375" s="26">
        <v>761</v>
      </c>
      <c r="AD375" s="26">
        <v>766</v>
      </c>
      <c r="AE375" s="26">
        <v>769</v>
      </c>
      <c r="AF375" s="26">
        <v>768</v>
      </c>
      <c r="AG375" s="26">
        <v>781</v>
      </c>
    </row>
    <row r="376" spans="1:41">
      <c r="A376" s="26">
        <v>104</v>
      </c>
      <c r="B376" s="30" t="s">
        <v>121</v>
      </c>
      <c r="C376" s="27">
        <v>95</v>
      </c>
      <c r="D376" s="44"/>
      <c r="E376" s="33">
        <f>표_악몽던전템위력[[#This Row],[ancestral dropped]]/표_악몽던전템위력[[#This Row],[rare+ dropped]]</f>
        <v>1</v>
      </c>
      <c r="F376" s="47">
        <f>COUNT(표_악몽던전템위력[[#This Row],[item1]:[item46]])</f>
        <v>20</v>
      </c>
      <c r="G376" s="47">
        <v>20</v>
      </c>
      <c r="H376" s="48">
        <f>AVERAGE(표_악몽던전템위력[[#This Row],[item1]:[item46]])</f>
        <v>766.95</v>
      </c>
      <c r="I376" s="26">
        <v>775</v>
      </c>
      <c r="J376" s="26">
        <v>765</v>
      </c>
      <c r="K376" s="26">
        <v>761</v>
      </c>
      <c r="L376" s="26">
        <v>735</v>
      </c>
      <c r="M376" s="26">
        <v>781</v>
      </c>
      <c r="N376" s="26">
        <v>785</v>
      </c>
      <c r="O376" s="26">
        <v>759</v>
      </c>
      <c r="P376" s="26">
        <v>751</v>
      </c>
      <c r="Q376" s="26">
        <v>736</v>
      </c>
      <c r="R376" s="26">
        <v>729</v>
      </c>
      <c r="S376" s="26">
        <v>789</v>
      </c>
      <c r="T376" s="26">
        <v>779</v>
      </c>
      <c r="U376" s="26">
        <v>778</v>
      </c>
      <c r="V376" s="26">
        <v>765</v>
      </c>
      <c r="W376" s="26">
        <v>784</v>
      </c>
      <c r="X376" s="26">
        <v>774</v>
      </c>
      <c r="Y376" s="26">
        <v>737</v>
      </c>
      <c r="Z376" s="26">
        <v>797</v>
      </c>
      <c r="AA376" s="26">
        <v>769</v>
      </c>
      <c r="AB376" s="26">
        <v>790</v>
      </c>
    </row>
    <row r="377" spans="1:41">
      <c r="A377" s="26">
        <v>104</v>
      </c>
      <c r="B377" s="30" t="s">
        <v>124</v>
      </c>
      <c r="C377" s="27">
        <v>96</v>
      </c>
      <c r="D377" s="44"/>
      <c r="E377" s="33">
        <f>표_악몽던전템위력[[#This Row],[ancestral dropped]]/표_악몽던전템위력[[#This Row],[rare+ dropped]]</f>
        <v>1</v>
      </c>
      <c r="F377" s="47">
        <f>COUNT(표_악몽던전템위력[[#This Row],[item1]:[item46]])</f>
        <v>11</v>
      </c>
      <c r="G377" s="47">
        <v>11</v>
      </c>
      <c r="H377" s="48">
        <f>AVERAGE(표_악몽던전템위력[[#This Row],[item1]:[item46]])</f>
        <v>764.09090909090912</v>
      </c>
      <c r="I377" s="26">
        <v>766</v>
      </c>
      <c r="J377" s="26">
        <v>766</v>
      </c>
      <c r="K377" s="26">
        <v>768</v>
      </c>
      <c r="L377" s="26">
        <v>751</v>
      </c>
      <c r="M377" s="26">
        <v>741</v>
      </c>
      <c r="N377" s="26">
        <v>781</v>
      </c>
      <c r="O377" s="26">
        <v>739</v>
      </c>
      <c r="P377" s="26">
        <v>785</v>
      </c>
      <c r="Q377" s="26">
        <v>758</v>
      </c>
      <c r="R377" s="26">
        <v>792</v>
      </c>
      <c r="S377" s="26">
        <v>758</v>
      </c>
    </row>
    <row r="378" spans="1:41">
      <c r="A378" s="26">
        <v>104</v>
      </c>
      <c r="B378" s="30" t="s">
        <v>125</v>
      </c>
      <c r="C378" s="27">
        <v>100</v>
      </c>
      <c r="D378" s="44"/>
      <c r="E378" s="33">
        <f>표_악몽던전템위력[[#This Row],[ancestral dropped]]/표_악몽던전템위력[[#This Row],[rare+ dropped]]</f>
        <v>1</v>
      </c>
      <c r="F378" s="47">
        <f>COUNT(표_악몽던전템위력[[#This Row],[item1]:[item46]])</f>
        <v>14</v>
      </c>
      <c r="G378" s="47">
        <v>14</v>
      </c>
      <c r="H378" s="48">
        <f>AVERAGE(표_악몽던전템위력[[#This Row],[item1]:[item46]])</f>
        <v>774.78571428571433</v>
      </c>
      <c r="I378" s="26">
        <v>773</v>
      </c>
      <c r="J378" s="26">
        <v>755</v>
      </c>
      <c r="K378" s="26">
        <v>749</v>
      </c>
      <c r="L378" s="26">
        <v>783</v>
      </c>
      <c r="M378" s="26">
        <v>801</v>
      </c>
      <c r="N378" s="26">
        <v>776</v>
      </c>
      <c r="O378" s="26">
        <v>786</v>
      </c>
      <c r="P378" s="26">
        <v>771</v>
      </c>
      <c r="Q378" s="26">
        <v>755</v>
      </c>
      <c r="R378" s="26">
        <v>764</v>
      </c>
      <c r="S378" s="26">
        <v>768</v>
      </c>
      <c r="T378" s="26">
        <v>802</v>
      </c>
      <c r="U378" s="26">
        <v>800</v>
      </c>
      <c r="V378" s="26">
        <v>764</v>
      </c>
    </row>
    <row r="379" spans="1:41">
      <c r="A379" s="26">
        <v>104</v>
      </c>
      <c r="B379" s="30" t="s">
        <v>131</v>
      </c>
      <c r="C379" s="27">
        <v>100</v>
      </c>
      <c r="D379" s="44"/>
      <c r="E379" s="33">
        <f>표_악몽던전템위력[[#This Row],[ancestral dropped]]/표_악몽던전템위력[[#This Row],[rare+ dropped]]</f>
        <v>1</v>
      </c>
      <c r="F379" s="47">
        <f>COUNT(표_악몽던전템위력[[#This Row],[item1]:[item46]])</f>
        <v>14</v>
      </c>
      <c r="G379" s="47">
        <v>14</v>
      </c>
      <c r="H379" s="48">
        <f>AVERAGE(표_악몽던전템위력[[#This Row],[item1]:[item46]])</f>
        <v>776</v>
      </c>
      <c r="I379" s="26">
        <v>752</v>
      </c>
      <c r="J379" s="26">
        <v>811</v>
      </c>
      <c r="K379" s="26">
        <v>792</v>
      </c>
      <c r="L379" s="26">
        <v>778</v>
      </c>
      <c r="M379" s="26">
        <v>766</v>
      </c>
      <c r="N379" s="26">
        <v>763</v>
      </c>
      <c r="O379" s="26">
        <v>767</v>
      </c>
      <c r="P379" s="26">
        <v>802</v>
      </c>
      <c r="Q379" s="26">
        <v>770</v>
      </c>
      <c r="R379" s="26">
        <v>809</v>
      </c>
      <c r="S379" s="26">
        <v>740</v>
      </c>
      <c r="T379" s="26">
        <v>776</v>
      </c>
      <c r="U379" s="26">
        <v>758</v>
      </c>
      <c r="V379" s="26">
        <v>780</v>
      </c>
    </row>
    <row r="380" spans="1:41">
      <c r="A380" s="26">
        <v>104</v>
      </c>
      <c r="B380" s="30" t="s">
        <v>123</v>
      </c>
      <c r="C380" s="27">
        <v>97</v>
      </c>
      <c r="D380" s="44"/>
      <c r="E380" s="33">
        <f>표_악몽던전템위력[[#This Row],[ancestral dropped]]/표_악몽던전템위력[[#This Row],[rare+ dropped]]</f>
        <v>1</v>
      </c>
      <c r="F380" s="47">
        <f>COUNT(표_악몽던전템위력[[#This Row],[item1]:[item46]])</f>
        <v>13</v>
      </c>
      <c r="G380" s="47">
        <v>13</v>
      </c>
      <c r="H380" s="48">
        <f>AVERAGE(표_악몽던전템위력[[#This Row],[item1]:[item46]])</f>
        <v>766</v>
      </c>
      <c r="I380" s="26">
        <v>772</v>
      </c>
      <c r="J380" s="26">
        <v>770</v>
      </c>
      <c r="K380" s="26">
        <v>763</v>
      </c>
      <c r="L380" s="26">
        <v>760</v>
      </c>
      <c r="M380" s="26">
        <v>733</v>
      </c>
      <c r="N380" s="26">
        <v>786</v>
      </c>
      <c r="O380" s="26">
        <v>770</v>
      </c>
      <c r="P380" s="26">
        <v>768</v>
      </c>
      <c r="Q380" s="26">
        <v>755</v>
      </c>
      <c r="R380" s="26">
        <v>787</v>
      </c>
      <c r="S380" s="26">
        <v>765</v>
      </c>
      <c r="T380" s="26">
        <v>752</v>
      </c>
      <c r="U380" s="26">
        <v>777</v>
      </c>
    </row>
    <row r="381" spans="1:41">
      <c r="A381" s="26">
        <v>104</v>
      </c>
      <c r="B381" s="30" t="s">
        <v>71</v>
      </c>
      <c r="C381" s="27">
        <v>96</v>
      </c>
      <c r="D381" s="44"/>
      <c r="E381" s="33">
        <f>표_악몽던전템위력[[#This Row],[ancestral dropped]]/표_악몽던전템위력[[#This Row],[rare+ dropped]]</f>
        <v>1</v>
      </c>
      <c r="F381" s="47">
        <f>COUNT(표_악몽던전템위력[[#This Row],[item1]:[item46]])</f>
        <v>17</v>
      </c>
      <c r="G381" s="47">
        <v>17</v>
      </c>
      <c r="H381" s="48">
        <f>AVERAGE(표_악몽던전템위력[[#This Row],[item1]:[item46]])</f>
        <v>778.23529411764707</v>
      </c>
      <c r="I381" s="26">
        <v>778</v>
      </c>
      <c r="J381" s="26">
        <v>796</v>
      </c>
      <c r="K381" s="26">
        <v>786</v>
      </c>
      <c r="L381" s="26">
        <v>775</v>
      </c>
      <c r="M381" s="26">
        <v>771</v>
      </c>
      <c r="N381" s="26">
        <v>765</v>
      </c>
      <c r="O381" s="26">
        <v>806</v>
      </c>
      <c r="P381" s="26">
        <v>791</v>
      </c>
      <c r="Q381" s="26">
        <v>760</v>
      </c>
      <c r="R381" s="26">
        <v>758</v>
      </c>
      <c r="S381" s="26">
        <v>805</v>
      </c>
      <c r="T381" s="26">
        <v>771</v>
      </c>
      <c r="U381" s="26">
        <v>809</v>
      </c>
      <c r="V381" s="26">
        <v>787</v>
      </c>
      <c r="W381" s="26">
        <v>776</v>
      </c>
      <c r="X381" s="26">
        <v>741</v>
      </c>
      <c r="Y381" s="26">
        <v>755</v>
      </c>
    </row>
    <row r="382" spans="1:41">
      <c r="A382" s="26">
        <v>104</v>
      </c>
      <c r="B382" s="30" t="s">
        <v>9</v>
      </c>
      <c r="C382" s="27">
        <v>95</v>
      </c>
      <c r="D382" s="44"/>
      <c r="E382" s="33">
        <f>표_악몽던전템위력[[#This Row],[ancestral dropped]]/표_악몽던전템위력[[#This Row],[rare+ dropped]]</f>
        <v>0.97058823529411764</v>
      </c>
      <c r="F382" s="47">
        <f>COUNT(표_악몽던전템위력[[#This Row],[item1]:[item46]])</f>
        <v>33</v>
      </c>
      <c r="G382" s="47">
        <v>34</v>
      </c>
      <c r="H382" s="48">
        <f>AVERAGE(표_악몽던전템위력[[#This Row],[item1]:[item46]])</f>
        <v>772.57575757575762</v>
      </c>
      <c r="I382" s="26">
        <v>782</v>
      </c>
      <c r="J382" s="26">
        <v>777</v>
      </c>
      <c r="K382" s="26">
        <v>770</v>
      </c>
      <c r="L382" s="26">
        <v>739</v>
      </c>
      <c r="M382" s="26">
        <v>759</v>
      </c>
      <c r="N382" s="26">
        <v>757</v>
      </c>
      <c r="O382" s="26">
        <v>756</v>
      </c>
      <c r="P382" s="26">
        <v>790</v>
      </c>
      <c r="Q382" s="26">
        <v>778</v>
      </c>
      <c r="R382" s="26">
        <v>777</v>
      </c>
      <c r="S382" s="26">
        <v>774</v>
      </c>
      <c r="T382" s="26">
        <v>760</v>
      </c>
      <c r="U382" s="26">
        <v>794</v>
      </c>
      <c r="V382" s="26">
        <v>788</v>
      </c>
      <c r="W382" s="26">
        <v>774</v>
      </c>
      <c r="X382" s="26">
        <v>753</v>
      </c>
      <c r="Y382" s="26">
        <v>790</v>
      </c>
      <c r="Z382" s="26">
        <v>780</v>
      </c>
      <c r="AA382" s="26">
        <v>777</v>
      </c>
      <c r="AB382" s="26">
        <v>776</v>
      </c>
      <c r="AC382" s="26">
        <v>773</v>
      </c>
      <c r="AD382" s="26">
        <v>765</v>
      </c>
      <c r="AE382" s="26">
        <v>756</v>
      </c>
      <c r="AF382" s="26">
        <v>752</v>
      </c>
      <c r="AG382" s="26">
        <v>746</v>
      </c>
      <c r="AH382" s="26">
        <v>808</v>
      </c>
      <c r="AI382" s="26">
        <v>798</v>
      </c>
      <c r="AJ382" s="26">
        <v>772</v>
      </c>
      <c r="AK382" s="26">
        <v>800</v>
      </c>
      <c r="AL382" s="26">
        <v>780</v>
      </c>
      <c r="AM382" s="26">
        <v>752</v>
      </c>
      <c r="AN382" s="26">
        <v>758</v>
      </c>
      <c r="AO382" s="26">
        <v>784</v>
      </c>
    </row>
    <row r="383" spans="1:41">
      <c r="A383" s="26">
        <v>104</v>
      </c>
      <c r="B383" s="30" t="s">
        <v>0</v>
      </c>
      <c r="C383" s="27">
        <v>93</v>
      </c>
      <c r="D383" s="44"/>
      <c r="E383" s="33">
        <f>표_악몽던전템위력[[#This Row],[ancestral dropped]]/표_악몽던전템위력[[#This Row],[rare+ dropped]]</f>
        <v>1</v>
      </c>
      <c r="F383" s="47">
        <f>COUNT(표_악몽던전템위력[[#This Row],[item1]:[item46]])</f>
        <v>28</v>
      </c>
      <c r="G383" s="47">
        <v>28</v>
      </c>
      <c r="H383" s="48">
        <f>AVERAGE(표_악몽던전템위력[[#This Row],[item1]:[item46]])</f>
        <v>780.03571428571433</v>
      </c>
      <c r="I383" s="26">
        <v>783</v>
      </c>
      <c r="J383" s="26">
        <v>754</v>
      </c>
      <c r="K383" s="26">
        <v>766</v>
      </c>
      <c r="L383" s="26">
        <v>812</v>
      </c>
      <c r="M383" s="26">
        <v>775</v>
      </c>
      <c r="N383" s="26">
        <v>786</v>
      </c>
      <c r="O383" s="26">
        <v>784</v>
      </c>
      <c r="P383" s="26">
        <v>776</v>
      </c>
      <c r="Q383" s="26">
        <v>766</v>
      </c>
      <c r="R383" s="26">
        <v>765</v>
      </c>
      <c r="S383" s="26">
        <v>753</v>
      </c>
      <c r="T383" s="26">
        <v>797</v>
      </c>
      <c r="U383" s="26">
        <v>789</v>
      </c>
      <c r="V383" s="26">
        <v>779</v>
      </c>
      <c r="W383" s="26">
        <v>779</v>
      </c>
      <c r="X383" s="26">
        <v>764</v>
      </c>
      <c r="Y383" s="26">
        <v>805</v>
      </c>
      <c r="Z383" s="26">
        <v>803</v>
      </c>
      <c r="AA383" s="26">
        <v>795</v>
      </c>
      <c r="AB383" s="26">
        <v>779</v>
      </c>
      <c r="AC383" s="26">
        <v>776</v>
      </c>
      <c r="AD383" s="26">
        <v>801</v>
      </c>
      <c r="AE383" s="26">
        <v>799</v>
      </c>
      <c r="AF383" s="26">
        <v>797</v>
      </c>
      <c r="AG383" s="26">
        <v>748</v>
      </c>
      <c r="AH383" s="26">
        <v>771</v>
      </c>
      <c r="AI383" s="26">
        <v>777</v>
      </c>
      <c r="AJ383" s="26">
        <v>762</v>
      </c>
    </row>
    <row r="384" spans="1:41">
      <c r="A384" s="26">
        <v>104</v>
      </c>
      <c r="B384" s="30" t="s">
        <v>124</v>
      </c>
      <c r="C384" s="27">
        <v>94</v>
      </c>
      <c r="D384" s="44"/>
      <c r="E384" s="33">
        <f>표_악몽던전템위력[[#This Row],[ancestral dropped]]/표_악몽던전템위력[[#This Row],[rare+ dropped]]</f>
        <v>0.95652173913043481</v>
      </c>
      <c r="F384" s="47">
        <f>COUNT(표_악몽던전템위력[[#This Row],[item1]:[item46]])</f>
        <v>22</v>
      </c>
      <c r="G384" s="47">
        <v>23</v>
      </c>
      <c r="H384" s="48">
        <f>AVERAGE(표_악몽던전템위력[[#This Row],[item1]:[item46]])</f>
        <v>769.81818181818187</v>
      </c>
      <c r="I384" s="26">
        <v>800</v>
      </c>
      <c r="J384" s="26">
        <v>798</v>
      </c>
      <c r="K384" s="26">
        <v>771</v>
      </c>
      <c r="L384" s="26">
        <v>739</v>
      </c>
      <c r="M384" s="26">
        <v>799</v>
      </c>
      <c r="N384" s="26">
        <v>786</v>
      </c>
      <c r="O384" s="26">
        <v>745</v>
      </c>
      <c r="P384" s="26">
        <v>771</v>
      </c>
      <c r="Q384" s="26">
        <v>786</v>
      </c>
      <c r="R384" s="26">
        <v>775</v>
      </c>
      <c r="S384" s="26">
        <v>765</v>
      </c>
      <c r="T384" s="26">
        <v>738</v>
      </c>
      <c r="U384" s="26">
        <v>790</v>
      </c>
      <c r="V384" s="26">
        <v>764</v>
      </c>
      <c r="W384" s="26">
        <v>739</v>
      </c>
      <c r="X384" s="26">
        <v>786</v>
      </c>
      <c r="Y384" s="26">
        <v>758</v>
      </c>
      <c r="Z384" s="26">
        <v>785</v>
      </c>
      <c r="AA384" s="26">
        <v>770</v>
      </c>
      <c r="AB384" s="26">
        <v>739</v>
      </c>
      <c r="AC384" s="26">
        <v>796</v>
      </c>
      <c r="AD384" s="26">
        <v>736</v>
      </c>
    </row>
    <row r="385" spans="1:37">
      <c r="A385" s="26">
        <v>104</v>
      </c>
      <c r="B385" s="30" t="s">
        <v>9</v>
      </c>
      <c r="C385" s="27">
        <v>98</v>
      </c>
      <c r="D385" s="44"/>
      <c r="E385" s="33">
        <f>표_악몽던전템위력[[#This Row],[ancestral dropped]]/표_악몽던전템위력[[#This Row],[rare+ dropped]]</f>
        <v>1</v>
      </c>
      <c r="F385" s="47">
        <f>COUNT(표_악몽던전템위력[[#This Row],[item1]:[item46]])</f>
        <v>15</v>
      </c>
      <c r="G385" s="47">
        <v>15</v>
      </c>
      <c r="H385" s="48">
        <f>AVERAGE(표_악몽던전템위력[[#This Row],[item1]:[item46]])</f>
        <v>782.5333333333333</v>
      </c>
      <c r="I385" s="26">
        <v>798</v>
      </c>
      <c r="J385" s="26">
        <v>772</v>
      </c>
      <c r="K385" s="26">
        <v>791</v>
      </c>
      <c r="L385" s="26">
        <v>788</v>
      </c>
      <c r="M385" s="26">
        <v>785</v>
      </c>
      <c r="N385" s="26">
        <v>738</v>
      </c>
      <c r="O385" s="26">
        <v>793</v>
      </c>
      <c r="P385" s="26">
        <v>793</v>
      </c>
      <c r="Q385" s="26">
        <v>792</v>
      </c>
      <c r="R385" s="26">
        <v>785</v>
      </c>
      <c r="S385" s="26">
        <v>783</v>
      </c>
      <c r="T385" s="26">
        <v>775</v>
      </c>
      <c r="U385" s="26">
        <v>772</v>
      </c>
      <c r="V385" s="26">
        <v>789</v>
      </c>
      <c r="W385" s="26">
        <v>784</v>
      </c>
    </row>
    <row r="386" spans="1:37">
      <c r="A386" s="26">
        <v>104</v>
      </c>
      <c r="B386" s="30" t="s">
        <v>123</v>
      </c>
      <c r="C386" s="27">
        <v>91</v>
      </c>
      <c r="D386" s="44"/>
      <c r="E386" s="33">
        <f>표_악몽던전템위력[[#This Row],[ancestral dropped]]/표_악몽던전템위력[[#This Row],[rare+ dropped]]</f>
        <v>1</v>
      </c>
      <c r="F386" s="47">
        <f>COUNT(표_악몽던전템위력[[#This Row],[item1]:[item46]])</f>
        <v>22</v>
      </c>
      <c r="G386" s="47">
        <v>22</v>
      </c>
      <c r="H386" s="48">
        <f>AVERAGE(표_악몽던전템위력[[#This Row],[item1]:[item46]])</f>
        <v>771.36363636363637</v>
      </c>
      <c r="I386" s="26">
        <v>781</v>
      </c>
      <c r="J386" s="26">
        <v>779</v>
      </c>
      <c r="K386" s="26">
        <v>766</v>
      </c>
      <c r="L386" s="26">
        <v>756</v>
      </c>
      <c r="M386" s="26">
        <v>750</v>
      </c>
      <c r="N386" s="26">
        <v>810</v>
      </c>
      <c r="O386" s="26">
        <v>778</v>
      </c>
      <c r="P386" s="26">
        <v>770</v>
      </c>
      <c r="Q386" s="26">
        <v>769</v>
      </c>
      <c r="R386" s="26">
        <v>759</v>
      </c>
      <c r="S386" s="26">
        <v>755</v>
      </c>
      <c r="T386" s="26">
        <v>817</v>
      </c>
      <c r="U386" s="26">
        <v>797</v>
      </c>
      <c r="V386" s="26">
        <v>786</v>
      </c>
      <c r="W386" s="26">
        <v>762</v>
      </c>
      <c r="X386" s="26">
        <v>766</v>
      </c>
      <c r="Y386" s="26">
        <v>732</v>
      </c>
      <c r="Z386" s="26">
        <v>787</v>
      </c>
      <c r="AA386" s="26">
        <v>761</v>
      </c>
      <c r="AB386" s="26">
        <v>751</v>
      </c>
      <c r="AC386" s="26">
        <v>781</v>
      </c>
      <c r="AD386" s="26">
        <v>757</v>
      </c>
    </row>
    <row r="387" spans="1:37">
      <c r="A387" s="26">
        <v>104</v>
      </c>
      <c r="B387" s="30" t="s">
        <v>131</v>
      </c>
      <c r="C387" s="27">
        <v>93</v>
      </c>
      <c r="D387" s="44"/>
      <c r="E387" s="33">
        <f>표_악몽던전템위력[[#This Row],[ancestral dropped]]/표_악몽던전템위력[[#This Row],[rare+ dropped]]</f>
        <v>1</v>
      </c>
      <c r="F387" s="47">
        <f>COUNT(표_악몽던전템위력[[#This Row],[item1]:[item46]])</f>
        <v>18</v>
      </c>
      <c r="G387" s="47">
        <v>18</v>
      </c>
      <c r="H387" s="48">
        <f>AVERAGE(표_악몽던전템위력[[#This Row],[item1]:[item46]])</f>
        <v>771.44444444444446</v>
      </c>
      <c r="I387" s="26">
        <v>766</v>
      </c>
      <c r="J387" s="26">
        <v>754</v>
      </c>
      <c r="K387" s="26">
        <v>743</v>
      </c>
      <c r="L387" s="26">
        <v>808</v>
      </c>
      <c r="M387" s="26">
        <v>791</v>
      </c>
      <c r="N387" s="26">
        <v>783</v>
      </c>
      <c r="O387" s="26">
        <v>781</v>
      </c>
      <c r="P387" s="26">
        <v>778</v>
      </c>
      <c r="Q387" s="26">
        <v>777</v>
      </c>
      <c r="R387" s="26">
        <v>767</v>
      </c>
      <c r="S387" s="26">
        <v>789</v>
      </c>
      <c r="T387" s="26">
        <v>777</v>
      </c>
      <c r="U387" s="26">
        <v>764</v>
      </c>
      <c r="V387" s="26">
        <v>764</v>
      </c>
      <c r="W387" s="26">
        <v>772</v>
      </c>
      <c r="X387" s="26">
        <v>762</v>
      </c>
      <c r="Y387" s="26">
        <v>739</v>
      </c>
      <c r="Z387" s="26">
        <v>771</v>
      </c>
    </row>
    <row r="388" spans="1:37">
      <c r="A388" s="26">
        <v>104</v>
      </c>
      <c r="B388" s="30" t="s">
        <v>71</v>
      </c>
      <c r="C388" s="27">
        <v>93</v>
      </c>
      <c r="D388" s="44"/>
      <c r="E388" s="33">
        <f>표_악몽던전템위력[[#This Row],[ancestral dropped]]/표_악몽던전템위력[[#This Row],[rare+ dropped]]</f>
        <v>0.96</v>
      </c>
      <c r="F388" s="47">
        <f>COUNT(표_악몽던전템위력[[#This Row],[item1]:[item46]])</f>
        <v>24</v>
      </c>
      <c r="G388" s="47">
        <v>25</v>
      </c>
      <c r="H388" s="48">
        <f>AVERAGE(표_악몽던전템위력[[#This Row],[item1]:[item46]])</f>
        <v>781.91666666666663</v>
      </c>
      <c r="I388" s="26">
        <v>779</v>
      </c>
      <c r="J388" s="26">
        <v>799</v>
      </c>
      <c r="K388" s="26">
        <v>799</v>
      </c>
      <c r="L388" s="26">
        <v>785</v>
      </c>
      <c r="M388" s="26">
        <v>777</v>
      </c>
      <c r="N388" s="26">
        <v>776</v>
      </c>
      <c r="O388" s="26">
        <v>771</v>
      </c>
      <c r="P388" s="26">
        <v>768</v>
      </c>
      <c r="Q388" s="26">
        <v>759</v>
      </c>
      <c r="R388" s="26">
        <v>788</v>
      </c>
      <c r="S388" s="26">
        <v>775</v>
      </c>
      <c r="T388" s="26">
        <v>764</v>
      </c>
      <c r="U388" s="26">
        <v>806</v>
      </c>
      <c r="V388" s="26">
        <v>786</v>
      </c>
      <c r="W388" s="26">
        <v>767</v>
      </c>
      <c r="X388" s="26">
        <v>791</v>
      </c>
      <c r="Y388" s="26">
        <v>778</v>
      </c>
      <c r="Z388" s="26">
        <v>771</v>
      </c>
      <c r="AA388" s="26">
        <v>816</v>
      </c>
      <c r="AB388" s="26">
        <v>779</v>
      </c>
      <c r="AC388" s="26">
        <v>778</v>
      </c>
      <c r="AD388" s="26">
        <v>801</v>
      </c>
      <c r="AE388" s="26">
        <v>799</v>
      </c>
      <c r="AF388" s="26">
        <v>754</v>
      </c>
    </row>
    <row r="389" spans="1:37">
      <c r="A389" s="26">
        <v>104</v>
      </c>
      <c r="B389" s="30" t="s">
        <v>127</v>
      </c>
      <c r="C389" s="27">
        <v>96</v>
      </c>
      <c r="D389" s="44"/>
      <c r="E389" s="33">
        <f>표_악몽던전템위력[[#This Row],[ancestral dropped]]/표_악몽던전템위력[[#This Row],[rare+ dropped]]</f>
        <v>1</v>
      </c>
      <c r="F389" s="47">
        <f>COUNT(표_악몽던전템위력[[#This Row],[item1]:[item46]])</f>
        <v>11</v>
      </c>
      <c r="G389" s="47">
        <v>11</v>
      </c>
      <c r="H389" s="48">
        <f>AVERAGE(표_악몽던전템위력[[#This Row],[item1]:[item46]])</f>
        <v>770</v>
      </c>
      <c r="I389" s="26">
        <v>763</v>
      </c>
      <c r="J389" s="26">
        <v>778</v>
      </c>
      <c r="K389" s="26">
        <v>774</v>
      </c>
      <c r="L389" s="26">
        <v>771</v>
      </c>
      <c r="M389" s="26">
        <v>779</v>
      </c>
      <c r="N389" s="26">
        <v>750</v>
      </c>
      <c r="O389" s="26">
        <v>781</v>
      </c>
      <c r="P389" s="26">
        <v>777</v>
      </c>
      <c r="Q389" s="26">
        <v>756</v>
      </c>
      <c r="R389" s="26">
        <v>750</v>
      </c>
      <c r="S389" s="26">
        <v>791</v>
      </c>
    </row>
    <row r="390" spans="1:37">
      <c r="A390" s="26">
        <v>104</v>
      </c>
      <c r="B390" s="30" t="s">
        <v>71</v>
      </c>
      <c r="C390" s="27">
        <v>89</v>
      </c>
      <c r="D390" s="44"/>
      <c r="E390" s="33">
        <f>표_악몽던전템위력[[#This Row],[ancestral dropped]]/표_악몽던전템위력[[#This Row],[rare+ dropped]]</f>
        <v>0.95454545454545459</v>
      </c>
      <c r="F390" s="47">
        <f>COUNT(표_악몽던전템위력[[#This Row],[item1]:[item46]])</f>
        <v>21</v>
      </c>
      <c r="G390" s="47">
        <v>22</v>
      </c>
      <c r="H390" s="48">
        <f>AVERAGE(표_악몽던전템위력[[#This Row],[item1]:[item46]])</f>
        <v>779.09523809523807</v>
      </c>
      <c r="I390" s="26">
        <v>811</v>
      </c>
      <c r="J390" s="26">
        <v>792</v>
      </c>
      <c r="K390" s="26">
        <v>786</v>
      </c>
      <c r="L390" s="26">
        <v>764</v>
      </c>
      <c r="M390" s="26">
        <v>755</v>
      </c>
      <c r="N390" s="26">
        <v>761</v>
      </c>
      <c r="O390" s="26">
        <v>784</v>
      </c>
      <c r="P390" s="26">
        <v>807</v>
      </c>
      <c r="Q390" s="26">
        <v>782</v>
      </c>
      <c r="R390" s="26">
        <v>776</v>
      </c>
      <c r="S390" s="26">
        <v>748</v>
      </c>
      <c r="T390" s="26">
        <v>783</v>
      </c>
      <c r="U390" s="26">
        <v>767</v>
      </c>
      <c r="V390" s="26">
        <v>782</v>
      </c>
      <c r="W390" s="26">
        <v>753</v>
      </c>
      <c r="X390" s="26">
        <v>798</v>
      </c>
      <c r="Y390" s="26">
        <v>792</v>
      </c>
      <c r="Z390" s="26">
        <v>761</v>
      </c>
      <c r="AA390" s="26">
        <v>801</v>
      </c>
      <c r="AB390" s="26">
        <v>792</v>
      </c>
      <c r="AC390" s="26">
        <v>766</v>
      </c>
    </row>
    <row r="391" spans="1:37">
      <c r="A391" s="26">
        <v>104</v>
      </c>
      <c r="B391" s="30" t="s">
        <v>121</v>
      </c>
      <c r="C391" s="27">
        <v>89</v>
      </c>
      <c r="D391" s="44">
        <v>1</v>
      </c>
      <c r="E391" s="33">
        <f>표_악몽던전템위력[[#This Row],[ancestral dropped]]/표_악몽던전템위력[[#This Row],[rare+ dropped]]</f>
        <v>1</v>
      </c>
      <c r="F391" s="47">
        <f>COUNT(표_악몽던전템위력[[#This Row],[item1]:[item46]])</f>
        <v>27</v>
      </c>
      <c r="G391" s="47">
        <v>27</v>
      </c>
      <c r="H391" s="48">
        <f>AVERAGE(표_악몽던전템위력[[#This Row],[item1]:[item46]])</f>
        <v>776.11111111111109</v>
      </c>
      <c r="I391" s="26">
        <v>786</v>
      </c>
      <c r="J391" s="26">
        <v>777</v>
      </c>
      <c r="K391" s="26">
        <v>800</v>
      </c>
      <c r="L391" s="26">
        <v>778</v>
      </c>
      <c r="M391" s="26">
        <v>769</v>
      </c>
      <c r="N391" s="26">
        <v>752</v>
      </c>
      <c r="O391" s="26">
        <v>751</v>
      </c>
      <c r="P391" s="26">
        <v>793</v>
      </c>
      <c r="Q391" s="26">
        <v>788</v>
      </c>
      <c r="R391" s="26">
        <v>772</v>
      </c>
      <c r="S391" s="26">
        <v>765</v>
      </c>
      <c r="T391" s="26">
        <v>763</v>
      </c>
      <c r="U391" s="26">
        <v>761</v>
      </c>
      <c r="V391" s="26">
        <v>755</v>
      </c>
      <c r="W391" s="26">
        <v>796</v>
      </c>
      <c r="X391" s="26">
        <v>783</v>
      </c>
      <c r="Y391" s="26">
        <v>761</v>
      </c>
      <c r="Z391" s="26">
        <v>806</v>
      </c>
      <c r="AA391" s="26">
        <v>791</v>
      </c>
      <c r="AB391" s="26">
        <v>780</v>
      </c>
      <c r="AC391" s="26">
        <v>767</v>
      </c>
      <c r="AD391" s="26">
        <v>737</v>
      </c>
      <c r="AE391" s="26">
        <v>771</v>
      </c>
      <c r="AF391" s="26">
        <v>804</v>
      </c>
      <c r="AG391" s="26">
        <v>786</v>
      </c>
      <c r="AH391" s="26">
        <v>786</v>
      </c>
      <c r="AI391" s="26">
        <v>777</v>
      </c>
    </row>
    <row r="392" spans="1:37">
      <c r="A392" s="26">
        <v>104</v>
      </c>
      <c r="B392" s="30" t="s">
        <v>28</v>
      </c>
      <c r="C392" s="27">
        <v>92</v>
      </c>
      <c r="D392" s="44"/>
      <c r="E392" s="33">
        <f>표_악몽던전템위력[[#This Row],[ancestral dropped]]/표_악몽던전템위력[[#This Row],[rare+ dropped]]</f>
        <v>0.91304347826086951</v>
      </c>
      <c r="F392" s="47">
        <f>COUNT(표_악몽던전템위력[[#This Row],[item1]:[item46]])</f>
        <v>21</v>
      </c>
      <c r="G392" s="47">
        <v>23</v>
      </c>
      <c r="H392" s="48">
        <f>AVERAGE(표_악몽던전템위력[[#This Row],[item1]:[item46]])</f>
        <v>775.66666666666663</v>
      </c>
      <c r="I392" s="26">
        <v>794</v>
      </c>
      <c r="J392" s="26">
        <v>773</v>
      </c>
      <c r="K392" s="26">
        <v>754</v>
      </c>
      <c r="L392" s="26">
        <v>799</v>
      </c>
      <c r="M392" s="26">
        <v>807</v>
      </c>
      <c r="N392" s="26">
        <v>775</v>
      </c>
      <c r="O392" s="26">
        <v>775</v>
      </c>
      <c r="P392" s="26">
        <v>761</v>
      </c>
      <c r="Q392" s="26">
        <v>758</v>
      </c>
      <c r="R392" s="26">
        <v>748</v>
      </c>
      <c r="S392" s="26">
        <v>770</v>
      </c>
      <c r="T392" s="26">
        <v>790</v>
      </c>
      <c r="U392" s="26">
        <v>768</v>
      </c>
      <c r="V392" s="26">
        <v>788</v>
      </c>
      <c r="W392" s="26">
        <v>779</v>
      </c>
      <c r="X392" s="26">
        <v>751</v>
      </c>
      <c r="Y392" s="26">
        <v>771</v>
      </c>
      <c r="Z392" s="26">
        <v>811</v>
      </c>
      <c r="AA392" s="26">
        <v>747</v>
      </c>
      <c r="AB392" s="26">
        <v>803</v>
      </c>
      <c r="AC392" s="26">
        <v>767</v>
      </c>
    </row>
    <row r="393" spans="1:37">
      <c r="A393" s="26">
        <v>104</v>
      </c>
      <c r="B393" s="30" t="s">
        <v>138</v>
      </c>
      <c r="C393" s="27">
        <v>92</v>
      </c>
      <c r="D393" s="44"/>
      <c r="E393" s="33">
        <f>표_악몽던전템위력[[#This Row],[ancestral dropped]]/표_악몽던전템위력[[#This Row],[rare+ dropped]]</f>
        <v>1</v>
      </c>
      <c r="F393" s="47">
        <f>COUNT(표_악몽던전템위력[[#This Row],[item1]:[item46]])</f>
        <v>14</v>
      </c>
      <c r="G393" s="47">
        <v>14</v>
      </c>
      <c r="H393" s="48">
        <f>AVERAGE(표_악몽던전템위력[[#This Row],[item1]:[item46]])</f>
        <v>766.57142857142856</v>
      </c>
      <c r="I393" s="26">
        <v>784</v>
      </c>
      <c r="J393" s="26">
        <v>781</v>
      </c>
      <c r="K393" s="26">
        <v>768</v>
      </c>
      <c r="L393" s="26">
        <v>786</v>
      </c>
      <c r="M393" s="26">
        <v>743</v>
      </c>
      <c r="N393" s="26">
        <v>755</v>
      </c>
      <c r="O393" s="26">
        <v>750</v>
      </c>
      <c r="P393" s="26">
        <v>734</v>
      </c>
      <c r="Q393" s="26">
        <v>785</v>
      </c>
      <c r="R393" s="26">
        <v>750</v>
      </c>
      <c r="S393" s="26">
        <v>771</v>
      </c>
      <c r="T393" s="26">
        <v>795</v>
      </c>
      <c r="U393" s="26">
        <v>769</v>
      </c>
      <c r="V393" s="26">
        <v>761</v>
      </c>
    </row>
    <row r="394" spans="1:37">
      <c r="A394" s="26">
        <v>104</v>
      </c>
      <c r="B394" s="30" t="s">
        <v>9</v>
      </c>
      <c r="C394" s="27">
        <v>89</v>
      </c>
      <c r="D394" s="44"/>
      <c r="E394" s="33">
        <f>표_악몽던전템위력[[#This Row],[ancestral dropped]]/표_악몽던전템위력[[#This Row],[rare+ dropped]]</f>
        <v>1</v>
      </c>
      <c r="F394" s="47">
        <f>COUNT(표_악몽던전템위력[[#This Row],[item1]:[item46]])</f>
        <v>28</v>
      </c>
      <c r="G394" s="47">
        <v>28</v>
      </c>
      <c r="H394" s="48">
        <f>AVERAGE(표_악몽던전템위력[[#This Row],[item1]:[item46]])</f>
        <v>771.60714285714289</v>
      </c>
      <c r="I394" s="26">
        <v>807</v>
      </c>
      <c r="J394" s="26">
        <v>783</v>
      </c>
      <c r="K394" s="26">
        <v>773</v>
      </c>
      <c r="L394" s="26">
        <v>769</v>
      </c>
      <c r="M394" s="26">
        <v>761</v>
      </c>
      <c r="N394" s="26">
        <v>743</v>
      </c>
      <c r="O394" s="26">
        <v>755</v>
      </c>
      <c r="P394" s="26">
        <v>779</v>
      </c>
      <c r="Q394" s="26">
        <v>775</v>
      </c>
      <c r="R394" s="26">
        <v>768</v>
      </c>
      <c r="S394" s="26">
        <v>734</v>
      </c>
      <c r="T394" s="26">
        <v>792</v>
      </c>
      <c r="U394" s="26">
        <v>765</v>
      </c>
      <c r="V394" s="26">
        <v>764</v>
      </c>
      <c r="W394" s="26">
        <v>754</v>
      </c>
      <c r="X394" s="26">
        <v>753</v>
      </c>
      <c r="Y394" s="26">
        <v>744</v>
      </c>
      <c r="Z394" s="26">
        <v>804</v>
      </c>
      <c r="AA394" s="26">
        <v>794</v>
      </c>
      <c r="AB394" s="26">
        <v>792</v>
      </c>
      <c r="AC394" s="26">
        <v>753</v>
      </c>
      <c r="AD394" s="26">
        <v>800</v>
      </c>
      <c r="AE394" s="26">
        <v>785</v>
      </c>
      <c r="AF394" s="26">
        <v>774</v>
      </c>
      <c r="AG394" s="26">
        <v>755</v>
      </c>
      <c r="AH394" s="26">
        <v>777</v>
      </c>
      <c r="AI394" s="26">
        <v>779</v>
      </c>
      <c r="AJ394" s="26">
        <v>773</v>
      </c>
    </row>
    <row r="395" spans="1:37">
      <c r="A395" s="26">
        <v>104</v>
      </c>
      <c r="B395" s="30" t="s">
        <v>144</v>
      </c>
      <c r="C395" s="27">
        <v>91</v>
      </c>
      <c r="D395" s="44"/>
      <c r="E395" s="33">
        <f>표_악몽던전템위력[[#This Row],[ancestral dropped]]/표_악몽던전템위력[[#This Row],[rare+ dropped]]</f>
        <v>0.9285714285714286</v>
      </c>
      <c r="F395" s="47">
        <f>COUNT(표_악몽던전템위력[[#This Row],[item1]:[item46]])</f>
        <v>13</v>
      </c>
      <c r="G395" s="47">
        <v>14</v>
      </c>
      <c r="H395" s="48">
        <f>AVERAGE(표_악몽던전템위력[[#This Row],[item1]:[item46]])</f>
        <v>777.23076923076928</v>
      </c>
      <c r="I395" s="26">
        <v>778</v>
      </c>
      <c r="J395" s="26">
        <v>763</v>
      </c>
      <c r="K395" s="26">
        <v>795</v>
      </c>
      <c r="L395" s="26">
        <v>774</v>
      </c>
      <c r="M395" s="26">
        <v>771</v>
      </c>
      <c r="N395" s="26">
        <v>747</v>
      </c>
      <c r="O395" s="26">
        <v>784</v>
      </c>
      <c r="P395" s="26">
        <v>773</v>
      </c>
      <c r="Q395" s="26">
        <v>793</v>
      </c>
      <c r="R395" s="26">
        <v>778</v>
      </c>
      <c r="S395" s="26">
        <v>805</v>
      </c>
      <c r="T395" s="26">
        <v>778</v>
      </c>
      <c r="U395" s="26">
        <v>765</v>
      </c>
    </row>
    <row r="396" spans="1:37">
      <c r="A396" s="26">
        <v>104</v>
      </c>
      <c r="B396" s="30" t="s">
        <v>132</v>
      </c>
      <c r="C396" s="27">
        <v>89</v>
      </c>
      <c r="D396" s="44"/>
      <c r="E396" s="33">
        <f>표_악몽던전템위력[[#This Row],[ancestral dropped]]/표_악몽던전템위력[[#This Row],[rare+ dropped]]</f>
        <v>0.96296296296296291</v>
      </c>
      <c r="F396" s="47">
        <f>COUNT(표_악몽던전템위력[[#This Row],[item1]:[item46]])</f>
        <v>26</v>
      </c>
      <c r="G396" s="47">
        <v>27</v>
      </c>
      <c r="H396" s="48">
        <f>AVERAGE(표_악몽던전템위력[[#This Row],[item1]:[item46]])</f>
        <v>771.5</v>
      </c>
      <c r="I396" s="26">
        <v>794</v>
      </c>
      <c r="J396" s="26">
        <v>788</v>
      </c>
      <c r="K396" s="26">
        <v>786</v>
      </c>
      <c r="L396" s="26">
        <v>775</v>
      </c>
      <c r="M396" s="26">
        <v>773</v>
      </c>
      <c r="N396" s="26">
        <v>767</v>
      </c>
      <c r="O396" s="26">
        <v>763</v>
      </c>
      <c r="P396" s="26">
        <v>749</v>
      </c>
      <c r="Q396" s="26">
        <v>749</v>
      </c>
      <c r="R396" s="26">
        <v>755</v>
      </c>
      <c r="S396" s="26">
        <v>788</v>
      </c>
      <c r="T396" s="26">
        <v>778</v>
      </c>
      <c r="U396" s="26">
        <v>761</v>
      </c>
      <c r="V396" s="26">
        <v>770</v>
      </c>
      <c r="W396" s="26">
        <v>758</v>
      </c>
      <c r="X396" s="26">
        <v>806</v>
      </c>
      <c r="Y396" s="26">
        <v>791</v>
      </c>
      <c r="Z396" s="26">
        <v>773</v>
      </c>
      <c r="AA396" s="26">
        <v>764</v>
      </c>
      <c r="AB396" s="26">
        <v>760</v>
      </c>
      <c r="AC396" s="26">
        <v>756</v>
      </c>
      <c r="AD396" s="26">
        <v>764</v>
      </c>
      <c r="AE396" s="26">
        <v>754</v>
      </c>
      <c r="AF396" s="26">
        <v>796</v>
      </c>
      <c r="AG396" s="26">
        <v>789</v>
      </c>
      <c r="AH396" s="26">
        <v>752</v>
      </c>
    </row>
    <row r="397" spans="1:37">
      <c r="A397" s="26">
        <v>104</v>
      </c>
      <c r="B397" s="30" t="s">
        <v>131</v>
      </c>
      <c r="C397" s="27">
        <v>90</v>
      </c>
      <c r="D397" s="44"/>
      <c r="E397" s="33">
        <f>표_악몽던전템위력[[#This Row],[ancestral dropped]]/표_악몽던전템위력[[#This Row],[rare+ dropped]]</f>
        <v>0.94736842105263153</v>
      </c>
      <c r="F397" s="47">
        <f>COUNT(표_악몽던전템위력[[#This Row],[item1]:[item46]])</f>
        <v>18</v>
      </c>
      <c r="G397" s="47">
        <v>19</v>
      </c>
      <c r="H397" s="48">
        <f>AVERAGE(표_악몽던전템위력[[#This Row],[item1]:[item46]])</f>
        <v>776</v>
      </c>
      <c r="I397" s="26">
        <v>809</v>
      </c>
      <c r="J397" s="26">
        <v>778</v>
      </c>
      <c r="K397" s="26">
        <v>803</v>
      </c>
      <c r="L397" s="26">
        <v>790</v>
      </c>
      <c r="M397" s="26">
        <v>762</v>
      </c>
      <c r="N397" s="26">
        <v>754</v>
      </c>
      <c r="O397" s="26">
        <v>791</v>
      </c>
      <c r="P397" s="26">
        <v>782</v>
      </c>
      <c r="Q397" s="26">
        <v>769</v>
      </c>
      <c r="R397" s="26">
        <v>800</v>
      </c>
      <c r="S397" s="26">
        <v>739</v>
      </c>
      <c r="T397" s="26">
        <v>796</v>
      </c>
      <c r="U397" s="26">
        <v>765</v>
      </c>
      <c r="V397" s="26">
        <v>751</v>
      </c>
      <c r="W397" s="26">
        <v>763</v>
      </c>
      <c r="X397" s="26">
        <v>774</v>
      </c>
      <c r="Y397" s="26">
        <v>782</v>
      </c>
      <c r="Z397" s="26">
        <v>760</v>
      </c>
    </row>
    <row r="398" spans="1:37">
      <c r="A398" s="26">
        <v>104</v>
      </c>
      <c r="B398" s="30" t="s">
        <v>145</v>
      </c>
      <c r="C398" s="27">
        <v>91</v>
      </c>
      <c r="D398" s="44"/>
      <c r="E398" s="33">
        <f>표_악몽던전템위력[[#This Row],[ancestral dropped]]/표_악몽던전템위력[[#This Row],[rare+ dropped]]</f>
        <v>1</v>
      </c>
      <c r="F398" s="47">
        <f>COUNT(표_악몽던전템위력[[#This Row],[item1]:[item46]])</f>
        <v>27</v>
      </c>
      <c r="G398" s="47">
        <v>27</v>
      </c>
      <c r="H398" s="48">
        <f>AVERAGE(표_악몽던전템위력[[#This Row],[item1]:[item46]])</f>
        <v>772.2962962962963</v>
      </c>
      <c r="I398" s="26">
        <v>817</v>
      </c>
      <c r="J398" s="26">
        <v>768</v>
      </c>
      <c r="K398" s="26">
        <v>749</v>
      </c>
      <c r="L398" s="26">
        <v>742</v>
      </c>
      <c r="M398" s="26">
        <v>785</v>
      </c>
      <c r="N398" s="26">
        <v>767</v>
      </c>
      <c r="O398" s="26">
        <v>797</v>
      </c>
      <c r="P398" s="26">
        <v>789</v>
      </c>
      <c r="Q398" s="26">
        <v>781</v>
      </c>
      <c r="R398" s="26">
        <v>777</v>
      </c>
      <c r="S398" s="26">
        <v>764</v>
      </c>
      <c r="T398" s="26">
        <v>762</v>
      </c>
      <c r="U398" s="26">
        <v>803</v>
      </c>
      <c r="V398" s="26">
        <v>785</v>
      </c>
      <c r="W398" s="26">
        <v>765</v>
      </c>
      <c r="X398" s="26">
        <v>756</v>
      </c>
      <c r="Y398" s="26">
        <v>753</v>
      </c>
      <c r="Z398" s="26">
        <v>785</v>
      </c>
      <c r="AA398" s="26">
        <v>775</v>
      </c>
      <c r="AB398" s="26">
        <v>766</v>
      </c>
      <c r="AC398" s="26">
        <v>757</v>
      </c>
      <c r="AD398" s="26">
        <v>804</v>
      </c>
      <c r="AE398" s="26">
        <v>787</v>
      </c>
      <c r="AF398" s="26">
        <v>758</v>
      </c>
      <c r="AG398" s="26">
        <v>757</v>
      </c>
      <c r="AH398" s="26">
        <v>753</v>
      </c>
      <c r="AI398" s="26">
        <v>750</v>
      </c>
    </row>
    <row r="399" spans="1:37">
      <c r="A399" s="26">
        <v>104</v>
      </c>
      <c r="B399" s="30" t="s">
        <v>146</v>
      </c>
      <c r="C399" s="27">
        <v>88</v>
      </c>
      <c r="D399" s="44"/>
      <c r="E399" s="33">
        <f>표_악몽던전템위력[[#This Row],[ancestral dropped]]/표_악몽던전템위력[[#This Row],[rare+ dropped]]</f>
        <v>1</v>
      </c>
      <c r="F399" s="47">
        <f>COUNT(표_악몽던전템위력[[#This Row],[item1]:[item46]])</f>
        <v>27</v>
      </c>
      <c r="G399" s="47">
        <v>27</v>
      </c>
      <c r="H399" s="48">
        <f>AVERAGE(표_악몽던전템위력[[#This Row],[item1]:[item46]])</f>
        <v>771.22222222222217</v>
      </c>
      <c r="I399" s="26">
        <v>762</v>
      </c>
      <c r="J399" s="26">
        <v>744</v>
      </c>
      <c r="K399" s="26">
        <v>743</v>
      </c>
      <c r="L399" s="26">
        <v>798</v>
      </c>
      <c r="M399" s="26">
        <v>748</v>
      </c>
      <c r="N399" s="26">
        <v>797</v>
      </c>
      <c r="O399" s="26">
        <v>792</v>
      </c>
      <c r="P399" s="26">
        <v>764</v>
      </c>
      <c r="Q399" s="26">
        <v>754</v>
      </c>
      <c r="R399" s="26">
        <v>743</v>
      </c>
      <c r="S399" s="26">
        <v>804</v>
      </c>
      <c r="T399" s="26">
        <v>799</v>
      </c>
      <c r="U399" s="26">
        <v>787</v>
      </c>
      <c r="V399" s="26">
        <v>764</v>
      </c>
      <c r="W399" s="26">
        <v>777</v>
      </c>
      <c r="X399" s="26">
        <v>777</v>
      </c>
      <c r="Y399" s="26">
        <v>774</v>
      </c>
      <c r="Z399" s="26">
        <v>757</v>
      </c>
      <c r="AA399" s="26">
        <v>802</v>
      </c>
      <c r="AB399" s="26">
        <v>779</v>
      </c>
      <c r="AC399" s="26">
        <v>777</v>
      </c>
      <c r="AD399" s="26">
        <v>763</v>
      </c>
      <c r="AE399" s="26">
        <v>754</v>
      </c>
      <c r="AF399" s="26">
        <v>753</v>
      </c>
      <c r="AG399" s="26">
        <v>766</v>
      </c>
      <c r="AH399" s="26">
        <v>784</v>
      </c>
      <c r="AI399" s="26">
        <v>761</v>
      </c>
    </row>
    <row r="400" spans="1:37">
      <c r="A400" s="26">
        <v>104</v>
      </c>
      <c r="B400" s="30" t="s">
        <v>159</v>
      </c>
      <c r="C400" s="27">
        <v>87</v>
      </c>
      <c r="D400" s="44"/>
      <c r="E400" s="33">
        <f>표_악몽던전템위력[[#This Row],[ancestral dropped]]/표_악몽던전템위력[[#This Row],[rare+ dropped]]</f>
        <v>0.96666666666666667</v>
      </c>
      <c r="F400" s="47">
        <f>COUNT(표_악몽던전템위력[[#This Row],[item1]:[item46]])</f>
        <v>29</v>
      </c>
      <c r="G400" s="47">
        <v>30</v>
      </c>
      <c r="H400" s="48">
        <f>AVERAGE(표_악몽던전템위력[[#This Row],[item1]:[item46]])</f>
        <v>769.0344827586207</v>
      </c>
      <c r="I400" s="26">
        <v>783</v>
      </c>
      <c r="J400" s="26">
        <v>777</v>
      </c>
      <c r="K400" s="26">
        <v>760</v>
      </c>
      <c r="L400" s="26">
        <v>745</v>
      </c>
      <c r="M400" s="26">
        <v>790</v>
      </c>
      <c r="N400" s="26">
        <v>766</v>
      </c>
      <c r="O400" s="26">
        <v>756</v>
      </c>
      <c r="P400" s="26">
        <v>741</v>
      </c>
      <c r="Q400" s="26">
        <v>781</v>
      </c>
      <c r="R400" s="26">
        <v>773</v>
      </c>
      <c r="S400" s="26">
        <v>748</v>
      </c>
      <c r="T400" s="26">
        <v>746</v>
      </c>
      <c r="U400" s="26">
        <v>745</v>
      </c>
      <c r="V400" s="26">
        <v>769</v>
      </c>
      <c r="W400" s="26">
        <v>747</v>
      </c>
      <c r="X400" s="26">
        <v>789</v>
      </c>
      <c r="Y400" s="26">
        <v>780</v>
      </c>
      <c r="Z400" s="26">
        <v>774</v>
      </c>
      <c r="AA400" s="26">
        <v>770</v>
      </c>
      <c r="AB400" s="26">
        <v>762</v>
      </c>
      <c r="AC400" s="26">
        <v>750</v>
      </c>
      <c r="AD400" s="26">
        <v>796</v>
      </c>
      <c r="AE400" s="26">
        <v>795</v>
      </c>
      <c r="AF400" s="26">
        <v>767</v>
      </c>
      <c r="AG400" s="26">
        <v>766</v>
      </c>
      <c r="AH400" s="26">
        <v>763</v>
      </c>
      <c r="AI400" s="26">
        <v>796</v>
      </c>
      <c r="AJ400" s="26">
        <v>788</v>
      </c>
      <c r="AK400" s="26">
        <v>779</v>
      </c>
    </row>
    <row r="401" spans="1:53">
      <c r="A401" s="26">
        <v>104</v>
      </c>
      <c r="B401" s="30" t="s">
        <v>127</v>
      </c>
      <c r="C401" s="27">
        <v>85</v>
      </c>
      <c r="D401" s="44"/>
      <c r="E401" s="33">
        <f>표_악몽던전템위력[[#This Row],[ancestral dropped]]/표_악몽던전템위력[[#This Row],[rare+ dropped]]</f>
        <v>0.95</v>
      </c>
      <c r="F401" s="47">
        <f>COUNT(표_악몽던전템위력[[#This Row],[item1]:[item46]])</f>
        <v>19</v>
      </c>
      <c r="G401" s="47">
        <v>20</v>
      </c>
      <c r="H401" s="48">
        <f>AVERAGE(표_악몽던전템위력[[#This Row],[item1]:[item46]])</f>
        <v>776</v>
      </c>
      <c r="I401" s="26">
        <v>790</v>
      </c>
      <c r="J401" s="26">
        <v>782</v>
      </c>
      <c r="K401" s="26">
        <v>769</v>
      </c>
      <c r="L401" s="26">
        <v>774</v>
      </c>
      <c r="M401" s="26">
        <v>770</v>
      </c>
      <c r="N401" s="26">
        <v>762</v>
      </c>
      <c r="O401" s="26">
        <v>754</v>
      </c>
      <c r="P401" s="26">
        <v>790</v>
      </c>
      <c r="Q401" s="26">
        <v>782</v>
      </c>
      <c r="R401" s="26">
        <v>772</v>
      </c>
      <c r="S401" s="26">
        <v>770</v>
      </c>
      <c r="T401" s="26">
        <v>769</v>
      </c>
      <c r="U401" s="26">
        <v>776</v>
      </c>
      <c r="V401" s="26">
        <v>779</v>
      </c>
      <c r="W401" s="26">
        <v>798</v>
      </c>
      <c r="X401" s="26">
        <v>795</v>
      </c>
      <c r="Y401" s="26">
        <v>758</v>
      </c>
      <c r="Z401" s="26">
        <v>783</v>
      </c>
      <c r="AA401" s="26">
        <v>771</v>
      </c>
    </row>
    <row r="402" spans="1:53">
      <c r="A402" s="26">
        <v>104</v>
      </c>
      <c r="B402" s="30" t="s">
        <v>127</v>
      </c>
      <c r="C402" s="27">
        <v>85</v>
      </c>
      <c r="D402" s="44"/>
      <c r="E402" s="33">
        <f>표_악몽던전템위력[[#This Row],[ancestral dropped]]/표_악몽던전템위력[[#This Row],[rare+ dropped]]</f>
        <v>1</v>
      </c>
      <c r="F402" s="47">
        <f>COUNT(표_악몽던전템위력[[#This Row],[item1]:[item46]])</f>
        <v>27</v>
      </c>
      <c r="G402" s="47">
        <v>27</v>
      </c>
      <c r="H402" s="48">
        <f>AVERAGE(표_악몽던전템위력[[#This Row],[item1]:[item46]])</f>
        <v>771.66666666666663</v>
      </c>
      <c r="I402" s="26">
        <v>807</v>
      </c>
      <c r="J402" s="26">
        <v>780</v>
      </c>
      <c r="K402" s="26">
        <v>775</v>
      </c>
      <c r="L402" s="26">
        <v>760</v>
      </c>
      <c r="M402" s="26">
        <v>755</v>
      </c>
      <c r="N402" s="26">
        <v>782</v>
      </c>
      <c r="O402" s="26">
        <v>789</v>
      </c>
      <c r="P402" s="26">
        <v>761</v>
      </c>
      <c r="Q402" s="26">
        <v>760</v>
      </c>
      <c r="R402" s="26">
        <v>788</v>
      </c>
      <c r="S402" s="26">
        <v>782</v>
      </c>
      <c r="T402" s="26">
        <v>782</v>
      </c>
      <c r="U402" s="26">
        <v>763</v>
      </c>
      <c r="V402" s="26">
        <v>750</v>
      </c>
      <c r="W402" s="26">
        <v>745</v>
      </c>
      <c r="X402" s="26">
        <v>798</v>
      </c>
      <c r="Y402" s="26">
        <v>779</v>
      </c>
      <c r="Z402" s="26">
        <v>748</v>
      </c>
      <c r="AA402" s="26">
        <v>776</v>
      </c>
      <c r="AB402" s="26">
        <v>759</v>
      </c>
      <c r="AC402" s="26">
        <v>743</v>
      </c>
      <c r="AD402" s="26">
        <v>817</v>
      </c>
      <c r="AE402" s="26">
        <v>773</v>
      </c>
      <c r="AF402" s="26">
        <v>771</v>
      </c>
      <c r="AG402" s="26">
        <v>764</v>
      </c>
      <c r="AH402" s="26">
        <v>742</v>
      </c>
      <c r="AI402" s="26">
        <v>786</v>
      </c>
    </row>
    <row r="403" spans="1:53">
      <c r="A403" s="26">
        <v>104</v>
      </c>
      <c r="B403" s="30" t="s">
        <v>0</v>
      </c>
      <c r="C403" s="27">
        <v>84</v>
      </c>
      <c r="D403" s="44"/>
      <c r="E403" s="33">
        <f>표_악몽던전템위력[[#This Row],[ancestral dropped]]/표_악몽던전템위력[[#This Row],[rare+ dropped]]</f>
        <v>0.94444444444444442</v>
      </c>
      <c r="F403" s="47">
        <f>COUNT(표_악몽던전템위력[[#This Row],[item1]:[item46]])</f>
        <v>17</v>
      </c>
      <c r="G403" s="47">
        <v>18</v>
      </c>
      <c r="H403" s="48">
        <f>AVERAGE(표_악몽던전템위력[[#This Row],[item1]:[item46]])</f>
        <v>774.58823529411768</v>
      </c>
      <c r="I403" s="26">
        <v>791</v>
      </c>
      <c r="J403" s="26">
        <v>757</v>
      </c>
      <c r="K403" s="26">
        <v>801</v>
      </c>
      <c r="L403" s="26">
        <v>787</v>
      </c>
      <c r="M403" s="26">
        <v>786</v>
      </c>
      <c r="N403" s="26">
        <v>782</v>
      </c>
      <c r="O403" s="26">
        <v>763</v>
      </c>
      <c r="P403" s="26">
        <v>765</v>
      </c>
      <c r="Q403" s="26">
        <v>790</v>
      </c>
      <c r="R403" s="26">
        <v>775</v>
      </c>
      <c r="S403" s="26">
        <v>774</v>
      </c>
      <c r="T403" s="26">
        <v>766</v>
      </c>
      <c r="U403" s="26">
        <v>749</v>
      </c>
      <c r="V403" s="26">
        <v>796</v>
      </c>
      <c r="W403" s="26">
        <v>758</v>
      </c>
      <c r="X403" s="26">
        <v>756</v>
      </c>
      <c r="Y403" s="26">
        <v>772</v>
      </c>
    </row>
    <row r="404" spans="1:53">
      <c r="A404" s="26">
        <v>104</v>
      </c>
      <c r="B404" s="30" t="s">
        <v>123</v>
      </c>
      <c r="C404" s="27">
        <v>86</v>
      </c>
      <c r="D404" s="44"/>
      <c r="E404" s="33">
        <f>표_악몽던전템위력[[#This Row],[ancestral dropped]]/표_악몽던전템위력[[#This Row],[rare+ dropped]]</f>
        <v>0.90909090909090906</v>
      </c>
      <c r="F404" s="47">
        <f>COUNT(표_악몽던전템위력[[#This Row],[item1]:[item46]])</f>
        <v>20</v>
      </c>
      <c r="G404" s="47">
        <v>22</v>
      </c>
      <c r="H404" s="48">
        <f>AVERAGE(표_악몽던전템위력[[#This Row],[item1]:[item46]])</f>
        <v>777.85</v>
      </c>
      <c r="I404" s="26">
        <v>809</v>
      </c>
      <c r="J404" s="26">
        <v>762</v>
      </c>
      <c r="K404" s="26">
        <v>757</v>
      </c>
      <c r="L404" s="26">
        <v>788</v>
      </c>
      <c r="M404" s="26">
        <v>784</v>
      </c>
      <c r="N404" s="26">
        <v>799</v>
      </c>
      <c r="O404" s="26">
        <v>775</v>
      </c>
      <c r="P404" s="26">
        <v>771</v>
      </c>
      <c r="Q404" s="26">
        <v>763</v>
      </c>
      <c r="R404" s="26">
        <v>763</v>
      </c>
      <c r="S404" s="26">
        <v>807</v>
      </c>
      <c r="T404" s="26">
        <v>759</v>
      </c>
      <c r="U404" s="26">
        <v>744</v>
      </c>
      <c r="V404" s="26">
        <v>742</v>
      </c>
      <c r="W404" s="26">
        <v>788</v>
      </c>
      <c r="X404" s="26">
        <v>782</v>
      </c>
      <c r="Y404" s="26">
        <v>766</v>
      </c>
      <c r="Z404" s="26">
        <v>803</v>
      </c>
      <c r="AA404" s="26">
        <v>796</v>
      </c>
      <c r="AB404" s="26">
        <v>799</v>
      </c>
    </row>
    <row r="405" spans="1:53">
      <c r="A405" s="26">
        <v>104</v>
      </c>
      <c r="B405" s="30" t="s">
        <v>291</v>
      </c>
      <c r="C405" s="27">
        <v>82</v>
      </c>
      <c r="D405" s="44"/>
      <c r="E405" s="33">
        <f>표_악몽던전템위력[[#This Row],[ancestral dropped]]/표_악몽던전템위력[[#This Row],[rare+ dropped]]</f>
        <v>1</v>
      </c>
      <c r="F405" s="47">
        <f>COUNT(표_악몽던전템위력[[#This Row],[item1]:[item46]])</f>
        <v>26</v>
      </c>
      <c r="G405" s="47">
        <v>26</v>
      </c>
      <c r="H405" s="48">
        <f>AVERAGE(표_악몽던전템위력[[#This Row],[item1]:[item46]])</f>
        <v>775.34615384615381</v>
      </c>
      <c r="I405" s="26">
        <v>786</v>
      </c>
      <c r="J405" s="26">
        <v>767</v>
      </c>
      <c r="K405" s="26">
        <v>762</v>
      </c>
      <c r="L405" s="26">
        <v>791</v>
      </c>
      <c r="M405" s="26">
        <v>803</v>
      </c>
      <c r="N405" s="26">
        <v>792</v>
      </c>
      <c r="O405" s="26">
        <v>760</v>
      </c>
      <c r="P405" s="26">
        <v>816</v>
      </c>
      <c r="Q405" s="26">
        <v>788</v>
      </c>
      <c r="R405" s="26">
        <v>779</v>
      </c>
      <c r="S405" s="26">
        <v>772</v>
      </c>
      <c r="T405" s="26">
        <v>772</v>
      </c>
      <c r="U405" s="26">
        <v>764</v>
      </c>
      <c r="V405" s="26">
        <v>753</v>
      </c>
      <c r="W405" s="26">
        <v>773</v>
      </c>
      <c r="X405" s="26">
        <v>771</v>
      </c>
      <c r="Y405" s="26">
        <v>765</v>
      </c>
      <c r="Z405" s="26">
        <v>762</v>
      </c>
      <c r="AA405" s="26">
        <v>794</v>
      </c>
      <c r="AB405" s="26">
        <v>769</v>
      </c>
      <c r="AC405" s="26">
        <v>753</v>
      </c>
      <c r="AD405" s="26">
        <v>776</v>
      </c>
      <c r="AE405" s="26">
        <v>774</v>
      </c>
      <c r="AF405" s="26">
        <v>753</v>
      </c>
      <c r="AG405" s="26">
        <v>789</v>
      </c>
      <c r="AH405" s="26">
        <v>775</v>
      </c>
    </row>
    <row r="406" spans="1:53">
      <c r="A406" s="26">
        <v>104</v>
      </c>
      <c r="B406" s="30" t="s">
        <v>120</v>
      </c>
      <c r="C406" s="27">
        <v>82</v>
      </c>
      <c r="D406" s="44"/>
      <c r="E406" s="33">
        <f>표_악몽던전템위력[[#This Row],[ancestral dropped]]/표_악몽던전템위력[[#This Row],[rare+ dropped]]</f>
        <v>0.95833333333333337</v>
      </c>
      <c r="F406" s="47">
        <f>COUNT(표_악몽던전템위력[[#This Row],[item1]:[item46]])</f>
        <v>23</v>
      </c>
      <c r="G406" s="47">
        <v>24</v>
      </c>
      <c r="H406" s="48">
        <f>AVERAGE(표_악몽던전템위력[[#This Row],[item1]:[item46]])</f>
        <v>760.08695652173913</v>
      </c>
      <c r="I406" s="26">
        <v>769</v>
      </c>
      <c r="J406" s="26">
        <v>751</v>
      </c>
      <c r="K406" s="26">
        <v>750</v>
      </c>
      <c r="L406" s="26">
        <v>756</v>
      </c>
      <c r="M406" s="26">
        <v>746</v>
      </c>
      <c r="N406" s="26">
        <v>776</v>
      </c>
      <c r="O406" s="26">
        <v>756</v>
      </c>
      <c r="P406" s="26">
        <v>749</v>
      </c>
      <c r="Q406" s="26">
        <v>746</v>
      </c>
      <c r="R406" s="26">
        <v>789</v>
      </c>
      <c r="S406" s="26">
        <v>784</v>
      </c>
      <c r="T406" s="26">
        <v>727</v>
      </c>
      <c r="U406" s="26">
        <v>761</v>
      </c>
      <c r="V406" s="26">
        <v>758</v>
      </c>
      <c r="W406" s="26">
        <v>755</v>
      </c>
      <c r="X406" s="26">
        <v>770</v>
      </c>
      <c r="Y406" s="26">
        <v>766</v>
      </c>
      <c r="Z406" s="26">
        <v>733</v>
      </c>
      <c r="AA406" s="26">
        <v>779</v>
      </c>
      <c r="AB406" s="26">
        <v>746</v>
      </c>
      <c r="AC406" s="26">
        <v>792</v>
      </c>
      <c r="AD406" s="26">
        <v>745</v>
      </c>
      <c r="AE406" s="26">
        <v>778</v>
      </c>
    </row>
    <row r="407" spans="1:53">
      <c r="A407" s="26">
        <v>104</v>
      </c>
      <c r="B407" s="30" t="s">
        <v>120</v>
      </c>
      <c r="C407" s="27">
        <v>86</v>
      </c>
      <c r="D407" s="44">
        <v>1</v>
      </c>
      <c r="E407" s="33">
        <f>표_악몽던전템위력[[#This Row],[ancestral dropped]]/표_악몽던전템위력[[#This Row],[rare+ dropped]]</f>
        <v>1</v>
      </c>
      <c r="F407" s="47">
        <f>COUNT(표_악몽던전템위력[[#This Row],[item1]:[item46]])</f>
        <v>24</v>
      </c>
      <c r="G407" s="47">
        <v>24</v>
      </c>
      <c r="H407" s="48">
        <f>AVERAGE(표_악몽던전템위력[[#This Row],[item1]:[item46]])</f>
        <v>765.83333333333337</v>
      </c>
      <c r="I407" s="26">
        <v>812</v>
      </c>
      <c r="J407" s="26">
        <v>769</v>
      </c>
      <c r="K407" s="26">
        <v>766</v>
      </c>
      <c r="L407" s="26">
        <v>747</v>
      </c>
      <c r="M407" s="26">
        <v>744</v>
      </c>
      <c r="N407" s="26">
        <v>787</v>
      </c>
      <c r="O407" s="26">
        <v>762</v>
      </c>
      <c r="P407" s="26">
        <v>788</v>
      </c>
      <c r="Q407" s="26">
        <v>776</v>
      </c>
      <c r="R407" s="26">
        <v>757</v>
      </c>
      <c r="S407" s="26">
        <v>756</v>
      </c>
      <c r="T407" s="26">
        <v>782</v>
      </c>
      <c r="U407" s="26">
        <v>767</v>
      </c>
      <c r="V407" s="26">
        <v>752</v>
      </c>
      <c r="W407" s="26">
        <v>785</v>
      </c>
      <c r="X407" s="26">
        <v>746</v>
      </c>
      <c r="Y407" s="26">
        <v>744</v>
      </c>
      <c r="Z407" s="26">
        <v>793</v>
      </c>
      <c r="AA407" s="26">
        <v>780</v>
      </c>
      <c r="AB407" s="26">
        <v>756</v>
      </c>
      <c r="AC407" s="26">
        <v>741</v>
      </c>
      <c r="AD407" s="26">
        <v>774</v>
      </c>
      <c r="AE407" s="26">
        <v>761</v>
      </c>
      <c r="AF407" s="26">
        <v>735</v>
      </c>
    </row>
    <row r="408" spans="1:53">
      <c r="A408" s="26">
        <v>104</v>
      </c>
      <c r="B408" s="30" t="s">
        <v>150</v>
      </c>
      <c r="C408" s="27">
        <v>87</v>
      </c>
      <c r="D408" s="44"/>
      <c r="E408" s="33">
        <f>표_악몽던전템위력[[#This Row],[ancestral dropped]]/표_악몽던전템위력[[#This Row],[rare+ dropped]]</f>
        <v>0.95652173913043481</v>
      </c>
      <c r="F408" s="47">
        <f>COUNT(표_악몽던전템위력[[#This Row],[item1]:[item46]])</f>
        <v>22</v>
      </c>
      <c r="G408" s="47">
        <v>23</v>
      </c>
      <c r="H408" s="48">
        <f>AVERAGE(표_악몽던전템위력[[#This Row],[item1]:[item46]])</f>
        <v>773.0454545454545</v>
      </c>
      <c r="I408" s="26">
        <v>786</v>
      </c>
      <c r="J408" s="26">
        <v>754</v>
      </c>
      <c r="K408" s="26">
        <v>747</v>
      </c>
      <c r="L408" s="26">
        <v>768</v>
      </c>
      <c r="M408" s="26">
        <v>784</v>
      </c>
      <c r="N408" s="26">
        <v>780</v>
      </c>
      <c r="O408" s="26">
        <v>763</v>
      </c>
      <c r="P408" s="26">
        <v>758</v>
      </c>
      <c r="Q408" s="26">
        <v>749</v>
      </c>
      <c r="R408" s="26">
        <v>742</v>
      </c>
      <c r="S408" s="26">
        <v>793</v>
      </c>
      <c r="T408" s="26">
        <v>791</v>
      </c>
      <c r="U408" s="26">
        <v>750</v>
      </c>
      <c r="V408" s="26">
        <v>792</v>
      </c>
      <c r="W408" s="26">
        <v>784</v>
      </c>
      <c r="X408" s="26">
        <v>811</v>
      </c>
      <c r="Y408" s="26">
        <v>795</v>
      </c>
      <c r="Z408" s="26">
        <v>765</v>
      </c>
      <c r="AA408" s="26">
        <v>808</v>
      </c>
      <c r="AB408" s="26">
        <v>777</v>
      </c>
      <c r="AC408" s="26">
        <v>762</v>
      </c>
      <c r="AD408" s="26">
        <v>748</v>
      </c>
    </row>
    <row r="409" spans="1:53">
      <c r="A409" s="26">
        <v>104</v>
      </c>
      <c r="B409" s="30" t="s">
        <v>150</v>
      </c>
      <c r="C409" s="27">
        <v>82</v>
      </c>
      <c r="D409" s="44"/>
      <c r="E409" s="33">
        <f>표_악몽던전템위력[[#This Row],[ancestral dropped]]/표_악몽던전템위력[[#This Row],[rare+ dropped]]</f>
        <v>1</v>
      </c>
      <c r="F409" s="47">
        <f>COUNT(표_악몽던전템위력[[#This Row],[item1]:[item46]])</f>
        <v>30</v>
      </c>
      <c r="G409" s="47">
        <v>30</v>
      </c>
      <c r="H409" s="48">
        <f>AVERAGE(표_악몽던전템위력[[#This Row],[item1]:[item46]])</f>
        <v>777.23333333333335</v>
      </c>
      <c r="I409" s="26">
        <v>805</v>
      </c>
      <c r="J409" s="26">
        <v>783</v>
      </c>
      <c r="K409" s="26">
        <v>767</v>
      </c>
      <c r="L409" s="26">
        <v>743</v>
      </c>
      <c r="M409" s="26">
        <v>738</v>
      </c>
      <c r="N409" s="26">
        <v>790</v>
      </c>
      <c r="O409" s="26">
        <v>779</v>
      </c>
      <c r="P409" s="26">
        <v>771</v>
      </c>
      <c r="Q409" s="26">
        <v>740</v>
      </c>
      <c r="R409" s="26">
        <v>816</v>
      </c>
      <c r="S409" s="26">
        <v>803</v>
      </c>
      <c r="T409" s="26">
        <v>783</v>
      </c>
      <c r="U409" s="26">
        <v>781</v>
      </c>
      <c r="V409" s="26">
        <v>781</v>
      </c>
      <c r="W409" s="26">
        <v>767</v>
      </c>
      <c r="X409" s="26">
        <v>746</v>
      </c>
      <c r="Y409" s="26">
        <v>790</v>
      </c>
      <c r="Z409" s="26">
        <v>780</v>
      </c>
      <c r="AA409" s="26">
        <v>767</v>
      </c>
      <c r="AB409" s="26">
        <v>793</v>
      </c>
      <c r="AC409" s="26">
        <v>789</v>
      </c>
      <c r="AD409" s="26">
        <v>783</v>
      </c>
      <c r="AE409" s="26">
        <v>769</v>
      </c>
      <c r="AF409" s="26">
        <v>786</v>
      </c>
      <c r="AG409" s="26">
        <v>782</v>
      </c>
      <c r="AH409" s="26">
        <v>762</v>
      </c>
      <c r="AI409" s="26">
        <v>798</v>
      </c>
      <c r="AJ409" s="26">
        <v>777</v>
      </c>
      <c r="AK409" s="26">
        <v>780</v>
      </c>
      <c r="AL409" s="26">
        <v>768</v>
      </c>
    </row>
    <row r="410" spans="1:53">
      <c r="A410" s="26">
        <v>104</v>
      </c>
      <c r="B410" s="30" t="s">
        <v>126</v>
      </c>
      <c r="C410" s="27">
        <v>79</v>
      </c>
      <c r="D410" s="44">
        <v>1</v>
      </c>
      <c r="E410" s="33">
        <f>표_악몽던전템위력[[#This Row],[ancestral dropped]]/표_악몽던전템위력[[#This Row],[rare+ dropped]]</f>
        <v>1</v>
      </c>
      <c r="F410" s="47">
        <f>COUNT(표_악몽던전템위력[[#This Row],[item1]:[item46]])</f>
        <v>19</v>
      </c>
      <c r="G410" s="47">
        <v>19</v>
      </c>
      <c r="H410" s="48">
        <f>AVERAGE(표_악몽던전템위력[[#This Row],[item1]:[item46]])</f>
        <v>774.63157894736844</v>
      </c>
      <c r="I410" s="26">
        <v>792</v>
      </c>
      <c r="J410" s="26">
        <v>736</v>
      </c>
      <c r="K410" s="26">
        <v>798</v>
      </c>
      <c r="L410" s="26">
        <v>786</v>
      </c>
      <c r="M410" s="26">
        <v>778</v>
      </c>
      <c r="N410" s="26">
        <v>757</v>
      </c>
      <c r="O410" s="26">
        <v>803</v>
      </c>
      <c r="P410" s="26">
        <v>760</v>
      </c>
      <c r="Q410" s="26">
        <v>749</v>
      </c>
      <c r="R410" s="26">
        <v>790</v>
      </c>
      <c r="S410" s="26">
        <v>778</v>
      </c>
      <c r="T410" s="26">
        <v>771</v>
      </c>
      <c r="U410" s="26">
        <v>754</v>
      </c>
      <c r="V410" s="26">
        <v>764</v>
      </c>
      <c r="W410" s="26">
        <v>802</v>
      </c>
      <c r="X410" s="26">
        <v>771</v>
      </c>
      <c r="Y410" s="26">
        <v>783</v>
      </c>
      <c r="Z410" s="26">
        <v>779</v>
      </c>
      <c r="AA410" s="26">
        <v>767</v>
      </c>
    </row>
    <row r="411" spans="1:53">
      <c r="A411" s="26">
        <v>104</v>
      </c>
      <c r="B411" s="30" t="s">
        <v>122</v>
      </c>
      <c r="C411" s="27">
        <v>80</v>
      </c>
      <c r="D411" s="44">
        <v>1</v>
      </c>
      <c r="E411" s="33">
        <f>표_악몽던전템위력[[#This Row],[ancestral dropped]]/표_악몽던전템위력[[#This Row],[rare+ dropped]]</f>
        <v>1</v>
      </c>
      <c r="F411" s="47">
        <f>COUNT(표_악몽던전템위력[[#This Row],[item1]:[item46]])</f>
        <v>45</v>
      </c>
      <c r="G411" s="47">
        <v>45</v>
      </c>
      <c r="H411" s="48">
        <f>AVERAGE(표_악몽던전템위력[[#This Row],[item1]:[item46]])</f>
        <v>777.6</v>
      </c>
      <c r="I411" s="26">
        <v>798</v>
      </c>
      <c r="J411" s="26">
        <v>786</v>
      </c>
      <c r="K411" s="26">
        <v>783</v>
      </c>
      <c r="L411" s="26">
        <v>757</v>
      </c>
      <c r="M411" s="26">
        <v>799</v>
      </c>
      <c r="N411" s="26">
        <v>798</v>
      </c>
      <c r="O411" s="26">
        <v>795</v>
      </c>
      <c r="P411" s="26">
        <v>786</v>
      </c>
      <c r="Q411" s="26">
        <v>784</v>
      </c>
      <c r="R411" s="26">
        <v>776</v>
      </c>
      <c r="S411" s="26">
        <v>770</v>
      </c>
      <c r="T411" s="26">
        <v>770</v>
      </c>
      <c r="U411" s="26">
        <v>767</v>
      </c>
      <c r="V411" s="26">
        <v>764</v>
      </c>
      <c r="W411" s="26">
        <v>783</v>
      </c>
      <c r="X411" s="26">
        <v>780</v>
      </c>
      <c r="Y411" s="26">
        <v>763</v>
      </c>
      <c r="Z411" s="26">
        <v>755</v>
      </c>
      <c r="AA411" s="26">
        <v>743</v>
      </c>
      <c r="AB411" s="26">
        <v>807</v>
      </c>
      <c r="AC411" s="26">
        <v>788</v>
      </c>
      <c r="AD411" s="26">
        <v>768</v>
      </c>
      <c r="AE411" s="26">
        <v>775</v>
      </c>
      <c r="AF411" s="26">
        <v>773</v>
      </c>
      <c r="AG411" s="26">
        <v>787</v>
      </c>
      <c r="AH411" s="26">
        <v>782</v>
      </c>
      <c r="AI411" s="26">
        <v>780</v>
      </c>
      <c r="AJ411" s="26">
        <v>776</v>
      </c>
      <c r="AK411" s="26">
        <v>770</v>
      </c>
      <c r="AL411" s="26">
        <v>765</v>
      </c>
      <c r="AM411" s="26">
        <v>764</v>
      </c>
      <c r="AN411" s="26">
        <v>763</v>
      </c>
      <c r="AO411" s="26">
        <v>757</v>
      </c>
      <c r="AP411" s="26">
        <v>795</v>
      </c>
      <c r="AQ411" s="26">
        <v>743</v>
      </c>
      <c r="AR411" s="26">
        <v>785</v>
      </c>
      <c r="AS411" s="26">
        <v>803</v>
      </c>
      <c r="AT411" s="26">
        <v>762</v>
      </c>
      <c r="AU411" s="26">
        <v>800</v>
      </c>
      <c r="AV411" s="26">
        <v>794</v>
      </c>
      <c r="AW411" s="26">
        <v>792</v>
      </c>
      <c r="AX411" s="26">
        <v>757</v>
      </c>
      <c r="AY411" s="26">
        <v>790</v>
      </c>
      <c r="AZ411" s="26">
        <v>764</v>
      </c>
      <c r="BA411" s="26">
        <v>795</v>
      </c>
    </row>
    <row r="412" spans="1:53">
      <c r="A412" s="26">
        <v>104</v>
      </c>
      <c r="B412" s="30" t="s">
        <v>71</v>
      </c>
      <c r="C412" s="27">
        <v>83</v>
      </c>
      <c r="D412" s="44"/>
      <c r="E412" s="33">
        <f>표_악몽던전템위력[[#This Row],[ancestral dropped]]/표_악몽던전템위력[[#This Row],[rare+ dropped]]</f>
        <v>0.94444444444444442</v>
      </c>
      <c r="F412" s="47">
        <f>COUNT(표_악몽던전템위력[[#This Row],[item1]:[item46]])</f>
        <v>17</v>
      </c>
      <c r="G412" s="47">
        <v>18</v>
      </c>
      <c r="H412" s="48">
        <f>AVERAGE(표_악몽던전템위력[[#This Row],[item1]:[item46]])</f>
        <v>774.64705882352939</v>
      </c>
      <c r="I412" s="26">
        <v>800</v>
      </c>
      <c r="J412" s="26">
        <v>772</v>
      </c>
      <c r="K412" s="26">
        <v>773</v>
      </c>
      <c r="L412" s="26">
        <v>768</v>
      </c>
      <c r="M412" s="26">
        <v>764</v>
      </c>
      <c r="N412" s="26">
        <v>744</v>
      </c>
      <c r="O412" s="26">
        <v>793</v>
      </c>
      <c r="P412" s="26">
        <v>770</v>
      </c>
      <c r="Q412" s="26">
        <v>763</v>
      </c>
      <c r="R412" s="26">
        <v>761</v>
      </c>
      <c r="S412" s="26">
        <v>787</v>
      </c>
      <c r="T412" s="26">
        <v>771</v>
      </c>
      <c r="U412" s="26">
        <v>757</v>
      </c>
      <c r="V412" s="26">
        <v>795</v>
      </c>
      <c r="W412" s="26">
        <v>796</v>
      </c>
      <c r="X412" s="26">
        <v>782</v>
      </c>
      <c r="Y412" s="26">
        <v>773</v>
      </c>
    </row>
    <row r="413" spans="1:53">
      <c r="A413" s="26">
        <v>104</v>
      </c>
      <c r="B413" s="30" t="s">
        <v>9</v>
      </c>
      <c r="C413" s="27">
        <v>85</v>
      </c>
      <c r="D413" s="44"/>
      <c r="E413" s="33">
        <f>표_악몽던전템위력[[#This Row],[ancestral dropped]]/표_악몽던전템위력[[#This Row],[rare+ dropped]]</f>
        <v>1</v>
      </c>
      <c r="F413" s="47">
        <f>COUNT(표_악몽던전템위력[[#This Row],[item1]:[item46]])</f>
        <v>39</v>
      </c>
      <c r="G413" s="47">
        <v>39</v>
      </c>
      <c r="H413" s="48">
        <f>AVERAGE(표_악몽던전템위력[[#This Row],[item1]:[item46]])</f>
        <v>773.74358974358972</v>
      </c>
      <c r="I413" s="26">
        <v>802</v>
      </c>
      <c r="J413" s="26">
        <v>800</v>
      </c>
      <c r="K413" s="26">
        <v>785</v>
      </c>
      <c r="L413" s="26">
        <v>762</v>
      </c>
      <c r="M413" s="26">
        <v>761</v>
      </c>
      <c r="N413" s="26">
        <v>756</v>
      </c>
      <c r="O413" s="26">
        <v>744</v>
      </c>
      <c r="P413" s="26">
        <v>741</v>
      </c>
      <c r="Q413" s="26">
        <v>770</v>
      </c>
      <c r="R413" s="26">
        <v>800</v>
      </c>
      <c r="S413" s="26">
        <v>795</v>
      </c>
      <c r="T413" s="26">
        <v>792</v>
      </c>
      <c r="U413" s="26">
        <v>790</v>
      </c>
      <c r="V413" s="26">
        <v>787</v>
      </c>
      <c r="W413" s="26">
        <v>760</v>
      </c>
      <c r="X413" s="26">
        <v>756</v>
      </c>
      <c r="Y413" s="26">
        <v>754</v>
      </c>
      <c r="Z413" s="26">
        <v>737</v>
      </c>
      <c r="AA413" s="26">
        <v>809</v>
      </c>
      <c r="AB413" s="26">
        <v>789</v>
      </c>
      <c r="AC413" s="26">
        <v>761</v>
      </c>
      <c r="AD413" s="26">
        <v>775</v>
      </c>
      <c r="AE413" s="26">
        <v>742</v>
      </c>
      <c r="AF413" s="26">
        <v>740</v>
      </c>
      <c r="AG413" s="26">
        <v>806</v>
      </c>
      <c r="AH413" s="26">
        <v>787</v>
      </c>
      <c r="AI413" s="26">
        <v>784</v>
      </c>
      <c r="AJ413" s="26">
        <v>771</v>
      </c>
      <c r="AK413" s="26">
        <v>743</v>
      </c>
      <c r="AL413" s="26">
        <v>792</v>
      </c>
      <c r="AM413" s="26">
        <v>768</v>
      </c>
      <c r="AN413" s="26">
        <v>786</v>
      </c>
      <c r="AO413" s="26">
        <v>781</v>
      </c>
      <c r="AP413" s="26">
        <v>760</v>
      </c>
      <c r="AQ413" s="26">
        <v>779</v>
      </c>
      <c r="AR413" s="26">
        <v>764</v>
      </c>
      <c r="AS413" s="26">
        <v>772</v>
      </c>
      <c r="AT413" s="26">
        <v>789</v>
      </c>
      <c r="AU413" s="26">
        <v>786</v>
      </c>
    </row>
    <row r="414" spans="1:53">
      <c r="A414" s="26">
        <v>104</v>
      </c>
      <c r="B414" s="30" t="s">
        <v>138</v>
      </c>
      <c r="C414" s="27">
        <v>87</v>
      </c>
      <c r="D414" s="44"/>
      <c r="E414" s="33">
        <f>표_악몽던전템위력[[#This Row],[ancestral dropped]]/표_악몽던전템위력[[#This Row],[rare+ dropped]]</f>
        <v>0.97142857142857142</v>
      </c>
      <c r="F414" s="47">
        <f>COUNT(표_악몽던전템위력[[#This Row],[item1]:[item46]])</f>
        <v>34</v>
      </c>
      <c r="G414" s="47">
        <v>35</v>
      </c>
      <c r="H414" s="48">
        <f>AVERAGE(표_악몽던전템위력[[#This Row],[item1]:[item46]])</f>
        <v>774</v>
      </c>
      <c r="I414" s="26">
        <v>771</v>
      </c>
      <c r="J414" s="26">
        <v>756</v>
      </c>
      <c r="K414" s="26">
        <v>803</v>
      </c>
      <c r="L414" s="26">
        <v>801</v>
      </c>
      <c r="M414" s="26">
        <v>783</v>
      </c>
      <c r="N414" s="26">
        <v>775</v>
      </c>
      <c r="O414" s="26">
        <v>748</v>
      </c>
      <c r="P414" s="26">
        <v>733</v>
      </c>
      <c r="Q414" s="26">
        <v>781</v>
      </c>
      <c r="R414" s="26">
        <v>766</v>
      </c>
      <c r="S414" s="26">
        <v>737</v>
      </c>
      <c r="T414" s="26">
        <v>807</v>
      </c>
      <c r="U414" s="26">
        <v>804</v>
      </c>
      <c r="V414" s="26">
        <v>786</v>
      </c>
      <c r="W414" s="26">
        <v>785</v>
      </c>
      <c r="X414" s="26">
        <v>777</v>
      </c>
      <c r="Y414" s="26">
        <v>776</v>
      </c>
      <c r="Z414" s="26">
        <v>761</v>
      </c>
      <c r="AA414" s="26">
        <v>761</v>
      </c>
      <c r="AB414" s="26">
        <v>749</v>
      </c>
      <c r="AC414" s="26">
        <v>741</v>
      </c>
      <c r="AD414" s="26">
        <v>794</v>
      </c>
      <c r="AE414" s="26">
        <v>782</v>
      </c>
      <c r="AF414" s="26">
        <v>772</v>
      </c>
      <c r="AG414" s="26">
        <v>793</v>
      </c>
      <c r="AH414" s="26">
        <v>786</v>
      </c>
      <c r="AI414" s="26">
        <v>779</v>
      </c>
      <c r="AJ414" s="26">
        <v>769</v>
      </c>
      <c r="AK414" s="26">
        <v>746</v>
      </c>
      <c r="AL414" s="26">
        <v>782</v>
      </c>
      <c r="AM414" s="26">
        <v>765</v>
      </c>
      <c r="AN414" s="26">
        <v>756</v>
      </c>
      <c r="AO414" s="26">
        <v>794</v>
      </c>
      <c r="AP414" s="26">
        <v>797</v>
      </c>
    </row>
    <row r="415" spans="1:53">
      <c r="A415" s="26">
        <v>104</v>
      </c>
      <c r="B415" s="30" t="s">
        <v>30</v>
      </c>
      <c r="C415" s="27">
        <v>88</v>
      </c>
      <c r="D415" s="44"/>
      <c r="E415" s="33">
        <f>표_악몽던전템위력[[#This Row],[ancestral dropped]]/표_악몽던전템위력[[#This Row],[rare+ dropped]]</f>
        <v>0.93333333333333335</v>
      </c>
      <c r="F415" s="47">
        <f>COUNT(표_악몽던전템위력[[#This Row],[item1]:[item46]])</f>
        <v>14</v>
      </c>
      <c r="G415" s="47">
        <v>15</v>
      </c>
      <c r="H415" s="48">
        <f>AVERAGE(표_악몽던전템위력[[#This Row],[item1]:[item46]])</f>
        <v>779.71428571428567</v>
      </c>
      <c r="I415" s="26">
        <v>807</v>
      </c>
      <c r="J415" s="26">
        <v>798</v>
      </c>
      <c r="K415" s="26">
        <v>778</v>
      </c>
      <c r="L415" s="26">
        <v>789</v>
      </c>
      <c r="M415" s="26">
        <v>768</v>
      </c>
      <c r="N415" s="26">
        <v>751</v>
      </c>
      <c r="O415" s="26">
        <v>798</v>
      </c>
      <c r="P415" s="26">
        <v>789</v>
      </c>
      <c r="Q415" s="26">
        <v>786</v>
      </c>
      <c r="R415" s="26">
        <v>743</v>
      </c>
      <c r="S415" s="26">
        <v>801</v>
      </c>
      <c r="T415" s="26">
        <v>770</v>
      </c>
      <c r="U415" s="26">
        <v>759</v>
      </c>
      <c r="V415" s="26">
        <v>779</v>
      </c>
    </row>
    <row r="416" spans="1:53">
      <c r="A416" s="26">
        <v>104</v>
      </c>
      <c r="B416" s="30" t="s">
        <v>12</v>
      </c>
      <c r="C416" s="27">
        <v>88</v>
      </c>
      <c r="D416" s="44"/>
      <c r="E416" s="33">
        <f>표_악몽던전템위력[[#This Row],[ancestral dropped]]/표_악몽던전템위력[[#This Row],[rare+ dropped]]</f>
        <v>0.94117647058823528</v>
      </c>
      <c r="F416" s="47">
        <f>COUNT(표_악몽던전템위력[[#This Row],[item1]:[item46]])</f>
        <v>16</v>
      </c>
      <c r="G416" s="47">
        <v>17</v>
      </c>
      <c r="H416" s="48">
        <f>AVERAGE(표_악몽던전템위력[[#This Row],[item1]:[item46]])</f>
        <v>763.625</v>
      </c>
      <c r="I416" s="26">
        <v>771</v>
      </c>
      <c r="J416" s="26">
        <v>748</v>
      </c>
      <c r="K416" s="26">
        <v>779</v>
      </c>
      <c r="L416" s="26">
        <v>773</v>
      </c>
      <c r="M416" s="26">
        <v>753</v>
      </c>
      <c r="N416" s="26">
        <v>746</v>
      </c>
      <c r="O416" s="26">
        <v>776</v>
      </c>
      <c r="P416" s="26">
        <v>782</v>
      </c>
      <c r="Q416" s="26">
        <v>774</v>
      </c>
      <c r="R416" s="26">
        <v>768</v>
      </c>
      <c r="S416" s="26">
        <v>765</v>
      </c>
      <c r="T416" s="26">
        <v>750</v>
      </c>
      <c r="U416" s="26">
        <v>733</v>
      </c>
      <c r="V416" s="26">
        <v>787</v>
      </c>
      <c r="W416" s="26">
        <v>745</v>
      </c>
      <c r="X416" s="26">
        <v>768</v>
      </c>
    </row>
    <row r="417" spans="1:51">
      <c r="A417" s="26">
        <v>104</v>
      </c>
      <c r="B417" s="30" t="s">
        <v>120</v>
      </c>
      <c r="C417" s="27">
        <v>88</v>
      </c>
      <c r="D417" s="44"/>
      <c r="E417" s="33">
        <f>표_악몽던전템위력[[#This Row],[ancestral dropped]]/표_악몽던전템위력[[#This Row],[rare+ dropped]]</f>
        <v>1</v>
      </c>
      <c r="F417" s="47">
        <f>COUNT(표_악몽던전템위력[[#This Row],[item1]:[item46]])</f>
        <v>24</v>
      </c>
      <c r="G417" s="47">
        <v>24</v>
      </c>
      <c r="H417" s="48">
        <f>AVERAGE(표_악몽던전템위력[[#This Row],[item1]:[item46]])</f>
        <v>775</v>
      </c>
      <c r="I417" s="26">
        <v>770</v>
      </c>
      <c r="J417" s="26">
        <v>758</v>
      </c>
      <c r="K417" s="26">
        <v>757</v>
      </c>
      <c r="L417" s="26">
        <v>770</v>
      </c>
      <c r="M417" s="26">
        <v>785</v>
      </c>
      <c r="N417" s="26">
        <v>784</v>
      </c>
      <c r="O417" s="26">
        <v>783</v>
      </c>
      <c r="P417" s="26">
        <v>773</v>
      </c>
      <c r="Q417" s="26">
        <v>763</v>
      </c>
      <c r="R417" s="26">
        <v>738</v>
      </c>
      <c r="S417" s="26">
        <v>803</v>
      </c>
      <c r="T417" s="26">
        <v>747</v>
      </c>
      <c r="U417" s="26">
        <v>780</v>
      </c>
      <c r="V417" s="26">
        <v>772</v>
      </c>
      <c r="W417" s="26">
        <v>771</v>
      </c>
      <c r="X417" s="26">
        <v>761</v>
      </c>
      <c r="Y417" s="26">
        <v>801</v>
      </c>
      <c r="Z417" s="26">
        <v>794</v>
      </c>
      <c r="AA417" s="26">
        <v>773</v>
      </c>
      <c r="AB417" s="26">
        <v>805</v>
      </c>
      <c r="AC417" s="26">
        <v>786</v>
      </c>
      <c r="AD417" s="26">
        <v>773</v>
      </c>
      <c r="AE417" s="26">
        <v>772</v>
      </c>
      <c r="AF417" s="26">
        <v>781</v>
      </c>
    </row>
    <row r="418" spans="1:51">
      <c r="A418" s="26">
        <v>104</v>
      </c>
      <c r="B418" s="30" t="s">
        <v>150</v>
      </c>
      <c r="C418" s="27">
        <v>90</v>
      </c>
      <c r="D418" s="44"/>
      <c r="E418" s="33">
        <f>표_악몽던전템위력[[#This Row],[ancestral dropped]]/표_악몽던전템위력[[#This Row],[rare+ dropped]]</f>
        <v>0.9555555555555556</v>
      </c>
      <c r="F418" s="47">
        <f>COUNT(표_악몽던전템위력[[#This Row],[item1]:[item46]])</f>
        <v>43</v>
      </c>
      <c r="G418" s="47">
        <v>45</v>
      </c>
      <c r="H418" s="48">
        <f>AVERAGE(표_악몽던전템위력[[#This Row],[item1]:[item46]])</f>
        <v>775.16279069767438</v>
      </c>
      <c r="I418" s="26">
        <v>799</v>
      </c>
      <c r="J418" s="26">
        <v>793</v>
      </c>
      <c r="K418" s="26">
        <v>782</v>
      </c>
      <c r="L418" s="26">
        <v>764</v>
      </c>
      <c r="M418" s="26">
        <v>787</v>
      </c>
      <c r="N418" s="26">
        <v>780</v>
      </c>
      <c r="O418" s="26">
        <v>775</v>
      </c>
      <c r="P418" s="26">
        <v>771</v>
      </c>
      <c r="Q418" s="26">
        <v>795</v>
      </c>
      <c r="R418" s="26">
        <v>788</v>
      </c>
      <c r="S418" s="26">
        <v>762</v>
      </c>
      <c r="T418" s="26">
        <v>745</v>
      </c>
      <c r="U418" s="26">
        <v>798</v>
      </c>
      <c r="V418" s="26">
        <v>789</v>
      </c>
      <c r="W418" s="26">
        <v>784</v>
      </c>
      <c r="X418" s="26">
        <v>775</v>
      </c>
      <c r="Y418" s="26">
        <v>744</v>
      </c>
      <c r="Z418" s="26">
        <v>741</v>
      </c>
      <c r="AA418" s="26">
        <v>794</v>
      </c>
      <c r="AB418" s="26">
        <v>778</v>
      </c>
      <c r="AC418" s="26">
        <v>777</v>
      </c>
      <c r="AD418" s="26">
        <v>762</v>
      </c>
      <c r="AE418" s="26">
        <v>755</v>
      </c>
      <c r="AF418" s="26">
        <v>776</v>
      </c>
      <c r="AG418" s="26">
        <v>768</v>
      </c>
      <c r="AH418" s="26">
        <v>761</v>
      </c>
      <c r="AI418" s="26">
        <v>754</v>
      </c>
      <c r="AJ418" s="26">
        <v>753</v>
      </c>
      <c r="AK418" s="26">
        <v>806</v>
      </c>
      <c r="AL418" s="26">
        <v>779</v>
      </c>
      <c r="AM418" s="26">
        <v>740</v>
      </c>
      <c r="AN418" s="26">
        <v>775</v>
      </c>
      <c r="AO418" s="26">
        <v>763</v>
      </c>
      <c r="AP418" s="26">
        <v>787</v>
      </c>
      <c r="AQ418" s="26">
        <v>778</v>
      </c>
      <c r="AR418" s="26">
        <v>765</v>
      </c>
      <c r="AS418" s="26">
        <v>774</v>
      </c>
      <c r="AT418" s="26">
        <v>803</v>
      </c>
      <c r="AU418" s="26">
        <v>776</v>
      </c>
      <c r="AV418" s="26">
        <v>804</v>
      </c>
      <c r="AW418" s="26">
        <v>782</v>
      </c>
      <c r="AX418" s="26">
        <v>781</v>
      </c>
      <c r="AY418" s="26">
        <v>769</v>
      </c>
    </row>
    <row r="419" spans="1:51">
      <c r="A419" s="26">
        <v>104</v>
      </c>
      <c r="B419" s="30" t="s">
        <v>124</v>
      </c>
      <c r="C419" s="27">
        <v>100</v>
      </c>
      <c r="D419" s="44"/>
      <c r="E419" s="33">
        <f>표_악몽던전템위력[[#This Row],[ancestral dropped]]/표_악몽던전템위력[[#This Row],[rare+ dropped]]</f>
        <v>0.95238095238095233</v>
      </c>
      <c r="F419" s="47">
        <f>COUNT(표_악몽던전템위력[[#This Row],[item1]:[item46]])</f>
        <v>20</v>
      </c>
      <c r="G419" s="47">
        <v>21</v>
      </c>
      <c r="H419" s="48">
        <f>AVERAGE(표_악몽던전템위력[[#This Row],[item1]:[item46]])</f>
        <v>777.7</v>
      </c>
      <c r="I419" s="26">
        <v>799</v>
      </c>
      <c r="J419" s="26">
        <v>791</v>
      </c>
      <c r="K419" s="26">
        <v>783</v>
      </c>
      <c r="L419" s="26">
        <v>778</v>
      </c>
      <c r="M419" s="26">
        <v>774</v>
      </c>
      <c r="N419" s="26">
        <v>797</v>
      </c>
      <c r="O419" s="26">
        <v>790</v>
      </c>
      <c r="P419" s="26">
        <v>778</v>
      </c>
      <c r="Q419" s="26">
        <v>764</v>
      </c>
      <c r="R419" s="26">
        <v>780</v>
      </c>
      <c r="S419" s="26">
        <v>779</v>
      </c>
      <c r="T419" s="26">
        <v>779</v>
      </c>
      <c r="U419" s="26">
        <v>751</v>
      </c>
      <c r="V419" s="26">
        <v>744</v>
      </c>
      <c r="W419" s="26">
        <v>779</v>
      </c>
      <c r="X419" s="26">
        <v>778</v>
      </c>
      <c r="Y419" s="26">
        <v>789</v>
      </c>
      <c r="Z419" s="26">
        <v>760</v>
      </c>
      <c r="AA419" s="26">
        <v>798</v>
      </c>
      <c r="AB419" s="26">
        <v>763</v>
      </c>
    </row>
    <row r="420" spans="1:51">
      <c r="A420" s="26">
        <v>104</v>
      </c>
      <c r="B420" s="30" t="s">
        <v>0</v>
      </c>
      <c r="C420" s="27">
        <v>99</v>
      </c>
      <c r="D420" s="44"/>
      <c r="E420" s="33">
        <f>표_악몽던전템위력[[#This Row],[ancestral dropped]]/표_악몽던전템위력[[#This Row],[rare+ dropped]]</f>
        <v>0.88235294117647056</v>
      </c>
      <c r="F420" s="47">
        <f>COUNT(표_악몽던전템위력[[#This Row],[item1]:[item46]])</f>
        <v>15</v>
      </c>
      <c r="G420" s="47">
        <v>17</v>
      </c>
      <c r="H420" s="48">
        <f>AVERAGE(표_악몽던전템위력[[#This Row],[item1]:[item46]])</f>
        <v>774.06666666666672</v>
      </c>
      <c r="I420" s="26">
        <v>793</v>
      </c>
      <c r="J420" s="26">
        <v>789</v>
      </c>
      <c r="K420" s="26">
        <v>794</v>
      </c>
      <c r="L420" s="26">
        <v>793</v>
      </c>
      <c r="M420" s="26">
        <v>784</v>
      </c>
      <c r="N420" s="26">
        <v>772</v>
      </c>
      <c r="O420" s="26">
        <v>769</v>
      </c>
      <c r="P420" s="26">
        <v>760</v>
      </c>
      <c r="Q420" s="26">
        <v>786</v>
      </c>
      <c r="R420" s="26">
        <v>754</v>
      </c>
      <c r="S420" s="26">
        <v>774</v>
      </c>
      <c r="T420" s="26">
        <v>757</v>
      </c>
      <c r="U420" s="26">
        <v>786</v>
      </c>
      <c r="V420" s="26">
        <v>759</v>
      </c>
      <c r="W420" s="26">
        <v>741</v>
      </c>
    </row>
    <row r="421" spans="1:51">
      <c r="A421" s="26">
        <v>104</v>
      </c>
      <c r="B421" s="30" t="s">
        <v>146</v>
      </c>
      <c r="C421" s="27">
        <v>98</v>
      </c>
      <c r="D421" s="44"/>
      <c r="E421" s="33">
        <f>표_악몽던전템위력[[#This Row],[ancestral dropped]]/표_악몽던전템위력[[#This Row],[rare+ dropped]]</f>
        <v>1</v>
      </c>
      <c r="F421" s="47">
        <f>COUNT(표_악몽던전템위력[[#This Row],[item1]:[item46]])</f>
        <v>14</v>
      </c>
      <c r="G421" s="47">
        <v>14</v>
      </c>
      <c r="H421" s="48">
        <f>AVERAGE(표_악몽던전템위력[[#This Row],[item1]:[item46]])</f>
        <v>773</v>
      </c>
      <c r="I421" s="26">
        <v>759</v>
      </c>
      <c r="J421" s="26">
        <v>797</v>
      </c>
      <c r="K421" s="26">
        <v>775</v>
      </c>
      <c r="L421" s="26">
        <v>787</v>
      </c>
      <c r="M421" s="26">
        <v>785</v>
      </c>
      <c r="N421" s="26">
        <v>756</v>
      </c>
      <c r="O421" s="26">
        <v>789</v>
      </c>
      <c r="P421" s="26">
        <v>784</v>
      </c>
      <c r="Q421" s="26">
        <v>769</v>
      </c>
      <c r="R421" s="26">
        <v>755</v>
      </c>
      <c r="S421" s="26">
        <v>754</v>
      </c>
      <c r="T421" s="26">
        <v>748</v>
      </c>
      <c r="U421" s="26">
        <v>793</v>
      </c>
      <c r="V421" s="26">
        <v>771</v>
      </c>
    </row>
    <row r="422" spans="1:51">
      <c r="A422" s="26">
        <v>104</v>
      </c>
      <c r="B422" s="30" t="s">
        <v>125</v>
      </c>
      <c r="C422" s="27">
        <v>100</v>
      </c>
      <c r="D422" s="44"/>
      <c r="E422" s="33">
        <f>표_악몽던전템위력[[#This Row],[ancestral dropped]]/표_악몽던전템위력[[#This Row],[rare+ dropped]]</f>
        <v>1</v>
      </c>
      <c r="F422" s="47">
        <f>COUNT(표_악몽던전템위력[[#This Row],[item1]:[item46]])</f>
        <v>21</v>
      </c>
      <c r="G422" s="47">
        <v>21</v>
      </c>
      <c r="H422" s="48">
        <f>AVERAGE(표_악몽던전템위력[[#This Row],[item1]:[item46]])</f>
        <v>773.90476190476193</v>
      </c>
      <c r="I422" s="26">
        <v>808</v>
      </c>
      <c r="J422" s="26">
        <v>796</v>
      </c>
      <c r="K422" s="26">
        <v>792</v>
      </c>
      <c r="L422" s="26">
        <v>780</v>
      </c>
      <c r="M422" s="26">
        <v>774</v>
      </c>
      <c r="N422" s="26">
        <v>814</v>
      </c>
      <c r="O422" s="26">
        <v>792</v>
      </c>
      <c r="P422" s="26">
        <v>780</v>
      </c>
      <c r="Q422" s="26">
        <v>778</v>
      </c>
      <c r="R422" s="26">
        <v>775</v>
      </c>
      <c r="S422" s="26">
        <v>755</v>
      </c>
      <c r="T422" s="26">
        <v>749</v>
      </c>
      <c r="U422" s="26">
        <v>732</v>
      </c>
      <c r="V422" s="26">
        <v>783</v>
      </c>
      <c r="W422" s="26">
        <v>768</v>
      </c>
      <c r="X422" s="26">
        <v>751</v>
      </c>
      <c r="Y422" s="26">
        <v>747</v>
      </c>
      <c r="Z422" s="26">
        <v>792</v>
      </c>
      <c r="AA422" s="26">
        <v>768</v>
      </c>
      <c r="AB422" s="26">
        <v>760</v>
      </c>
      <c r="AC422" s="26">
        <v>758</v>
      </c>
    </row>
    <row r="423" spans="1:51">
      <c r="A423" s="26">
        <v>104</v>
      </c>
      <c r="B423" s="30" t="s">
        <v>151</v>
      </c>
      <c r="C423" s="27">
        <v>97</v>
      </c>
      <c r="D423" s="44"/>
      <c r="E423" s="33">
        <f>표_악몽던전템위력[[#This Row],[ancestral dropped]]/표_악몽던전템위력[[#This Row],[rare+ dropped]]</f>
        <v>1</v>
      </c>
      <c r="F423" s="47">
        <f>COUNT(표_악몽던전템위력[[#This Row],[item1]:[item46]])</f>
        <v>28</v>
      </c>
      <c r="G423" s="47">
        <v>28</v>
      </c>
      <c r="H423" s="48">
        <f>AVERAGE(표_악몽던전템위력[[#This Row],[item1]:[item46]])</f>
        <v>775.64285714285711</v>
      </c>
      <c r="I423" s="26">
        <v>811</v>
      </c>
      <c r="J423" s="26">
        <v>784</v>
      </c>
      <c r="K423" s="26">
        <v>757</v>
      </c>
      <c r="L423" s="26">
        <v>753</v>
      </c>
      <c r="M423" s="26">
        <v>806</v>
      </c>
      <c r="N423" s="26">
        <v>794</v>
      </c>
      <c r="O423" s="26">
        <v>774</v>
      </c>
      <c r="P423" s="26">
        <v>781</v>
      </c>
      <c r="Q423" s="26">
        <v>771</v>
      </c>
      <c r="R423" s="26">
        <v>766</v>
      </c>
      <c r="S423" s="26">
        <v>766</v>
      </c>
      <c r="T423" s="26">
        <v>764</v>
      </c>
      <c r="U423" s="26">
        <v>802</v>
      </c>
      <c r="V423" s="26">
        <v>775</v>
      </c>
      <c r="W423" s="26">
        <v>772</v>
      </c>
      <c r="X423" s="26">
        <v>761</v>
      </c>
      <c r="Y423" s="26">
        <v>758</v>
      </c>
      <c r="Z423" s="26">
        <v>749</v>
      </c>
      <c r="AA423" s="26">
        <v>747</v>
      </c>
      <c r="AB423" s="26">
        <v>812</v>
      </c>
      <c r="AC423" s="26">
        <v>769</v>
      </c>
      <c r="AD423" s="26">
        <v>765</v>
      </c>
      <c r="AE423" s="26">
        <v>792</v>
      </c>
      <c r="AF423" s="26">
        <v>803</v>
      </c>
      <c r="AG423" s="26">
        <v>753</v>
      </c>
      <c r="AH423" s="26">
        <v>761</v>
      </c>
      <c r="AI423" s="26">
        <v>757</v>
      </c>
      <c r="AJ423" s="26">
        <v>815</v>
      </c>
    </row>
    <row r="424" spans="1:51">
      <c r="A424" s="26">
        <v>104</v>
      </c>
      <c r="B424" s="30" t="s">
        <v>144</v>
      </c>
      <c r="C424" s="27">
        <v>99</v>
      </c>
      <c r="D424" s="44"/>
      <c r="E424" s="33">
        <f>표_악몽던전템위력[[#This Row],[ancestral dropped]]/표_악몽던전템위력[[#This Row],[rare+ dropped]]</f>
        <v>0.94736842105263153</v>
      </c>
      <c r="F424" s="47">
        <f>COUNT(표_악몽던전템위력[[#This Row],[item1]:[item46]])</f>
        <v>18</v>
      </c>
      <c r="G424" s="47">
        <v>19</v>
      </c>
      <c r="H424" s="48">
        <f>AVERAGE(표_악몽던전템위력[[#This Row],[item1]:[item46]])</f>
        <v>768.94444444444446</v>
      </c>
      <c r="I424" s="26">
        <v>809</v>
      </c>
      <c r="J424" s="26">
        <v>794</v>
      </c>
      <c r="K424" s="26">
        <v>766</v>
      </c>
      <c r="L424" s="26">
        <v>769</v>
      </c>
      <c r="M424" s="26">
        <v>761</v>
      </c>
      <c r="N424" s="26">
        <v>761</v>
      </c>
      <c r="O424" s="26">
        <v>755</v>
      </c>
      <c r="P424" s="26">
        <v>789</v>
      </c>
      <c r="Q424" s="26">
        <v>755</v>
      </c>
      <c r="R424" s="26">
        <v>799</v>
      </c>
      <c r="S424" s="26">
        <v>742</v>
      </c>
      <c r="T424" s="26">
        <v>763</v>
      </c>
      <c r="U424" s="26">
        <v>762</v>
      </c>
      <c r="V424" s="26">
        <v>760</v>
      </c>
      <c r="W424" s="26">
        <v>772</v>
      </c>
      <c r="X424" s="26">
        <v>764</v>
      </c>
      <c r="Y424" s="26">
        <v>749</v>
      </c>
      <c r="Z424" s="26">
        <v>771</v>
      </c>
    </row>
  </sheetData>
  <phoneticPr fontId="2" type="noConversion"/>
  <conditionalFormatting sqref="B4:B15">
    <cfRule type="dataBar" priority="5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{5C3B70DE-9EB6-44E7-9B78-692CDE6E07D0}</x14:id>
        </ext>
      </extLst>
    </cfRule>
  </conditionalFormatting>
  <conditionalFormatting sqref="C4:C15">
    <cfRule type="dataBar" priority="5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{14223F94-AD0C-4BAF-9B2C-D42CEFD2E87F}</x14:id>
        </ext>
      </extLst>
    </cfRule>
  </conditionalFormatting>
  <conditionalFormatting sqref="D4:D15">
    <cfRule type="dataBar" priority="2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{CBBA52C5-D41B-47BA-BEA3-F536C0D89FD4}</x14:id>
        </ext>
      </extLst>
    </cfRule>
  </conditionalFormatting>
  <conditionalFormatting sqref="E4:E15">
    <cfRule type="dataBar" priority="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{F0119490-C843-40CD-AADC-60274634248B}</x14:id>
        </ext>
      </extLst>
    </cfRule>
  </conditionalFormatting>
  <conditionalFormatting sqref="E21:J21 C21 C20:P20">
    <cfRule type="dataBar" priority="59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{CCC18408-D185-49C1-A891-E015E92F764F}</x14:id>
        </ext>
      </extLst>
    </cfRule>
  </conditionalFormatting>
  <conditionalFormatting sqref="F4:F15">
    <cfRule type="dataBar" priority="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{A29ABD29-1858-4337-9B23-B0FBF50F33DF}</x14:id>
        </ext>
      </extLst>
    </cfRule>
  </conditionalFormatting>
  <conditionalFormatting sqref="F23:F424">
    <cfRule type="dataBar" priority="5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{CA287B7C-2169-4C95-AC40-408BECA3F0A5}</x14:id>
        </ext>
      </extLst>
    </cfRule>
  </conditionalFormatting>
  <conditionalFormatting sqref="G4:G15">
    <cfRule type="dataBar" priority="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{DB93DFAF-C730-4477-84B7-4658AEAFA1F5}</x14:id>
        </ext>
      </extLst>
    </cfRule>
  </conditionalFormatting>
  <conditionalFormatting sqref="H4:H15">
    <cfRule type="dataBar" priority="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{C41132D9-EFB2-4C77-9E18-5DBC23A4F5C0}</x14:id>
        </ext>
      </extLst>
    </cfRule>
  </conditionalFormatting>
  <conditionalFormatting sqref="I4:I15">
    <cfRule type="dataBar" priority="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{5F4F92CF-210A-4B88-BA49-1BCB822FEF1E}</x14:id>
        </ext>
      </extLst>
    </cfRule>
  </conditionalFormatting>
  <conditionalFormatting sqref="I23:AO424">
    <cfRule type="cellIs" dxfId="2" priority="16" operator="greaterThanOrEqual">
      <formula>811</formula>
    </cfRule>
  </conditionalFormatting>
  <conditionalFormatting sqref="I23:AV424">
    <cfRule type="cellIs" dxfId="1" priority="10" operator="between">
      <formula>1</formula>
      <formula>700</formula>
    </cfRule>
  </conditionalFormatting>
  <conditionalFormatting sqref="I23:BB424">
    <cfRule type="cellIs" dxfId="0" priority="11" operator="equal">
      <formula>820</formula>
    </cfRule>
  </conditionalFormatting>
  <conditionalFormatting sqref="J4:J15">
    <cfRule type="dataBar" priority="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{19CEFD15-6366-4DE5-81F2-FD558DB165AE}</x14:id>
        </ext>
      </extLst>
    </cfRule>
  </conditionalFormatting>
  <conditionalFormatting sqref="K4:K15">
    <cfRule type="dataBar" priority="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{F979267C-DF2A-4AEF-87E5-5996C2B41AC5}</x14:id>
        </ext>
      </extLst>
    </cfRule>
  </conditionalFormatting>
  <conditionalFormatting sqref="L4:L15">
    <cfRule type="dataBar" priority="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{54AF7D3E-545D-4828-96DB-017583EAC2D0}</x14:id>
        </ext>
      </extLst>
    </cfRule>
  </conditionalFormatting>
  <conditionalFormatting sqref="M4:O15">
    <cfRule type="dataBar" priority="5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{CEF87769-DAB3-4E9B-8347-D15899EDF5BF}</x14:id>
        </ext>
      </extLst>
    </cfRule>
  </conditionalFormatting>
  <conditionalFormatting sqref="P4:P15">
    <cfRule type="dataBar" priority="2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{B7349D8D-0AB5-471B-91F3-CAE9ACDF8B09}</x14:id>
        </ext>
      </extLst>
    </cfRule>
  </conditionalFormatting>
  <conditionalFormatting sqref="Q4:Q15">
    <cfRule type="dataBar" priority="1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{2EE66606-6F68-4CB2-B844-087EF5EDDBE5}</x14:id>
        </ext>
      </extLst>
    </cfRule>
  </conditionalFormatting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C3B70DE-9EB6-44E7-9B78-692CDE6E07D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B4:B15</xm:sqref>
        </x14:conditionalFormatting>
        <x14:conditionalFormatting xmlns:xm="http://schemas.microsoft.com/office/excel/2006/main">
          <x14:cfRule type="dataBar" id="{14223F94-AD0C-4BAF-9B2C-D42CEFD2E87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C4:C15</xm:sqref>
        </x14:conditionalFormatting>
        <x14:conditionalFormatting xmlns:xm="http://schemas.microsoft.com/office/excel/2006/main">
          <x14:cfRule type="dataBar" id="{CBBA52C5-D41B-47BA-BEA3-F536C0D89FD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D4:D15</xm:sqref>
        </x14:conditionalFormatting>
        <x14:conditionalFormatting xmlns:xm="http://schemas.microsoft.com/office/excel/2006/main">
          <x14:cfRule type="dataBar" id="{F0119490-C843-40CD-AADC-60274634248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E4:E15</xm:sqref>
        </x14:conditionalFormatting>
        <x14:conditionalFormatting xmlns:xm="http://schemas.microsoft.com/office/excel/2006/main">
          <x14:cfRule type="dataBar" id="{CCC18408-D185-49C1-A891-E015E92F764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E21:J21 C21 C20:P20</xm:sqref>
        </x14:conditionalFormatting>
        <x14:conditionalFormatting xmlns:xm="http://schemas.microsoft.com/office/excel/2006/main">
          <x14:cfRule type="dataBar" id="{A29ABD29-1858-4337-9B23-B0FBF50F33D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F4:F15</xm:sqref>
        </x14:conditionalFormatting>
        <x14:conditionalFormatting xmlns:xm="http://schemas.microsoft.com/office/excel/2006/main">
          <x14:cfRule type="dataBar" id="{CA287B7C-2169-4C95-AC40-408BECA3F0A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F23:F424</xm:sqref>
        </x14:conditionalFormatting>
        <x14:conditionalFormatting xmlns:xm="http://schemas.microsoft.com/office/excel/2006/main">
          <x14:cfRule type="dataBar" id="{DB93DFAF-C730-4477-84B7-4658AEAFA1F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G4:G15</xm:sqref>
        </x14:conditionalFormatting>
        <x14:conditionalFormatting xmlns:xm="http://schemas.microsoft.com/office/excel/2006/main">
          <x14:cfRule type="dataBar" id="{C41132D9-EFB2-4C77-9E18-5DBC23A4F5C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H4:H15</xm:sqref>
        </x14:conditionalFormatting>
        <x14:conditionalFormatting xmlns:xm="http://schemas.microsoft.com/office/excel/2006/main">
          <x14:cfRule type="dataBar" id="{5F4F92CF-210A-4B88-BA49-1BCB822FEF1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I4:I15</xm:sqref>
        </x14:conditionalFormatting>
        <x14:conditionalFormatting xmlns:xm="http://schemas.microsoft.com/office/excel/2006/main">
          <x14:cfRule type="dataBar" id="{19CEFD15-6366-4DE5-81F2-FD558DB165A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J4:J15</xm:sqref>
        </x14:conditionalFormatting>
        <x14:conditionalFormatting xmlns:xm="http://schemas.microsoft.com/office/excel/2006/main">
          <x14:cfRule type="dataBar" id="{F979267C-DF2A-4AEF-87E5-5996C2B41AC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K4:K15</xm:sqref>
        </x14:conditionalFormatting>
        <x14:conditionalFormatting xmlns:xm="http://schemas.microsoft.com/office/excel/2006/main">
          <x14:cfRule type="dataBar" id="{54AF7D3E-545D-4828-96DB-017583EAC2D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L4:L15</xm:sqref>
        </x14:conditionalFormatting>
        <x14:conditionalFormatting xmlns:xm="http://schemas.microsoft.com/office/excel/2006/main">
          <x14:cfRule type="dataBar" id="{CEF87769-DAB3-4E9B-8347-D15899EDF5B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M4:O15</xm:sqref>
        </x14:conditionalFormatting>
        <x14:conditionalFormatting xmlns:xm="http://schemas.microsoft.com/office/excel/2006/main">
          <x14:cfRule type="dataBar" id="{B7349D8D-0AB5-471B-91F3-CAE9ACDF8B0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P4:P15</xm:sqref>
        </x14:conditionalFormatting>
        <x14:conditionalFormatting xmlns:xm="http://schemas.microsoft.com/office/excel/2006/main">
          <x14:cfRule type="dataBar" id="{2EE66606-6F68-4CB2-B844-087EF5EDDBE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Q4:Q15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FCB42-9B34-4D19-9AD5-BE54F622F9A8}">
  <sheetPr>
    <tabColor rgb="FFC00000"/>
  </sheetPr>
  <dimension ref="B1:AL121"/>
  <sheetViews>
    <sheetView showGridLines="0" tabSelected="1" zoomScale="85" zoomScaleNormal="85" workbookViewId="0">
      <selection activeCell="M19" sqref="M19"/>
    </sheetView>
  </sheetViews>
  <sheetFormatPr defaultRowHeight="16.5"/>
  <cols>
    <col min="1" max="1" width="4.75" style="9" customWidth="1"/>
    <col min="2" max="2" width="9" style="9"/>
    <col min="3" max="3" width="14.375" style="9" customWidth="1"/>
    <col min="4" max="11" width="10.375" style="9" customWidth="1"/>
    <col min="12" max="16384" width="9" style="9"/>
  </cols>
  <sheetData>
    <row r="1" spans="2:38">
      <c r="B1" s="9" t="s">
        <v>675</v>
      </c>
    </row>
    <row r="3" spans="2:38">
      <c r="B3" s="9" t="s">
        <v>703</v>
      </c>
    </row>
    <row r="4" spans="2:38" ht="17.25" thickBot="1">
      <c r="D4" s="9" t="s">
        <v>681</v>
      </c>
      <c r="E4" s="9" t="s">
        <v>679</v>
      </c>
      <c r="F4" s="9" t="s">
        <v>682</v>
      </c>
      <c r="G4" s="9" t="s">
        <v>680</v>
      </c>
      <c r="H4" s="9" t="s">
        <v>279</v>
      </c>
    </row>
    <row r="5" spans="2:38">
      <c r="B5" s="616" t="s">
        <v>702</v>
      </c>
      <c r="C5" s="617"/>
      <c r="D5" s="618">
        <v>29</v>
      </c>
      <c r="E5" s="619">
        <v>29</v>
      </c>
      <c r="F5" s="618">
        <v>28</v>
      </c>
      <c r="G5" s="619">
        <v>28</v>
      </c>
      <c r="H5" s="640"/>
      <c r="I5" s="618"/>
      <c r="J5" s="619"/>
    </row>
    <row r="6" spans="2:38" ht="17.25" thickBot="1">
      <c r="B6" s="620" t="s">
        <v>701</v>
      </c>
      <c r="C6" s="621"/>
      <c r="D6" s="105">
        <v>43</v>
      </c>
      <c r="E6" s="622">
        <v>43</v>
      </c>
      <c r="F6" s="105">
        <v>44</v>
      </c>
      <c r="G6" s="622">
        <v>44</v>
      </c>
      <c r="H6" s="641"/>
      <c r="I6" s="105"/>
      <c r="J6" s="622"/>
    </row>
    <row r="7" spans="2:38" ht="17.25" thickBot="1">
      <c r="B7" s="623" t="s">
        <v>379</v>
      </c>
      <c r="C7" s="624"/>
      <c r="D7" s="625">
        <v>520</v>
      </c>
      <c r="E7" s="626">
        <v>520</v>
      </c>
      <c r="F7" s="625">
        <v>520</v>
      </c>
      <c r="G7" s="626">
        <v>520</v>
      </c>
      <c r="H7" s="679"/>
      <c r="I7" s="625"/>
      <c r="J7" s="626"/>
      <c r="AL7" s="9" t="s">
        <v>698</v>
      </c>
    </row>
    <row r="8" spans="2:38">
      <c r="B8" s="616" t="s">
        <v>189</v>
      </c>
      <c r="C8" s="617"/>
      <c r="D8" s="267">
        <v>0.3</v>
      </c>
      <c r="E8" s="627">
        <v>0.3</v>
      </c>
      <c r="F8" s="267">
        <v>0.3</v>
      </c>
      <c r="G8" s="627">
        <v>0.3</v>
      </c>
      <c r="H8" s="640"/>
      <c r="I8" s="618"/>
      <c r="J8" s="619"/>
    </row>
    <row r="9" spans="2:38">
      <c r="B9" s="628" t="s">
        <v>671</v>
      </c>
      <c r="C9" s="629"/>
      <c r="D9" s="630">
        <v>0.06</v>
      </c>
      <c r="E9" s="631">
        <v>0.06</v>
      </c>
      <c r="F9" s="630">
        <v>0.06</v>
      </c>
      <c r="G9" s="631">
        <v>0.06</v>
      </c>
      <c r="H9" s="680" t="s">
        <v>674</v>
      </c>
      <c r="I9" s="681"/>
      <c r="J9" s="682"/>
    </row>
    <row r="10" spans="2:38" ht="17.25" thickBot="1">
      <c r="B10" s="632" t="s">
        <v>673</v>
      </c>
      <c r="C10" s="633"/>
      <c r="D10" s="634">
        <v>0.125</v>
      </c>
      <c r="E10" s="635"/>
      <c r="F10" s="634">
        <v>0.125</v>
      </c>
      <c r="G10" s="635"/>
      <c r="H10" s="683" t="s">
        <v>674</v>
      </c>
      <c r="I10" s="105"/>
      <c r="J10" s="622"/>
    </row>
    <row r="11" spans="2:38" ht="17.25" thickBot="1">
      <c r="B11" s="623" t="s">
        <v>672</v>
      </c>
      <c r="C11" s="624"/>
      <c r="D11" s="636">
        <v>0.15</v>
      </c>
      <c r="E11" s="637">
        <v>0</v>
      </c>
      <c r="F11" s="636">
        <v>0.15</v>
      </c>
      <c r="G11" s="637">
        <v>0</v>
      </c>
      <c r="H11" s="679"/>
      <c r="I11" s="625"/>
      <c r="J11" s="626"/>
    </row>
    <row r="12" spans="2:38" ht="17.25" thickBot="1">
      <c r="B12" s="623" t="s">
        <v>687</v>
      </c>
      <c r="C12" s="638"/>
      <c r="D12" s="636">
        <v>0.24</v>
      </c>
      <c r="E12" s="637">
        <v>0.24</v>
      </c>
      <c r="F12" s="636"/>
      <c r="G12" s="637"/>
      <c r="H12" s="679"/>
      <c r="I12" s="625"/>
      <c r="J12" s="626"/>
    </row>
    <row r="13" spans="2:38" ht="17.25" thickBot="1">
      <c r="B13" s="620" t="s">
        <v>686</v>
      </c>
      <c r="C13" s="639"/>
      <c r="D13" s="636"/>
      <c r="E13" s="637"/>
      <c r="F13" s="636">
        <v>0.25</v>
      </c>
      <c r="G13" s="637">
        <v>0.25</v>
      </c>
      <c r="H13" s="679"/>
      <c r="I13" s="625"/>
      <c r="J13" s="626"/>
    </row>
    <row r="14" spans="2:38">
      <c r="B14" s="640" t="s">
        <v>676</v>
      </c>
      <c r="C14" s="618" t="s">
        <v>677</v>
      </c>
      <c r="D14" s="618">
        <f>ROUND(D5*(D$7/1000+1)*(1+D$8)*(1+D$11)*D$12,0)</f>
        <v>16</v>
      </c>
      <c r="E14" s="619">
        <f>ROUND(E5*(E$7/1000+1)*(1+E$8)*(1+E$11)*E$12,0)</f>
        <v>14</v>
      </c>
      <c r="F14" s="618">
        <f>ROUND(F5*(F$7/1000+1)*(1+F$8)*(1+F$11)*F$13,0)</f>
        <v>16</v>
      </c>
      <c r="G14" s="619">
        <f>ROUND(G5*(G$7/1000+1)*(1+G$8)*(1+G$11)*G$13,0)</f>
        <v>14</v>
      </c>
      <c r="H14" s="9" t="s">
        <v>700</v>
      </c>
      <c r="I14" s="618"/>
      <c r="J14" s="619"/>
    </row>
    <row r="15" spans="2:38" ht="17.25" thickBot="1">
      <c r="B15" s="641"/>
      <c r="C15" s="105" t="s">
        <v>678</v>
      </c>
      <c r="D15" s="105">
        <f>ROUND(D6*(D$7/1000+1)*(1+D$8)*(1+D$11)*D$12,0)</f>
        <v>23</v>
      </c>
      <c r="E15" s="622">
        <f>ROUND(E6*(E$7/1000+1)*(1+E$8)*(1+E$11)*E$12,0)</f>
        <v>20</v>
      </c>
      <c r="F15" s="105">
        <f>ROUND(F6*(F$7/1000+1)*(1+F$8)*(1+F$11)*F$13,0)</f>
        <v>25</v>
      </c>
      <c r="G15" s="622">
        <f>ROUND(G6*(G$7/1000+1)*(1+G$8)*(1+G$11)*G$13,0)</f>
        <v>22</v>
      </c>
      <c r="H15" s="641" t="s">
        <v>699</v>
      </c>
      <c r="I15" s="105"/>
      <c r="J15" s="622"/>
    </row>
    <row r="17" spans="3:11" ht="28.5" customHeight="1">
      <c r="C17" s="642" t="s">
        <v>692</v>
      </c>
      <c r="D17" s="643" t="s">
        <v>685</v>
      </c>
      <c r="E17" s="644"/>
      <c r="F17" s="644"/>
      <c r="G17" s="645"/>
      <c r="H17" s="646" t="s">
        <v>683</v>
      </c>
      <c r="I17" s="644"/>
      <c r="J17" s="644"/>
      <c r="K17" s="644"/>
    </row>
    <row r="18" spans="3:11" ht="25.5" customHeight="1">
      <c r="C18" s="647" t="s">
        <v>693</v>
      </c>
      <c r="D18" s="643" t="s">
        <v>695</v>
      </c>
      <c r="E18" s="648"/>
      <c r="F18" s="644" t="s">
        <v>697</v>
      </c>
      <c r="G18" s="645"/>
      <c r="H18" s="646" t="s">
        <v>694</v>
      </c>
      <c r="I18" s="648"/>
      <c r="J18" s="649" t="s">
        <v>696</v>
      </c>
      <c r="K18" s="644"/>
    </row>
    <row r="19" spans="3:11" ht="17.25" thickBot="1">
      <c r="C19" s="650"/>
      <c r="D19" s="651" t="s">
        <v>689</v>
      </c>
      <c r="E19" s="652" t="s">
        <v>691</v>
      </c>
      <c r="F19" s="650" t="s">
        <v>688</v>
      </c>
      <c r="G19" s="653" t="s">
        <v>690</v>
      </c>
      <c r="H19" s="654" t="s">
        <v>688</v>
      </c>
      <c r="I19" s="652" t="s">
        <v>690</v>
      </c>
      <c r="J19" s="650" t="s">
        <v>688</v>
      </c>
      <c r="K19" s="650" t="s">
        <v>690</v>
      </c>
    </row>
    <row r="20" spans="3:11">
      <c r="C20" s="655">
        <v>1</v>
      </c>
      <c r="D20" s="656">
        <v>4</v>
      </c>
      <c r="E20" s="657">
        <v>6</v>
      </c>
      <c r="F20" s="658">
        <v>7</v>
      </c>
      <c r="G20" s="659">
        <v>6</v>
      </c>
      <c r="H20" s="660">
        <v>8</v>
      </c>
      <c r="I20" s="657">
        <v>7</v>
      </c>
      <c r="J20" s="658">
        <v>9</v>
      </c>
      <c r="K20" s="658">
        <v>7</v>
      </c>
    </row>
    <row r="21" spans="3:11">
      <c r="C21" s="661">
        <v>2</v>
      </c>
      <c r="D21" s="656">
        <v>5</v>
      </c>
      <c r="E21" s="657">
        <v>6</v>
      </c>
      <c r="F21" s="658">
        <v>6</v>
      </c>
      <c r="G21" s="659">
        <v>6</v>
      </c>
      <c r="H21" s="660">
        <v>8</v>
      </c>
      <c r="I21" s="657">
        <v>9</v>
      </c>
      <c r="J21" s="658">
        <v>8</v>
      </c>
      <c r="K21" s="658">
        <v>9</v>
      </c>
    </row>
    <row r="22" spans="3:11">
      <c r="C22" s="661">
        <v>3</v>
      </c>
      <c r="D22" s="656">
        <v>6</v>
      </c>
      <c r="E22" s="657">
        <v>4</v>
      </c>
      <c r="F22" s="658">
        <v>7</v>
      </c>
      <c r="G22" s="659">
        <v>6</v>
      </c>
      <c r="H22" s="660">
        <v>8</v>
      </c>
      <c r="I22" s="657">
        <v>6</v>
      </c>
      <c r="J22" s="658">
        <v>8</v>
      </c>
      <c r="K22" s="658">
        <v>6</v>
      </c>
    </row>
    <row r="23" spans="3:11">
      <c r="C23" s="661">
        <v>4</v>
      </c>
      <c r="D23" s="656">
        <v>6</v>
      </c>
      <c r="E23" s="657">
        <v>6</v>
      </c>
      <c r="F23" s="658">
        <v>9</v>
      </c>
      <c r="G23" s="659">
        <v>5</v>
      </c>
      <c r="H23" s="660">
        <v>6</v>
      </c>
      <c r="I23" s="657">
        <v>8</v>
      </c>
      <c r="J23" s="658">
        <v>9</v>
      </c>
      <c r="K23" s="658">
        <v>8</v>
      </c>
    </row>
    <row r="24" spans="3:11">
      <c r="C24" s="661">
        <v>5</v>
      </c>
      <c r="D24" s="656">
        <v>4</v>
      </c>
      <c r="E24" s="657">
        <v>4</v>
      </c>
      <c r="F24" s="658">
        <v>8</v>
      </c>
      <c r="G24" s="659">
        <v>6</v>
      </c>
      <c r="H24" s="660">
        <v>7</v>
      </c>
      <c r="I24" s="657">
        <v>8</v>
      </c>
      <c r="J24" s="658">
        <v>11</v>
      </c>
      <c r="K24" s="658">
        <v>7</v>
      </c>
    </row>
    <row r="25" spans="3:11">
      <c r="C25" s="661">
        <v>6</v>
      </c>
      <c r="D25" s="656">
        <v>5</v>
      </c>
      <c r="E25" s="657">
        <v>5</v>
      </c>
      <c r="F25" s="658">
        <v>8</v>
      </c>
      <c r="G25" s="659">
        <v>5</v>
      </c>
      <c r="H25" s="660">
        <v>6</v>
      </c>
      <c r="I25" s="657">
        <v>8</v>
      </c>
      <c r="J25" s="658">
        <v>9</v>
      </c>
      <c r="K25" s="658">
        <v>9</v>
      </c>
    </row>
    <row r="26" spans="3:11">
      <c r="C26" s="661">
        <v>7</v>
      </c>
      <c r="D26" s="656">
        <v>5</v>
      </c>
      <c r="E26" s="657">
        <v>6</v>
      </c>
      <c r="F26" s="658">
        <v>9</v>
      </c>
      <c r="G26" s="659">
        <v>5</v>
      </c>
      <c r="H26" s="660">
        <v>9</v>
      </c>
      <c r="I26" s="657">
        <v>7</v>
      </c>
      <c r="J26" s="658">
        <v>11</v>
      </c>
      <c r="K26" s="658">
        <v>6</v>
      </c>
    </row>
    <row r="27" spans="3:11">
      <c r="C27" s="661">
        <v>8</v>
      </c>
      <c r="D27" s="656">
        <v>6</v>
      </c>
      <c r="E27" s="657">
        <v>6</v>
      </c>
      <c r="F27" s="658">
        <v>9</v>
      </c>
      <c r="G27" s="659">
        <v>5</v>
      </c>
      <c r="H27" s="660">
        <v>8</v>
      </c>
      <c r="I27" s="657">
        <v>6</v>
      </c>
      <c r="J27" s="658">
        <v>10</v>
      </c>
      <c r="K27" s="658">
        <v>7</v>
      </c>
    </row>
    <row r="28" spans="3:11">
      <c r="C28" s="661">
        <v>9</v>
      </c>
      <c r="D28" s="656">
        <v>4</v>
      </c>
      <c r="E28" s="657">
        <v>6</v>
      </c>
      <c r="F28" s="658">
        <v>6</v>
      </c>
      <c r="G28" s="659">
        <v>6</v>
      </c>
      <c r="H28" s="660">
        <v>6</v>
      </c>
      <c r="I28" s="657">
        <v>7</v>
      </c>
      <c r="J28" s="658">
        <v>11</v>
      </c>
      <c r="K28" s="658">
        <v>7</v>
      </c>
    </row>
    <row r="29" spans="3:11">
      <c r="C29" s="661">
        <v>10</v>
      </c>
      <c r="D29" s="656">
        <v>6</v>
      </c>
      <c r="E29" s="657">
        <v>5</v>
      </c>
      <c r="F29" s="658">
        <v>5</v>
      </c>
      <c r="G29" s="659">
        <v>7</v>
      </c>
      <c r="H29" s="660">
        <v>6</v>
      </c>
      <c r="I29" s="657">
        <v>6</v>
      </c>
      <c r="J29" s="658">
        <v>9</v>
      </c>
      <c r="K29" s="658">
        <v>7</v>
      </c>
    </row>
    <row r="30" spans="3:11">
      <c r="C30" s="661">
        <v>11</v>
      </c>
      <c r="D30" s="656">
        <v>4</v>
      </c>
      <c r="E30" s="657">
        <v>6</v>
      </c>
      <c r="F30" s="658">
        <v>7</v>
      </c>
      <c r="G30" s="659">
        <v>5</v>
      </c>
      <c r="H30" s="660">
        <v>8</v>
      </c>
      <c r="I30" s="657">
        <v>6</v>
      </c>
      <c r="J30" s="658">
        <v>9</v>
      </c>
      <c r="K30" s="658">
        <v>7</v>
      </c>
    </row>
    <row r="31" spans="3:11">
      <c r="C31" s="661">
        <v>12</v>
      </c>
      <c r="D31" s="656">
        <v>4</v>
      </c>
      <c r="E31" s="657">
        <v>5</v>
      </c>
      <c r="F31" s="658">
        <v>6</v>
      </c>
      <c r="G31" s="659">
        <v>6</v>
      </c>
      <c r="H31" s="660">
        <v>7</v>
      </c>
      <c r="I31" s="657">
        <v>8</v>
      </c>
      <c r="J31" s="658">
        <v>11</v>
      </c>
      <c r="K31" s="658">
        <v>6</v>
      </c>
    </row>
    <row r="32" spans="3:11">
      <c r="C32" s="661">
        <v>13</v>
      </c>
      <c r="D32" s="656">
        <v>5</v>
      </c>
      <c r="E32" s="657">
        <v>5</v>
      </c>
      <c r="F32" s="658">
        <v>7</v>
      </c>
      <c r="G32" s="659">
        <v>6</v>
      </c>
      <c r="H32" s="660">
        <v>8</v>
      </c>
      <c r="I32" s="657">
        <v>7</v>
      </c>
      <c r="J32" s="658">
        <v>10</v>
      </c>
      <c r="K32" s="658">
        <v>8</v>
      </c>
    </row>
    <row r="33" spans="3:11">
      <c r="C33" s="661">
        <v>14</v>
      </c>
      <c r="D33" s="656">
        <v>5</v>
      </c>
      <c r="E33" s="657">
        <v>4</v>
      </c>
      <c r="F33" s="658">
        <v>6</v>
      </c>
      <c r="G33" s="659">
        <v>6</v>
      </c>
      <c r="H33" s="660">
        <v>9</v>
      </c>
      <c r="I33" s="657">
        <v>8</v>
      </c>
      <c r="J33" s="658">
        <v>12</v>
      </c>
      <c r="K33" s="658">
        <v>8</v>
      </c>
    </row>
    <row r="34" spans="3:11">
      <c r="C34" s="661">
        <v>15</v>
      </c>
      <c r="D34" s="656">
        <v>6</v>
      </c>
      <c r="E34" s="657">
        <v>5</v>
      </c>
      <c r="F34" s="658">
        <v>9</v>
      </c>
      <c r="G34" s="659">
        <v>7</v>
      </c>
      <c r="H34" s="660">
        <v>8</v>
      </c>
      <c r="I34" s="657">
        <v>7</v>
      </c>
      <c r="J34" s="658">
        <v>9</v>
      </c>
      <c r="K34" s="658">
        <v>8</v>
      </c>
    </row>
    <row r="35" spans="3:11">
      <c r="C35" s="661">
        <v>16</v>
      </c>
      <c r="D35" s="656">
        <v>5</v>
      </c>
      <c r="E35" s="657">
        <v>5</v>
      </c>
      <c r="F35" s="658">
        <v>8</v>
      </c>
      <c r="G35" s="659">
        <v>7</v>
      </c>
      <c r="H35" s="660">
        <v>7</v>
      </c>
      <c r="I35" s="657">
        <v>8</v>
      </c>
      <c r="J35" s="658">
        <v>9</v>
      </c>
      <c r="K35" s="658">
        <v>6</v>
      </c>
    </row>
    <row r="36" spans="3:11">
      <c r="C36" s="661">
        <v>17</v>
      </c>
      <c r="D36" s="656">
        <v>6</v>
      </c>
      <c r="E36" s="657">
        <v>5</v>
      </c>
      <c r="F36" s="658">
        <v>7</v>
      </c>
      <c r="G36" s="659">
        <v>5</v>
      </c>
      <c r="H36" s="660">
        <v>8</v>
      </c>
      <c r="I36" s="657">
        <v>6</v>
      </c>
      <c r="J36" s="658">
        <v>8</v>
      </c>
      <c r="K36" s="658">
        <v>7</v>
      </c>
    </row>
    <row r="37" spans="3:11">
      <c r="C37" s="661">
        <v>18</v>
      </c>
      <c r="D37" s="656">
        <v>6</v>
      </c>
      <c r="E37" s="657">
        <v>4</v>
      </c>
      <c r="F37" s="658">
        <v>7</v>
      </c>
      <c r="G37" s="659">
        <v>6</v>
      </c>
      <c r="H37" s="660">
        <v>9</v>
      </c>
      <c r="I37" s="657">
        <v>7</v>
      </c>
      <c r="J37" s="658">
        <v>11</v>
      </c>
      <c r="K37" s="658">
        <v>6</v>
      </c>
    </row>
    <row r="38" spans="3:11">
      <c r="C38" s="661">
        <v>19</v>
      </c>
      <c r="D38" s="656">
        <v>5</v>
      </c>
      <c r="E38" s="657">
        <v>4</v>
      </c>
      <c r="F38" s="658">
        <v>8</v>
      </c>
      <c r="G38" s="659">
        <v>7</v>
      </c>
      <c r="H38" s="660">
        <v>7</v>
      </c>
      <c r="I38" s="657">
        <v>6</v>
      </c>
      <c r="J38" s="658">
        <v>12</v>
      </c>
      <c r="K38" s="658">
        <v>6</v>
      </c>
    </row>
    <row r="39" spans="3:11">
      <c r="C39" s="661">
        <v>20</v>
      </c>
      <c r="D39" s="656">
        <v>6</v>
      </c>
      <c r="E39" s="657">
        <v>4</v>
      </c>
      <c r="F39" s="658">
        <v>7</v>
      </c>
      <c r="G39" s="659">
        <v>4</v>
      </c>
      <c r="H39" s="660">
        <v>6</v>
      </c>
      <c r="I39" s="657">
        <v>8</v>
      </c>
      <c r="J39" s="658">
        <v>10</v>
      </c>
      <c r="K39" s="658">
        <v>9</v>
      </c>
    </row>
    <row r="40" spans="3:11">
      <c r="C40" s="661">
        <v>21</v>
      </c>
      <c r="D40" s="656">
        <v>4</v>
      </c>
      <c r="E40" s="657">
        <v>5</v>
      </c>
      <c r="F40" s="658">
        <v>6</v>
      </c>
      <c r="G40" s="659">
        <v>4</v>
      </c>
      <c r="H40" s="660">
        <v>9</v>
      </c>
      <c r="I40" s="657">
        <v>6</v>
      </c>
      <c r="J40" s="658">
        <v>10</v>
      </c>
      <c r="K40" s="658">
        <v>7</v>
      </c>
    </row>
    <row r="41" spans="3:11">
      <c r="C41" s="661">
        <v>22</v>
      </c>
      <c r="D41" s="656">
        <v>4</v>
      </c>
      <c r="E41" s="657">
        <v>6</v>
      </c>
      <c r="F41" s="658">
        <v>8</v>
      </c>
      <c r="G41" s="659">
        <v>4</v>
      </c>
      <c r="H41" s="660">
        <v>6</v>
      </c>
      <c r="I41" s="657">
        <v>8</v>
      </c>
      <c r="J41" s="658">
        <v>8</v>
      </c>
      <c r="K41" s="658">
        <v>8</v>
      </c>
    </row>
    <row r="42" spans="3:11">
      <c r="C42" s="661">
        <v>23</v>
      </c>
      <c r="D42" s="656">
        <v>4</v>
      </c>
      <c r="E42" s="657">
        <v>5</v>
      </c>
      <c r="F42" s="658">
        <v>8</v>
      </c>
      <c r="G42" s="659">
        <v>5</v>
      </c>
      <c r="H42" s="660">
        <v>8</v>
      </c>
      <c r="I42" s="657">
        <v>6</v>
      </c>
      <c r="J42" s="658">
        <v>10</v>
      </c>
      <c r="K42" s="658">
        <v>7</v>
      </c>
    </row>
    <row r="43" spans="3:11">
      <c r="C43" s="661">
        <v>24</v>
      </c>
      <c r="D43" s="656">
        <v>6</v>
      </c>
      <c r="E43" s="657">
        <v>5</v>
      </c>
      <c r="F43" s="658">
        <v>8</v>
      </c>
      <c r="G43" s="659">
        <v>6</v>
      </c>
      <c r="H43" s="660">
        <v>6</v>
      </c>
      <c r="I43" s="657">
        <v>7</v>
      </c>
      <c r="J43" s="658">
        <v>11</v>
      </c>
      <c r="K43" s="658">
        <v>7</v>
      </c>
    </row>
    <row r="44" spans="3:11">
      <c r="C44" s="661">
        <v>25</v>
      </c>
      <c r="D44" s="656">
        <v>5</v>
      </c>
      <c r="E44" s="657">
        <v>5</v>
      </c>
      <c r="F44" s="658">
        <v>5</v>
      </c>
      <c r="G44" s="659">
        <v>4</v>
      </c>
      <c r="H44" s="660">
        <v>7</v>
      </c>
      <c r="I44" s="657">
        <v>7</v>
      </c>
      <c r="J44" s="658">
        <v>10</v>
      </c>
      <c r="K44" s="658">
        <v>8</v>
      </c>
    </row>
    <row r="45" spans="3:11">
      <c r="C45" s="661">
        <v>26</v>
      </c>
      <c r="D45" s="656">
        <v>5</v>
      </c>
      <c r="E45" s="657">
        <v>5</v>
      </c>
      <c r="F45" s="658">
        <v>7</v>
      </c>
      <c r="G45" s="659">
        <v>5</v>
      </c>
      <c r="H45" s="660">
        <v>7</v>
      </c>
      <c r="I45" s="657">
        <v>9</v>
      </c>
      <c r="J45" s="658">
        <v>9</v>
      </c>
      <c r="K45" s="658">
        <v>7</v>
      </c>
    </row>
    <row r="46" spans="3:11">
      <c r="C46" s="661">
        <v>27</v>
      </c>
      <c r="D46" s="656">
        <v>4</v>
      </c>
      <c r="E46" s="657">
        <v>6</v>
      </c>
      <c r="F46" s="658">
        <v>7</v>
      </c>
      <c r="G46" s="659">
        <v>5</v>
      </c>
      <c r="H46" s="660">
        <v>8</v>
      </c>
      <c r="I46" s="657">
        <v>6</v>
      </c>
      <c r="J46" s="658">
        <v>10</v>
      </c>
      <c r="K46" s="658">
        <v>7</v>
      </c>
    </row>
    <row r="47" spans="3:11">
      <c r="C47" s="661">
        <v>28</v>
      </c>
      <c r="D47" s="656">
        <v>4</v>
      </c>
      <c r="E47" s="657">
        <v>6</v>
      </c>
      <c r="F47" s="658">
        <v>7</v>
      </c>
      <c r="G47" s="659">
        <v>4</v>
      </c>
      <c r="H47" s="660">
        <v>8</v>
      </c>
      <c r="I47" s="657">
        <v>6</v>
      </c>
      <c r="J47" s="658">
        <v>12</v>
      </c>
      <c r="K47" s="658">
        <v>8</v>
      </c>
    </row>
    <row r="48" spans="3:11">
      <c r="C48" s="661">
        <v>29</v>
      </c>
      <c r="D48" s="656">
        <v>4</v>
      </c>
      <c r="E48" s="657">
        <v>5</v>
      </c>
      <c r="F48" s="658">
        <v>6</v>
      </c>
      <c r="G48" s="659">
        <v>6</v>
      </c>
      <c r="H48" s="660">
        <v>6</v>
      </c>
      <c r="I48" s="657">
        <v>8</v>
      </c>
      <c r="J48" s="658">
        <v>9</v>
      </c>
      <c r="K48" s="658">
        <v>6</v>
      </c>
    </row>
    <row r="49" spans="3:11">
      <c r="C49" s="661">
        <v>30</v>
      </c>
      <c r="D49" s="656">
        <v>4</v>
      </c>
      <c r="E49" s="657">
        <v>5</v>
      </c>
      <c r="F49" s="658">
        <v>6</v>
      </c>
      <c r="G49" s="659">
        <v>4</v>
      </c>
      <c r="H49" s="660">
        <v>8</v>
      </c>
      <c r="I49" s="657">
        <v>8</v>
      </c>
      <c r="J49" s="658">
        <v>11</v>
      </c>
      <c r="K49" s="658">
        <v>8</v>
      </c>
    </row>
    <row r="50" spans="3:11">
      <c r="C50" s="661">
        <v>31</v>
      </c>
      <c r="D50" s="656">
        <v>5</v>
      </c>
      <c r="E50" s="657">
        <v>6</v>
      </c>
      <c r="F50" s="658">
        <v>6</v>
      </c>
      <c r="G50" s="659">
        <v>4</v>
      </c>
      <c r="H50" s="660">
        <v>7</v>
      </c>
      <c r="I50" s="657">
        <v>6</v>
      </c>
      <c r="J50" s="658">
        <v>9</v>
      </c>
      <c r="K50" s="658">
        <v>8</v>
      </c>
    </row>
    <row r="51" spans="3:11">
      <c r="C51" s="661">
        <v>32</v>
      </c>
      <c r="D51" s="656">
        <v>5</v>
      </c>
      <c r="E51" s="657">
        <v>5</v>
      </c>
      <c r="F51" s="658">
        <v>7</v>
      </c>
      <c r="G51" s="659">
        <v>5</v>
      </c>
      <c r="H51" s="660">
        <v>7</v>
      </c>
      <c r="I51" s="657">
        <v>7</v>
      </c>
      <c r="J51" s="658">
        <v>12</v>
      </c>
      <c r="K51" s="658">
        <v>6</v>
      </c>
    </row>
    <row r="52" spans="3:11">
      <c r="C52" s="661">
        <v>33</v>
      </c>
      <c r="D52" s="656">
        <v>5</v>
      </c>
      <c r="E52" s="657">
        <v>5</v>
      </c>
      <c r="F52" s="658">
        <v>7</v>
      </c>
      <c r="G52" s="659">
        <v>6</v>
      </c>
      <c r="H52" s="660">
        <v>8</v>
      </c>
      <c r="I52" s="657">
        <v>7</v>
      </c>
      <c r="J52" s="658">
        <v>9</v>
      </c>
      <c r="K52" s="658">
        <v>7</v>
      </c>
    </row>
    <row r="53" spans="3:11">
      <c r="C53" s="661">
        <v>34</v>
      </c>
      <c r="D53" s="656">
        <v>5</v>
      </c>
      <c r="E53" s="657">
        <v>5</v>
      </c>
      <c r="F53" s="658">
        <v>7</v>
      </c>
      <c r="G53" s="659">
        <v>6</v>
      </c>
      <c r="H53" s="660">
        <v>8</v>
      </c>
      <c r="I53" s="657">
        <v>7</v>
      </c>
      <c r="J53" s="658">
        <v>12</v>
      </c>
      <c r="K53" s="658">
        <v>9</v>
      </c>
    </row>
    <row r="54" spans="3:11">
      <c r="C54" s="661">
        <v>35</v>
      </c>
      <c r="D54" s="656">
        <v>5</v>
      </c>
      <c r="E54" s="657">
        <v>4</v>
      </c>
      <c r="F54" s="658">
        <v>8</v>
      </c>
      <c r="G54" s="659">
        <v>5</v>
      </c>
      <c r="H54" s="660">
        <v>5</v>
      </c>
      <c r="I54" s="657">
        <v>8</v>
      </c>
      <c r="J54" s="658">
        <v>9</v>
      </c>
      <c r="K54" s="658">
        <v>8</v>
      </c>
    </row>
    <row r="55" spans="3:11">
      <c r="C55" s="661">
        <v>36</v>
      </c>
      <c r="D55" s="656">
        <v>5</v>
      </c>
      <c r="E55" s="657">
        <v>5</v>
      </c>
      <c r="F55" s="658">
        <v>7</v>
      </c>
      <c r="G55" s="659">
        <v>4</v>
      </c>
      <c r="H55" s="660">
        <v>8</v>
      </c>
      <c r="I55" s="657">
        <v>8</v>
      </c>
      <c r="J55" s="658">
        <v>11</v>
      </c>
      <c r="K55" s="658">
        <v>8</v>
      </c>
    </row>
    <row r="56" spans="3:11">
      <c r="C56" s="661">
        <v>37</v>
      </c>
      <c r="D56" s="656">
        <v>4</v>
      </c>
      <c r="E56" s="657">
        <v>4</v>
      </c>
      <c r="F56" s="658">
        <v>9</v>
      </c>
      <c r="G56" s="659">
        <v>5</v>
      </c>
      <c r="H56" s="660">
        <v>5</v>
      </c>
      <c r="I56" s="657">
        <v>7</v>
      </c>
      <c r="J56" s="658">
        <v>9</v>
      </c>
      <c r="K56" s="658">
        <v>9</v>
      </c>
    </row>
    <row r="57" spans="3:11">
      <c r="C57" s="661">
        <v>38</v>
      </c>
      <c r="D57" s="656">
        <v>5</v>
      </c>
      <c r="E57" s="657">
        <v>5</v>
      </c>
      <c r="F57" s="658">
        <v>8</v>
      </c>
      <c r="G57" s="659">
        <v>5</v>
      </c>
      <c r="H57" s="660">
        <v>9</v>
      </c>
      <c r="I57" s="657">
        <v>6</v>
      </c>
      <c r="J57" s="658">
        <v>12</v>
      </c>
      <c r="K57" s="658">
        <v>10</v>
      </c>
    </row>
    <row r="58" spans="3:11">
      <c r="C58" s="661">
        <v>39</v>
      </c>
      <c r="D58" s="656">
        <v>4</v>
      </c>
      <c r="E58" s="657">
        <v>6</v>
      </c>
      <c r="F58" s="658">
        <v>6</v>
      </c>
      <c r="G58" s="659">
        <v>5</v>
      </c>
      <c r="H58" s="660">
        <v>6</v>
      </c>
      <c r="I58" s="657">
        <v>7</v>
      </c>
      <c r="J58" s="658">
        <v>11</v>
      </c>
      <c r="K58" s="658">
        <v>10</v>
      </c>
    </row>
    <row r="59" spans="3:11">
      <c r="C59" s="661">
        <v>40</v>
      </c>
      <c r="D59" s="656">
        <v>5</v>
      </c>
      <c r="E59" s="657">
        <v>6</v>
      </c>
      <c r="F59" s="658">
        <v>8</v>
      </c>
      <c r="G59" s="659">
        <v>5</v>
      </c>
      <c r="H59" s="660">
        <v>7</v>
      </c>
      <c r="I59" s="657">
        <v>7</v>
      </c>
      <c r="J59" s="658">
        <v>8</v>
      </c>
      <c r="K59" s="658">
        <v>6</v>
      </c>
    </row>
    <row r="60" spans="3:11">
      <c r="C60" s="661">
        <v>41</v>
      </c>
      <c r="D60" s="656">
        <v>6</v>
      </c>
      <c r="E60" s="657">
        <v>5</v>
      </c>
      <c r="F60" s="658">
        <v>6</v>
      </c>
      <c r="G60" s="659">
        <v>6</v>
      </c>
      <c r="H60" s="660">
        <v>8</v>
      </c>
      <c r="I60" s="657">
        <v>7</v>
      </c>
      <c r="J60" s="658">
        <v>9</v>
      </c>
      <c r="K60" s="658">
        <v>6</v>
      </c>
    </row>
    <row r="61" spans="3:11">
      <c r="C61" s="661">
        <v>42</v>
      </c>
      <c r="D61" s="656">
        <v>6</v>
      </c>
      <c r="E61" s="657">
        <v>6</v>
      </c>
      <c r="F61" s="658">
        <v>7</v>
      </c>
      <c r="G61" s="659">
        <v>6</v>
      </c>
      <c r="H61" s="660">
        <v>8</v>
      </c>
      <c r="I61" s="657">
        <v>6</v>
      </c>
      <c r="J61" s="658">
        <v>11</v>
      </c>
      <c r="K61" s="658">
        <v>8</v>
      </c>
    </row>
    <row r="62" spans="3:11">
      <c r="C62" s="661">
        <v>43</v>
      </c>
      <c r="D62" s="656">
        <v>6</v>
      </c>
      <c r="E62" s="657">
        <v>6</v>
      </c>
      <c r="F62" s="658">
        <v>7</v>
      </c>
      <c r="G62" s="659">
        <v>6</v>
      </c>
      <c r="H62" s="660">
        <v>7</v>
      </c>
      <c r="I62" s="657">
        <v>7</v>
      </c>
      <c r="J62" s="658">
        <v>9</v>
      </c>
      <c r="K62" s="658">
        <v>7</v>
      </c>
    </row>
    <row r="63" spans="3:11">
      <c r="C63" s="661">
        <v>44</v>
      </c>
      <c r="D63" s="656">
        <v>4</v>
      </c>
      <c r="E63" s="657">
        <v>6</v>
      </c>
      <c r="F63" s="658">
        <v>7</v>
      </c>
      <c r="G63" s="659">
        <v>6</v>
      </c>
      <c r="H63" s="660">
        <v>8</v>
      </c>
      <c r="I63" s="657">
        <v>6</v>
      </c>
      <c r="J63" s="658">
        <v>9</v>
      </c>
      <c r="K63" s="658">
        <v>8</v>
      </c>
    </row>
    <row r="64" spans="3:11">
      <c r="C64" s="661">
        <v>45</v>
      </c>
      <c r="D64" s="656">
        <v>4</v>
      </c>
      <c r="E64" s="657">
        <v>4</v>
      </c>
      <c r="F64" s="658">
        <v>7</v>
      </c>
      <c r="G64" s="659">
        <v>6</v>
      </c>
      <c r="H64" s="660">
        <v>7</v>
      </c>
      <c r="I64" s="657">
        <v>8</v>
      </c>
      <c r="J64" s="658">
        <v>11</v>
      </c>
      <c r="K64" s="658">
        <v>8</v>
      </c>
    </row>
    <row r="65" spans="3:11">
      <c r="C65" s="661">
        <v>46</v>
      </c>
      <c r="D65" s="656">
        <v>5</v>
      </c>
      <c r="E65" s="657">
        <v>4</v>
      </c>
      <c r="F65" s="658">
        <v>6</v>
      </c>
      <c r="G65" s="659">
        <v>6</v>
      </c>
      <c r="H65" s="660">
        <v>8</v>
      </c>
      <c r="I65" s="657">
        <v>6</v>
      </c>
      <c r="J65" s="658">
        <v>8</v>
      </c>
      <c r="K65" s="658">
        <v>6</v>
      </c>
    </row>
    <row r="66" spans="3:11">
      <c r="C66" s="661">
        <v>47</v>
      </c>
      <c r="D66" s="656">
        <v>6</v>
      </c>
      <c r="E66" s="657">
        <v>5</v>
      </c>
      <c r="F66" s="658">
        <v>7</v>
      </c>
      <c r="G66" s="659">
        <v>5</v>
      </c>
      <c r="H66" s="660">
        <v>7</v>
      </c>
      <c r="I66" s="657">
        <v>7</v>
      </c>
      <c r="J66" s="658">
        <v>9</v>
      </c>
      <c r="K66" s="658">
        <v>8</v>
      </c>
    </row>
    <row r="67" spans="3:11">
      <c r="C67" s="661">
        <v>48</v>
      </c>
      <c r="D67" s="656">
        <v>6</v>
      </c>
      <c r="E67" s="657">
        <v>5</v>
      </c>
      <c r="F67" s="658">
        <v>7</v>
      </c>
      <c r="G67" s="659">
        <v>6</v>
      </c>
      <c r="H67" s="660">
        <v>5</v>
      </c>
      <c r="I67" s="657">
        <v>6</v>
      </c>
      <c r="J67" s="658">
        <v>9</v>
      </c>
      <c r="K67" s="658">
        <v>8</v>
      </c>
    </row>
    <row r="68" spans="3:11">
      <c r="C68" s="661">
        <v>49</v>
      </c>
      <c r="D68" s="656">
        <v>5</v>
      </c>
      <c r="E68" s="657">
        <v>5</v>
      </c>
      <c r="F68" s="658">
        <v>6</v>
      </c>
      <c r="G68" s="659">
        <v>4</v>
      </c>
      <c r="H68" s="660">
        <v>7</v>
      </c>
      <c r="I68" s="657">
        <v>9</v>
      </c>
      <c r="J68" s="658">
        <v>8</v>
      </c>
      <c r="K68" s="658">
        <v>7</v>
      </c>
    </row>
    <row r="69" spans="3:11">
      <c r="C69" s="661">
        <v>50</v>
      </c>
      <c r="D69" s="656">
        <v>6</v>
      </c>
      <c r="E69" s="657">
        <v>5</v>
      </c>
      <c r="F69" s="658">
        <v>8</v>
      </c>
      <c r="G69" s="659">
        <v>5</v>
      </c>
      <c r="H69" s="660">
        <v>8</v>
      </c>
      <c r="I69" s="657">
        <v>7</v>
      </c>
      <c r="J69" s="658">
        <v>10</v>
      </c>
      <c r="K69" s="658">
        <v>7</v>
      </c>
    </row>
    <row r="70" spans="3:11">
      <c r="C70" s="661">
        <v>51</v>
      </c>
      <c r="D70" s="656">
        <v>4</v>
      </c>
      <c r="E70" s="657">
        <v>5</v>
      </c>
      <c r="F70" s="658">
        <v>8</v>
      </c>
      <c r="G70" s="659">
        <v>6</v>
      </c>
      <c r="H70" s="660">
        <v>6</v>
      </c>
      <c r="I70" s="657">
        <v>6</v>
      </c>
      <c r="J70" s="658">
        <v>12</v>
      </c>
      <c r="K70" s="658">
        <v>6</v>
      </c>
    </row>
    <row r="71" spans="3:11">
      <c r="C71" s="661">
        <v>52</v>
      </c>
      <c r="D71" s="656">
        <v>5</v>
      </c>
      <c r="E71" s="657">
        <v>5</v>
      </c>
      <c r="F71" s="658">
        <v>7</v>
      </c>
      <c r="G71" s="659">
        <v>5</v>
      </c>
      <c r="H71" s="660">
        <v>8</v>
      </c>
      <c r="I71" s="657">
        <v>7</v>
      </c>
      <c r="J71" s="658">
        <v>10</v>
      </c>
      <c r="K71" s="658">
        <v>8</v>
      </c>
    </row>
    <row r="72" spans="3:11">
      <c r="C72" s="661">
        <v>53</v>
      </c>
      <c r="D72" s="656">
        <v>5</v>
      </c>
      <c r="E72" s="657">
        <v>6</v>
      </c>
      <c r="F72" s="658">
        <v>6</v>
      </c>
      <c r="G72" s="659">
        <v>5</v>
      </c>
      <c r="H72" s="660">
        <v>8</v>
      </c>
      <c r="I72" s="657">
        <v>7</v>
      </c>
      <c r="J72" s="658">
        <v>9</v>
      </c>
      <c r="K72" s="658">
        <v>9</v>
      </c>
    </row>
    <row r="73" spans="3:11">
      <c r="C73" s="661">
        <v>54</v>
      </c>
      <c r="D73" s="656">
        <v>4</v>
      </c>
      <c r="E73" s="657">
        <v>4</v>
      </c>
      <c r="F73" s="658">
        <v>7</v>
      </c>
      <c r="G73" s="659">
        <v>6</v>
      </c>
      <c r="H73" s="660">
        <v>6</v>
      </c>
      <c r="I73" s="657">
        <v>6</v>
      </c>
      <c r="J73" s="658">
        <v>11</v>
      </c>
      <c r="K73" s="658">
        <v>6</v>
      </c>
    </row>
    <row r="74" spans="3:11">
      <c r="C74" s="661">
        <v>55</v>
      </c>
      <c r="D74" s="656">
        <v>6</v>
      </c>
      <c r="E74" s="657">
        <v>5</v>
      </c>
      <c r="F74" s="658">
        <v>5</v>
      </c>
      <c r="G74" s="659">
        <v>6</v>
      </c>
      <c r="H74" s="660">
        <v>8</v>
      </c>
      <c r="I74" s="657">
        <v>8</v>
      </c>
      <c r="J74" s="658">
        <v>10</v>
      </c>
      <c r="K74" s="658">
        <v>7</v>
      </c>
    </row>
    <row r="75" spans="3:11">
      <c r="C75" s="661">
        <v>56</v>
      </c>
      <c r="D75" s="656">
        <v>6</v>
      </c>
      <c r="E75" s="657">
        <v>5</v>
      </c>
      <c r="F75" s="658">
        <v>6</v>
      </c>
      <c r="G75" s="659">
        <v>5</v>
      </c>
      <c r="H75" s="660">
        <v>7</v>
      </c>
      <c r="I75" s="657">
        <v>8</v>
      </c>
      <c r="J75" s="658">
        <v>9</v>
      </c>
      <c r="K75" s="658">
        <v>8</v>
      </c>
    </row>
    <row r="76" spans="3:11">
      <c r="C76" s="661">
        <v>57</v>
      </c>
      <c r="D76" s="656">
        <v>5</v>
      </c>
      <c r="E76" s="657">
        <v>5</v>
      </c>
      <c r="F76" s="658">
        <v>7</v>
      </c>
      <c r="G76" s="659">
        <v>6</v>
      </c>
      <c r="H76" s="660">
        <v>7</v>
      </c>
      <c r="I76" s="657">
        <v>8</v>
      </c>
      <c r="J76" s="658">
        <v>9</v>
      </c>
      <c r="K76" s="658">
        <v>8</v>
      </c>
    </row>
    <row r="77" spans="3:11">
      <c r="C77" s="661">
        <v>58</v>
      </c>
      <c r="D77" s="656">
        <v>4</v>
      </c>
      <c r="E77" s="657">
        <v>5</v>
      </c>
      <c r="F77" s="658">
        <v>7</v>
      </c>
      <c r="G77" s="659">
        <v>5</v>
      </c>
      <c r="H77" s="660">
        <v>7</v>
      </c>
      <c r="I77" s="657">
        <v>6</v>
      </c>
      <c r="J77" s="658">
        <v>10</v>
      </c>
      <c r="K77" s="658">
        <v>9</v>
      </c>
    </row>
    <row r="78" spans="3:11">
      <c r="C78" s="661">
        <v>59</v>
      </c>
      <c r="D78" s="656">
        <v>6</v>
      </c>
      <c r="E78" s="657">
        <v>5</v>
      </c>
      <c r="F78" s="658">
        <v>7</v>
      </c>
      <c r="G78" s="659">
        <v>5</v>
      </c>
      <c r="H78" s="660">
        <v>7</v>
      </c>
      <c r="I78" s="657">
        <v>6</v>
      </c>
      <c r="J78" s="658">
        <v>9</v>
      </c>
      <c r="K78" s="658">
        <v>6</v>
      </c>
    </row>
    <row r="79" spans="3:11">
      <c r="C79" s="661">
        <v>60</v>
      </c>
      <c r="D79" s="656">
        <v>6</v>
      </c>
      <c r="E79" s="657">
        <v>6</v>
      </c>
      <c r="F79" s="658">
        <v>8</v>
      </c>
      <c r="G79" s="659">
        <v>6</v>
      </c>
      <c r="H79" s="660">
        <v>8</v>
      </c>
      <c r="I79" s="657">
        <v>6</v>
      </c>
      <c r="J79" s="658">
        <v>8</v>
      </c>
      <c r="K79" s="658">
        <v>7</v>
      </c>
    </row>
    <row r="80" spans="3:11">
      <c r="C80" s="661">
        <v>61</v>
      </c>
      <c r="D80" s="656">
        <v>6</v>
      </c>
      <c r="E80" s="657">
        <v>5</v>
      </c>
      <c r="F80" s="658">
        <v>8</v>
      </c>
      <c r="G80" s="659">
        <v>5</v>
      </c>
      <c r="H80" s="660">
        <v>8</v>
      </c>
      <c r="I80" s="657">
        <v>6</v>
      </c>
      <c r="J80" s="658">
        <v>9</v>
      </c>
      <c r="K80" s="658">
        <v>6</v>
      </c>
    </row>
    <row r="81" spans="3:11">
      <c r="C81" s="661">
        <v>62</v>
      </c>
      <c r="D81" s="656">
        <v>5</v>
      </c>
      <c r="E81" s="657">
        <v>5</v>
      </c>
      <c r="F81" s="658">
        <v>6</v>
      </c>
      <c r="G81" s="659">
        <v>4</v>
      </c>
      <c r="H81" s="660">
        <v>7</v>
      </c>
      <c r="I81" s="657">
        <v>7</v>
      </c>
      <c r="J81" s="658">
        <v>12</v>
      </c>
      <c r="K81" s="658">
        <v>6</v>
      </c>
    </row>
    <row r="82" spans="3:11">
      <c r="C82" s="661">
        <v>63</v>
      </c>
      <c r="D82" s="656">
        <v>4</v>
      </c>
      <c r="E82" s="657">
        <v>6</v>
      </c>
      <c r="F82" s="658">
        <v>8</v>
      </c>
      <c r="G82" s="659">
        <v>5</v>
      </c>
      <c r="H82" s="660">
        <v>9</v>
      </c>
      <c r="I82" s="657">
        <v>8</v>
      </c>
      <c r="J82" s="658">
        <v>11</v>
      </c>
      <c r="K82" s="658">
        <v>8</v>
      </c>
    </row>
    <row r="83" spans="3:11">
      <c r="C83" s="661">
        <v>64</v>
      </c>
      <c r="D83" s="656">
        <v>5</v>
      </c>
      <c r="E83" s="657">
        <v>4</v>
      </c>
      <c r="F83" s="658">
        <v>5</v>
      </c>
      <c r="G83" s="659">
        <v>5</v>
      </c>
      <c r="H83" s="660">
        <v>8</v>
      </c>
      <c r="I83" s="657">
        <v>6</v>
      </c>
      <c r="J83" s="658">
        <v>8</v>
      </c>
      <c r="K83" s="658">
        <v>7</v>
      </c>
    </row>
    <row r="84" spans="3:11">
      <c r="C84" s="661">
        <v>65</v>
      </c>
      <c r="D84" s="656">
        <v>5</v>
      </c>
      <c r="E84" s="657">
        <v>5</v>
      </c>
      <c r="F84" s="658">
        <v>6</v>
      </c>
      <c r="G84" s="659">
        <v>5</v>
      </c>
      <c r="H84" s="660">
        <v>9</v>
      </c>
      <c r="I84" s="657">
        <v>6</v>
      </c>
      <c r="J84" s="658">
        <v>12</v>
      </c>
      <c r="K84" s="658">
        <v>7</v>
      </c>
    </row>
    <row r="85" spans="3:11">
      <c r="C85" s="661">
        <v>66</v>
      </c>
      <c r="D85" s="656">
        <v>5</v>
      </c>
      <c r="E85" s="657">
        <v>5</v>
      </c>
      <c r="F85" s="658">
        <v>9</v>
      </c>
      <c r="G85" s="659">
        <v>5</v>
      </c>
      <c r="H85" s="660">
        <v>8</v>
      </c>
      <c r="I85" s="657">
        <v>8</v>
      </c>
      <c r="J85" s="658">
        <v>11</v>
      </c>
      <c r="K85" s="658">
        <v>8</v>
      </c>
    </row>
    <row r="86" spans="3:11">
      <c r="C86" s="661">
        <v>67</v>
      </c>
      <c r="D86" s="656">
        <v>6</v>
      </c>
      <c r="E86" s="657">
        <v>5</v>
      </c>
      <c r="F86" s="658">
        <v>7</v>
      </c>
      <c r="G86" s="659">
        <v>5</v>
      </c>
      <c r="H86" s="660">
        <v>7</v>
      </c>
      <c r="I86" s="657">
        <v>8</v>
      </c>
      <c r="J86" s="658">
        <v>9</v>
      </c>
      <c r="K86" s="658">
        <v>6</v>
      </c>
    </row>
    <row r="87" spans="3:11">
      <c r="C87" s="661">
        <v>68</v>
      </c>
      <c r="D87" s="656">
        <v>6</v>
      </c>
      <c r="E87" s="657">
        <v>6</v>
      </c>
      <c r="F87" s="658">
        <v>8</v>
      </c>
      <c r="G87" s="659">
        <v>7</v>
      </c>
      <c r="H87" s="660">
        <v>9</v>
      </c>
      <c r="I87" s="657">
        <v>8</v>
      </c>
      <c r="J87" s="658">
        <v>10</v>
      </c>
      <c r="K87" s="658">
        <v>8</v>
      </c>
    </row>
    <row r="88" spans="3:11">
      <c r="C88" s="661">
        <v>69</v>
      </c>
      <c r="D88" s="656">
        <v>6</v>
      </c>
      <c r="E88" s="657">
        <v>4</v>
      </c>
      <c r="F88" s="658">
        <v>5</v>
      </c>
      <c r="G88" s="659">
        <v>6</v>
      </c>
      <c r="H88" s="660">
        <v>6</v>
      </c>
      <c r="I88" s="657">
        <v>7</v>
      </c>
      <c r="J88" s="658">
        <v>10</v>
      </c>
      <c r="K88" s="658">
        <v>8</v>
      </c>
    </row>
    <row r="89" spans="3:11">
      <c r="C89" s="661">
        <v>70</v>
      </c>
      <c r="D89" s="656">
        <v>6</v>
      </c>
      <c r="E89" s="657">
        <v>4</v>
      </c>
      <c r="F89" s="658">
        <v>7</v>
      </c>
      <c r="G89" s="659">
        <v>6</v>
      </c>
      <c r="H89" s="660">
        <v>7</v>
      </c>
      <c r="I89" s="657">
        <v>7</v>
      </c>
      <c r="J89" s="658">
        <v>11</v>
      </c>
      <c r="K89" s="658">
        <v>8</v>
      </c>
    </row>
    <row r="90" spans="3:11">
      <c r="C90" s="661">
        <v>71</v>
      </c>
      <c r="D90" s="656">
        <v>6</v>
      </c>
      <c r="E90" s="657">
        <v>5</v>
      </c>
      <c r="F90" s="658">
        <v>7</v>
      </c>
      <c r="G90" s="659">
        <v>5</v>
      </c>
      <c r="H90" s="660">
        <v>8</v>
      </c>
      <c r="I90" s="657">
        <v>8</v>
      </c>
      <c r="J90" s="658">
        <v>9</v>
      </c>
      <c r="K90" s="658">
        <v>6</v>
      </c>
    </row>
    <row r="91" spans="3:11">
      <c r="C91" s="661">
        <v>72</v>
      </c>
      <c r="D91" s="656">
        <v>5</v>
      </c>
      <c r="E91" s="657">
        <v>4</v>
      </c>
      <c r="F91" s="658">
        <v>6</v>
      </c>
      <c r="G91" s="659">
        <v>6</v>
      </c>
      <c r="H91" s="660">
        <v>7</v>
      </c>
      <c r="I91" s="657">
        <v>7</v>
      </c>
      <c r="J91" s="658">
        <v>9</v>
      </c>
      <c r="K91" s="658">
        <v>7</v>
      </c>
    </row>
    <row r="92" spans="3:11">
      <c r="C92" s="661">
        <v>73</v>
      </c>
      <c r="D92" s="656">
        <v>6</v>
      </c>
      <c r="E92" s="657">
        <v>6</v>
      </c>
      <c r="F92" s="658">
        <v>6</v>
      </c>
      <c r="G92" s="659">
        <v>6</v>
      </c>
      <c r="H92" s="660">
        <v>8</v>
      </c>
      <c r="I92" s="657">
        <v>8</v>
      </c>
      <c r="J92" s="658">
        <v>10</v>
      </c>
      <c r="K92" s="658">
        <v>8</v>
      </c>
    </row>
    <row r="93" spans="3:11">
      <c r="C93" s="661">
        <v>74</v>
      </c>
      <c r="D93" s="656">
        <v>4</v>
      </c>
      <c r="E93" s="657">
        <v>6</v>
      </c>
      <c r="F93" s="658">
        <v>8</v>
      </c>
      <c r="G93" s="659">
        <v>6</v>
      </c>
      <c r="H93" s="660">
        <v>6</v>
      </c>
      <c r="I93" s="657">
        <v>9</v>
      </c>
      <c r="J93" s="658">
        <v>11</v>
      </c>
      <c r="K93" s="658">
        <v>7</v>
      </c>
    </row>
    <row r="94" spans="3:11">
      <c r="C94" s="661">
        <v>75</v>
      </c>
      <c r="D94" s="656">
        <v>5</v>
      </c>
      <c r="E94" s="657">
        <v>4</v>
      </c>
      <c r="F94" s="658">
        <v>7</v>
      </c>
      <c r="G94" s="659">
        <v>5</v>
      </c>
      <c r="H94" s="660">
        <v>8</v>
      </c>
      <c r="I94" s="657">
        <v>8</v>
      </c>
      <c r="J94" s="658">
        <v>9</v>
      </c>
      <c r="K94" s="658">
        <v>7</v>
      </c>
    </row>
    <row r="95" spans="3:11">
      <c r="C95" s="661">
        <v>76</v>
      </c>
      <c r="D95" s="656">
        <v>5</v>
      </c>
      <c r="E95" s="657">
        <v>5</v>
      </c>
      <c r="F95" s="658">
        <v>8</v>
      </c>
      <c r="G95" s="659">
        <v>6</v>
      </c>
      <c r="H95" s="660">
        <v>7</v>
      </c>
      <c r="I95" s="657">
        <v>7</v>
      </c>
      <c r="J95" s="658">
        <v>8</v>
      </c>
      <c r="K95" s="658">
        <v>7</v>
      </c>
    </row>
    <row r="96" spans="3:11">
      <c r="C96" s="661">
        <v>77</v>
      </c>
      <c r="D96" s="656">
        <v>5</v>
      </c>
      <c r="E96" s="657">
        <v>4</v>
      </c>
      <c r="F96" s="658">
        <v>7</v>
      </c>
      <c r="G96" s="659">
        <v>6</v>
      </c>
      <c r="H96" s="660">
        <v>7</v>
      </c>
      <c r="I96" s="657">
        <v>7</v>
      </c>
      <c r="J96" s="658">
        <v>10</v>
      </c>
      <c r="K96" s="658">
        <v>7</v>
      </c>
    </row>
    <row r="97" spans="3:11">
      <c r="C97" s="661">
        <v>78</v>
      </c>
      <c r="D97" s="656">
        <v>5</v>
      </c>
      <c r="E97" s="657">
        <v>5</v>
      </c>
      <c r="F97" s="658">
        <v>6</v>
      </c>
      <c r="G97" s="659">
        <v>4</v>
      </c>
      <c r="H97" s="660">
        <v>7</v>
      </c>
      <c r="I97" s="657">
        <v>6</v>
      </c>
      <c r="J97" s="658">
        <v>9</v>
      </c>
      <c r="K97" s="658">
        <v>6</v>
      </c>
    </row>
    <row r="98" spans="3:11">
      <c r="C98" s="661">
        <v>79</v>
      </c>
      <c r="D98" s="656">
        <v>6</v>
      </c>
      <c r="E98" s="657">
        <v>5</v>
      </c>
      <c r="F98" s="658">
        <v>8</v>
      </c>
      <c r="G98" s="659">
        <v>6</v>
      </c>
      <c r="H98" s="660">
        <v>7</v>
      </c>
      <c r="I98" s="657">
        <v>7</v>
      </c>
      <c r="J98" s="658">
        <v>9</v>
      </c>
      <c r="K98" s="658">
        <v>8</v>
      </c>
    </row>
    <row r="99" spans="3:11">
      <c r="C99" s="661">
        <v>80</v>
      </c>
      <c r="D99" s="656">
        <v>6</v>
      </c>
      <c r="E99" s="657">
        <v>5</v>
      </c>
      <c r="F99" s="658">
        <v>6</v>
      </c>
      <c r="G99" s="659">
        <v>6</v>
      </c>
      <c r="H99" s="660">
        <v>9</v>
      </c>
      <c r="I99" s="657">
        <v>7</v>
      </c>
      <c r="J99" s="658">
        <v>11</v>
      </c>
      <c r="K99" s="658">
        <v>6</v>
      </c>
    </row>
    <row r="100" spans="3:11">
      <c r="C100" s="661">
        <v>81</v>
      </c>
      <c r="D100" s="656">
        <v>5</v>
      </c>
      <c r="E100" s="657">
        <v>5</v>
      </c>
      <c r="F100" s="658">
        <v>6</v>
      </c>
      <c r="G100" s="659">
        <v>4</v>
      </c>
      <c r="H100" s="660">
        <v>6</v>
      </c>
      <c r="I100" s="657">
        <v>6</v>
      </c>
      <c r="J100" s="658">
        <v>7</v>
      </c>
      <c r="K100" s="658">
        <v>8</v>
      </c>
    </row>
    <row r="101" spans="3:11">
      <c r="C101" s="661">
        <v>82</v>
      </c>
      <c r="D101" s="656">
        <v>6</v>
      </c>
      <c r="E101" s="657">
        <v>6</v>
      </c>
      <c r="F101" s="658">
        <v>6</v>
      </c>
      <c r="G101" s="659">
        <v>4</v>
      </c>
      <c r="H101" s="660">
        <v>7</v>
      </c>
      <c r="I101" s="657">
        <v>7</v>
      </c>
      <c r="J101" s="658">
        <v>12</v>
      </c>
      <c r="K101" s="658">
        <v>8</v>
      </c>
    </row>
    <row r="102" spans="3:11">
      <c r="C102" s="661">
        <v>83</v>
      </c>
      <c r="D102" s="656">
        <v>5</v>
      </c>
      <c r="E102" s="657">
        <v>6</v>
      </c>
      <c r="F102" s="658">
        <v>6</v>
      </c>
      <c r="G102" s="659">
        <v>5</v>
      </c>
      <c r="H102" s="660">
        <v>7</v>
      </c>
      <c r="I102" s="657">
        <v>7</v>
      </c>
      <c r="J102" s="658">
        <v>9</v>
      </c>
      <c r="K102" s="658">
        <v>7</v>
      </c>
    </row>
    <row r="103" spans="3:11">
      <c r="C103" s="661">
        <v>84</v>
      </c>
      <c r="D103" s="656">
        <v>5</v>
      </c>
      <c r="E103" s="657">
        <v>6</v>
      </c>
      <c r="F103" s="658">
        <v>7</v>
      </c>
      <c r="G103" s="659">
        <v>6</v>
      </c>
      <c r="H103" s="660">
        <v>9</v>
      </c>
      <c r="I103" s="657">
        <v>9</v>
      </c>
      <c r="J103" s="658">
        <v>12</v>
      </c>
      <c r="K103" s="658">
        <v>9</v>
      </c>
    </row>
    <row r="104" spans="3:11">
      <c r="C104" s="661">
        <v>85</v>
      </c>
      <c r="D104" s="656">
        <v>5</v>
      </c>
      <c r="E104" s="657">
        <v>6</v>
      </c>
      <c r="F104" s="658">
        <v>8</v>
      </c>
      <c r="G104" s="659">
        <v>6</v>
      </c>
      <c r="H104" s="660">
        <v>6</v>
      </c>
      <c r="I104" s="657">
        <v>7</v>
      </c>
      <c r="J104" s="658">
        <v>10</v>
      </c>
      <c r="K104" s="658">
        <v>6</v>
      </c>
    </row>
    <row r="105" spans="3:11">
      <c r="C105" s="661">
        <v>86</v>
      </c>
      <c r="D105" s="656">
        <v>5</v>
      </c>
      <c r="E105" s="657">
        <v>6</v>
      </c>
      <c r="F105" s="658">
        <v>8</v>
      </c>
      <c r="G105" s="659">
        <v>5</v>
      </c>
      <c r="H105" s="660">
        <v>8</v>
      </c>
      <c r="I105" s="657">
        <v>6</v>
      </c>
      <c r="J105" s="658">
        <v>10</v>
      </c>
      <c r="K105" s="658">
        <v>8</v>
      </c>
    </row>
    <row r="106" spans="3:11">
      <c r="C106" s="661">
        <v>87</v>
      </c>
      <c r="D106" s="656">
        <v>4</v>
      </c>
      <c r="E106" s="657">
        <v>6</v>
      </c>
      <c r="F106" s="658">
        <v>7</v>
      </c>
      <c r="G106" s="659">
        <v>6</v>
      </c>
      <c r="H106" s="660">
        <v>8</v>
      </c>
      <c r="I106" s="657">
        <v>7</v>
      </c>
      <c r="J106" s="658">
        <v>11</v>
      </c>
      <c r="K106" s="658">
        <v>8</v>
      </c>
    </row>
    <row r="107" spans="3:11">
      <c r="C107" s="661">
        <v>88</v>
      </c>
      <c r="D107" s="656">
        <v>6</v>
      </c>
      <c r="E107" s="657">
        <v>5</v>
      </c>
      <c r="F107" s="658">
        <v>7</v>
      </c>
      <c r="G107" s="659">
        <v>5</v>
      </c>
      <c r="H107" s="660">
        <v>6</v>
      </c>
      <c r="I107" s="657">
        <v>9</v>
      </c>
      <c r="J107" s="658">
        <v>11</v>
      </c>
      <c r="K107" s="658">
        <v>8</v>
      </c>
    </row>
    <row r="108" spans="3:11">
      <c r="C108" s="661">
        <v>89</v>
      </c>
      <c r="D108" s="656">
        <v>5</v>
      </c>
      <c r="E108" s="657">
        <v>5</v>
      </c>
      <c r="F108" s="658">
        <v>6</v>
      </c>
      <c r="G108" s="659">
        <v>4</v>
      </c>
      <c r="H108" s="660">
        <v>6</v>
      </c>
      <c r="I108" s="657">
        <v>9</v>
      </c>
      <c r="J108" s="658">
        <v>11</v>
      </c>
      <c r="K108" s="658">
        <v>8</v>
      </c>
    </row>
    <row r="109" spans="3:11">
      <c r="C109" s="661">
        <v>90</v>
      </c>
      <c r="D109" s="656">
        <v>6</v>
      </c>
      <c r="E109" s="657">
        <v>4</v>
      </c>
      <c r="F109" s="658">
        <v>6</v>
      </c>
      <c r="G109" s="659">
        <v>5</v>
      </c>
      <c r="H109" s="660">
        <v>8</v>
      </c>
      <c r="I109" s="657">
        <v>7</v>
      </c>
      <c r="J109" s="658">
        <v>8</v>
      </c>
      <c r="K109" s="658">
        <v>7</v>
      </c>
    </row>
    <row r="110" spans="3:11">
      <c r="C110" s="661">
        <v>91</v>
      </c>
      <c r="D110" s="656">
        <v>5</v>
      </c>
      <c r="E110" s="657">
        <v>6</v>
      </c>
      <c r="F110" s="658">
        <v>7</v>
      </c>
      <c r="G110" s="659">
        <v>6</v>
      </c>
      <c r="H110" s="660">
        <v>6</v>
      </c>
      <c r="I110" s="657">
        <v>7</v>
      </c>
      <c r="J110" s="658">
        <v>11</v>
      </c>
      <c r="K110" s="658">
        <v>8</v>
      </c>
    </row>
    <row r="111" spans="3:11">
      <c r="C111" s="661">
        <v>92</v>
      </c>
      <c r="D111" s="656">
        <v>6</v>
      </c>
      <c r="E111" s="657">
        <v>5</v>
      </c>
      <c r="F111" s="658">
        <v>7</v>
      </c>
      <c r="G111" s="659">
        <v>6</v>
      </c>
      <c r="H111" s="660">
        <v>6</v>
      </c>
      <c r="I111" s="657">
        <v>8</v>
      </c>
      <c r="J111" s="658">
        <v>10</v>
      </c>
      <c r="K111" s="658">
        <v>9</v>
      </c>
    </row>
    <row r="112" spans="3:11">
      <c r="C112" s="661">
        <v>93</v>
      </c>
      <c r="D112" s="656">
        <v>6</v>
      </c>
      <c r="E112" s="657">
        <v>5</v>
      </c>
      <c r="F112" s="658">
        <v>7</v>
      </c>
      <c r="G112" s="659">
        <v>5</v>
      </c>
      <c r="H112" s="660">
        <v>8</v>
      </c>
      <c r="I112" s="657">
        <v>7</v>
      </c>
      <c r="J112" s="658">
        <v>11</v>
      </c>
      <c r="K112" s="658">
        <v>10</v>
      </c>
    </row>
    <row r="113" spans="3:11">
      <c r="C113" s="661">
        <v>94</v>
      </c>
      <c r="D113" s="656">
        <v>5</v>
      </c>
      <c r="E113" s="657">
        <v>6</v>
      </c>
      <c r="F113" s="658">
        <v>5</v>
      </c>
      <c r="G113" s="659">
        <v>6</v>
      </c>
      <c r="H113" s="660">
        <v>7</v>
      </c>
      <c r="I113" s="657">
        <v>9</v>
      </c>
      <c r="J113" s="658">
        <v>10</v>
      </c>
      <c r="K113" s="658">
        <v>7</v>
      </c>
    </row>
    <row r="114" spans="3:11">
      <c r="C114" s="661">
        <v>95</v>
      </c>
      <c r="D114" s="656">
        <v>6</v>
      </c>
      <c r="E114" s="657">
        <v>6</v>
      </c>
      <c r="F114" s="658">
        <v>7</v>
      </c>
      <c r="G114" s="659">
        <v>7</v>
      </c>
      <c r="H114" s="660">
        <v>6</v>
      </c>
      <c r="I114" s="657">
        <v>7</v>
      </c>
      <c r="J114" s="658">
        <v>10</v>
      </c>
      <c r="K114" s="658">
        <v>7</v>
      </c>
    </row>
    <row r="115" spans="3:11">
      <c r="C115" s="661">
        <v>96</v>
      </c>
      <c r="D115" s="656">
        <v>4</v>
      </c>
      <c r="E115" s="657">
        <v>5</v>
      </c>
      <c r="F115" s="658">
        <v>7</v>
      </c>
      <c r="G115" s="659">
        <v>4</v>
      </c>
      <c r="H115" s="660">
        <v>8</v>
      </c>
      <c r="I115" s="657">
        <v>8</v>
      </c>
      <c r="J115" s="658">
        <v>9</v>
      </c>
      <c r="K115" s="658">
        <v>7</v>
      </c>
    </row>
    <row r="116" spans="3:11">
      <c r="C116" s="661">
        <v>97</v>
      </c>
      <c r="D116" s="656">
        <v>5</v>
      </c>
      <c r="E116" s="657">
        <v>6</v>
      </c>
      <c r="F116" s="658">
        <v>6</v>
      </c>
      <c r="G116" s="659">
        <v>5</v>
      </c>
      <c r="H116" s="660">
        <v>9</v>
      </c>
      <c r="I116" s="657">
        <v>6</v>
      </c>
      <c r="J116" s="658">
        <v>8</v>
      </c>
      <c r="K116" s="658">
        <v>9</v>
      </c>
    </row>
    <row r="117" spans="3:11">
      <c r="C117" s="661">
        <v>98</v>
      </c>
      <c r="D117" s="656">
        <v>5</v>
      </c>
      <c r="E117" s="657">
        <v>6</v>
      </c>
      <c r="F117" s="658">
        <v>6</v>
      </c>
      <c r="G117" s="659">
        <v>5</v>
      </c>
      <c r="H117" s="660">
        <v>7</v>
      </c>
      <c r="I117" s="657">
        <v>7</v>
      </c>
      <c r="J117" s="658">
        <v>11</v>
      </c>
      <c r="K117" s="658">
        <v>7</v>
      </c>
    </row>
    <row r="118" spans="3:11">
      <c r="C118" s="661">
        <v>99</v>
      </c>
      <c r="D118" s="656">
        <v>5</v>
      </c>
      <c r="E118" s="657">
        <v>6</v>
      </c>
      <c r="F118" s="658">
        <v>7</v>
      </c>
      <c r="G118" s="659">
        <v>4</v>
      </c>
      <c r="H118" s="660">
        <v>6</v>
      </c>
      <c r="I118" s="657">
        <v>6</v>
      </c>
      <c r="J118" s="658">
        <v>8</v>
      </c>
      <c r="K118" s="658">
        <v>7</v>
      </c>
    </row>
    <row r="119" spans="3:11" ht="17.25" thickBot="1">
      <c r="C119" s="662">
        <v>100</v>
      </c>
      <c r="D119" s="663">
        <v>4</v>
      </c>
      <c r="E119" s="664">
        <v>5</v>
      </c>
      <c r="F119" s="665">
        <v>8</v>
      </c>
      <c r="G119" s="666">
        <v>5</v>
      </c>
      <c r="H119" s="667">
        <v>8</v>
      </c>
      <c r="I119" s="664">
        <v>8</v>
      </c>
      <c r="J119" s="665">
        <v>8</v>
      </c>
      <c r="K119" s="665">
        <v>6</v>
      </c>
    </row>
    <row r="120" spans="3:11" ht="17.25" thickTop="1">
      <c r="C120" s="204" t="s">
        <v>419</v>
      </c>
      <c r="D120" s="668">
        <f>AVERAGE(D20:D119)</f>
        <v>5.0999999999999996</v>
      </c>
      <c r="E120" s="669">
        <f>AVERAGE(E20:E119)</f>
        <v>5.16</v>
      </c>
      <c r="F120" s="670">
        <f>AVERAGE(F20:F119)</f>
        <v>6.95</v>
      </c>
      <c r="G120" s="671">
        <f>AVERAGE(G20:G119)</f>
        <v>5.36</v>
      </c>
      <c r="H120" s="672">
        <f>AVERAGE(H20:H119)</f>
        <v>7.31</v>
      </c>
      <c r="I120" s="669">
        <f>AVERAGE(I20:I119)</f>
        <v>7.13</v>
      </c>
      <c r="J120" s="670">
        <f>AVERAGE(J20:J119)</f>
        <v>9.83</v>
      </c>
      <c r="K120" s="670">
        <f>AVERAGE(K20:K119)</f>
        <v>7.4</v>
      </c>
    </row>
    <row r="121" spans="3:11">
      <c r="C121" s="673" t="s">
        <v>684</v>
      </c>
      <c r="D121" s="674">
        <f>D120/E120-1</f>
        <v>-1.1627906976744318E-2</v>
      </c>
      <c r="E121" s="675">
        <f>E120/D120-1</f>
        <v>1.1764705882353121E-2</v>
      </c>
      <c r="F121" s="676">
        <f>F120/G120-1</f>
        <v>0.29664179104477606</v>
      </c>
      <c r="G121" s="677">
        <f>G120/F120-1</f>
        <v>-0.22877697841726619</v>
      </c>
      <c r="H121" s="678">
        <f>H120/I120-1</f>
        <v>2.5245441795231471E-2</v>
      </c>
      <c r="I121" s="675">
        <f>I120/H120-1</f>
        <v>-2.4623803009575895E-2</v>
      </c>
      <c r="J121" s="676">
        <f>J120/K120-1</f>
        <v>0.32837837837837824</v>
      </c>
      <c r="K121" s="676">
        <f>K120/J120-1</f>
        <v>-0.24720244150559512</v>
      </c>
    </row>
  </sheetData>
  <mergeCells count="15">
    <mergeCell ref="B7:C7"/>
    <mergeCell ref="B6:C6"/>
    <mergeCell ref="B5:C5"/>
    <mergeCell ref="D18:E18"/>
    <mergeCell ref="F18:G18"/>
    <mergeCell ref="H18:I18"/>
    <mergeCell ref="B12:C12"/>
    <mergeCell ref="B13:C13"/>
    <mergeCell ref="B11:C11"/>
    <mergeCell ref="B10:C10"/>
    <mergeCell ref="B9:C9"/>
    <mergeCell ref="B8:C8"/>
    <mergeCell ref="D17:G17"/>
    <mergeCell ref="H17:K17"/>
    <mergeCell ref="J18:K18"/>
  </mergeCells>
  <phoneticPr fontId="2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D685A-52E9-49A1-B48C-D9100F85DCE2}">
  <dimension ref="B2:AA29"/>
  <sheetViews>
    <sheetView topLeftCell="E3" workbookViewId="0">
      <selection activeCell="Q26" sqref="Q26"/>
    </sheetView>
  </sheetViews>
  <sheetFormatPr defaultRowHeight="16.5"/>
  <cols>
    <col min="1" max="1" width="9" style="2"/>
    <col min="2" max="2" width="14" style="2" bestFit="1" customWidth="1"/>
    <col min="3" max="3" width="14.375" style="2" bestFit="1" customWidth="1"/>
    <col min="4" max="4" width="14.75" style="2" customWidth="1"/>
    <col min="5" max="5" width="9.25" style="2" bestFit="1" customWidth="1"/>
    <col min="6" max="6" width="16.125" style="2" bestFit="1" customWidth="1"/>
    <col min="7" max="7" width="8.5" style="2" customWidth="1"/>
    <col min="8" max="8" width="31.625" style="2" bestFit="1" customWidth="1"/>
    <col min="9" max="9" width="6.125" style="2" bestFit="1" customWidth="1"/>
    <col min="10" max="11" width="13" style="2" bestFit="1" customWidth="1"/>
    <col min="12" max="12" width="4.625" style="2" customWidth="1"/>
    <col min="13" max="20" width="9" style="2"/>
    <col min="21" max="21" width="11" style="2" bestFit="1" customWidth="1"/>
    <col min="22" max="16384" width="9" style="2"/>
  </cols>
  <sheetData>
    <row r="2" spans="2:18" ht="20.25">
      <c r="C2" s="165" t="s">
        <v>217</v>
      </c>
      <c r="D2" s="166"/>
      <c r="E2" s="166"/>
      <c r="F2" s="166"/>
      <c r="G2" s="166"/>
      <c r="H2" s="165" t="s">
        <v>238</v>
      </c>
    </row>
    <row r="4" spans="2:18" ht="17.25" thickBot="1">
      <c r="B4" s="9"/>
      <c r="C4" s="155"/>
      <c r="E4" s="155"/>
      <c r="F4" s="155"/>
      <c r="G4" s="9"/>
      <c r="H4" s="167" t="s">
        <v>239</v>
      </c>
      <c r="I4" s="9"/>
      <c r="J4" s="173" t="s">
        <v>216</v>
      </c>
      <c r="K4" s="105" t="s">
        <v>214</v>
      </c>
      <c r="L4" s="9"/>
    </row>
    <row r="5" spans="2:18" ht="17.25" thickBot="1">
      <c r="B5" s="9"/>
      <c r="C5" s="156" t="s">
        <v>219</v>
      </c>
      <c r="D5" s="156" t="s">
        <v>227</v>
      </c>
      <c r="E5" s="176" t="s">
        <v>218</v>
      </c>
      <c r="F5" s="156" t="s">
        <v>240</v>
      </c>
      <c r="G5" s="9"/>
      <c r="H5" s="168" t="s">
        <v>235</v>
      </c>
      <c r="I5" s="168"/>
      <c r="J5" s="174">
        <f>F7*F10*F17*F25</f>
        <v>21890.322359033114</v>
      </c>
      <c r="K5" s="171">
        <f>F7*F10*F17*F27</f>
        <v>26268.386830839736</v>
      </c>
      <c r="L5" s="9"/>
    </row>
    <row r="6" spans="2:18" ht="18" thickTop="1" thickBot="1">
      <c r="C6" s="162" t="s">
        <v>215</v>
      </c>
      <c r="D6" s="151" t="s">
        <v>244</v>
      </c>
      <c r="E6" s="186">
        <v>3469</v>
      </c>
      <c r="F6" s="187">
        <v>3469</v>
      </c>
      <c r="G6" s="148"/>
      <c r="H6" s="169" t="s">
        <v>236</v>
      </c>
      <c r="I6" s="170"/>
      <c r="J6" s="188">
        <f>J5*$F$6</f>
        <v>75937528.263485879</v>
      </c>
      <c r="K6" s="189">
        <f>K5*$F$6</f>
        <v>91125033.91618304</v>
      </c>
      <c r="P6" s="2" t="s">
        <v>299</v>
      </c>
      <c r="Q6" s="2" t="s">
        <v>300</v>
      </c>
    </row>
    <row r="7" spans="2:18" ht="17.25" thickTop="1">
      <c r="C7" s="157" t="s">
        <v>196</v>
      </c>
      <c r="D7" s="148" t="s">
        <v>241</v>
      </c>
      <c r="E7" s="177">
        <v>2.5110000000000001</v>
      </c>
      <c r="F7" s="159">
        <f>E7*E8*E9</f>
        <v>94.347028368000011</v>
      </c>
      <c r="G7" s="160" t="s">
        <v>220</v>
      </c>
      <c r="H7" s="164" t="s">
        <v>237</v>
      </c>
      <c r="I7" s="149">
        <v>1.25</v>
      </c>
      <c r="J7" s="175">
        <f t="shared" ref="J7:J27" si="0">$F$6*$F$7*$F$10*$F$17*$F$25*I7</f>
        <v>94921910.329357326</v>
      </c>
      <c r="K7" s="172">
        <f t="shared" ref="K7:K27" si="1">$F$6*$F$7*$F$10*$F$17*$F$27*I7</f>
        <v>113906292.3952288</v>
      </c>
      <c r="O7" s="2" t="s">
        <v>143</v>
      </c>
      <c r="P7" s="5">
        <v>0.14599999999999999</v>
      </c>
      <c r="Q7" s="5">
        <v>0.182</v>
      </c>
    </row>
    <row r="8" spans="2:18">
      <c r="C8" s="178" t="s">
        <v>231</v>
      </c>
      <c r="D8" s="148" t="s">
        <v>243</v>
      </c>
      <c r="E8" s="177">
        <v>7.0880000000000001</v>
      </c>
      <c r="F8" s="150"/>
      <c r="G8" s="148"/>
      <c r="H8" s="185">
        <v>25</v>
      </c>
      <c r="I8" s="149">
        <f t="shared" ref="I8:I27" si="2">$I$7+(0.25*(H8/25))</f>
        <v>1.5</v>
      </c>
      <c r="J8" s="175">
        <f t="shared" si="0"/>
        <v>113906292.3952288</v>
      </c>
      <c r="K8" s="172">
        <f t="shared" si="1"/>
        <v>136687550.87427455</v>
      </c>
      <c r="O8" s="2" t="s">
        <v>297</v>
      </c>
      <c r="P8" s="5">
        <v>0.223</v>
      </c>
      <c r="Q8" s="74">
        <v>0.19700000000000001</v>
      </c>
    </row>
    <row r="9" spans="2:18">
      <c r="B9" s="5"/>
      <c r="C9" s="161" t="s">
        <v>232</v>
      </c>
      <c r="D9" s="152" t="s">
        <v>242</v>
      </c>
      <c r="E9" s="179">
        <v>5.3010000000000002</v>
      </c>
      <c r="F9" s="153"/>
      <c r="G9" s="148"/>
      <c r="H9" s="163">
        <v>50</v>
      </c>
      <c r="I9" s="149">
        <f t="shared" si="2"/>
        <v>1.75</v>
      </c>
      <c r="J9" s="175">
        <f t="shared" si="0"/>
        <v>132890674.46110027</v>
      </c>
      <c r="K9" s="172">
        <f t="shared" si="1"/>
        <v>159468809.35332033</v>
      </c>
      <c r="O9" s="2" t="s">
        <v>298</v>
      </c>
      <c r="P9" s="5">
        <v>0.26400000000000001</v>
      </c>
      <c r="Q9" s="5">
        <v>0.28699999999999998</v>
      </c>
    </row>
    <row r="10" spans="2:18">
      <c r="B10" s="5"/>
      <c r="C10" s="180" t="s">
        <v>209</v>
      </c>
      <c r="D10" s="154" t="s">
        <v>189</v>
      </c>
      <c r="E10" s="177">
        <v>0.13800000000000001</v>
      </c>
      <c r="F10" s="159">
        <f>1+SUM(E10:E15)</f>
        <v>8.1170000000000009</v>
      </c>
      <c r="G10" s="160" t="s">
        <v>221</v>
      </c>
      <c r="H10" s="163">
        <v>75</v>
      </c>
      <c r="I10" s="149">
        <f t="shared" si="2"/>
        <v>2</v>
      </c>
      <c r="J10" s="175">
        <f t="shared" si="0"/>
        <v>151875056.52697173</v>
      </c>
      <c r="K10" s="172">
        <f t="shared" si="1"/>
        <v>182250067.83236608</v>
      </c>
      <c r="O10" s="2" t="s">
        <v>301</v>
      </c>
      <c r="Q10" s="5">
        <v>0.16700000000000001</v>
      </c>
    </row>
    <row r="11" spans="2:18">
      <c r="C11" s="148"/>
      <c r="D11" s="148" t="s">
        <v>190</v>
      </c>
      <c r="E11" s="181">
        <v>1.65</v>
      </c>
      <c r="F11" s="150"/>
      <c r="G11" s="148"/>
      <c r="H11" s="163">
        <v>100</v>
      </c>
      <c r="I11" s="149">
        <f t="shared" si="2"/>
        <v>2.25</v>
      </c>
      <c r="J11" s="175">
        <f t="shared" si="0"/>
        <v>170859438.5928432</v>
      </c>
      <c r="K11" s="172">
        <f t="shared" si="1"/>
        <v>205031326.31141183</v>
      </c>
      <c r="O11" s="2" t="s">
        <v>304</v>
      </c>
      <c r="Q11" s="74"/>
    </row>
    <row r="12" spans="2:18">
      <c r="C12" s="148"/>
      <c r="D12" s="148" t="s">
        <v>191</v>
      </c>
      <c r="E12" s="177">
        <v>1.1040000000000001</v>
      </c>
      <c r="F12" s="150"/>
      <c r="G12" s="148"/>
      <c r="H12" s="163">
        <v>125</v>
      </c>
      <c r="I12" s="149">
        <f t="shared" si="2"/>
        <v>2.5</v>
      </c>
      <c r="J12" s="175">
        <f t="shared" si="0"/>
        <v>189843820.65871465</v>
      </c>
      <c r="K12" s="172">
        <f t="shared" si="1"/>
        <v>227812584.79045761</v>
      </c>
      <c r="O12" s="2" t="s">
        <v>302</v>
      </c>
      <c r="P12" s="2">
        <f>(1-P7)*(1-P8)*(1-P10)*(1-P11)</f>
        <v>0.66355799999999998</v>
      </c>
      <c r="Q12" s="2">
        <f>(1-Q7)*(1-Q8)*(1-Q10)*(1-Q11)</f>
        <v>0.54715938200000003</v>
      </c>
      <c r="R12" s="2">
        <f>P12/Q12</f>
        <v>1.2127325635439803</v>
      </c>
    </row>
    <row r="13" spans="2:18">
      <c r="C13" s="148"/>
      <c r="D13" s="148" t="s">
        <v>192</v>
      </c>
      <c r="E13" s="177">
        <v>1.3</v>
      </c>
      <c r="F13" s="150"/>
      <c r="G13" s="148"/>
      <c r="H13" s="163">
        <v>150</v>
      </c>
      <c r="I13" s="149">
        <f t="shared" si="2"/>
        <v>2.75</v>
      </c>
      <c r="J13" s="175">
        <f t="shared" si="0"/>
        <v>208828202.72458613</v>
      </c>
      <c r="K13" s="172">
        <f t="shared" si="1"/>
        <v>250593843.26950336</v>
      </c>
      <c r="O13" s="2" t="s">
        <v>303</v>
      </c>
      <c r="P13" s="2">
        <f>(1-P7)*(1-P9)*(1-P10)*(1-P11)</f>
        <v>0.62854399999999999</v>
      </c>
      <c r="Q13" s="2">
        <f>(1-Q7)*(1-Q9)*(1-Q10)*(1-Q11)</f>
        <v>0.48583392200000008</v>
      </c>
      <c r="R13" s="2">
        <f>P13/Q13</f>
        <v>1.2937425147517794</v>
      </c>
    </row>
    <row r="14" spans="2:18">
      <c r="C14" s="148"/>
      <c r="D14" s="148" t="s">
        <v>193</v>
      </c>
      <c r="E14" s="177">
        <v>0.95799999999999996</v>
      </c>
      <c r="F14" s="150"/>
      <c r="G14" s="148"/>
      <c r="H14" s="163">
        <v>175</v>
      </c>
      <c r="I14" s="149">
        <f t="shared" si="2"/>
        <v>3</v>
      </c>
      <c r="J14" s="175">
        <f t="shared" si="0"/>
        <v>227812584.79045761</v>
      </c>
      <c r="K14" s="172">
        <f t="shared" si="1"/>
        <v>273375101.7485491</v>
      </c>
    </row>
    <row r="15" spans="2:18">
      <c r="C15" s="151"/>
      <c r="D15" s="151" t="s">
        <v>194</v>
      </c>
      <c r="E15" s="179">
        <v>1.9670000000000001</v>
      </c>
      <c r="F15" s="153"/>
      <c r="G15" s="148"/>
      <c r="H15" s="163">
        <v>200</v>
      </c>
      <c r="I15" s="149">
        <f t="shared" si="2"/>
        <v>3.25</v>
      </c>
      <c r="J15" s="175">
        <f t="shared" si="0"/>
        <v>246796966.85632905</v>
      </c>
      <c r="K15" s="172">
        <f t="shared" si="1"/>
        <v>296156360.22759485</v>
      </c>
    </row>
    <row r="16" spans="2:18">
      <c r="B16" s="148" t="s">
        <v>233</v>
      </c>
      <c r="C16" s="162" t="s">
        <v>210</v>
      </c>
      <c r="D16" s="151" t="s">
        <v>195</v>
      </c>
      <c r="E16" s="179">
        <v>2.8069999999999999</v>
      </c>
      <c r="F16" s="153">
        <f>E16</f>
        <v>2.8069999999999999</v>
      </c>
      <c r="G16" s="148"/>
      <c r="H16" s="163">
        <v>225</v>
      </c>
      <c r="I16" s="149">
        <f t="shared" si="2"/>
        <v>3.5</v>
      </c>
      <c r="J16" s="175">
        <f t="shared" si="0"/>
        <v>265781348.92220053</v>
      </c>
      <c r="K16" s="172">
        <f t="shared" si="1"/>
        <v>318937618.70664066</v>
      </c>
    </row>
    <row r="17" spans="3:27">
      <c r="C17" s="157" t="s">
        <v>197</v>
      </c>
      <c r="D17" s="148" t="s">
        <v>198</v>
      </c>
      <c r="E17" s="181">
        <v>0.9</v>
      </c>
      <c r="F17" s="159">
        <f>E17*E18*E19*E20*E21*E22*E23</f>
        <v>6.1077679992000018</v>
      </c>
      <c r="G17" s="160" t="s">
        <v>222</v>
      </c>
      <c r="H17" s="163">
        <v>250</v>
      </c>
      <c r="I17" s="149">
        <f t="shared" si="2"/>
        <v>3.75</v>
      </c>
      <c r="J17" s="175">
        <f t="shared" si="0"/>
        <v>284765730.98807198</v>
      </c>
      <c r="K17" s="172">
        <f t="shared" si="1"/>
        <v>341718877.18568641</v>
      </c>
    </row>
    <row r="18" spans="3:27">
      <c r="C18" s="178" t="s">
        <v>228</v>
      </c>
      <c r="D18" s="148" t="s">
        <v>199</v>
      </c>
      <c r="E18" s="181">
        <v>3</v>
      </c>
      <c r="F18" s="158" t="s">
        <v>226</v>
      </c>
      <c r="G18" s="148"/>
      <c r="H18" s="163">
        <v>275</v>
      </c>
      <c r="I18" s="149">
        <f t="shared" si="2"/>
        <v>4</v>
      </c>
      <c r="J18" s="175">
        <f t="shared" si="0"/>
        <v>303750113.05394346</v>
      </c>
      <c r="K18" s="172">
        <f t="shared" si="1"/>
        <v>364500135.66473216</v>
      </c>
    </row>
    <row r="19" spans="3:27">
      <c r="C19" s="182" t="s">
        <v>229</v>
      </c>
      <c r="D19" s="148" t="s">
        <v>200</v>
      </c>
      <c r="E19" s="181">
        <v>1.31</v>
      </c>
      <c r="F19" s="150"/>
      <c r="G19" s="148"/>
      <c r="H19" s="163">
        <v>300</v>
      </c>
      <c r="I19" s="149">
        <f t="shared" si="2"/>
        <v>4.25</v>
      </c>
      <c r="J19" s="175">
        <f t="shared" si="0"/>
        <v>322734495.11981493</v>
      </c>
      <c r="K19" s="172">
        <f t="shared" si="1"/>
        <v>387281394.14377791</v>
      </c>
    </row>
    <row r="20" spans="3:27">
      <c r="C20" s="182" t="s">
        <v>230</v>
      </c>
      <c r="D20" s="148" t="s">
        <v>201</v>
      </c>
      <c r="E20" s="181">
        <v>1.0900000000000001</v>
      </c>
      <c r="F20" s="150"/>
      <c r="G20" s="148"/>
      <c r="H20" s="163">
        <v>325</v>
      </c>
      <c r="I20" s="149">
        <f t="shared" si="2"/>
        <v>4.5</v>
      </c>
      <c r="J20" s="175">
        <f t="shared" si="0"/>
        <v>341718877.18568641</v>
      </c>
      <c r="K20" s="172">
        <f t="shared" si="1"/>
        <v>410062652.62282366</v>
      </c>
      <c r="Y20" s="5"/>
      <c r="Z20" s="5"/>
      <c r="AA20" s="5"/>
    </row>
    <row r="21" spans="3:27">
      <c r="C21" s="148"/>
      <c r="D21" s="148" t="s">
        <v>202</v>
      </c>
      <c r="E21" s="181">
        <v>1.23</v>
      </c>
      <c r="F21" s="150"/>
      <c r="G21" s="148"/>
      <c r="H21" s="163">
        <v>350</v>
      </c>
      <c r="I21" s="149">
        <f t="shared" si="2"/>
        <v>4.75</v>
      </c>
      <c r="J21" s="175">
        <f t="shared" si="0"/>
        <v>360703259.25155783</v>
      </c>
      <c r="K21" s="172">
        <f t="shared" si="1"/>
        <v>432843911.10186946</v>
      </c>
    </row>
    <row r="22" spans="3:27">
      <c r="C22" s="148"/>
      <c r="D22" s="148" t="s">
        <v>203</v>
      </c>
      <c r="E22" s="181">
        <v>1.1499999999999999</v>
      </c>
      <c r="F22" s="150"/>
      <c r="G22" s="148"/>
      <c r="H22" s="163">
        <v>375</v>
      </c>
      <c r="I22" s="149">
        <f t="shared" si="2"/>
        <v>5</v>
      </c>
      <c r="J22" s="175">
        <f t="shared" si="0"/>
        <v>379687641.3174293</v>
      </c>
      <c r="K22" s="172">
        <f t="shared" si="1"/>
        <v>455625169.58091521</v>
      </c>
    </row>
    <row r="23" spans="3:27">
      <c r="C23" s="151"/>
      <c r="D23" s="151" t="s">
        <v>204</v>
      </c>
      <c r="E23" s="183">
        <v>1.1200000000000001</v>
      </c>
      <c r="F23" s="153"/>
      <c r="G23" s="148"/>
      <c r="H23" s="163">
        <v>400</v>
      </c>
      <c r="I23" s="149">
        <f t="shared" si="2"/>
        <v>5.25</v>
      </c>
      <c r="J23" s="175">
        <f t="shared" si="0"/>
        <v>398672023.38330078</v>
      </c>
      <c r="K23" s="172">
        <f t="shared" si="1"/>
        <v>478406428.05996096</v>
      </c>
    </row>
    <row r="24" spans="3:27">
      <c r="C24" s="157" t="s">
        <v>234</v>
      </c>
      <c r="D24" s="148" t="s">
        <v>205</v>
      </c>
      <c r="E24" s="181">
        <v>1.3</v>
      </c>
      <c r="F24" s="159" t="s">
        <v>225</v>
      </c>
      <c r="G24" s="157"/>
      <c r="H24" s="163">
        <v>425</v>
      </c>
      <c r="I24" s="149">
        <f t="shared" si="2"/>
        <v>5.5</v>
      </c>
      <c r="J24" s="175">
        <f t="shared" si="0"/>
        <v>417656405.44917226</v>
      </c>
      <c r="K24" s="172">
        <f t="shared" si="1"/>
        <v>501187686.53900671</v>
      </c>
    </row>
    <row r="25" spans="3:27">
      <c r="C25" s="184" t="s">
        <v>223</v>
      </c>
      <c r="D25" s="148" t="s">
        <v>212</v>
      </c>
      <c r="E25" s="181">
        <v>1.5</v>
      </c>
      <c r="F25" s="159">
        <f>E24*E25*E26*E27*E28</f>
        <v>4.6800000000000006</v>
      </c>
      <c r="G25" s="160" t="s">
        <v>223</v>
      </c>
      <c r="H25" s="163">
        <v>450</v>
      </c>
      <c r="I25" s="149">
        <f t="shared" si="2"/>
        <v>5.75</v>
      </c>
      <c r="J25" s="175">
        <f t="shared" si="0"/>
        <v>436640787.51504374</v>
      </c>
      <c r="K25" s="172">
        <f t="shared" si="1"/>
        <v>523968945.01805246</v>
      </c>
    </row>
    <row r="26" spans="3:27">
      <c r="C26" s="178" t="s">
        <v>228</v>
      </c>
      <c r="D26" s="148" t="s">
        <v>206</v>
      </c>
      <c r="E26" s="181">
        <v>1.6</v>
      </c>
      <c r="F26" s="159" t="s">
        <v>211</v>
      </c>
      <c r="G26" s="157"/>
      <c r="H26" s="163">
        <v>475</v>
      </c>
      <c r="I26" s="149">
        <f t="shared" si="2"/>
        <v>6</v>
      </c>
      <c r="J26" s="175">
        <f t="shared" si="0"/>
        <v>455625169.58091521</v>
      </c>
      <c r="K26" s="172">
        <f t="shared" si="1"/>
        <v>546750203.49709821</v>
      </c>
    </row>
    <row r="27" spans="3:27">
      <c r="C27" s="182" t="s">
        <v>229</v>
      </c>
      <c r="D27" s="148" t="s">
        <v>207</v>
      </c>
      <c r="E27" s="181">
        <v>1.2</v>
      </c>
      <c r="F27" s="159">
        <f>E24*E26*E27*E28*E29</f>
        <v>5.6160000000000005</v>
      </c>
      <c r="G27" s="160" t="s">
        <v>224</v>
      </c>
      <c r="H27" s="163">
        <v>500</v>
      </c>
      <c r="I27" s="149">
        <f t="shared" si="2"/>
        <v>6.25</v>
      </c>
      <c r="J27" s="175">
        <f t="shared" si="0"/>
        <v>474609551.64678663</v>
      </c>
      <c r="K27" s="172">
        <f t="shared" si="1"/>
        <v>569531461.97614396</v>
      </c>
    </row>
    <row r="28" spans="3:27">
      <c r="C28" s="182" t="s">
        <v>230</v>
      </c>
      <c r="D28" s="148" t="s">
        <v>208</v>
      </c>
      <c r="E28" s="181">
        <v>1.25</v>
      </c>
      <c r="F28" s="150"/>
      <c r="G28" s="148"/>
      <c r="H28" s="148"/>
      <c r="I28" s="148"/>
      <c r="J28" s="148"/>
      <c r="K28" s="148"/>
    </row>
    <row r="29" spans="3:27">
      <c r="C29" s="184" t="s">
        <v>224</v>
      </c>
      <c r="D29" s="148" t="s">
        <v>213</v>
      </c>
      <c r="E29" s="181">
        <v>1.8</v>
      </c>
      <c r="F29" s="150"/>
      <c r="G29" s="148"/>
      <c r="H29" s="148"/>
      <c r="I29" s="148"/>
      <c r="J29" s="148"/>
      <c r="K29" s="148"/>
    </row>
  </sheetData>
  <phoneticPr fontId="2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E06FC-2ADD-4F40-988B-3B1A095DB3C0}">
  <dimension ref="A2:O60"/>
  <sheetViews>
    <sheetView showGridLines="0" zoomScale="85" zoomScaleNormal="85" workbookViewId="0">
      <selection activeCell="O21" sqref="O21"/>
    </sheetView>
  </sheetViews>
  <sheetFormatPr defaultRowHeight="16.5"/>
  <cols>
    <col min="2" max="2" width="15.375" customWidth="1"/>
    <col min="3" max="3" width="13.625" bestFit="1" customWidth="1"/>
    <col min="4" max="4" width="15.375" bestFit="1" customWidth="1"/>
    <col min="5" max="5" width="13.625" bestFit="1" customWidth="1"/>
    <col min="6" max="8" width="11.5" bestFit="1" customWidth="1"/>
    <col min="9" max="11" width="11.5" customWidth="1"/>
    <col min="12" max="14" width="6.625" customWidth="1"/>
    <col min="15" max="15" width="19.25" bestFit="1" customWidth="1"/>
    <col min="17" max="17" width="9" customWidth="1"/>
  </cols>
  <sheetData>
    <row r="2" spans="1:15" ht="20.25">
      <c r="A2" s="538" t="s">
        <v>618</v>
      </c>
    </row>
    <row r="3" spans="1:15" ht="17.25" thickBot="1">
      <c r="B3" s="522" t="s">
        <v>607</v>
      </c>
      <c r="C3" s="522" t="s">
        <v>629</v>
      </c>
      <c r="D3" s="522" t="s">
        <v>608</v>
      </c>
    </row>
    <row r="4" spans="1:15">
      <c r="B4" s="520">
        <v>5</v>
      </c>
      <c r="C4" s="520">
        <v>10</v>
      </c>
      <c r="D4" s="521">
        <v>1100000000</v>
      </c>
    </row>
    <row r="5" spans="1:15">
      <c r="B5" s="520">
        <v>2</v>
      </c>
      <c r="C5" s="520">
        <v>5</v>
      </c>
      <c r="D5" s="521">
        <v>5000000</v>
      </c>
    </row>
    <row r="6" spans="1:15">
      <c r="B6" s="520" t="s">
        <v>609</v>
      </c>
      <c r="C6" s="520">
        <v>1</v>
      </c>
      <c r="D6" s="521">
        <v>8000000</v>
      </c>
    </row>
    <row r="7" spans="1:15">
      <c r="B7" s="520" t="s">
        <v>621</v>
      </c>
      <c r="C7" s="520" t="s">
        <v>610</v>
      </c>
      <c r="D7" s="521" t="s">
        <v>610</v>
      </c>
    </row>
    <row r="9" spans="1:15">
      <c r="L9" t="s">
        <v>641</v>
      </c>
    </row>
    <row r="10" spans="1:15" ht="20.25">
      <c r="A10" s="538" t="s">
        <v>640</v>
      </c>
    </row>
    <row r="11" spans="1:15" ht="20.25">
      <c r="A11" s="538"/>
      <c r="B11" s="611" t="s">
        <v>643</v>
      </c>
      <c r="C11" s="611"/>
      <c r="D11" s="611"/>
      <c r="E11" s="612"/>
      <c r="F11" s="613" t="s">
        <v>628</v>
      </c>
      <c r="G11" s="614"/>
      <c r="H11" s="615"/>
      <c r="I11" s="613" t="s">
        <v>627</v>
      </c>
      <c r="J11" s="614"/>
      <c r="K11" s="615"/>
      <c r="L11" s="613" t="s">
        <v>644</v>
      </c>
      <c r="M11" s="614"/>
      <c r="N11" s="614"/>
      <c r="O11" s="541" t="s">
        <v>646</v>
      </c>
    </row>
    <row r="12" spans="1:15" ht="17.25" thickBot="1">
      <c r="B12" s="522" t="s">
        <v>629</v>
      </c>
      <c r="C12" s="522" t="s">
        <v>630</v>
      </c>
      <c r="D12" s="522" t="s">
        <v>631</v>
      </c>
      <c r="E12" s="523" t="s">
        <v>616</v>
      </c>
      <c r="F12" s="536" t="s">
        <v>613</v>
      </c>
      <c r="G12" s="522" t="s">
        <v>611</v>
      </c>
      <c r="H12" s="522" t="s">
        <v>614</v>
      </c>
      <c r="I12" s="537">
        <v>0.95</v>
      </c>
      <c r="J12" s="533">
        <v>0.02</v>
      </c>
      <c r="K12" s="533">
        <v>0.03</v>
      </c>
      <c r="L12" s="536" t="s">
        <v>613</v>
      </c>
      <c r="M12" s="522" t="s">
        <v>611</v>
      </c>
      <c r="N12" s="522" t="s">
        <v>614</v>
      </c>
      <c r="O12" s="536"/>
    </row>
    <row r="13" spans="1:15">
      <c r="B13" s="520">
        <v>10</v>
      </c>
      <c r="C13" s="520">
        <v>2</v>
      </c>
      <c r="D13" s="524">
        <v>0.2</v>
      </c>
      <c r="E13" s="521">
        <f>$D$4*D13</f>
        <v>220000000</v>
      </c>
      <c r="F13" s="542">
        <f>$D$36*D13</f>
        <v>5040000.0000000009</v>
      </c>
      <c r="G13" s="521">
        <f>$D$37*D13</f>
        <v>6480000</v>
      </c>
      <c r="H13" s="521">
        <f>$D$38*D13</f>
        <v>6480000</v>
      </c>
      <c r="I13" s="542"/>
      <c r="J13" s="543"/>
      <c r="K13" s="521"/>
      <c r="L13" s="544">
        <f>SUM($E13,F13,$I13:$K13)/SUM($E$13:F$17,$I$13:$K$17)</f>
        <v>0.2</v>
      </c>
      <c r="M13" s="545">
        <f>SUM($E13,G13,$I13:$K13)/SUM($E$13:G$17,$I$13:$K$17)</f>
        <v>0.19564616447823083</v>
      </c>
      <c r="N13" s="545">
        <f>SUM($E13,H13,$I13:$K13)/SUM($E$13:H$17,$I$13:$K$17)</f>
        <v>0.19031932773109245</v>
      </c>
      <c r="O13" s="544"/>
    </row>
    <row r="14" spans="1:15">
      <c r="B14" s="520">
        <v>10</v>
      </c>
      <c r="C14" s="520">
        <v>3</v>
      </c>
      <c r="D14" s="524">
        <v>0.27</v>
      </c>
      <c r="E14" s="521">
        <f>$D$4*D14</f>
        <v>297000000</v>
      </c>
      <c r="F14" s="542">
        <f>$D$36*D14</f>
        <v>6804000.0000000019</v>
      </c>
      <c r="G14" s="521">
        <f>$D$37*D14</f>
        <v>8748000</v>
      </c>
      <c r="H14" s="521">
        <f>$D$38*D14</f>
        <v>8748000</v>
      </c>
      <c r="I14" s="542"/>
      <c r="J14" s="543"/>
      <c r="K14" s="521"/>
      <c r="L14" s="546">
        <f>SUM($E14,F14,$I14:$K14)/SUM($E$13:F$17,$I$13:$K$17)</f>
        <v>0.27</v>
      </c>
      <c r="M14" s="547">
        <f>SUM($E14,G14,$I14:$K14)/SUM($E$13:G$17,$I$13:$K$17)</f>
        <v>0.26412232204561159</v>
      </c>
      <c r="N14" s="547">
        <f>SUM($E14,H14,$I14:$K14)/SUM($E$13:H$17,$I$13:$K$17)</f>
        <v>0.25693109243697482</v>
      </c>
      <c r="O14" s="546"/>
    </row>
    <row r="15" spans="1:15">
      <c r="B15" s="520">
        <v>10</v>
      </c>
      <c r="C15" s="520">
        <v>4</v>
      </c>
      <c r="D15" s="524">
        <v>0.28999999999999998</v>
      </c>
      <c r="E15" s="521">
        <f>$D$4*D15</f>
        <v>319000000</v>
      </c>
      <c r="F15" s="542">
        <f>$D$36*D15</f>
        <v>7308000.0000000009</v>
      </c>
      <c r="G15" s="521">
        <f>$D$37*D15</f>
        <v>9396000</v>
      </c>
      <c r="H15" s="521">
        <f>$D$38*D15</f>
        <v>9396000</v>
      </c>
      <c r="I15" s="542"/>
      <c r="J15" s="543"/>
      <c r="K15" s="521"/>
      <c r="L15" s="546">
        <f>SUM($E15,F15,$I15:$K15)/SUM($E$13:F$17,$I$13:$K$17)</f>
        <v>0.28999999999999998</v>
      </c>
      <c r="M15" s="547">
        <f>SUM($E15,G15,$I15:$K15)/SUM($E$13:G$17,$I$13:$K$17)</f>
        <v>0.28368693849343468</v>
      </c>
      <c r="N15" s="547">
        <f>SUM($E15,H15,$I15:$K15)/SUM($E$13:H$17,$I$13:$K$17)</f>
        <v>0.27596302521008403</v>
      </c>
      <c r="O15" s="546"/>
    </row>
    <row r="16" spans="1:15">
      <c r="B16" s="520">
        <v>10</v>
      </c>
      <c r="C16" s="520">
        <v>5</v>
      </c>
      <c r="D16" s="524">
        <v>0.1</v>
      </c>
      <c r="E16" s="521">
        <f>$D$4*D16</f>
        <v>110000000</v>
      </c>
      <c r="F16" s="542">
        <f>$D$36*D16</f>
        <v>2520000.0000000005</v>
      </c>
      <c r="G16" s="521">
        <f>$D$37*D16</f>
        <v>3240000</v>
      </c>
      <c r="H16" s="521">
        <f>$D$38*D16</f>
        <v>3240000</v>
      </c>
      <c r="I16" s="542"/>
      <c r="J16" s="543"/>
      <c r="K16" s="521"/>
      <c r="L16" s="546">
        <f>SUM($E16,F16,$I16:$K16)/SUM($E$13:F$17,$I$13:$K$17)</f>
        <v>0.1</v>
      </c>
      <c r="M16" s="547">
        <f>SUM($E16,G16,$I16:$K16)/SUM($E$13:G$17,$I$13:$K$17)</f>
        <v>9.7823082239115414E-2</v>
      </c>
      <c r="N16" s="547">
        <f>SUM($E16,H16,$I16:$K16)/SUM($E$13:H$17,$I$13:$K$17)</f>
        <v>9.5159663865546223E-2</v>
      </c>
      <c r="O16" s="546"/>
    </row>
    <row r="17" spans="2:15">
      <c r="B17" s="527">
        <v>10</v>
      </c>
      <c r="C17" s="527">
        <v>6</v>
      </c>
      <c r="D17" s="528">
        <v>0.14000000000000001</v>
      </c>
      <c r="E17" s="529">
        <f>$D$4*D17</f>
        <v>154000000</v>
      </c>
      <c r="F17" s="548">
        <f>$D$36*D17</f>
        <v>3528000.0000000009</v>
      </c>
      <c r="G17" s="529">
        <f>$D$37*D17</f>
        <v>4536000</v>
      </c>
      <c r="H17" s="529">
        <f>$D$38*D17</f>
        <v>4536000</v>
      </c>
      <c r="I17" s="548"/>
      <c r="J17" s="529"/>
      <c r="K17" s="529"/>
      <c r="L17" s="549">
        <f>SUM($E17,F17,$I17:$K17)/SUM($E$13:F$17,$I$13:$K$17)</f>
        <v>0.14000000000000001</v>
      </c>
      <c r="M17" s="550">
        <f>SUM($E17,G17,$I17:$K17)/SUM($E$13:G$17,$I$13:$K$17)</f>
        <v>0.13695231513476158</v>
      </c>
      <c r="N17" s="550">
        <f>SUM($E17,H17,$I17:$K17)/SUM($E$13:H$17,$I$13:$K$17)</f>
        <v>0.13322352941176471</v>
      </c>
      <c r="O17" s="549"/>
    </row>
    <row r="18" spans="2:15">
      <c r="B18" s="520">
        <v>5</v>
      </c>
      <c r="C18" s="520">
        <v>4</v>
      </c>
      <c r="D18" s="524">
        <v>0.35</v>
      </c>
      <c r="E18" s="521">
        <f>D18*$D$5</f>
        <v>1750000</v>
      </c>
      <c r="F18" s="542"/>
      <c r="G18" s="521"/>
      <c r="H18" s="521"/>
      <c r="I18" s="542"/>
      <c r="J18" s="543"/>
      <c r="K18" s="521"/>
      <c r="L18" s="551"/>
      <c r="M18" s="552"/>
      <c r="N18" s="552"/>
      <c r="O18" s="551"/>
    </row>
    <row r="19" spans="2:15">
      <c r="B19" s="527">
        <v>5</v>
      </c>
      <c r="C19" s="527">
        <v>7</v>
      </c>
      <c r="D19" s="528">
        <v>0.65</v>
      </c>
      <c r="E19" s="529">
        <f>D19*$D$5</f>
        <v>3250000</v>
      </c>
      <c r="F19" s="548"/>
      <c r="G19" s="529"/>
      <c r="H19" s="529"/>
      <c r="I19" s="548">
        <f>C42*D44</f>
        <v>23750000</v>
      </c>
      <c r="J19" s="529"/>
      <c r="K19" s="529"/>
      <c r="L19" s="553"/>
      <c r="M19" s="527"/>
      <c r="N19" s="527"/>
      <c r="O19" s="553"/>
    </row>
    <row r="20" spans="2:15">
      <c r="B20" s="520">
        <v>1</v>
      </c>
      <c r="C20" s="520">
        <v>1</v>
      </c>
      <c r="D20" s="524" t="s">
        <v>642</v>
      </c>
      <c r="E20" s="521">
        <v>800000</v>
      </c>
      <c r="F20" s="542"/>
      <c r="G20" s="521"/>
      <c r="H20" s="521"/>
      <c r="I20" s="542"/>
      <c r="J20" s="543">
        <f>$C$42*$D$45/10</f>
        <v>50000.000000000044</v>
      </c>
      <c r="K20" s="521"/>
      <c r="L20" s="554"/>
      <c r="M20" s="520"/>
      <c r="N20" s="520"/>
      <c r="O20" s="554"/>
    </row>
    <row r="21" spans="2:15">
      <c r="B21" s="520">
        <v>1</v>
      </c>
      <c r="C21" s="520">
        <v>2</v>
      </c>
      <c r="D21" s="524" t="s">
        <v>642</v>
      </c>
      <c r="E21" s="521">
        <v>800000</v>
      </c>
      <c r="F21" s="542"/>
      <c r="G21" s="521"/>
      <c r="H21" s="521"/>
      <c r="I21" s="542"/>
      <c r="J21" s="543">
        <f>$C$42*$D$45/10</f>
        <v>50000.000000000044</v>
      </c>
      <c r="K21" s="521"/>
      <c r="L21" s="554"/>
      <c r="M21" s="520"/>
      <c r="N21" s="520"/>
      <c r="O21" s="554"/>
    </row>
    <row r="22" spans="2:15">
      <c r="B22" s="520">
        <v>1</v>
      </c>
      <c r="C22" s="520">
        <v>3</v>
      </c>
      <c r="D22" s="524" t="s">
        <v>642</v>
      </c>
      <c r="E22" s="521">
        <v>800000</v>
      </c>
      <c r="F22" s="542"/>
      <c r="G22" s="521"/>
      <c r="H22" s="521"/>
      <c r="I22" s="542"/>
      <c r="J22" s="543">
        <f>$C$42*$D$45/10</f>
        <v>50000.000000000044</v>
      </c>
      <c r="K22" s="521"/>
      <c r="L22" s="554"/>
      <c r="M22" s="520"/>
      <c r="N22" s="520"/>
      <c r="O22" s="554"/>
    </row>
    <row r="23" spans="2:15">
      <c r="B23" s="520">
        <v>1</v>
      </c>
      <c r="C23" s="520">
        <v>4</v>
      </c>
      <c r="D23" s="524" t="s">
        <v>642</v>
      </c>
      <c r="E23" s="521">
        <v>800000</v>
      </c>
      <c r="F23" s="542"/>
      <c r="G23" s="521"/>
      <c r="H23" s="521"/>
      <c r="I23" s="542"/>
      <c r="J23" s="543">
        <f t="shared" ref="J23:J29" si="0">$C$42*$D$45/10</f>
        <v>50000.000000000044</v>
      </c>
      <c r="K23" s="521"/>
      <c r="L23" s="554"/>
      <c r="M23" s="520"/>
      <c r="N23" s="520"/>
      <c r="O23" s="554"/>
    </row>
    <row r="24" spans="2:15">
      <c r="B24" s="520">
        <v>1</v>
      </c>
      <c r="C24" s="520">
        <v>5</v>
      </c>
      <c r="D24" s="524" t="s">
        <v>642</v>
      </c>
      <c r="E24" s="521">
        <v>800000</v>
      </c>
      <c r="F24" s="542"/>
      <c r="G24" s="521"/>
      <c r="H24" s="521"/>
      <c r="I24" s="542"/>
      <c r="J24" s="543">
        <f t="shared" si="0"/>
        <v>50000.000000000044</v>
      </c>
      <c r="K24" s="521"/>
      <c r="L24" s="554"/>
      <c r="M24" s="520"/>
      <c r="N24" s="520"/>
      <c r="O24" s="554"/>
    </row>
    <row r="25" spans="2:15">
      <c r="B25" s="520">
        <v>1</v>
      </c>
      <c r="C25" s="520">
        <v>6</v>
      </c>
      <c r="D25" s="524" t="s">
        <v>642</v>
      </c>
      <c r="E25" s="521">
        <v>800000</v>
      </c>
      <c r="F25" s="542"/>
      <c r="G25" s="521"/>
      <c r="H25" s="521"/>
      <c r="I25" s="542"/>
      <c r="J25" s="543">
        <f t="shared" si="0"/>
        <v>50000.000000000044</v>
      </c>
      <c r="K25" s="521"/>
      <c r="L25" s="554"/>
      <c r="M25" s="520"/>
      <c r="N25" s="520"/>
      <c r="O25" s="554"/>
    </row>
    <row r="26" spans="2:15">
      <c r="B26" s="520">
        <v>1</v>
      </c>
      <c r="C26" s="520">
        <v>7</v>
      </c>
      <c r="D26" s="524" t="s">
        <v>642</v>
      </c>
      <c r="E26" s="521">
        <v>800000</v>
      </c>
      <c r="F26" s="542"/>
      <c r="G26" s="521"/>
      <c r="H26" s="521"/>
      <c r="I26" s="542"/>
      <c r="J26" s="543">
        <f t="shared" si="0"/>
        <v>50000.000000000044</v>
      </c>
      <c r="K26" s="521"/>
      <c r="L26" s="554"/>
      <c r="M26" s="520"/>
      <c r="N26" s="520"/>
      <c r="O26" s="554"/>
    </row>
    <row r="27" spans="2:15">
      <c r="B27" s="520">
        <v>1</v>
      </c>
      <c r="C27" s="520">
        <v>8</v>
      </c>
      <c r="D27" s="524" t="s">
        <v>642</v>
      </c>
      <c r="E27" s="521">
        <v>800000</v>
      </c>
      <c r="F27" s="542"/>
      <c r="G27" s="521"/>
      <c r="H27" s="521"/>
      <c r="I27" s="542"/>
      <c r="J27" s="543">
        <f t="shared" si="0"/>
        <v>50000.000000000044</v>
      </c>
      <c r="K27" s="521"/>
      <c r="L27" s="554"/>
      <c r="M27" s="520"/>
      <c r="N27" s="520"/>
      <c r="O27" s="554"/>
    </row>
    <row r="28" spans="2:15">
      <c r="B28" s="520">
        <v>1</v>
      </c>
      <c r="C28" s="520">
        <v>9</v>
      </c>
      <c r="D28" s="524" t="s">
        <v>642</v>
      </c>
      <c r="E28" s="521">
        <v>800000</v>
      </c>
      <c r="F28" s="542"/>
      <c r="G28" s="521"/>
      <c r="H28" s="521"/>
      <c r="I28" s="542"/>
      <c r="J28" s="543">
        <f t="shared" si="0"/>
        <v>50000.000000000044</v>
      </c>
      <c r="K28" s="521"/>
      <c r="L28" s="554"/>
      <c r="M28" s="520"/>
      <c r="N28" s="520"/>
      <c r="O28" s="554"/>
    </row>
    <row r="29" spans="2:15">
      <c r="B29" s="520">
        <v>1</v>
      </c>
      <c r="C29" s="520">
        <v>10</v>
      </c>
      <c r="D29" s="524" t="s">
        <v>642</v>
      </c>
      <c r="E29" s="521">
        <v>800000</v>
      </c>
      <c r="F29" s="542"/>
      <c r="G29" s="521"/>
      <c r="H29" s="521"/>
      <c r="I29" s="542"/>
      <c r="J29" s="543">
        <f t="shared" si="0"/>
        <v>50000.000000000044</v>
      </c>
      <c r="K29" s="521"/>
      <c r="L29" s="554"/>
      <c r="M29" s="520"/>
      <c r="N29" s="520"/>
      <c r="O29" s="554"/>
    </row>
    <row r="30" spans="2:15">
      <c r="B30" s="519"/>
      <c r="C30" s="519"/>
      <c r="D30" s="534"/>
      <c r="F30" s="519"/>
      <c r="G30" s="519"/>
      <c r="H30" s="534"/>
    </row>
    <row r="31" spans="2:15">
      <c r="B31" s="519"/>
      <c r="C31" s="519"/>
      <c r="D31" s="534"/>
      <c r="F31" s="519"/>
      <c r="G31" s="519"/>
      <c r="H31" s="534"/>
    </row>
    <row r="32" spans="2:15">
      <c r="B32" s="519"/>
      <c r="C32" s="519"/>
      <c r="D32" s="534"/>
      <c r="F32" s="519"/>
      <c r="G32" s="519"/>
      <c r="H32" s="534"/>
    </row>
    <row r="33" spans="1:11">
      <c r="B33" s="519"/>
      <c r="C33" s="519"/>
      <c r="D33" s="534"/>
      <c r="F33" s="519"/>
      <c r="G33" s="519"/>
      <c r="H33" s="534"/>
    </row>
    <row r="34" spans="1:11" ht="20.25">
      <c r="A34" s="538" t="s">
        <v>619</v>
      </c>
    </row>
    <row r="35" spans="1:11" ht="17.25" thickBot="1">
      <c r="B35" s="526" t="s">
        <v>617</v>
      </c>
      <c r="C35" s="522" t="s">
        <v>612</v>
      </c>
      <c r="D35" s="522" t="s">
        <v>616</v>
      </c>
    </row>
    <row r="36" spans="1:11">
      <c r="B36" s="520" t="s">
        <v>613</v>
      </c>
      <c r="C36" s="524">
        <v>0.28000000000000003</v>
      </c>
      <c r="D36" s="521">
        <f>90000000*C36</f>
        <v>25200000.000000004</v>
      </c>
    </row>
    <row r="37" spans="1:11">
      <c r="B37" s="520" t="s">
        <v>611</v>
      </c>
      <c r="C37" s="524">
        <f>(1-C36)/2</f>
        <v>0.36</v>
      </c>
      <c r="D37" s="521">
        <f>90000000*C37</f>
        <v>32400000</v>
      </c>
    </row>
    <row r="38" spans="1:11">
      <c r="B38" s="520" t="s">
        <v>614</v>
      </c>
      <c r="C38" s="525">
        <f>(1-C36)/2</f>
        <v>0.36</v>
      </c>
      <c r="D38" s="521">
        <f>90000000*C38</f>
        <v>32400000</v>
      </c>
    </row>
    <row r="40" spans="1:11" ht="20.25">
      <c r="A40" s="538" t="s">
        <v>620</v>
      </c>
    </row>
    <row r="42" spans="1:11">
      <c r="B42" t="s">
        <v>622</v>
      </c>
      <c r="C42" s="517">
        <v>25000000</v>
      </c>
    </row>
    <row r="43" spans="1:11">
      <c r="B43" t="s">
        <v>623</v>
      </c>
    </row>
    <row r="44" spans="1:11">
      <c r="B44" s="531" t="s">
        <v>626</v>
      </c>
      <c r="C44" s="532"/>
      <c r="D44" s="530">
        <v>0.95</v>
      </c>
    </row>
    <row r="45" spans="1:11">
      <c r="B45" s="531" t="s">
        <v>624</v>
      </c>
      <c r="C45" s="518">
        <v>0.4</v>
      </c>
      <c r="D45" s="530">
        <f>(1-$D$44)*C45</f>
        <v>2.0000000000000018E-2</v>
      </c>
    </row>
    <row r="46" spans="1:11">
      <c r="B46" s="531" t="s">
        <v>625</v>
      </c>
      <c r="C46" s="518">
        <f>1-C45</f>
        <v>0.6</v>
      </c>
      <c r="D46" s="530">
        <f>(1-$D$44)*C46</f>
        <v>3.0000000000000027E-2</v>
      </c>
    </row>
    <row r="48" spans="1:11" ht="17.25" thickBot="1">
      <c r="A48" s="539"/>
      <c r="B48" s="539"/>
      <c r="C48" s="539"/>
      <c r="D48" s="539"/>
      <c r="E48" s="539"/>
      <c r="F48" s="539"/>
      <c r="G48" s="539"/>
      <c r="H48" s="539"/>
      <c r="I48" s="539"/>
      <c r="J48" s="539"/>
      <c r="K48" s="539"/>
    </row>
    <row r="49" spans="1:11" ht="20.25">
      <c r="A49" s="538" t="s">
        <v>632</v>
      </c>
      <c r="B49" s="531" t="s">
        <v>633</v>
      </c>
    </row>
    <row r="50" spans="1:11" ht="17.25" thickBot="1">
      <c r="A50" s="539"/>
      <c r="B50" s="540" t="s">
        <v>634</v>
      </c>
      <c r="C50" s="539"/>
      <c r="D50" s="539"/>
      <c r="E50" s="539"/>
      <c r="F50" s="539"/>
      <c r="G50" s="539"/>
      <c r="H50" s="539"/>
      <c r="I50" s="539"/>
      <c r="J50" s="539"/>
      <c r="K50" s="539"/>
    </row>
    <row r="52" spans="1:11" ht="20.25">
      <c r="A52" s="538" t="s">
        <v>638</v>
      </c>
    </row>
    <row r="53" spans="1:11">
      <c r="B53" s="520" t="s">
        <v>645</v>
      </c>
      <c r="C53" s="520" t="s">
        <v>636</v>
      </c>
      <c r="D53" s="520" t="s">
        <v>635</v>
      </c>
      <c r="E53" s="520" t="s">
        <v>615</v>
      </c>
      <c r="F53" s="520" t="s">
        <v>637</v>
      </c>
    </row>
    <row r="54" spans="1:11">
      <c r="B54">
        <v>2</v>
      </c>
      <c r="C54" s="535">
        <v>220000000</v>
      </c>
      <c r="D54" s="535">
        <v>5040000.0000000009</v>
      </c>
      <c r="E54" s="535">
        <f>C54+D54</f>
        <v>225040000</v>
      </c>
      <c r="F54" s="534">
        <f>E54/SUM($E$54:$E$58)</f>
        <v>0.2</v>
      </c>
    </row>
    <row r="55" spans="1:11">
      <c r="B55">
        <v>3</v>
      </c>
      <c r="C55" s="535">
        <v>297000000</v>
      </c>
      <c r="D55" s="535">
        <v>6804000.0000000019</v>
      </c>
      <c r="E55" s="535">
        <f>C55+D55</f>
        <v>303804000</v>
      </c>
      <c r="F55" s="534">
        <f>E55/SUM($E$54:$E$58)</f>
        <v>0.27</v>
      </c>
    </row>
    <row r="56" spans="1:11">
      <c r="B56">
        <v>4</v>
      </c>
      <c r="C56" s="535">
        <v>319000000</v>
      </c>
      <c r="D56" s="535">
        <v>7308000.0000000009</v>
      </c>
      <c r="E56" s="535">
        <f>C56+D56</f>
        <v>326308000</v>
      </c>
      <c r="F56" s="534">
        <f>E56/SUM($E$54:$E$58)</f>
        <v>0.28999999999999998</v>
      </c>
    </row>
    <row r="57" spans="1:11">
      <c r="B57">
        <v>5</v>
      </c>
      <c r="C57" s="535">
        <v>110000000</v>
      </c>
      <c r="D57" s="535">
        <v>2520000.0000000005</v>
      </c>
      <c r="E57" s="535">
        <f>C57+D57</f>
        <v>112520000</v>
      </c>
      <c r="F57" s="534">
        <f>E57/SUM($E$54:$E$58)</f>
        <v>0.1</v>
      </c>
    </row>
    <row r="58" spans="1:11">
      <c r="B58">
        <v>6</v>
      </c>
      <c r="C58" s="535">
        <v>154000000</v>
      </c>
      <c r="D58" s="535">
        <v>3528000.0000000009</v>
      </c>
      <c r="E58" s="535">
        <f>C58+D58</f>
        <v>157528000</v>
      </c>
      <c r="F58" s="534">
        <f>E58/SUM($E$54:$E$58)</f>
        <v>0.14000000000000001</v>
      </c>
    </row>
    <row r="60" spans="1:11" ht="20.25">
      <c r="A60" s="538" t="s">
        <v>639</v>
      </c>
    </row>
  </sheetData>
  <mergeCells count="4">
    <mergeCell ref="B11:E11"/>
    <mergeCell ref="F11:H11"/>
    <mergeCell ref="I11:K11"/>
    <mergeCell ref="L11:N11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80D2C-7C09-456E-9EDF-DDF9BD53A3A7}">
  <dimension ref="B1:W47"/>
  <sheetViews>
    <sheetView topLeftCell="A25" zoomScale="85" zoomScaleNormal="85" workbookViewId="0">
      <selection activeCell="B47" sqref="B47:M47"/>
    </sheetView>
  </sheetViews>
  <sheetFormatPr defaultRowHeight="16.5"/>
  <cols>
    <col min="1" max="1" width="7" style="292" customWidth="1"/>
    <col min="2" max="2" width="16.125" style="292" customWidth="1"/>
    <col min="3" max="3" width="12" style="292" customWidth="1"/>
    <col min="4" max="4" width="13.625" style="292" customWidth="1"/>
    <col min="5" max="12" width="12" style="292" customWidth="1"/>
    <col min="13" max="13" width="47.625" style="292" customWidth="1"/>
    <col min="14" max="14" width="9" style="292"/>
    <col min="15" max="15" width="25.625" style="292" bestFit="1" customWidth="1"/>
    <col min="16" max="16" width="13" style="442" customWidth="1"/>
    <col min="17" max="17" width="12.375" style="442" bestFit="1" customWidth="1"/>
    <col min="18" max="18" width="31.875" style="292" customWidth="1"/>
    <col min="19" max="19" width="12.625" style="292" bestFit="1" customWidth="1"/>
    <col min="20" max="20" width="13" style="292" bestFit="1" customWidth="1"/>
    <col min="21" max="22" width="12.75" style="292" bestFit="1" customWidth="1"/>
    <col min="23" max="23" width="13" style="292" bestFit="1" customWidth="1"/>
    <col min="24" max="16384" width="9" style="292"/>
  </cols>
  <sheetData>
    <row r="1" spans="2:23" ht="53.25" customHeight="1">
      <c r="B1" s="432" t="s">
        <v>464</v>
      </c>
    </row>
    <row r="2" spans="2:23" ht="54" customHeight="1" thickBot="1">
      <c r="B2" s="375"/>
      <c r="C2" s="573" t="s">
        <v>425</v>
      </c>
      <c r="D2" s="573"/>
      <c r="E2" s="573"/>
      <c r="F2" s="573"/>
      <c r="G2" s="574"/>
      <c r="H2" s="575" t="s">
        <v>426</v>
      </c>
      <c r="I2" s="576"/>
      <c r="J2" s="576"/>
      <c r="K2" s="576"/>
      <c r="L2" s="576"/>
      <c r="M2" s="374" t="s">
        <v>423</v>
      </c>
      <c r="S2" s="575" t="s">
        <v>480</v>
      </c>
      <c r="T2" s="576"/>
      <c r="U2" s="576"/>
      <c r="V2" s="576"/>
      <c r="W2" s="576"/>
    </row>
    <row r="3" spans="2:23" ht="21" thickTop="1">
      <c r="B3" s="376" t="s">
        <v>455</v>
      </c>
      <c r="C3" s="295" t="s">
        <v>26</v>
      </c>
      <c r="D3" s="390" t="s">
        <v>27</v>
      </c>
      <c r="E3" s="295"/>
      <c r="F3" s="295"/>
      <c r="G3" s="296"/>
      <c r="H3" s="293" t="s">
        <v>26</v>
      </c>
      <c r="I3" s="391" t="s">
        <v>27</v>
      </c>
      <c r="J3" s="293"/>
      <c r="K3" s="293"/>
      <c r="L3" s="294"/>
      <c r="M3" s="392" t="s">
        <v>427</v>
      </c>
      <c r="S3" s="293" t="s">
        <v>26</v>
      </c>
      <c r="T3" s="391" t="s">
        <v>27</v>
      </c>
      <c r="U3" s="293"/>
      <c r="V3" s="293"/>
      <c r="W3" s="294"/>
    </row>
    <row r="4" spans="2:23" ht="21" thickBot="1">
      <c r="B4" s="377"/>
      <c r="C4" s="295">
        <v>536</v>
      </c>
      <c r="D4" s="390">
        <v>1072</v>
      </c>
      <c r="E4" s="295"/>
      <c r="F4" s="295"/>
      <c r="G4" s="296"/>
      <c r="H4" s="293">
        <v>536</v>
      </c>
      <c r="I4" s="391">
        <v>960</v>
      </c>
      <c r="J4" s="293"/>
      <c r="K4" s="293"/>
      <c r="L4" s="294"/>
      <c r="M4" s="297" t="s">
        <v>441</v>
      </c>
      <c r="S4" s="293">
        <v>579</v>
      </c>
      <c r="T4" s="391">
        <v>1053</v>
      </c>
      <c r="U4" s="293"/>
      <c r="V4" s="293"/>
      <c r="W4" s="294"/>
    </row>
    <row r="5" spans="2:23" ht="20.25">
      <c r="B5" s="378" t="s">
        <v>454</v>
      </c>
      <c r="C5" s="567">
        <f>SUM(C6:G9)</f>
        <v>0.66720000000000002</v>
      </c>
      <c r="D5" s="567"/>
      <c r="E5" s="567"/>
      <c r="F5" s="567"/>
      <c r="G5" s="568"/>
      <c r="H5" s="569">
        <f>SUM(H6:L9)</f>
        <v>0.66720000000000002</v>
      </c>
      <c r="I5" s="569"/>
      <c r="J5" s="569"/>
      <c r="K5" s="569"/>
      <c r="L5" s="569"/>
      <c r="M5" s="298" t="s">
        <v>421</v>
      </c>
      <c r="S5" s="569">
        <f>SUM(S6:W9)</f>
        <v>0.67580000000000007</v>
      </c>
      <c r="T5" s="569"/>
      <c r="U5" s="569"/>
      <c r="V5" s="569"/>
      <c r="W5" s="569"/>
    </row>
    <row r="6" spans="2:23" ht="20.25">
      <c r="B6" s="379"/>
      <c r="C6" s="307" t="s">
        <v>382</v>
      </c>
      <c r="D6" s="307" t="s">
        <v>386</v>
      </c>
      <c r="E6" s="307" t="s">
        <v>384</v>
      </c>
      <c r="F6" s="307" t="s">
        <v>383</v>
      </c>
      <c r="G6" s="308" t="s">
        <v>385</v>
      </c>
      <c r="H6" s="309" t="s">
        <v>382</v>
      </c>
      <c r="I6" s="309" t="s">
        <v>386</v>
      </c>
      <c r="J6" s="309" t="s">
        <v>384</v>
      </c>
      <c r="K6" s="309" t="s">
        <v>383</v>
      </c>
      <c r="L6" s="309" t="s">
        <v>385</v>
      </c>
      <c r="M6" s="299"/>
      <c r="S6" s="309" t="s">
        <v>382</v>
      </c>
      <c r="T6" s="309" t="s">
        <v>386</v>
      </c>
      <c r="U6" s="309" t="s">
        <v>384</v>
      </c>
      <c r="V6" s="309" t="s">
        <v>383</v>
      </c>
      <c r="W6" s="309" t="s">
        <v>385</v>
      </c>
    </row>
    <row r="7" spans="2:23" ht="20.25">
      <c r="B7" s="379"/>
      <c r="C7" s="311">
        <f>C4*0.0002</f>
        <v>0.1072</v>
      </c>
      <c r="D7" s="311">
        <v>0.05</v>
      </c>
      <c r="E7" s="311">
        <v>7.4999999999999997E-2</v>
      </c>
      <c r="F7" s="311">
        <v>7.4999999999999997E-2</v>
      </c>
      <c r="G7" s="312">
        <v>0.12</v>
      </c>
      <c r="H7" s="313">
        <f>H4*0.0002</f>
        <v>0.1072</v>
      </c>
      <c r="I7" s="314">
        <v>0.05</v>
      </c>
      <c r="J7" s="314">
        <v>7.4999999999999997E-2</v>
      </c>
      <c r="K7" s="314">
        <v>7.4999999999999997E-2</v>
      </c>
      <c r="L7" s="314">
        <v>0.12</v>
      </c>
      <c r="M7" s="300"/>
      <c r="S7" s="313">
        <f>S4*0.0002</f>
        <v>0.1158</v>
      </c>
      <c r="T7" s="314">
        <v>0.05</v>
      </c>
      <c r="U7" s="314">
        <v>7.4999999999999997E-2</v>
      </c>
      <c r="V7" s="314">
        <v>7.4999999999999997E-2</v>
      </c>
      <c r="W7" s="314">
        <v>0.12</v>
      </c>
    </row>
    <row r="8" spans="2:23" ht="20.25">
      <c r="B8" s="379"/>
      <c r="C8" s="315" t="s">
        <v>387</v>
      </c>
      <c r="D8" s="315" t="s">
        <v>388</v>
      </c>
      <c r="E8" s="316"/>
      <c r="F8" s="315"/>
      <c r="G8" s="317"/>
      <c r="H8" s="318" t="s">
        <v>387</v>
      </c>
      <c r="I8" s="318" t="s">
        <v>388</v>
      </c>
      <c r="J8" s="319"/>
      <c r="K8" s="318"/>
      <c r="L8" s="319"/>
      <c r="M8" s="299"/>
      <c r="S8" s="318" t="s">
        <v>387</v>
      </c>
      <c r="T8" s="318" t="s">
        <v>388</v>
      </c>
      <c r="U8" s="319"/>
      <c r="V8" s="318"/>
      <c r="W8" s="319"/>
    </row>
    <row r="9" spans="2:23" ht="21" thickBot="1">
      <c r="B9" s="379"/>
      <c r="C9" s="320">
        <v>0.12</v>
      </c>
      <c r="D9" s="320">
        <v>0.12</v>
      </c>
      <c r="E9" s="316"/>
      <c r="F9" s="320"/>
      <c r="G9" s="317"/>
      <c r="H9" s="321">
        <v>0.12</v>
      </c>
      <c r="I9" s="321">
        <v>0.12</v>
      </c>
      <c r="J9" s="319"/>
      <c r="K9" s="321"/>
      <c r="L9" s="319"/>
      <c r="M9" s="301"/>
      <c r="S9" s="321">
        <v>0.12</v>
      </c>
      <c r="T9" s="321">
        <v>0.12</v>
      </c>
      <c r="U9" s="319"/>
      <c r="V9" s="321"/>
      <c r="W9" s="319"/>
    </row>
    <row r="10" spans="2:23" ht="20.25">
      <c r="B10" s="380" t="s">
        <v>453</v>
      </c>
      <c r="C10" s="363" t="s">
        <v>409</v>
      </c>
      <c r="D10" s="365">
        <f>SUM(C11:G14)</f>
        <v>3.6440000000000001</v>
      </c>
      <c r="E10" s="361"/>
      <c r="F10" s="363" t="s">
        <v>412</v>
      </c>
      <c r="G10" s="366">
        <f>SUM(C11:G12,C13:E14)</f>
        <v>2.6739999999999999</v>
      </c>
      <c r="H10" s="364" t="s">
        <v>408</v>
      </c>
      <c r="I10" s="367">
        <f>SUM(H11:L14)</f>
        <v>3.33</v>
      </c>
      <c r="J10" s="362"/>
      <c r="K10" s="364" t="s">
        <v>411</v>
      </c>
      <c r="L10" s="367">
        <f>SUM(H11:L12,H13:J14)</f>
        <v>3.33</v>
      </c>
      <c r="M10" s="393" t="s">
        <v>427</v>
      </c>
      <c r="S10" s="364" t="s">
        <v>408</v>
      </c>
      <c r="T10" s="367">
        <f>SUM(S11:W14)</f>
        <v>3.4350000000000001</v>
      </c>
      <c r="U10" s="362"/>
      <c r="V10" s="364" t="s">
        <v>411</v>
      </c>
      <c r="W10" s="367">
        <f>SUM(S11:W12,S13:U14)</f>
        <v>3.4350000000000001</v>
      </c>
    </row>
    <row r="11" spans="2:23" ht="20.25">
      <c r="B11" s="377"/>
      <c r="C11" s="309" t="s">
        <v>389</v>
      </c>
      <c r="D11" s="309" t="s">
        <v>384</v>
      </c>
      <c r="E11" s="309" t="s">
        <v>383</v>
      </c>
      <c r="F11" s="309" t="s">
        <v>390</v>
      </c>
      <c r="G11" s="322" t="s">
        <v>341</v>
      </c>
      <c r="H11" s="307" t="s">
        <v>382</v>
      </c>
      <c r="I11" s="307" t="s">
        <v>384</v>
      </c>
      <c r="J11" s="307" t="s">
        <v>383</v>
      </c>
      <c r="K11" s="307" t="s">
        <v>390</v>
      </c>
      <c r="L11" s="307" t="s">
        <v>341</v>
      </c>
      <c r="M11" s="297" t="s">
        <v>442</v>
      </c>
      <c r="S11" s="307" t="s">
        <v>382</v>
      </c>
      <c r="T11" s="307" t="s">
        <v>384</v>
      </c>
      <c r="U11" s="307" t="s">
        <v>383</v>
      </c>
      <c r="V11" s="307" t="s">
        <v>390</v>
      </c>
      <c r="W11" s="307" t="s">
        <v>341</v>
      </c>
    </row>
    <row r="12" spans="2:23" ht="20.25">
      <c r="B12" s="377"/>
      <c r="C12" s="314">
        <v>0.5</v>
      </c>
      <c r="D12" s="314">
        <v>0.27700000000000002</v>
      </c>
      <c r="E12" s="314"/>
      <c r="F12" s="314">
        <v>0.63</v>
      </c>
      <c r="G12" s="323">
        <v>0.26200000000000001</v>
      </c>
      <c r="H12" s="324">
        <v>0.5</v>
      </c>
      <c r="I12" s="311">
        <v>0.22500000000000001</v>
      </c>
      <c r="J12" s="311"/>
      <c r="K12" s="311">
        <v>0.52500000000000002</v>
      </c>
      <c r="L12" s="311">
        <v>0.105</v>
      </c>
      <c r="M12" s="297" t="s">
        <v>428</v>
      </c>
      <c r="S12" s="324">
        <v>0.5</v>
      </c>
      <c r="T12" s="311">
        <v>0.22500000000000001</v>
      </c>
      <c r="U12" s="311"/>
      <c r="V12" s="311">
        <v>0.52500000000000002</v>
      </c>
      <c r="W12" s="311">
        <v>0.105</v>
      </c>
    </row>
    <row r="13" spans="2:23" ht="20.25">
      <c r="B13" s="377"/>
      <c r="C13" s="318" t="s">
        <v>391</v>
      </c>
      <c r="D13" s="318" t="s">
        <v>314</v>
      </c>
      <c r="E13" s="318" t="s">
        <v>392</v>
      </c>
      <c r="F13" s="318" t="s">
        <v>393</v>
      </c>
      <c r="G13" s="325"/>
      <c r="H13" s="315" t="s">
        <v>391</v>
      </c>
      <c r="I13" s="315" t="s">
        <v>314</v>
      </c>
      <c r="J13" s="315" t="s">
        <v>392</v>
      </c>
      <c r="K13" s="315" t="s">
        <v>393</v>
      </c>
      <c r="L13" s="315"/>
      <c r="M13" s="297"/>
      <c r="S13" s="315" t="s">
        <v>391</v>
      </c>
      <c r="T13" s="315" t="s">
        <v>314</v>
      </c>
      <c r="U13" s="315" t="s">
        <v>392</v>
      </c>
      <c r="V13" s="315" t="s">
        <v>393</v>
      </c>
      <c r="W13" s="315"/>
    </row>
    <row r="14" spans="2:23" ht="21" thickBot="1">
      <c r="B14" s="377"/>
      <c r="C14" s="326"/>
      <c r="D14" s="326">
        <v>0.48</v>
      </c>
      <c r="E14" s="326">
        <v>0.52500000000000002</v>
      </c>
      <c r="F14" s="326">
        <v>0.97</v>
      </c>
      <c r="G14" s="327"/>
      <c r="H14" s="328"/>
      <c r="I14" s="329">
        <v>0.48</v>
      </c>
      <c r="J14" s="329">
        <v>1.4950000000000001</v>
      </c>
      <c r="K14" s="329"/>
      <c r="L14" s="329"/>
      <c r="M14" s="303"/>
      <c r="S14" s="328">
        <v>0.105</v>
      </c>
      <c r="T14" s="329">
        <v>0.48</v>
      </c>
      <c r="U14" s="329">
        <v>1.4950000000000001</v>
      </c>
      <c r="V14" s="329"/>
      <c r="W14" s="329"/>
    </row>
    <row r="15" spans="2:23" ht="20.25">
      <c r="B15" s="378" t="s">
        <v>452</v>
      </c>
      <c r="C15" s="567">
        <f>SUM(C16:G19)</f>
        <v>3.4239999999999999</v>
      </c>
      <c r="D15" s="567"/>
      <c r="E15" s="567"/>
      <c r="F15" s="567"/>
      <c r="G15" s="568"/>
      <c r="H15" s="569">
        <f>SUM(H16:L19)</f>
        <v>2.3280000000000003</v>
      </c>
      <c r="I15" s="569"/>
      <c r="J15" s="569"/>
      <c r="K15" s="569"/>
      <c r="L15" s="569"/>
      <c r="M15" s="394" t="s">
        <v>427</v>
      </c>
      <c r="S15" s="569">
        <f>SUM(S16:W19)</f>
        <v>2.508</v>
      </c>
      <c r="T15" s="569"/>
      <c r="U15" s="569"/>
      <c r="V15" s="569"/>
      <c r="W15" s="569"/>
    </row>
    <row r="16" spans="2:23" ht="20.25">
      <c r="B16" s="379"/>
      <c r="C16" s="307" t="s">
        <v>389</v>
      </c>
      <c r="D16" s="307" t="s">
        <v>384</v>
      </c>
      <c r="E16" s="307" t="s">
        <v>383</v>
      </c>
      <c r="F16" s="307" t="s">
        <v>390</v>
      </c>
      <c r="G16" s="308" t="s">
        <v>341</v>
      </c>
      <c r="H16" s="309" t="s">
        <v>382</v>
      </c>
      <c r="I16" s="309" t="s">
        <v>384</v>
      </c>
      <c r="J16" s="309" t="s">
        <v>383</v>
      </c>
      <c r="K16" s="309" t="s">
        <v>390</v>
      </c>
      <c r="L16" s="309" t="s">
        <v>341</v>
      </c>
      <c r="M16" s="299" t="s">
        <v>443</v>
      </c>
      <c r="S16" s="309" t="s">
        <v>382</v>
      </c>
      <c r="T16" s="309" t="s">
        <v>384</v>
      </c>
      <c r="U16" s="309" t="s">
        <v>383</v>
      </c>
      <c r="V16" s="309" t="s">
        <v>390</v>
      </c>
      <c r="W16" s="309" t="s">
        <v>341</v>
      </c>
    </row>
    <row r="17" spans="2:23" ht="20.25">
      <c r="B17" s="379"/>
      <c r="C17" s="311">
        <v>0.2</v>
      </c>
      <c r="D17" s="311">
        <v>0.27</v>
      </c>
      <c r="E17" s="311">
        <v>0.32300000000000001</v>
      </c>
      <c r="F17" s="311">
        <v>1.26</v>
      </c>
      <c r="G17" s="312">
        <v>0.32300000000000001</v>
      </c>
      <c r="H17" s="313">
        <v>0.2</v>
      </c>
      <c r="I17" s="314">
        <v>0.13500000000000001</v>
      </c>
      <c r="J17" s="314">
        <v>0.18</v>
      </c>
      <c r="K17" s="314">
        <v>0.58499999999999996</v>
      </c>
      <c r="L17" s="314">
        <v>0.18</v>
      </c>
      <c r="M17" s="300" t="s">
        <v>429</v>
      </c>
      <c r="S17" s="313">
        <v>0.2</v>
      </c>
      <c r="T17" s="314">
        <v>0.13500000000000001</v>
      </c>
      <c r="U17" s="314">
        <v>0.18</v>
      </c>
      <c r="V17" s="314">
        <v>0.58499999999999996</v>
      </c>
      <c r="W17" s="314">
        <v>0.18</v>
      </c>
    </row>
    <row r="18" spans="2:23" ht="20.25">
      <c r="B18" s="379"/>
      <c r="C18" s="315" t="s">
        <v>391</v>
      </c>
      <c r="D18" s="315" t="s">
        <v>392</v>
      </c>
      <c r="E18" s="315"/>
      <c r="F18" s="315"/>
      <c r="G18" s="330"/>
      <c r="H18" s="318" t="s">
        <v>391</v>
      </c>
      <c r="I18" s="318" t="s">
        <v>392</v>
      </c>
      <c r="J18" s="318"/>
      <c r="K18" s="318"/>
      <c r="L18" s="318"/>
      <c r="M18" s="299"/>
      <c r="S18" s="318" t="s">
        <v>391</v>
      </c>
      <c r="T18" s="318" t="s">
        <v>392</v>
      </c>
      <c r="U18" s="318"/>
      <c r="V18" s="318"/>
      <c r="W18" s="318"/>
    </row>
    <row r="19" spans="2:23" ht="21" thickBot="1">
      <c r="B19" s="379"/>
      <c r="C19" s="320"/>
      <c r="D19" s="320">
        <v>1.048</v>
      </c>
      <c r="E19" s="320"/>
      <c r="F19" s="320"/>
      <c r="G19" s="331"/>
      <c r="H19" s="321"/>
      <c r="I19" s="332">
        <v>1.048</v>
      </c>
      <c r="J19" s="332"/>
      <c r="K19" s="332"/>
      <c r="L19" s="332"/>
      <c r="M19" s="301"/>
      <c r="S19" s="321">
        <v>0.18</v>
      </c>
      <c r="T19" s="332">
        <v>1.048</v>
      </c>
      <c r="U19" s="332"/>
      <c r="V19" s="332"/>
      <c r="W19" s="332"/>
    </row>
    <row r="20" spans="2:23" ht="20.25">
      <c r="B20" s="380" t="s">
        <v>451</v>
      </c>
      <c r="C20" s="363" t="s">
        <v>409</v>
      </c>
      <c r="D20" s="365">
        <f>SUM(C21:G24)</f>
        <v>5.4910000000000005</v>
      </c>
      <c r="E20" s="361"/>
      <c r="F20" s="363" t="s">
        <v>412</v>
      </c>
      <c r="G20" s="366">
        <f>SUM(C21:G22,C23:D24)</f>
        <v>4.6720000000000006</v>
      </c>
      <c r="H20" s="364" t="s">
        <v>408</v>
      </c>
      <c r="I20" s="367">
        <f>SUM(H21:L24)</f>
        <v>5.5970000000000004</v>
      </c>
      <c r="J20" s="362"/>
      <c r="K20" s="364" t="s">
        <v>411</v>
      </c>
      <c r="L20" s="367">
        <f>SUM(H21:L22,H23:I24)</f>
        <v>4.7780000000000005</v>
      </c>
      <c r="M20" s="395" t="s">
        <v>430</v>
      </c>
      <c r="S20" s="364" t="s">
        <v>408</v>
      </c>
      <c r="T20" s="367">
        <f>SUM(S21:W24)</f>
        <v>5.1540000000000008</v>
      </c>
      <c r="U20" s="362"/>
      <c r="V20" s="364" t="s">
        <v>411</v>
      </c>
      <c r="W20" s="367">
        <f>SUM(S21:W22,S23:T24)</f>
        <v>4.5600000000000005</v>
      </c>
    </row>
    <row r="21" spans="2:23" ht="20.25">
      <c r="B21" s="377"/>
      <c r="C21" s="309" t="s">
        <v>142</v>
      </c>
      <c r="D21" s="309" t="s">
        <v>324</v>
      </c>
      <c r="E21" s="309" t="s">
        <v>325</v>
      </c>
      <c r="F21" s="309" t="s">
        <v>297</v>
      </c>
      <c r="G21" s="322" t="s">
        <v>364</v>
      </c>
      <c r="H21" s="307" t="s">
        <v>394</v>
      </c>
      <c r="I21" s="307" t="s">
        <v>395</v>
      </c>
      <c r="J21" s="307" t="s">
        <v>396</v>
      </c>
      <c r="K21" s="307" t="s">
        <v>397</v>
      </c>
      <c r="L21" s="307" t="s">
        <v>398</v>
      </c>
      <c r="M21" s="305" t="s">
        <v>444</v>
      </c>
      <c r="S21" s="307" t="s">
        <v>394</v>
      </c>
      <c r="T21" s="307" t="s">
        <v>395</v>
      </c>
      <c r="U21" s="307" t="s">
        <v>396</v>
      </c>
      <c r="V21" s="307" t="s">
        <v>397</v>
      </c>
      <c r="W21" s="307" t="s">
        <v>398</v>
      </c>
    </row>
    <row r="22" spans="2:23" ht="20.25">
      <c r="B22" s="377"/>
      <c r="C22" s="314">
        <v>0.55000000000000004</v>
      </c>
      <c r="D22" s="314">
        <v>0.56000000000000005</v>
      </c>
      <c r="E22" s="314">
        <v>1.5349999999999999</v>
      </c>
      <c r="F22" s="314">
        <v>0.92200000000000004</v>
      </c>
      <c r="G22" s="323">
        <v>0.57499999999999996</v>
      </c>
      <c r="H22" s="324">
        <v>0.55000000000000004</v>
      </c>
      <c r="I22" s="311">
        <v>0.56000000000000005</v>
      </c>
      <c r="J22" s="311">
        <v>1.5349999999999999</v>
      </c>
      <c r="K22" s="311">
        <v>0.92200000000000004</v>
      </c>
      <c r="L22" s="311">
        <v>0.57499999999999996</v>
      </c>
      <c r="M22" s="360" t="s">
        <v>431</v>
      </c>
      <c r="S22" s="324">
        <v>0.55000000000000004</v>
      </c>
      <c r="T22" s="311">
        <v>0.56000000000000005</v>
      </c>
      <c r="U22" s="311">
        <v>1.5349999999999999</v>
      </c>
      <c r="V22" s="311">
        <v>0.92200000000000004</v>
      </c>
      <c r="W22" s="311">
        <v>0.57499999999999996</v>
      </c>
    </row>
    <row r="23" spans="2:23" ht="20.25">
      <c r="B23" s="377"/>
      <c r="C23" s="318" t="s">
        <v>327</v>
      </c>
      <c r="D23" s="318" t="s">
        <v>328</v>
      </c>
      <c r="E23" s="318" t="s">
        <v>402</v>
      </c>
      <c r="F23" s="318" t="s">
        <v>404</v>
      </c>
      <c r="G23" s="325"/>
      <c r="H23" s="315" t="s">
        <v>399</v>
      </c>
      <c r="I23" s="315" t="s">
        <v>400</v>
      </c>
      <c r="J23" s="315" t="s">
        <v>401</v>
      </c>
      <c r="K23" s="315" t="s">
        <v>403</v>
      </c>
      <c r="L23" s="315"/>
      <c r="M23" s="297"/>
      <c r="S23" s="315" t="s">
        <v>399</v>
      </c>
      <c r="T23" s="315" t="s">
        <v>400</v>
      </c>
      <c r="U23" s="315" t="s">
        <v>401</v>
      </c>
      <c r="V23" s="315" t="s">
        <v>403</v>
      </c>
      <c r="W23" s="315"/>
    </row>
    <row r="24" spans="2:23" ht="21" thickBot="1">
      <c r="B24" s="377"/>
      <c r="C24" s="326">
        <v>0.36499999999999999</v>
      </c>
      <c r="D24" s="326">
        <v>0.16500000000000001</v>
      </c>
      <c r="E24" s="326">
        <v>0.22500000000000001</v>
      </c>
      <c r="F24" s="326">
        <v>0.59399999999999997</v>
      </c>
      <c r="G24" s="327"/>
      <c r="H24" s="328">
        <v>0.41799999999999998</v>
      </c>
      <c r="I24" s="329">
        <v>0.218</v>
      </c>
      <c r="J24" s="329">
        <v>0.22500000000000001</v>
      </c>
      <c r="K24" s="329">
        <v>0.59399999999999997</v>
      </c>
      <c r="L24" s="329"/>
      <c r="M24" s="302"/>
      <c r="S24" s="328">
        <v>0.41799999999999998</v>
      </c>
      <c r="T24" s="329"/>
      <c r="U24" s="329"/>
      <c r="V24" s="329">
        <v>0.59399999999999997</v>
      </c>
      <c r="W24" s="329"/>
    </row>
    <row r="25" spans="2:23" ht="20.25">
      <c r="B25" s="378" t="s">
        <v>456</v>
      </c>
      <c r="C25" s="567">
        <f>SUM(C26:G27)</f>
        <v>0.15</v>
      </c>
      <c r="D25" s="567"/>
      <c r="E25" s="567"/>
      <c r="F25" s="567"/>
      <c r="G25" s="568"/>
      <c r="H25" s="569">
        <f>SUM(H26:L27)</f>
        <v>0.2</v>
      </c>
      <c r="I25" s="569"/>
      <c r="J25" s="569"/>
      <c r="K25" s="569"/>
      <c r="L25" s="569"/>
      <c r="M25" s="400" t="s">
        <v>430</v>
      </c>
      <c r="S25" s="569">
        <f>SUM(S26:W27)</f>
        <v>0.2</v>
      </c>
      <c r="T25" s="569"/>
      <c r="U25" s="569"/>
      <c r="V25" s="569"/>
      <c r="W25" s="569"/>
    </row>
    <row r="26" spans="2:23">
      <c r="B26" s="381"/>
      <c r="C26" s="315" t="s">
        <v>424</v>
      </c>
      <c r="D26" s="315"/>
      <c r="E26" s="315"/>
      <c r="F26" s="315"/>
      <c r="G26" s="330"/>
      <c r="H26" s="318" t="s">
        <v>424</v>
      </c>
      <c r="I26" s="318"/>
      <c r="J26" s="318"/>
      <c r="K26" s="318"/>
      <c r="L26" s="318"/>
      <c r="M26" s="299" t="s">
        <v>450</v>
      </c>
      <c r="S26" s="318" t="s">
        <v>424</v>
      </c>
      <c r="T26" s="318"/>
      <c r="U26" s="318"/>
      <c r="V26" s="318"/>
      <c r="W26" s="318"/>
    </row>
    <row r="27" spans="2:23">
      <c r="B27" s="381"/>
      <c r="C27" s="320">
        <v>0.15</v>
      </c>
      <c r="D27" s="320"/>
      <c r="E27" s="320"/>
      <c r="F27" s="320"/>
      <c r="G27" s="331"/>
      <c r="H27" s="326">
        <v>0.2</v>
      </c>
      <c r="I27" s="332"/>
      <c r="J27" s="332"/>
      <c r="K27" s="332"/>
      <c r="L27" s="332"/>
      <c r="M27" s="299" t="s">
        <v>449</v>
      </c>
      <c r="S27" s="326">
        <v>0.2</v>
      </c>
      <c r="T27" s="332"/>
      <c r="U27" s="332"/>
      <c r="V27" s="332"/>
      <c r="W27" s="332"/>
    </row>
    <row r="28" spans="2:23" ht="17.25" thickBot="1">
      <c r="B28" s="381"/>
      <c r="C28" s="320"/>
      <c r="D28" s="320"/>
      <c r="E28" s="320"/>
      <c r="F28" s="320"/>
      <c r="G28" s="331"/>
      <c r="H28" s="326"/>
      <c r="I28" s="332"/>
      <c r="J28" s="332"/>
      <c r="K28" s="332"/>
      <c r="L28" s="332"/>
      <c r="M28" s="300"/>
      <c r="S28" s="326"/>
      <c r="T28" s="332"/>
      <c r="U28" s="332"/>
      <c r="V28" s="332"/>
      <c r="W28" s="332"/>
    </row>
    <row r="29" spans="2:23" ht="60.75" customHeight="1" thickTop="1" thickBot="1">
      <c r="B29" s="382" t="s">
        <v>433</v>
      </c>
      <c r="C29" s="371" t="s">
        <v>409</v>
      </c>
      <c r="D29" s="371">
        <f>(D4/1000+1)*((1+D10)*C5+(1-C5))*(1+C15)*(1+D20)*(1+C25)</f>
        <v>234.7848516387227</v>
      </c>
      <c r="E29" s="371"/>
      <c r="F29" s="371" t="s">
        <v>412</v>
      </c>
      <c r="G29" s="372">
        <f>(D4/1000+1)*((1+G10)*C5+(1-C5))*(1+C15)*(1+G20)*(1+C25)</f>
        <v>166.46488653070176</v>
      </c>
      <c r="H29" s="368" t="s">
        <v>409</v>
      </c>
      <c r="I29" s="369">
        <f>(I4/1000+1)*((1+I10)*H5+(1-H5))*(1+H15)*(1+I20)*(1+H25)</f>
        <v>166.36519029060406</v>
      </c>
      <c r="J29" s="369"/>
      <c r="K29" s="369" t="s">
        <v>412</v>
      </c>
      <c r="L29" s="370">
        <f>(I4/1000+1)*((1+L10)*H5+(1-H5))*(1+H15)*(1+L20)*(1+H25)</f>
        <v>145.71139449736401</v>
      </c>
      <c r="M29" s="396" t="s">
        <v>448</v>
      </c>
      <c r="S29" s="368" t="s">
        <v>409</v>
      </c>
      <c r="T29" s="369">
        <f>(T4/1000+1)*((1+T10)*S5+(1-S5))*(1+S15)*(1+T20)*(1+S25)</f>
        <v>176.64645362621573</v>
      </c>
      <c r="U29" s="369"/>
      <c r="V29" s="369" t="s">
        <v>412</v>
      </c>
      <c r="W29" s="370">
        <f>(T4/1000+1)*((1+W10)*S5+(1-S5))*(1+S15)*(1+W20)*(1+S25)</f>
        <v>159.59608094926216</v>
      </c>
    </row>
    <row r="30" spans="2:23" ht="21" thickTop="1">
      <c r="B30" s="383" t="s">
        <v>446</v>
      </c>
      <c r="C30" s="577">
        <f>SUM(C31:F32)*G32+SUM(C33:F34)*G34</f>
        <v>4.3523520000000007</v>
      </c>
      <c r="D30" s="577"/>
      <c r="E30" s="577"/>
      <c r="F30" s="577"/>
      <c r="G30" s="578"/>
      <c r="H30" s="579">
        <f>SUM(H31:K32)*L32+SUM(H33:K34)*L34</f>
        <v>4.3523520000000007</v>
      </c>
      <c r="I30" s="580"/>
      <c r="J30" s="580"/>
      <c r="K30" s="580"/>
      <c r="L30" s="581"/>
      <c r="M30" s="397" t="s">
        <v>421</v>
      </c>
      <c r="S30" s="579">
        <f>SUM(S31:V32)*W32+SUM(S33:V34)*W34</f>
        <v>3.5140000000000002</v>
      </c>
      <c r="T30" s="580"/>
      <c r="U30" s="580"/>
      <c r="V30" s="580"/>
      <c r="W30" s="581"/>
    </row>
    <row r="31" spans="2:23">
      <c r="B31" s="384" t="s">
        <v>447</v>
      </c>
      <c r="C31" s="309" t="s">
        <v>439</v>
      </c>
      <c r="D31" s="309" t="s">
        <v>410</v>
      </c>
      <c r="E31" s="309" t="s">
        <v>405</v>
      </c>
      <c r="F31" s="309" t="s">
        <v>406</v>
      </c>
      <c r="G31" s="322" t="s">
        <v>407</v>
      </c>
      <c r="H31" s="306" t="s">
        <v>439</v>
      </c>
      <c r="I31" s="307" t="s">
        <v>410</v>
      </c>
      <c r="J31" s="307" t="s">
        <v>405</v>
      </c>
      <c r="K31" s="307" t="s">
        <v>406</v>
      </c>
      <c r="L31" s="307" t="s">
        <v>407</v>
      </c>
      <c r="M31" s="297" t="s">
        <v>434</v>
      </c>
      <c r="S31" s="306" t="s">
        <v>439</v>
      </c>
      <c r="T31" s="307" t="s">
        <v>410</v>
      </c>
      <c r="U31" s="307" t="s">
        <v>405</v>
      </c>
      <c r="V31" s="307" t="s">
        <v>406</v>
      </c>
      <c r="W31" s="307" t="s">
        <v>407</v>
      </c>
    </row>
    <row r="32" spans="2:23">
      <c r="B32" s="384"/>
      <c r="C32" s="314">
        <v>1.04</v>
      </c>
      <c r="D32" s="314">
        <f>1.3*1.3</f>
        <v>1.6900000000000002</v>
      </c>
      <c r="E32" s="314">
        <f>D32*0.3</f>
        <v>0.50700000000000001</v>
      </c>
      <c r="F32" s="314">
        <f>D32*0.3</f>
        <v>0.50700000000000001</v>
      </c>
      <c r="G32" s="323">
        <v>0.7</v>
      </c>
      <c r="H32" s="310">
        <v>1.04</v>
      </c>
      <c r="I32" s="311">
        <f>1.3*1.3</f>
        <v>1.6900000000000002</v>
      </c>
      <c r="J32" s="311">
        <f>I32*0.3</f>
        <v>0.50700000000000001</v>
      </c>
      <c r="K32" s="311">
        <f>I32*0.3</f>
        <v>0.50700000000000001</v>
      </c>
      <c r="L32" s="311">
        <v>0.7</v>
      </c>
      <c r="M32" s="302"/>
      <c r="O32" s="444" t="s">
        <v>475</v>
      </c>
      <c r="S32" s="310">
        <v>0.81</v>
      </c>
      <c r="T32" s="311">
        <f>1.3*1.3</f>
        <v>1.6900000000000002</v>
      </c>
      <c r="U32" s="311">
        <f>T32*0.3</f>
        <v>0.50700000000000001</v>
      </c>
      <c r="V32" s="311">
        <f>T32*0.3</f>
        <v>0.50700000000000001</v>
      </c>
      <c r="W32" s="311">
        <v>1</v>
      </c>
    </row>
    <row r="33" spans="2:23">
      <c r="B33" s="384" t="s">
        <v>440</v>
      </c>
      <c r="C33" s="318" t="s">
        <v>439</v>
      </c>
      <c r="D33" s="318" t="s">
        <v>410</v>
      </c>
      <c r="E33" s="318" t="s">
        <v>405</v>
      </c>
      <c r="F33" s="318" t="s">
        <v>406</v>
      </c>
      <c r="G33" s="325" t="s">
        <v>407</v>
      </c>
      <c r="H33" s="333" t="s">
        <v>439</v>
      </c>
      <c r="I33" s="307" t="s">
        <v>410</v>
      </c>
      <c r="J33" s="315" t="s">
        <v>405</v>
      </c>
      <c r="K33" s="315" t="s">
        <v>406</v>
      </c>
      <c r="L33" s="315" t="s">
        <v>407</v>
      </c>
      <c r="M33" s="297"/>
      <c r="O33" s="439" t="s">
        <v>476</v>
      </c>
      <c r="S33" s="333" t="s">
        <v>439</v>
      </c>
      <c r="T33" s="307" t="s">
        <v>410</v>
      </c>
      <c r="U33" s="315" t="s">
        <v>405</v>
      </c>
      <c r="V33" s="315" t="s">
        <v>406</v>
      </c>
      <c r="W33" s="315" t="s">
        <v>407</v>
      </c>
    </row>
    <row r="34" spans="2:23" ht="17.25" thickBot="1">
      <c r="B34" s="385" t="s">
        <v>465</v>
      </c>
      <c r="C34" s="326">
        <f>1.54*1.36</f>
        <v>2.0944000000000003</v>
      </c>
      <c r="D34" s="326">
        <f>1.3*1.3*1.36</f>
        <v>2.2984000000000004</v>
      </c>
      <c r="E34" s="326">
        <f>D34*0.3</f>
        <v>0.68952000000000013</v>
      </c>
      <c r="F34" s="326">
        <f>D34*0.3</f>
        <v>0.68952000000000013</v>
      </c>
      <c r="G34" s="327">
        <v>0.3</v>
      </c>
      <c r="H34" s="334">
        <f>1.54*1.36</f>
        <v>2.0944000000000003</v>
      </c>
      <c r="I34" s="335">
        <f>1.3*1.3*1.36</f>
        <v>2.2984000000000004</v>
      </c>
      <c r="J34" s="335">
        <f>I34*0.3</f>
        <v>0.68952000000000013</v>
      </c>
      <c r="K34" s="335">
        <f>I34*0.3</f>
        <v>0.68952000000000013</v>
      </c>
      <c r="L34" s="335">
        <v>0.3</v>
      </c>
      <c r="M34" s="303"/>
      <c r="O34" s="439" t="s">
        <v>477</v>
      </c>
      <c r="S34" s="334">
        <f>1.54*1.36</f>
        <v>2.0944000000000003</v>
      </c>
      <c r="T34" s="335">
        <f>1.3*1.3*1.36</f>
        <v>2.2984000000000004</v>
      </c>
      <c r="U34" s="335">
        <f>T34*0.3</f>
        <v>0.68952000000000013</v>
      </c>
      <c r="V34" s="335">
        <f>T34*0.3</f>
        <v>0.68952000000000013</v>
      </c>
      <c r="W34" s="335">
        <v>0</v>
      </c>
    </row>
    <row r="35" spans="2:23" ht="21" thickBot="1">
      <c r="B35" s="386" t="s">
        <v>445</v>
      </c>
      <c r="C35" s="567">
        <f>SUM(C36:G37)</f>
        <v>1.05</v>
      </c>
      <c r="D35" s="567"/>
      <c r="E35" s="567"/>
      <c r="F35" s="567"/>
      <c r="G35" s="568"/>
      <c r="H35" s="569">
        <f>SUM(H36:L37)</f>
        <v>1.05</v>
      </c>
      <c r="I35" s="569"/>
      <c r="J35" s="569"/>
      <c r="K35" s="569"/>
      <c r="L35" s="569"/>
      <c r="M35" s="398" t="s">
        <v>421</v>
      </c>
      <c r="O35" s="441"/>
      <c r="P35" s="447" t="s">
        <v>466</v>
      </c>
      <c r="Q35" s="447" t="s">
        <v>479</v>
      </c>
      <c r="S35" s="569">
        <f>SUM(S36:W37)*0</f>
        <v>0</v>
      </c>
      <c r="T35" s="569"/>
      <c r="U35" s="569"/>
      <c r="V35" s="569"/>
      <c r="W35" s="569"/>
    </row>
    <row r="36" spans="2:23">
      <c r="B36" s="387" t="s">
        <v>412</v>
      </c>
      <c r="C36" s="315" t="s">
        <v>413</v>
      </c>
      <c r="D36" s="315"/>
      <c r="E36" s="315"/>
      <c r="F36" s="315"/>
      <c r="G36" s="330"/>
      <c r="H36" s="318" t="s">
        <v>413</v>
      </c>
      <c r="I36" s="318"/>
      <c r="J36" s="318"/>
      <c r="K36" s="318"/>
      <c r="L36" s="318"/>
      <c r="M36" s="299" t="s">
        <v>435</v>
      </c>
      <c r="O36" s="445" t="s">
        <v>469</v>
      </c>
      <c r="P36" s="448">
        <f>L44</f>
        <v>152.99696422223221</v>
      </c>
      <c r="Q36" s="443" t="s">
        <v>473</v>
      </c>
      <c r="S36" s="318" t="s">
        <v>413</v>
      </c>
      <c r="T36" s="318"/>
      <c r="U36" s="318"/>
      <c r="V36" s="318"/>
      <c r="W36" s="318"/>
    </row>
    <row r="37" spans="2:23" ht="17.25" thickBot="1">
      <c r="B37" s="387" t="s">
        <v>432</v>
      </c>
      <c r="C37" s="320">
        <v>1.05</v>
      </c>
      <c r="D37" s="320"/>
      <c r="E37" s="320"/>
      <c r="F37" s="320"/>
      <c r="G37" s="331"/>
      <c r="H37" s="326">
        <v>1.05</v>
      </c>
      <c r="I37" s="332"/>
      <c r="J37" s="332"/>
      <c r="K37" s="332"/>
      <c r="L37" s="332"/>
      <c r="M37" s="300"/>
      <c r="O37" s="446" t="s">
        <v>470</v>
      </c>
      <c r="P37" s="449">
        <f>I44</f>
        <v>724.07986869169133</v>
      </c>
      <c r="Q37" s="449">
        <f>T44</f>
        <v>620.73563804252217</v>
      </c>
      <c r="R37" s="434"/>
      <c r="S37" s="326">
        <v>1.05</v>
      </c>
      <c r="T37" s="332"/>
      <c r="U37" s="332"/>
      <c r="V37" s="332"/>
      <c r="W37" s="332"/>
    </row>
    <row r="38" spans="2:23" ht="20.25">
      <c r="B38" s="388" t="s">
        <v>422</v>
      </c>
      <c r="C38" s="349" t="s">
        <v>416</v>
      </c>
      <c r="D38" s="350"/>
      <c r="E38" s="349" t="s">
        <v>415</v>
      </c>
      <c r="F38" s="350"/>
      <c r="G38" s="351" t="s">
        <v>419</v>
      </c>
      <c r="H38" s="354" t="s">
        <v>416</v>
      </c>
      <c r="I38" s="355"/>
      <c r="J38" s="356" t="s">
        <v>415</v>
      </c>
      <c r="K38" s="355"/>
      <c r="L38" s="356" t="s">
        <v>419</v>
      </c>
      <c r="M38" s="399" t="s">
        <v>460</v>
      </c>
      <c r="O38" s="446" t="s">
        <v>471</v>
      </c>
      <c r="P38" s="449">
        <f>P36+P37</f>
        <v>877.07683291392357</v>
      </c>
      <c r="Q38" s="449">
        <f>T44*2</f>
        <v>1241.4712760850443</v>
      </c>
      <c r="R38" s="434"/>
      <c r="S38" s="354" t="s">
        <v>416</v>
      </c>
      <c r="T38" s="355"/>
      <c r="U38" s="356" t="s">
        <v>415</v>
      </c>
      <c r="V38" s="355"/>
      <c r="W38" s="356" t="s">
        <v>419</v>
      </c>
    </row>
    <row r="39" spans="2:23" ht="20.25">
      <c r="B39" s="389"/>
      <c r="C39" s="352">
        <f>E41*SUM(1,C42:D43)</f>
        <v>1.6099999999999999</v>
      </c>
      <c r="D39" s="353"/>
      <c r="E39" s="352">
        <f>E41*SUM(1,C42:E43)</f>
        <v>1.8445999999999998</v>
      </c>
      <c r="F39" s="353"/>
      <c r="G39" s="373">
        <f>AVERAGE(C39:F39)</f>
        <v>1.7272999999999998</v>
      </c>
      <c r="H39" s="357">
        <f>J41*SUM(1,H42:I43)</f>
        <v>1.6099999999999999</v>
      </c>
      <c r="I39" s="358"/>
      <c r="J39" s="359">
        <f>J41*SUM(1,H42:J43)</f>
        <v>1.8445999999999998</v>
      </c>
      <c r="K39" s="358"/>
      <c r="L39" s="359">
        <f>AVERAGE(H39:K39)</f>
        <v>1.7272999999999998</v>
      </c>
      <c r="M39" s="304"/>
      <c r="O39" s="445" t="s">
        <v>472</v>
      </c>
      <c r="P39" s="450">
        <v>1.25</v>
      </c>
      <c r="Q39" s="443" t="s">
        <v>473</v>
      </c>
      <c r="S39" s="357">
        <f>U41*SUM(1,S42:T43)</f>
        <v>1.6099999999999999</v>
      </c>
      <c r="T39" s="358"/>
      <c r="U39" s="359">
        <f>U41*SUM(1,S42:U43)</f>
        <v>1.8445999999999998</v>
      </c>
      <c r="V39" s="358"/>
      <c r="W39" s="359">
        <f>AVERAGE(S39:V39)</f>
        <v>1.7272999999999998</v>
      </c>
    </row>
    <row r="40" spans="2:23">
      <c r="B40" s="384" t="s">
        <v>215</v>
      </c>
      <c r="C40" s="336" t="s">
        <v>418</v>
      </c>
      <c r="D40" s="336" t="s">
        <v>414</v>
      </c>
      <c r="E40" s="337" t="s">
        <v>419</v>
      </c>
      <c r="F40" s="336"/>
      <c r="G40" s="338"/>
      <c r="H40" s="339" t="s">
        <v>418</v>
      </c>
      <c r="I40" s="340" t="s">
        <v>414</v>
      </c>
      <c r="J40" s="341" t="s">
        <v>419</v>
      </c>
      <c r="K40" s="340"/>
      <c r="L40" s="340"/>
      <c r="M40" s="302"/>
      <c r="O40" s="437" t="s">
        <v>468</v>
      </c>
      <c r="P40" s="451">
        <f>P38*P39</f>
        <v>1096.3460411424044</v>
      </c>
      <c r="Q40" s="451">
        <f>Q38</f>
        <v>1241.4712760850443</v>
      </c>
      <c r="R40" s="435"/>
      <c r="S40" s="339" t="s">
        <v>418</v>
      </c>
      <c r="T40" s="340" t="s">
        <v>414</v>
      </c>
      <c r="U40" s="341" t="s">
        <v>419</v>
      </c>
      <c r="V40" s="340"/>
      <c r="W40" s="340"/>
    </row>
    <row r="41" spans="2:23" ht="17.25" thickBot="1">
      <c r="B41" s="389"/>
      <c r="C41" s="342">
        <v>1.1000000000000001</v>
      </c>
      <c r="D41" s="342">
        <v>1.2</v>
      </c>
      <c r="E41" s="342">
        <f>AVERAGE(C41:D41)</f>
        <v>1.1499999999999999</v>
      </c>
      <c r="F41" s="342"/>
      <c r="G41" s="343"/>
      <c r="H41" s="344">
        <v>1.1000000000000001</v>
      </c>
      <c r="I41" s="345">
        <v>1.2</v>
      </c>
      <c r="J41" s="345">
        <f>AVERAGE(H41:I41)</f>
        <v>1.1499999999999999</v>
      </c>
      <c r="K41" s="345"/>
      <c r="L41" s="345"/>
      <c r="M41" s="297"/>
      <c r="O41" s="437" t="s">
        <v>478</v>
      </c>
      <c r="P41" s="452">
        <f>P40/2*L39</f>
        <v>946.85925843263749</v>
      </c>
      <c r="Q41" s="452">
        <f>Q40/2*S39</f>
        <v>999.38437724846062</v>
      </c>
      <c r="R41" s="436"/>
      <c r="S41" s="344">
        <v>1.1000000000000001</v>
      </c>
      <c r="T41" s="345">
        <v>1.2</v>
      </c>
      <c r="U41" s="345">
        <f>AVERAGE(S41:T41)</f>
        <v>1.1499999999999999</v>
      </c>
      <c r="V41" s="345"/>
      <c r="W41" s="345"/>
    </row>
    <row r="42" spans="2:23" ht="17.25" thickBot="1">
      <c r="B42" s="384" t="s">
        <v>256</v>
      </c>
      <c r="C42" s="319" t="s">
        <v>385</v>
      </c>
      <c r="D42" s="319" t="s">
        <v>417</v>
      </c>
      <c r="E42" s="319" t="s">
        <v>420</v>
      </c>
      <c r="F42" s="319"/>
      <c r="G42" s="346"/>
      <c r="H42" s="347" t="s">
        <v>385</v>
      </c>
      <c r="I42" s="316" t="s">
        <v>417</v>
      </c>
      <c r="J42" s="316" t="s">
        <v>420</v>
      </c>
      <c r="K42" s="316"/>
      <c r="L42" s="316"/>
      <c r="M42" s="297"/>
      <c r="O42" s="438" t="s">
        <v>467</v>
      </c>
      <c r="P42" s="453">
        <f>P41/Q41-1</f>
        <v>-5.2557474392822767E-2</v>
      </c>
      <c r="Q42" s="454">
        <f>Q41/P41-1</f>
        <v>5.5472994901871076E-2</v>
      </c>
      <c r="R42" s="440" t="s">
        <v>474</v>
      </c>
      <c r="S42" s="347" t="s">
        <v>385</v>
      </c>
      <c r="T42" s="316" t="s">
        <v>417</v>
      </c>
      <c r="U42" s="316" t="s">
        <v>420</v>
      </c>
      <c r="V42" s="316"/>
      <c r="W42" s="316"/>
    </row>
    <row r="43" spans="2:23" ht="17.25" thickBot="1">
      <c r="B43" s="389"/>
      <c r="C43" s="326">
        <v>0.15</v>
      </c>
      <c r="D43" s="326">
        <v>0.25</v>
      </c>
      <c r="E43" s="326">
        <f>0.078+0.126</f>
        <v>0.20400000000000001</v>
      </c>
      <c r="F43" s="326"/>
      <c r="G43" s="346"/>
      <c r="H43" s="348">
        <v>0.15</v>
      </c>
      <c r="I43" s="320">
        <v>0.25</v>
      </c>
      <c r="J43" s="320">
        <f>0.078+0.126</f>
        <v>0.20400000000000001</v>
      </c>
      <c r="K43" s="320"/>
      <c r="L43" s="316"/>
      <c r="M43" s="303"/>
      <c r="S43" s="348">
        <v>0.15</v>
      </c>
      <c r="T43" s="320">
        <v>0.25</v>
      </c>
      <c r="U43" s="320">
        <f>0.078+0.126</f>
        <v>0.20400000000000001</v>
      </c>
      <c r="V43" s="320"/>
      <c r="W43" s="316"/>
    </row>
    <row r="44" spans="2:23" ht="21" thickTop="1">
      <c r="B44" s="401" t="s">
        <v>462</v>
      </c>
      <c r="C44" s="420" t="s">
        <v>459</v>
      </c>
      <c r="D44" s="421">
        <f>C30*D29</f>
        <v>1021.8663185994982</v>
      </c>
      <c r="E44" s="402"/>
      <c r="F44" s="420" t="s">
        <v>412</v>
      </c>
      <c r="G44" s="422">
        <f>C35*G29</f>
        <v>174.78813085723687</v>
      </c>
      <c r="H44" s="426" t="s">
        <v>459</v>
      </c>
      <c r="I44" s="424">
        <f>H30*I29</f>
        <v>724.07986869169133</v>
      </c>
      <c r="J44" s="403"/>
      <c r="K44" s="425" t="s">
        <v>411</v>
      </c>
      <c r="L44" s="423">
        <f>H35*L29</f>
        <v>152.99696422223221</v>
      </c>
      <c r="M44" s="428" t="s">
        <v>427</v>
      </c>
      <c r="S44" s="426" t="s">
        <v>459</v>
      </c>
      <c r="T44" s="424">
        <f>S30*T29</f>
        <v>620.73563804252217</v>
      </c>
      <c r="U44" s="403"/>
      <c r="V44" s="425" t="s">
        <v>411</v>
      </c>
      <c r="W44" s="423">
        <f>S35*W29</f>
        <v>0</v>
      </c>
    </row>
    <row r="45" spans="2:23" ht="20.25">
      <c r="B45" s="404" t="s">
        <v>437</v>
      </c>
      <c r="C45" s="412" t="s">
        <v>457</v>
      </c>
      <c r="D45" s="415">
        <f>D44/SUM(C44:G44)</f>
        <v>0.85393600388433899</v>
      </c>
      <c r="E45" s="405"/>
      <c r="F45" s="413" t="s">
        <v>457</v>
      </c>
      <c r="G45" s="414">
        <f>G44/SUM(C44:G44)</f>
        <v>0.14606399611566087</v>
      </c>
      <c r="H45" s="419" t="s">
        <v>457</v>
      </c>
      <c r="I45" s="416">
        <f>I44/SUM(H44:L44)</f>
        <v>0.82556036315093573</v>
      </c>
      <c r="J45" s="406"/>
      <c r="K45" s="418" t="s">
        <v>457</v>
      </c>
      <c r="L45" s="417">
        <f>L44/SUM(H44:L44)</f>
        <v>0.17443963684906422</v>
      </c>
      <c r="M45" s="427" t="s">
        <v>461</v>
      </c>
      <c r="S45" s="419" t="s">
        <v>457</v>
      </c>
      <c r="T45" s="416">
        <f>T44/SUM(S44:W44)</f>
        <v>1</v>
      </c>
      <c r="U45" s="406"/>
      <c r="V45" s="418" t="s">
        <v>457</v>
      </c>
      <c r="W45" s="417">
        <f>W44/SUM(S44:W44)</f>
        <v>0</v>
      </c>
    </row>
    <row r="46" spans="2:23" ht="21" thickBot="1">
      <c r="B46" s="407" t="s">
        <v>436</v>
      </c>
      <c r="C46" s="408"/>
      <c r="D46" s="430" t="s">
        <v>182</v>
      </c>
      <c r="E46" s="572">
        <f>D44+G44</f>
        <v>1196.6544494567352</v>
      </c>
      <c r="F46" s="572"/>
      <c r="G46" s="409"/>
      <c r="H46" s="410"/>
      <c r="I46" s="431" t="s">
        <v>458</v>
      </c>
      <c r="J46" s="566">
        <f>I44+L44</f>
        <v>877.07683291392357</v>
      </c>
      <c r="K46" s="566"/>
      <c r="L46" s="411"/>
      <c r="M46" s="429" t="s">
        <v>438</v>
      </c>
      <c r="S46" s="410"/>
      <c r="T46" s="431" t="s">
        <v>458</v>
      </c>
      <c r="U46" s="566">
        <f>T44+W44</f>
        <v>620.73563804252217</v>
      </c>
      <c r="V46" s="566"/>
      <c r="W46" s="411"/>
    </row>
    <row r="47" spans="2:23" ht="161.25" customHeight="1" thickTop="1">
      <c r="B47" s="570" t="s">
        <v>463</v>
      </c>
      <c r="C47" s="571"/>
      <c r="D47" s="571"/>
      <c r="E47" s="571"/>
      <c r="F47" s="571"/>
      <c r="G47" s="571"/>
      <c r="H47" s="571"/>
      <c r="I47" s="571"/>
      <c r="J47" s="571"/>
      <c r="K47" s="571"/>
      <c r="L47" s="571"/>
      <c r="M47" s="571"/>
    </row>
  </sheetData>
  <mergeCells count="22">
    <mergeCell ref="S35:W35"/>
    <mergeCell ref="U46:V46"/>
    <mergeCell ref="S2:W2"/>
    <mergeCell ref="S5:W5"/>
    <mergeCell ref="S15:W15"/>
    <mergeCell ref="S25:W25"/>
    <mergeCell ref="S30:W30"/>
    <mergeCell ref="C2:G2"/>
    <mergeCell ref="H2:L2"/>
    <mergeCell ref="C30:G30"/>
    <mergeCell ref="H30:L30"/>
    <mergeCell ref="C5:G5"/>
    <mergeCell ref="H5:L5"/>
    <mergeCell ref="C15:G15"/>
    <mergeCell ref="H15:L15"/>
    <mergeCell ref="J46:K46"/>
    <mergeCell ref="C25:G25"/>
    <mergeCell ref="H25:L25"/>
    <mergeCell ref="B47:M47"/>
    <mergeCell ref="E46:F46"/>
    <mergeCell ref="C35:G35"/>
    <mergeCell ref="H35:L35"/>
  </mergeCells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8</vt:i4>
      </vt:variant>
    </vt:vector>
  </HeadingPairs>
  <TitlesOfParts>
    <vt:vector size="8" baseType="lpstr">
      <vt:lpstr>맵 정보</vt:lpstr>
      <vt:lpstr>비교&amp;민감도분석</vt:lpstr>
      <vt:lpstr>회칼도적평가시트</vt:lpstr>
      <vt:lpstr>맵티어별_드랍템통계표</vt:lpstr>
      <vt:lpstr>프로젝트_무기숙련테스트</vt:lpstr>
      <vt:lpstr>Sheet1</vt:lpstr>
      <vt:lpstr>Sheet2</vt:lpstr>
      <vt:lpstr>7.19 vs pre7.19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songak</dc:creator>
  <cp:lastModifiedBy>songak</cp:lastModifiedBy>
  <dcterms:created xsi:type="dcterms:W3CDTF">2023-06-09T01:26:20Z</dcterms:created>
  <dcterms:modified xsi:type="dcterms:W3CDTF">2023-07-28T07:16:51Z</dcterms:modified>
</cp:coreProperties>
</file>