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15" windowWidth="27735" windowHeight="13950"/>
  </bookViews>
  <sheets>
    <sheet name="Effective Health Calc (3)" sheetId="1" r:id="rId1"/>
    <sheet name="Gem EHP Calculator" sheetId="2" r:id="rId2"/>
  </sheets>
  <calcPr calcId="144525"/>
  <extLst>
    <ext uri="GoogleSheetsCustomDataVersion2">
      <go:sheetsCustomData xmlns:go="http://customooxmlschemas.google.com/" r:id="rId6" roundtripDataChecksum="JqIazv882c9TkDunX0LScSu7nnEtBpHibRGjReg/hzE="/>
    </ext>
  </extLst>
</workbook>
</file>

<file path=xl/calcChain.xml><?xml version="1.0" encoding="utf-8"?>
<calcChain xmlns="http://schemas.openxmlformats.org/spreadsheetml/2006/main">
  <c r="C78" i="2" l="1"/>
  <c r="C77" i="2"/>
  <c r="C76" i="2"/>
  <c r="C75" i="2"/>
  <c r="C74" i="2"/>
  <c r="C73" i="2"/>
  <c r="C72" i="2"/>
  <c r="O71" i="2"/>
  <c r="C71" i="2"/>
  <c r="C70" i="2"/>
  <c r="C69" i="2"/>
  <c r="O68" i="2"/>
  <c r="C68" i="2"/>
  <c r="C67" i="2"/>
  <c r="C66" i="2"/>
  <c r="C65" i="2"/>
  <c r="C64" i="2"/>
  <c r="C63" i="2"/>
  <c r="C62" i="2"/>
  <c r="C61" i="2"/>
  <c r="C60" i="2"/>
  <c r="F59" i="2"/>
  <c r="C59" i="2"/>
  <c r="F58" i="2"/>
  <c r="C58" i="2"/>
  <c r="F57" i="2"/>
  <c r="C57" i="2"/>
  <c r="F56" i="2"/>
  <c r="C56" i="2"/>
  <c r="F55" i="2"/>
  <c r="C55" i="2"/>
  <c r="C54" i="2"/>
  <c r="R53" i="2"/>
  <c r="O53" i="2"/>
  <c r="O58" i="2" s="1"/>
  <c r="Q58" i="2" s="1"/>
  <c r="O63" i="2" s="1"/>
  <c r="C53" i="2"/>
  <c r="C52" i="2"/>
  <c r="C40" i="2"/>
  <c r="C39" i="2"/>
  <c r="C38" i="2"/>
  <c r="C37" i="2"/>
  <c r="C36" i="2"/>
  <c r="C35" i="2"/>
  <c r="C34" i="2"/>
  <c r="O33" i="2"/>
  <c r="C33" i="2"/>
  <c r="C32" i="2"/>
  <c r="C31" i="2"/>
  <c r="O30" i="2"/>
  <c r="C30" i="2"/>
  <c r="C29" i="2"/>
  <c r="C28" i="2"/>
  <c r="C27" i="2"/>
  <c r="C26" i="2"/>
  <c r="C25" i="2"/>
  <c r="C24" i="2"/>
  <c r="C23" i="2"/>
  <c r="C22" i="2"/>
  <c r="F21" i="2"/>
  <c r="C21" i="2"/>
  <c r="F20" i="2"/>
  <c r="C20" i="2"/>
  <c r="F19" i="2"/>
  <c r="C19" i="2"/>
  <c r="F18" i="2"/>
  <c r="C18" i="2"/>
  <c r="F17" i="2"/>
  <c r="C17" i="2"/>
  <c r="C16" i="2"/>
  <c r="R15" i="2"/>
  <c r="O20" i="2" s="1"/>
  <c r="Q20" i="2" s="1"/>
  <c r="O25" i="2" s="1"/>
  <c r="O15" i="2"/>
  <c r="C15" i="2"/>
  <c r="C14" i="2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J48" i="1"/>
  <c r="J50" i="1" s="1"/>
  <c r="C48" i="1"/>
  <c r="C47" i="1"/>
  <c r="C46" i="1"/>
  <c r="C45" i="1"/>
  <c r="C44" i="1"/>
  <c r="C43" i="1"/>
  <c r="C42" i="1"/>
  <c r="C41" i="1"/>
  <c r="C40" i="1"/>
  <c r="C39" i="1"/>
  <c r="C38" i="1"/>
  <c r="G37" i="1"/>
  <c r="C37" i="1"/>
  <c r="C36" i="1"/>
  <c r="C35" i="1"/>
  <c r="C34" i="1"/>
  <c r="C33" i="1"/>
  <c r="G32" i="1"/>
  <c r="C32" i="1"/>
  <c r="C31" i="1"/>
  <c r="C30" i="1"/>
  <c r="I29" i="1"/>
  <c r="C29" i="1"/>
  <c r="C28" i="1"/>
  <c r="C27" i="1"/>
  <c r="C26" i="1"/>
  <c r="C25" i="1"/>
  <c r="C24" i="1"/>
  <c r="C23" i="1"/>
  <c r="C22" i="1"/>
  <c r="C21" i="1"/>
  <c r="C20" i="1"/>
  <c r="G19" i="1"/>
  <c r="I19" i="1" s="1"/>
  <c r="C19" i="1"/>
  <c r="G18" i="1"/>
  <c r="I18" i="1" s="1"/>
  <c r="C18" i="1"/>
  <c r="G17" i="1"/>
  <c r="I17" i="1" s="1"/>
  <c r="C17" i="1"/>
  <c r="C16" i="1"/>
  <c r="C15" i="1"/>
  <c r="C14" i="1"/>
  <c r="C13" i="1"/>
  <c r="C12" i="1"/>
  <c r="C11" i="1"/>
  <c r="C10" i="1"/>
  <c r="C9" i="1"/>
  <c r="H8" i="1"/>
  <c r="F50" i="1" l="1"/>
  <c r="E46" i="1"/>
  <c r="F58" i="1"/>
  <c r="F59" i="1" s="1"/>
  <c r="E43" i="1"/>
</calcChain>
</file>

<file path=xl/sharedStrings.xml><?xml version="1.0" encoding="utf-8"?>
<sst xmlns="http://schemas.openxmlformats.org/spreadsheetml/2006/main" count="94" uniqueCount="73">
  <si>
    <t>DIRECTIONS:</t>
  </si>
  <si>
    <t>GREEN cells: Inputs that you put in for YOUR CHARACTER</t>
  </si>
  <si>
    <t>RED cells:  never type into these, these are for formula use</t>
  </si>
  <si>
    <t>YELLOW cells are the outputs numbers that you care about "the answer", don't type into these</t>
  </si>
  <si>
    <t>Orange cells are additional important notes</t>
  </si>
  <si>
    <t>Effective Health Calculator (put all DR % below from each DR source that applies)</t>
  </si>
  <si>
    <t>Types of DR</t>
  </si>
  <si>
    <t>Put all of your DR %'s in this column</t>
  </si>
  <si>
    <t>Don't touch this column</t>
  </si>
  <si>
    <t>Put your max HP here</t>
  </si>
  <si>
    <t>Effective Health</t>
  </si>
  <si>
    <t>Armor</t>
  </si>
  <si>
    <t>DR All</t>
  </si>
  <si>
    <t>DR Close</t>
  </si>
  <si>
    <t>Use this to compare adding DR % vs Life vs Armor on your gear</t>
  </si>
  <si>
    <t>Change in effective life (multiplier) - bigger is better</t>
  </si>
  <si>
    <t>current life</t>
  </si>
  <si>
    <t>current armor</t>
  </si>
  <si>
    <t>Monster level</t>
  </si>
  <si>
    <t>Monster level is only needed for armor comparison</t>
  </si>
  <si>
    <t>dr% added</t>
  </si>
  <si>
    <t>percent increase in effective health from DR%</t>
  </si>
  <si>
    <t>life added</t>
  </si>
  <si>
    <t>percent increase in effective health from added life</t>
  </si>
  <si>
    <t>armor added</t>
  </si>
  <si>
    <t>percent increase in effective health from added armor</t>
  </si>
  <si>
    <t>NOTE: The armor comparison will cap out your max DR from armor at 85%, so once you get really close to 85% DR from armor, it may not do much.</t>
  </si>
  <si>
    <t>NOTE: The calculator only works well for values ABOVE 35% DR.</t>
  </si>
  <si>
    <t>Armor/DR % Calculator</t>
  </si>
  <si>
    <t>DR from armor calculator  (85% DR from armor is cap)</t>
  </si>
  <si>
    <t>Monster Level</t>
  </si>
  <si>
    <t>Your Damage Reduction Percent From armor</t>
  </si>
  <si>
    <t>Mob Level From Nightmare Dungeon Level</t>
  </si>
  <si>
    <t>Nightmare Dungeon Tier Level</t>
  </si>
  <si>
    <t>Mob Level in nightmare dungeon</t>
  </si>
  <si>
    <t>Max Armor Needed To Reach DR Cap (85%) Calculator</t>
  </si>
  <si>
    <t>Armor needed to reach cap DR (85%)</t>
  </si>
  <si>
    <t>Base Life and Disobedience armor Calculator</t>
  </si>
  <si>
    <t>your armor on stat sheet</t>
  </si>
  <si>
    <t>armor with 30% disobedience calc (MUST FILL IN+% ARMOR VALUES -&gt;&gt;&gt;&gt;)</t>
  </si>
  <si>
    <t>put your +armor % here for each piece</t>
  </si>
  <si>
    <t>helmet</t>
  </si>
  <si>
    <t>legs</t>
  </si>
  <si>
    <t>Armor with 45% disobedience</t>
  </si>
  <si>
    <t>chest</t>
  </si>
  <si>
    <t>amulet</t>
  </si>
  <si>
    <t>total +armor %</t>
  </si>
  <si>
    <t>Custom Disobedience %</t>
  </si>
  <si>
    <t>Custom Disobedience</t>
  </si>
  <si>
    <t>base armor</t>
  </si>
  <si>
    <t>Armor gained from % Armor Calculator (must fill in disobedience armor calculator above)</t>
  </si>
  <si>
    <t>% armor added</t>
  </si>
  <si>
    <t>New total armor</t>
  </si>
  <si>
    <t>Ruby EHP calculator  WITH RUBIES EQUIPPED (scroll down for the calculator without rubies equipped)</t>
  </si>
  <si>
    <t>Max Life in game WITH RUBIES EQUIPPED</t>
  </si>
  <si>
    <t>List all of your max life % multpliers below from paragon/skills</t>
  </si>
  <si>
    <t>Put your life from gear here</t>
  </si>
  <si>
    <t>Helm</t>
  </si>
  <si>
    <t>Max Life % Total</t>
  </si>
  <si>
    <t>Total Life from gear</t>
  </si>
  <si>
    <t>Chest</t>
  </si>
  <si>
    <t>List all of your % life from your rubies below</t>
  </si>
  <si>
    <t>Legs</t>
  </si>
  <si>
    <t>Ring</t>
  </si>
  <si>
    <t>Base Life</t>
  </si>
  <si>
    <t>Your life WITHOUT rubies</t>
  </si>
  <si>
    <t>Your EHP Multiplier from Rubies = Max life / Life without rubies</t>
  </si>
  <si>
    <t>Your EHP Multiplier from Sapphire</t>
  </si>
  <si>
    <t>Your EHP Multiplier from Topaz</t>
  </si>
  <si>
    <t>Ruby EHP calculator  WITHOUT Rubies equipped</t>
  </si>
  <si>
    <t>Max Life in game WITHOUT RUBIES EQUIPPED</t>
  </si>
  <si>
    <t>List all of your % life from your rubies below that you will be equipping</t>
  </si>
  <si>
    <t>Your life WITH rubies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</si>
</sst>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0"/>
      <color rgb="FF000000"/>
      <name val="Calibri"/>
    </font>
    <font>
      <sz val="8"/>
      <name val="Calibri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7C80"/>
        <bgColor rgb="FFFF7C80"/>
      </patternFill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FF0000"/>
        <bgColor rgb="FFFF0000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6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3" fillId="7" borderId="1" xfId="0" applyFont="1" applyFill="1" applyBorder="1"/>
    <xf numFmtId="0" fontId="3" fillId="6" borderId="1" xfId="0" applyFont="1" applyFill="1" applyBorder="1"/>
    <xf numFmtId="0" fontId="3" fillId="6" borderId="6" xfId="0" applyFont="1" applyFill="1" applyBorder="1"/>
    <xf numFmtId="0" fontId="2" fillId="7" borderId="1" xfId="0" applyFont="1" applyFill="1" applyBorder="1"/>
    <xf numFmtId="0" fontId="1" fillId="0" borderId="7" xfId="0" applyFont="1" applyBorder="1"/>
    <xf numFmtId="10" fontId="2" fillId="2" borderId="8" xfId="0" applyNumberFormat="1" applyFont="1" applyFill="1" applyBorder="1"/>
    <xf numFmtId="10" fontId="2" fillId="7" borderId="1" xfId="0" applyNumberFormat="1" applyFont="1" applyFill="1" applyBorder="1"/>
    <xf numFmtId="0" fontId="3" fillId="8" borderId="9" xfId="0" applyFont="1" applyFill="1" applyBorder="1"/>
    <xf numFmtId="0" fontId="3" fillId="8" borderId="1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/>
    <xf numFmtId="0" fontId="2" fillId="0" borderId="14" xfId="0" applyFont="1" applyBorder="1"/>
    <xf numFmtId="0" fontId="2" fillId="0" borderId="0" xfId="0" applyFont="1" applyAlignment="1">
      <alignment horizontal="right"/>
    </xf>
    <xf numFmtId="0" fontId="2" fillId="9" borderId="15" xfId="0" applyFont="1" applyFill="1" applyBorder="1"/>
    <xf numFmtId="0" fontId="2" fillId="9" borderId="16" xfId="0" applyFont="1" applyFill="1" applyBorder="1"/>
    <xf numFmtId="9" fontId="2" fillId="9" borderId="16" xfId="0" applyNumberFormat="1" applyFont="1" applyFill="1" applyBorder="1"/>
    <xf numFmtId="176" fontId="2" fillId="3" borderId="17" xfId="0" applyNumberFormat="1" applyFont="1" applyFill="1" applyBorder="1"/>
    <xf numFmtId="10" fontId="2" fillId="4" borderId="1" xfId="0" applyNumberFormat="1" applyFont="1" applyFill="1" applyBorder="1"/>
    <xf numFmtId="176" fontId="2" fillId="3" borderId="18" xfId="0" applyNumberFormat="1" applyFont="1" applyFill="1" applyBorder="1"/>
    <xf numFmtId="0" fontId="2" fillId="0" borderId="19" xfId="0" applyFont="1" applyBorder="1"/>
    <xf numFmtId="0" fontId="2" fillId="9" borderId="20" xfId="0" applyFont="1" applyFill="1" applyBorder="1"/>
    <xf numFmtId="176" fontId="2" fillId="3" borderId="21" xfId="0" applyNumberFormat="1" applyFont="1" applyFill="1" applyBorder="1"/>
    <xf numFmtId="0" fontId="2" fillId="0" borderId="22" xfId="0" applyFont="1" applyBorder="1"/>
    <xf numFmtId="10" fontId="2" fillId="4" borderId="23" xfId="0" applyNumberFormat="1" applyFont="1" applyFill="1" applyBorder="1"/>
    <xf numFmtId="0" fontId="2" fillId="4" borderId="23" xfId="0" applyFont="1" applyFill="1" applyBorder="1"/>
    <xf numFmtId="0" fontId="2" fillId="0" borderId="24" xfId="0" applyFont="1" applyBorder="1"/>
    <xf numFmtId="0" fontId="2" fillId="5" borderId="25" xfId="0" applyFont="1" applyFill="1" applyBorder="1" applyAlignment="1">
      <alignment vertical="center"/>
    </xf>
    <xf numFmtId="0" fontId="2" fillId="5" borderId="25" xfId="0" applyFont="1" applyFill="1" applyBorder="1" applyAlignment="1">
      <alignment wrapText="1"/>
    </xf>
    <xf numFmtId="0" fontId="3" fillId="6" borderId="9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2" fillId="8" borderId="9" xfId="0" applyFont="1" applyFill="1" applyBorder="1"/>
    <xf numFmtId="0" fontId="2" fillId="8" borderId="10" xfId="0" applyFont="1" applyFill="1" applyBorder="1"/>
    <xf numFmtId="0" fontId="3" fillId="0" borderId="14" xfId="0" applyFont="1" applyBorder="1"/>
    <xf numFmtId="0" fontId="4" fillId="0" borderId="0" xfId="0" applyFont="1"/>
    <xf numFmtId="0" fontId="2" fillId="2" borderId="26" xfId="0" applyFont="1" applyFill="1" applyBorder="1"/>
    <xf numFmtId="0" fontId="2" fillId="10" borderId="23" xfId="0" applyFont="1" applyFill="1" applyBorder="1"/>
    <xf numFmtId="0" fontId="2" fillId="2" borderId="23" xfId="0" applyFont="1" applyFill="1" applyBorder="1"/>
    <xf numFmtId="0" fontId="2" fillId="10" borderId="10" xfId="0" applyFont="1" applyFill="1" applyBorder="1"/>
    <xf numFmtId="0" fontId="2" fillId="2" borderId="27" xfId="0" applyFont="1" applyFill="1" applyBorder="1"/>
    <xf numFmtId="0" fontId="2" fillId="8" borderId="27" xfId="0" applyFont="1" applyFill="1" applyBorder="1"/>
    <xf numFmtId="0" fontId="2" fillId="8" borderId="1" xfId="0" applyFont="1" applyFill="1" applyBorder="1"/>
    <xf numFmtId="2" fontId="2" fillId="4" borderId="1" xfId="0" applyNumberFormat="1" applyFont="1" applyFill="1" applyBorder="1"/>
    <xf numFmtId="0" fontId="3" fillId="0" borderId="13" xfId="0" applyFont="1" applyBorder="1"/>
    <xf numFmtId="0" fontId="3" fillId="10" borderId="1" xfId="0" applyFont="1" applyFill="1" applyBorder="1"/>
    <xf numFmtId="0" fontId="2" fillId="10" borderId="1" xfId="0" applyFont="1" applyFill="1" applyBorder="1"/>
    <xf numFmtId="10" fontId="2" fillId="10" borderId="1" xfId="0" applyNumberFormat="1" applyFont="1" applyFill="1" applyBorder="1"/>
    <xf numFmtId="0" fontId="3" fillId="10" borderId="27" xfId="0" applyFont="1" applyFill="1" applyBorder="1"/>
    <xf numFmtId="0" fontId="3" fillId="0" borderId="0" xfId="0" applyFont="1"/>
    <xf numFmtId="2" fontId="2" fillId="4" borderId="8" xfId="0" applyNumberFormat="1" applyFont="1" applyFill="1" applyBorder="1"/>
    <xf numFmtId="10" fontId="2" fillId="2" borderId="15" xfId="0" applyNumberFormat="1" applyFont="1" applyFill="1" applyBorder="1"/>
    <xf numFmtId="10" fontId="2" fillId="2" borderId="16" xfId="0" applyNumberFormat="1" applyFont="1" applyFill="1" applyBorder="1"/>
    <xf numFmtId="0" fontId="2" fillId="4" borderId="8" xfId="0" applyFont="1" applyFill="1" applyBorder="1"/>
    <xf numFmtId="10" fontId="2" fillId="2" borderId="20" xfId="0" applyNumberFormat="1" applyFont="1" applyFill="1" applyBorder="1"/>
    <xf numFmtId="10" fontId="2" fillId="0" borderId="0" xfId="0" applyNumberFormat="1" applyFont="1"/>
    <xf numFmtId="10" fontId="2" fillId="3" borderId="1" xfId="0" applyNumberFormat="1" applyFont="1" applyFill="1" applyBorder="1"/>
    <xf numFmtId="0" fontId="2" fillId="0" borderId="13" xfId="0" applyFont="1" applyBorder="1" applyAlignment="1"/>
    <xf numFmtId="0" fontId="1" fillId="0" borderId="0" xfId="0" applyFont="1" applyAlignment="1"/>
    <xf numFmtId="9" fontId="2" fillId="11" borderId="13" xfId="0" applyNumberFormat="1" applyFont="1" applyFill="1" applyBorder="1" applyAlignment="1"/>
    <xf numFmtId="0" fontId="1" fillId="4" borderId="0" xfId="0" applyFont="1" applyFill="1"/>
    <xf numFmtId="0" fontId="2" fillId="10" borderId="27" xfId="0" applyFont="1" applyFill="1" applyBorder="1"/>
    <xf numFmtId="10" fontId="2" fillId="10" borderId="26" xfId="0" applyNumberFormat="1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10" fontId="2" fillId="12" borderId="1" xfId="0" applyNumberFormat="1" applyFont="1" applyFill="1" applyBorder="1"/>
    <xf numFmtId="0" fontId="2" fillId="3" borderId="23" xfId="0" applyFont="1" applyFill="1" applyBorder="1"/>
    <xf numFmtId="0" fontId="2" fillId="0" borderId="28" xfId="0" applyFont="1" applyBorder="1"/>
    <xf numFmtId="9" fontId="2" fillId="2" borderId="27" xfId="0" applyNumberFormat="1" applyFont="1" applyFill="1" applyBorder="1"/>
    <xf numFmtId="9" fontId="2" fillId="3" borderId="1" xfId="0" applyNumberFormat="1" applyFont="1" applyFill="1" applyBorder="1"/>
    <xf numFmtId="0" fontId="2" fillId="9" borderId="1" xfId="0" applyFont="1" applyFill="1" applyBorder="1"/>
    <xf numFmtId="176" fontId="2" fillId="3" borderId="1" xfId="0" applyNumberFormat="1" applyFont="1" applyFill="1" applyBorder="1"/>
    <xf numFmtId="9" fontId="2" fillId="2" borderId="1" xfId="0" applyNumberFormat="1" applyFont="1" applyFill="1" applyBorder="1"/>
    <xf numFmtId="0" fontId="2" fillId="4" borderId="29" xfId="0" applyFont="1" applyFill="1" applyBorder="1"/>
    <xf numFmtId="9" fontId="2" fillId="2" borderId="26" xfId="0" applyNumberFormat="1" applyFont="1" applyFill="1" applyBorder="1"/>
    <xf numFmtId="9" fontId="2" fillId="3" borderId="23" xfId="0" applyNumberFormat="1" applyFont="1" applyFill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topLeftCell="A7" workbookViewId="0">
      <selection activeCell="O32" sqref="O32"/>
    </sheetView>
  </sheetViews>
  <sheetFormatPr defaultColWidth="14.42578125" defaultRowHeight="15" customHeight="1" x14ac:dyDescent="0.25"/>
  <cols>
    <col min="1" max="1" width="19.42578125" customWidth="1"/>
    <col min="2" max="2" width="32.28515625" customWidth="1"/>
    <col min="3" max="3" width="22" customWidth="1"/>
    <col min="4" max="4" width="8.7109375" customWidth="1"/>
    <col min="5" max="5" width="24.42578125" customWidth="1"/>
    <col min="6" max="8" width="8.7109375" customWidth="1"/>
    <col min="9" max="9" width="14.42578125" customWidth="1"/>
    <col min="10" max="10" width="11.140625" customWidth="1"/>
    <col min="11" max="11" width="8.7109375" customWidth="1"/>
    <col min="12" max="12" width="13.85546875" customWidth="1"/>
    <col min="13" max="13" width="8.7109375" customWidth="1"/>
    <col min="14" max="14" width="22.5703125" customWidth="1"/>
    <col min="15" max="26" width="8.7109375" customWidth="1"/>
  </cols>
  <sheetData>
    <row r="1" spans="1:15" x14ac:dyDescent="0.25">
      <c r="A1" s="1" t="s">
        <v>0</v>
      </c>
      <c r="B1" s="2" t="s">
        <v>1</v>
      </c>
      <c r="C1" s="2"/>
    </row>
    <row r="2" spans="1:15" x14ac:dyDescent="0.25">
      <c r="B2" s="3" t="s">
        <v>2</v>
      </c>
      <c r="C2" s="3"/>
    </row>
    <row r="3" spans="1:15" x14ac:dyDescent="0.25">
      <c r="B3" s="4" t="s">
        <v>3</v>
      </c>
      <c r="C3" s="4"/>
      <c r="D3" s="4"/>
      <c r="E3" s="4"/>
    </row>
    <row r="4" spans="1:15" x14ac:dyDescent="0.25">
      <c r="B4" s="5" t="s">
        <v>4</v>
      </c>
      <c r="C4" s="5"/>
    </row>
    <row r="5" spans="1:15" x14ac:dyDescent="0.25">
      <c r="B5" s="6"/>
      <c r="C5" s="6"/>
    </row>
    <row r="6" spans="1:15" x14ac:dyDescent="0.25">
      <c r="A6" s="7" t="s">
        <v>5</v>
      </c>
      <c r="B6" s="7"/>
      <c r="C6" s="7"/>
      <c r="D6" s="8"/>
      <c r="E6" s="8"/>
      <c r="F6" s="8"/>
      <c r="G6" s="8"/>
      <c r="H6" s="8"/>
      <c r="I6" s="9"/>
    </row>
    <row r="7" spans="1:15" x14ac:dyDescent="0.25">
      <c r="A7" s="1" t="s">
        <v>6</v>
      </c>
      <c r="B7" s="1" t="s">
        <v>7</v>
      </c>
      <c r="C7" s="10" t="s">
        <v>8</v>
      </c>
      <c r="E7" s="1" t="s">
        <v>9</v>
      </c>
      <c r="H7" s="11" t="s">
        <v>10</v>
      </c>
      <c r="I7" s="12"/>
    </row>
    <row r="8" spans="1:15" x14ac:dyDescent="0.25">
      <c r="C8" s="13"/>
      <c r="E8" s="2">
        <v>13800</v>
      </c>
      <c r="H8" s="4">
        <f>E8/(PRODUCT(C9:C102))</f>
        <v>122666.66666666664</v>
      </c>
      <c r="I8" s="14"/>
    </row>
    <row r="9" spans="1:15" x14ac:dyDescent="0.25">
      <c r="A9" s="1" t="s">
        <v>11</v>
      </c>
      <c r="B9" s="15">
        <v>0.85</v>
      </c>
      <c r="C9" s="16">
        <f t="shared" ref="C9:C102" si="0">1-B9</f>
        <v>0.15000000000000002</v>
      </c>
      <c r="I9" s="14"/>
    </row>
    <row r="10" spans="1:15" x14ac:dyDescent="0.25">
      <c r="A10" s="1" t="s">
        <v>12</v>
      </c>
      <c r="B10" s="15">
        <v>0.25</v>
      </c>
      <c r="C10" s="16">
        <f t="shared" si="0"/>
        <v>0.75</v>
      </c>
      <c r="I10" s="14"/>
    </row>
    <row r="11" spans="1:15" x14ac:dyDescent="0.25">
      <c r="A11" s="1" t="s">
        <v>13</v>
      </c>
      <c r="B11" s="15"/>
      <c r="C11" s="16">
        <f t="shared" si="0"/>
        <v>1</v>
      </c>
      <c r="E11" s="17" t="s">
        <v>14</v>
      </c>
      <c r="F11" s="18"/>
      <c r="G11" s="18"/>
      <c r="H11" s="18"/>
      <c r="I11" s="18"/>
      <c r="J11" s="19"/>
      <c r="K11" s="19"/>
      <c r="L11" s="19"/>
      <c r="M11" s="19"/>
      <c r="N11" s="19"/>
      <c r="O11" s="20"/>
    </row>
    <row r="12" spans="1:15" x14ac:dyDescent="0.25">
      <c r="B12" s="15"/>
      <c r="C12" s="16">
        <f t="shared" si="0"/>
        <v>1</v>
      </c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1:15" x14ac:dyDescent="0.25">
      <c r="B13" s="15"/>
      <c r="C13" s="16">
        <f t="shared" si="0"/>
        <v>1</v>
      </c>
      <c r="E13" s="21"/>
      <c r="F13" s="24"/>
      <c r="G13" s="22" t="s">
        <v>15</v>
      </c>
      <c r="H13" s="22"/>
      <c r="I13" s="22"/>
      <c r="J13" s="22"/>
      <c r="K13" s="22"/>
      <c r="L13" s="22"/>
      <c r="M13" s="22"/>
      <c r="N13" s="22"/>
      <c r="O13" s="23"/>
    </row>
    <row r="14" spans="1:15" x14ac:dyDescent="0.25">
      <c r="B14" s="15"/>
      <c r="C14" s="16">
        <f t="shared" si="0"/>
        <v>1</v>
      </c>
      <c r="E14" s="21" t="s">
        <v>16</v>
      </c>
      <c r="F14" s="25">
        <v>13800</v>
      </c>
      <c r="G14" s="22"/>
      <c r="H14" s="22"/>
      <c r="I14" s="22"/>
      <c r="J14" s="22"/>
      <c r="K14" s="22"/>
      <c r="L14" s="22"/>
      <c r="M14" s="22"/>
      <c r="N14" s="22"/>
      <c r="O14" s="23"/>
    </row>
    <row r="15" spans="1:15" x14ac:dyDescent="0.25">
      <c r="B15" s="15"/>
      <c r="C15" s="16">
        <f t="shared" si="0"/>
        <v>1</v>
      </c>
      <c r="E15" s="21" t="s">
        <v>17</v>
      </c>
      <c r="F15" s="26">
        <v>10125</v>
      </c>
      <c r="G15" s="22"/>
      <c r="H15" s="22"/>
      <c r="I15" s="22"/>
      <c r="J15" s="22"/>
      <c r="K15" s="22"/>
      <c r="L15" s="22"/>
      <c r="M15" s="22"/>
      <c r="N15" s="22"/>
      <c r="O15" s="23"/>
    </row>
    <row r="16" spans="1:15" x14ac:dyDescent="0.25">
      <c r="B16" s="15"/>
      <c r="C16" s="16">
        <f t="shared" si="0"/>
        <v>1</v>
      </c>
      <c r="E16" s="21" t="s">
        <v>18</v>
      </c>
      <c r="F16" s="26">
        <v>154</v>
      </c>
      <c r="G16" s="5" t="s">
        <v>19</v>
      </c>
      <c r="H16" s="5"/>
      <c r="I16" s="5"/>
      <c r="J16" s="5"/>
      <c r="K16" s="22"/>
      <c r="L16" s="22"/>
      <c r="M16" s="22"/>
      <c r="N16" s="22"/>
      <c r="O16" s="23"/>
    </row>
    <row r="17" spans="2:17" x14ac:dyDescent="0.25">
      <c r="B17" s="15"/>
      <c r="C17" s="16">
        <f t="shared" si="0"/>
        <v>1</v>
      </c>
      <c r="E17" s="21" t="s">
        <v>20</v>
      </c>
      <c r="F17" s="27">
        <v>0.1</v>
      </c>
      <c r="G17" s="28">
        <f>1/(1-F17)</f>
        <v>1.1111111111111112</v>
      </c>
      <c r="H17" s="22"/>
      <c r="I17" s="29">
        <f t="shared" ref="I17:I19" si="1">G17-1</f>
        <v>0.11111111111111116</v>
      </c>
      <c r="J17" s="4" t="s">
        <v>21</v>
      </c>
      <c r="K17" s="4"/>
      <c r="L17" s="4"/>
      <c r="M17" s="4"/>
      <c r="N17" s="4"/>
      <c r="O17" s="23"/>
    </row>
    <row r="18" spans="2:17" x14ac:dyDescent="0.25">
      <c r="B18" s="15"/>
      <c r="C18" s="16">
        <f t="shared" si="0"/>
        <v>1</v>
      </c>
      <c r="E18" s="21" t="s">
        <v>22</v>
      </c>
      <c r="F18" s="26">
        <v>1000</v>
      </c>
      <c r="G18" s="30">
        <f>F18/F14+1</f>
        <v>1.0724637681159421</v>
      </c>
      <c r="H18" s="22"/>
      <c r="I18" s="29">
        <f t="shared" si="1"/>
        <v>7.2463768115942129E-2</v>
      </c>
      <c r="J18" s="4" t="s">
        <v>23</v>
      </c>
      <c r="K18" s="4"/>
      <c r="L18" s="4"/>
      <c r="M18" s="4"/>
      <c r="N18" s="4"/>
      <c r="O18" s="23"/>
    </row>
    <row r="19" spans="2:17" x14ac:dyDescent="0.25">
      <c r="B19" s="15"/>
      <c r="C19" s="16">
        <f t="shared" si="0"/>
        <v>1</v>
      </c>
      <c r="E19" s="31" t="s">
        <v>24</v>
      </c>
      <c r="F19" s="32">
        <v>456</v>
      </c>
      <c r="G19" s="33">
        <f>1/(1-(MIN(((0.00759*F16^-0.88165)*((F15+F19)-614.747)-0.27596),85%)-MIN(((0.00759*F16^-0.88165)*(F15-614.747)-0.27596),85%))/(1-MIN(((0.00759*F16^-0.88165)*(F15-614.747)-0.27596),85%)))</f>
        <v>1.1061170277245163</v>
      </c>
      <c r="H19" s="34"/>
      <c r="I19" s="35">
        <f t="shared" si="1"/>
        <v>0.10611702772451626</v>
      </c>
      <c r="J19" s="36" t="s">
        <v>25</v>
      </c>
      <c r="K19" s="36"/>
      <c r="L19" s="36"/>
      <c r="M19" s="36"/>
      <c r="N19" s="36"/>
      <c r="O19" s="37"/>
    </row>
    <row r="20" spans="2:17" x14ac:dyDescent="0.25">
      <c r="B20" s="15"/>
      <c r="C20" s="16">
        <f t="shared" si="0"/>
        <v>1</v>
      </c>
      <c r="E20" s="5" t="s">
        <v>26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ht="15.75" customHeight="1" x14ac:dyDescent="0.25">
      <c r="B21" s="15"/>
      <c r="C21" s="16">
        <f t="shared" si="0"/>
        <v>1</v>
      </c>
    </row>
    <row r="22" spans="2:17" ht="15.75" customHeight="1" x14ac:dyDescent="0.25">
      <c r="B22" s="15"/>
      <c r="C22" s="16">
        <f t="shared" si="0"/>
        <v>1</v>
      </c>
    </row>
    <row r="23" spans="2:17" ht="15.75" customHeight="1" x14ac:dyDescent="0.25">
      <c r="B23" s="15"/>
      <c r="C23" s="16">
        <f t="shared" si="0"/>
        <v>1</v>
      </c>
      <c r="E23" s="38" t="s">
        <v>27</v>
      </c>
      <c r="F23" s="39"/>
      <c r="G23" s="39"/>
      <c r="H23" s="39"/>
      <c r="I23" s="5"/>
    </row>
    <row r="24" spans="2:17" ht="15.75" customHeight="1" x14ac:dyDescent="0.25">
      <c r="B24" s="15"/>
      <c r="C24" s="16">
        <f t="shared" si="0"/>
        <v>1</v>
      </c>
      <c r="E24" s="40" t="s">
        <v>28</v>
      </c>
      <c r="F24" s="41"/>
      <c r="G24" s="41"/>
      <c r="H24" s="41"/>
      <c r="I24" s="41"/>
      <c r="J24" s="41"/>
      <c r="K24" s="41"/>
      <c r="L24" s="41"/>
      <c r="M24" s="42"/>
    </row>
    <row r="25" spans="2:17" ht="15.75" customHeight="1" x14ac:dyDescent="0.25">
      <c r="B25" s="15"/>
      <c r="C25" s="16">
        <f t="shared" si="0"/>
        <v>1</v>
      </c>
      <c r="E25" s="21"/>
      <c r="M25" s="23"/>
    </row>
    <row r="26" spans="2:17" ht="15.75" customHeight="1" x14ac:dyDescent="0.25">
      <c r="B26" s="15"/>
      <c r="C26" s="16">
        <f t="shared" si="0"/>
        <v>1</v>
      </c>
      <c r="E26" s="43" t="s">
        <v>29</v>
      </c>
      <c r="F26" s="44"/>
      <c r="G26" s="44"/>
      <c r="H26" s="44"/>
      <c r="I26" s="19"/>
      <c r="J26" s="19"/>
      <c r="K26" s="19"/>
      <c r="L26" s="20"/>
      <c r="M26" s="45"/>
    </row>
    <row r="27" spans="2:17" ht="15.75" customHeight="1" x14ac:dyDescent="0.25">
      <c r="B27" s="15"/>
      <c r="C27" s="16">
        <f t="shared" si="0"/>
        <v>1</v>
      </c>
      <c r="E27" s="21"/>
      <c r="L27" s="23"/>
      <c r="M27" s="23"/>
    </row>
    <row r="28" spans="2:17" ht="15.75" customHeight="1" x14ac:dyDescent="0.25">
      <c r="B28" s="15"/>
      <c r="C28" s="16">
        <f t="shared" si="0"/>
        <v>1</v>
      </c>
      <c r="E28" s="21" t="s">
        <v>11</v>
      </c>
      <c r="G28" s="1" t="s">
        <v>30</v>
      </c>
      <c r="I28" s="46" t="s">
        <v>31</v>
      </c>
      <c r="L28" s="23"/>
      <c r="M28" s="23"/>
    </row>
    <row r="29" spans="2:17" ht="15.75" customHeight="1" x14ac:dyDescent="0.25">
      <c r="B29" s="15"/>
      <c r="C29" s="16">
        <f t="shared" si="0"/>
        <v>1</v>
      </c>
      <c r="E29" s="47">
        <v>8000</v>
      </c>
      <c r="F29" s="48"/>
      <c r="G29" s="49">
        <v>154</v>
      </c>
      <c r="H29" s="34"/>
      <c r="I29" s="35">
        <f>(0.00759*G29^-0.88165)*(E29-614.747)-0.27596</f>
        <v>0.38470227739608642</v>
      </c>
      <c r="J29" s="34"/>
      <c r="K29" s="34"/>
      <c r="L29" s="37"/>
      <c r="M29" s="23"/>
    </row>
    <row r="30" spans="2:17" ht="15.75" customHeight="1" x14ac:dyDescent="0.25">
      <c r="B30" s="15"/>
      <c r="C30" s="16">
        <f t="shared" si="0"/>
        <v>1</v>
      </c>
      <c r="E30" s="43" t="s">
        <v>32</v>
      </c>
      <c r="F30" s="44"/>
      <c r="G30" s="44"/>
      <c r="H30" s="50"/>
      <c r="I30" s="20"/>
      <c r="M30" s="23"/>
    </row>
    <row r="31" spans="2:17" ht="15.75" customHeight="1" x14ac:dyDescent="0.25">
      <c r="B31" s="15"/>
      <c r="C31" s="16">
        <f t="shared" si="0"/>
        <v>1</v>
      </c>
      <c r="E31" s="21" t="s">
        <v>33</v>
      </c>
      <c r="G31" s="1" t="s">
        <v>34</v>
      </c>
      <c r="I31" s="23"/>
      <c r="M31" s="23"/>
    </row>
    <row r="32" spans="2:17" ht="15.75" customHeight="1" x14ac:dyDescent="0.25">
      <c r="B32" s="15"/>
      <c r="C32" s="16">
        <f t="shared" si="0"/>
        <v>1</v>
      </c>
      <c r="E32" s="51">
        <v>100</v>
      </c>
      <c r="G32" s="4">
        <f>E32+54</f>
        <v>154</v>
      </c>
      <c r="I32" s="23"/>
      <c r="M32" s="23"/>
    </row>
    <row r="33" spans="2:13" ht="15.75" customHeight="1" x14ac:dyDescent="0.25">
      <c r="B33" s="15"/>
      <c r="C33" s="16">
        <f t="shared" si="0"/>
        <v>1</v>
      </c>
      <c r="E33" s="31"/>
      <c r="F33" s="34"/>
      <c r="G33" s="34"/>
      <c r="H33" s="34"/>
      <c r="I33" s="37"/>
      <c r="M33" s="23"/>
    </row>
    <row r="34" spans="2:13" ht="15.75" customHeight="1" x14ac:dyDescent="0.25">
      <c r="B34" s="15"/>
      <c r="C34" s="16">
        <f t="shared" si="0"/>
        <v>1</v>
      </c>
      <c r="E34" s="52" t="s">
        <v>35</v>
      </c>
      <c r="F34" s="53"/>
      <c r="G34" s="53"/>
      <c r="H34" s="53"/>
      <c r="I34" s="23"/>
      <c r="M34" s="23"/>
    </row>
    <row r="35" spans="2:13" ht="15.75" customHeight="1" x14ac:dyDescent="0.25">
      <c r="B35" s="15"/>
      <c r="C35" s="16">
        <f t="shared" si="0"/>
        <v>1</v>
      </c>
      <c r="E35" s="21"/>
      <c r="I35" s="23"/>
      <c r="M35" s="23"/>
    </row>
    <row r="36" spans="2:13" ht="15.75" customHeight="1" x14ac:dyDescent="0.25">
      <c r="B36" s="15"/>
      <c r="C36" s="16">
        <f t="shared" si="0"/>
        <v>1</v>
      </c>
      <c r="E36" s="21" t="s">
        <v>30</v>
      </c>
      <c r="G36" s="1" t="s">
        <v>36</v>
      </c>
      <c r="I36" s="23"/>
      <c r="M36" s="23"/>
    </row>
    <row r="37" spans="2:13" ht="15.75" customHeight="1" x14ac:dyDescent="0.25">
      <c r="B37" s="15"/>
      <c r="C37" s="16">
        <f t="shared" si="0"/>
        <v>1</v>
      </c>
      <c r="E37" s="51">
        <v>130</v>
      </c>
      <c r="G37" s="54">
        <f>(85%+0.27596)/(0.00759*E37^(-0.88165))+614.747</f>
        <v>11454.998121621869</v>
      </c>
      <c r="I37" s="23"/>
      <c r="M37" s="23"/>
    </row>
    <row r="38" spans="2:13" ht="15.75" customHeight="1" x14ac:dyDescent="0.25">
      <c r="B38" s="15"/>
      <c r="C38" s="16">
        <f t="shared" si="0"/>
        <v>1</v>
      </c>
      <c r="E38" s="43" t="s">
        <v>37</v>
      </c>
      <c r="F38" s="44"/>
      <c r="G38" s="19"/>
      <c r="H38" s="19"/>
      <c r="I38" s="19"/>
      <c r="J38" s="19"/>
      <c r="K38" s="19"/>
      <c r="L38" s="19"/>
      <c r="M38" s="20"/>
    </row>
    <row r="39" spans="2:13" ht="15.75" customHeight="1" x14ac:dyDescent="0.25">
      <c r="B39" s="15"/>
      <c r="C39" s="16">
        <f t="shared" si="0"/>
        <v>1</v>
      </c>
      <c r="E39" s="55" t="s">
        <v>38</v>
      </c>
      <c r="F39" s="56"/>
      <c r="G39" s="56"/>
      <c r="H39" s="57"/>
      <c r="I39" s="57"/>
      <c r="M39" s="23"/>
    </row>
    <row r="40" spans="2:13" ht="15.75" customHeight="1" x14ac:dyDescent="0.25">
      <c r="B40" s="15"/>
      <c r="C40" s="16">
        <f t="shared" si="0"/>
        <v>1</v>
      </c>
      <c r="E40" s="51">
        <v>8168</v>
      </c>
      <c r="F40" s="58"/>
      <c r="G40" s="57"/>
      <c r="H40" s="57"/>
      <c r="I40" s="57"/>
      <c r="M40" s="23"/>
    </row>
    <row r="41" spans="2:13" ht="15.75" customHeight="1" x14ac:dyDescent="0.25">
      <c r="B41" s="15"/>
      <c r="C41" s="16">
        <f t="shared" si="0"/>
        <v>1</v>
      </c>
      <c r="E41" s="21"/>
      <c r="M41" s="23"/>
    </row>
    <row r="42" spans="2:13" ht="15.75" customHeight="1" x14ac:dyDescent="0.25">
      <c r="B42" s="15"/>
      <c r="C42" s="16">
        <f t="shared" si="0"/>
        <v>1</v>
      </c>
      <c r="E42" s="59" t="s">
        <v>39</v>
      </c>
      <c r="F42" s="57"/>
      <c r="G42" s="57"/>
      <c r="H42" s="57"/>
      <c r="J42" s="60" t="s">
        <v>40</v>
      </c>
      <c r="M42" s="23"/>
    </row>
    <row r="43" spans="2:13" ht="15.75" customHeight="1" x14ac:dyDescent="0.25">
      <c r="B43" s="15"/>
      <c r="C43" s="16">
        <f t="shared" si="0"/>
        <v>1</v>
      </c>
      <c r="E43" s="61">
        <f>J50*(1+J48+30%)</f>
        <v>10125.188498402556</v>
      </c>
      <c r="F43" s="57"/>
      <c r="G43" s="57"/>
      <c r="H43" s="57"/>
      <c r="I43" s="1" t="s">
        <v>41</v>
      </c>
      <c r="J43" s="62">
        <v>6.9000000000000006E-2</v>
      </c>
      <c r="M43" s="23"/>
    </row>
    <row r="44" spans="2:13" ht="15.75" customHeight="1" x14ac:dyDescent="0.25">
      <c r="B44" s="15"/>
      <c r="C44" s="16">
        <f t="shared" si="0"/>
        <v>1</v>
      </c>
      <c r="E44" s="21"/>
      <c r="I44" s="1" t="s">
        <v>42</v>
      </c>
      <c r="J44" s="63">
        <v>5.7000000000000002E-2</v>
      </c>
      <c r="M44" s="23"/>
    </row>
    <row r="45" spans="2:13" ht="15.75" customHeight="1" x14ac:dyDescent="0.25">
      <c r="B45" s="15"/>
      <c r="C45" s="16">
        <f t="shared" si="0"/>
        <v>1</v>
      </c>
      <c r="E45" s="59" t="s">
        <v>43</v>
      </c>
      <c r="F45" s="57"/>
      <c r="G45" s="57"/>
      <c r="H45" s="57"/>
      <c r="I45" s="1" t="s">
        <v>44</v>
      </c>
      <c r="J45" s="63">
        <v>5.7000000000000002E-2</v>
      </c>
      <c r="M45" s="23"/>
    </row>
    <row r="46" spans="2:13" ht="15.75" customHeight="1" x14ac:dyDescent="0.25">
      <c r="B46" s="15"/>
      <c r="C46" s="16">
        <f t="shared" si="0"/>
        <v>1</v>
      </c>
      <c r="E46" s="64">
        <f>J50*(1+J48+45%)</f>
        <v>11103.782747603833</v>
      </c>
      <c r="F46" s="57"/>
      <c r="G46" s="57"/>
      <c r="H46" s="57"/>
      <c r="I46" s="1" t="s">
        <v>45</v>
      </c>
      <c r="J46" s="65">
        <v>6.9000000000000006E-2</v>
      </c>
      <c r="M46" s="23"/>
    </row>
    <row r="47" spans="2:13" ht="15.75" customHeight="1" x14ac:dyDescent="0.25">
      <c r="B47" s="15"/>
      <c r="C47" s="16">
        <f t="shared" si="0"/>
        <v>1</v>
      </c>
      <c r="E47" s="21"/>
      <c r="J47" s="66"/>
      <c r="M47" s="23"/>
    </row>
    <row r="48" spans="2:13" ht="15.75" customHeight="1" x14ac:dyDescent="0.25">
      <c r="B48" s="15"/>
      <c r="C48" s="16">
        <f t="shared" si="0"/>
        <v>1</v>
      </c>
      <c r="E48" s="21"/>
      <c r="I48" s="1" t="s">
        <v>46</v>
      </c>
      <c r="J48" s="67">
        <f>SUM(J43:J46)</f>
        <v>0.252</v>
      </c>
      <c r="M48" s="23"/>
    </row>
    <row r="49" spans="2:13" ht="15.75" customHeight="1" x14ac:dyDescent="0.25">
      <c r="B49" s="15"/>
      <c r="C49" s="16">
        <f t="shared" si="0"/>
        <v>1</v>
      </c>
      <c r="E49" s="68" t="s">
        <v>47</v>
      </c>
      <c r="F49" s="69" t="s">
        <v>48</v>
      </c>
      <c r="J49" s="66"/>
      <c r="M49" s="23"/>
    </row>
    <row r="50" spans="2:13" ht="15.75" customHeight="1" x14ac:dyDescent="0.25">
      <c r="B50" s="15"/>
      <c r="C50" s="16">
        <f t="shared" si="0"/>
        <v>1</v>
      </c>
      <c r="E50" s="70">
        <v>0.33</v>
      </c>
      <c r="F50" s="71">
        <f>J50*(1+E50+J48)</f>
        <v>10320.907348242812</v>
      </c>
      <c r="I50" s="1" t="s">
        <v>49</v>
      </c>
      <c r="J50" s="54">
        <f>E40/(1+J48)</f>
        <v>6523.961661341853</v>
      </c>
      <c r="M50" s="23"/>
    </row>
    <row r="51" spans="2:13" ht="15.75" customHeight="1" x14ac:dyDescent="0.25">
      <c r="B51" s="15"/>
      <c r="C51" s="16">
        <f t="shared" si="0"/>
        <v>1</v>
      </c>
      <c r="E51" s="72"/>
      <c r="F51" s="57"/>
      <c r="G51" s="57"/>
      <c r="M51" s="23"/>
    </row>
    <row r="52" spans="2:13" ht="15.75" customHeight="1" x14ac:dyDescent="0.25">
      <c r="B52" s="15"/>
      <c r="C52" s="16">
        <f t="shared" si="0"/>
        <v>1</v>
      </c>
      <c r="E52" s="72"/>
      <c r="F52" s="57"/>
      <c r="G52" s="57"/>
      <c r="M52" s="23"/>
    </row>
    <row r="53" spans="2:13" ht="15.75" customHeight="1" x14ac:dyDescent="0.25">
      <c r="B53" s="15"/>
      <c r="C53" s="16">
        <f t="shared" si="0"/>
        <v>1</v>
      </c>
      <c r="E53" s="59"/>
      <c r="F53" s="57"/>
      <c r="G53" s="57"/>
      <c r="H53" s="57"/>
      <c r="M53" s="23"/>
    </row>
    <row r="54" spans="2:13" ht="15.75" customHeight="1" x14ac:dyDescent="0.25">
      <c r="B54" s="15"/>
      <c r="C54" s="16">
        <f t="shared" si="0"/>
        <v>1</v>
      </c>
      <c r="E54" s="73"/>
      <c r="F54" s="48"/>
      <c r="G54" s="48"/>
      <c r="H54" s="48"/>
      <c r="I54" s="34"/>
      <c r="J54" s="34"/>
      <c r="K54" s="34"/>
      <c r="L54" s="34"/>
      <c r="M54" s="37"/>
    </row>
    <row r="55" spans="2:13" ht="15.75" customHeight="1" x14ac:dyDescent="0.25">
      <c r="B55" s="15"/>
      <c r="C55" s="16">
        <f t="shared" si="0"/>
        <v>1</v>
      </c>
      <c r="E55" s="74" t="s">
        <v>50</v>
      </c>
      <c r="F55" s="75"/>
      <c r="G55" s="75"/>
      <c r="H55" s="75"/>
      <c r="I55" s="75"/>
      <c r="J55" s="75"/>
      <c r="K55" s="19"/>
      <c r="L55" s="19"/>
      <c r="M55" s="20"/>
    </row>
    <row r="56" spans="2:13" ht="15.75" customHeight="1" x14ac:dyDescent="0.25">
      <c r="B56" s="15"/>
      <c r="C56" s="16">
        <f t="shared" si="0"/>
        <v>1</v>
      </c>
      <c r="E56" s="21"/>
      <c r="F56" s="22"/>
      <c r="G56" s="22"/>
      <c r="H56" s="22"/>
      <c r="I56" s="22"/>
      <c r="J56" s="22"/>
      <c r="K56" s="22"/>
      <c r="L56" s="22"/>
      <c r="M56" s="23"/>
    </row>
    <row r="57" spans="2:13" ht="15.75" customHeight="1" x14ac:dyDescent="0.25">
      <c r="B57" s="15"/>
      <c r="C57" s="16">
        <f t="shared" si="0"/>
        <v>1</v>
      </c>
      <c r="E57" s="21" t="s">
        <v>51</v>
      </c>
      <c r="F57" s="76">
        <v>7.0000000000000007E-2</v>
      </c>
      <c r="G57" s="22"/>
      <c r="H57" s="22"/>
      <c r="I57" s="22"/>
      <c r="J57" s="22"/>
      <c r="K57" s="22"/>
      <c r="L57" s="22"/>
      <c r="M57" s="23"/>
    </row>
    <row r="58" spans="2:13" ht="15.75" customHeight="1" x14ac:dyDescent="0.25">
      <c r="B58" s="15"/>
      <c r="C58" s="16">
        <f t="shared" si="0"/>
        <v>1</v>
      </c>
      <c r="E58" s="21" t="s">
        <v>24</v>
      </c>
      <c r="F58" s="4">
        <f>J50*F57</f>
        <v>456.67731629392978</v>
      </c>
      <c r="G58" s="22"/>
      <c r="H58" s="22"/>
      <c r="I58" s="22"/>
      <c r="J58" s="22"/>
      <c r="K58" s="22"/>
      <c r="L58" s="22"/>
      <c r="M58" s="23"/>
    </row>
    <row r="59" spans="2:13" ht="15.75" customHeight="1" x14ac:dyDescent="0.25">
      <c r="B59" s="15"/>
      <c r="C59" s="16">
        <f t="shared" si="0"/>
        <v>1</v>
      </c>
      <c r="E59" s="31" t="s">
        <v>52</v>
      </c>
      <c r="F59" s="77">
        <f>F58+E40</f>
        <v>8624.6773162939298</v>
      </c>
      <c r="G59" s="34"/>
      <c r="H59" s="34"/>
      <c r="I59" s="34"/>
      <c r="J59" s="34"/>
      <c r="K59" s="34"/>
      <c r="L59" s="34"/>
      <c r="M59" s="37"/>
    </row>
    <row r="60" spans="2:13" ht="15.75" customHeight="1" x14ac:dyDescent="0.25">
      <c r="B60" s="15"/>
      <c r="C60" s="16">
        <f t="shared" si="0"/>
        <v>1</v>
      </c>
    </row>
    <row r="61" spans="2:13" ht="15.75" customHeight="1" x14ac:dyDescent="0.25">
      <c r="B61" s="15"/>
      <c r="C61" s="16">
        <f t="shared" si="0"/>
        <v>1</v>
      </c>
    </row>
    <row r="62" spans="2:13" ht="15.75" customHeight="1" x14ac:dyDescent="0.25">
      <c r="B62" s="15"/>
      <c r="C62" s="16">
        <f t="shared" si="0"/>
        <v>1</v>
      </c>
    </row>
    <row r="63" spans="2:13" ht="15.75" customHeight="1" x14ac:dyDescent="0.25">
      <c r="B63" s="15"/>
      <c r="C63" s="16">
        <f t="shared" si="0"/>
        <v>1</v>
      </c>
    </row>
    <row r="64" spans="2:13" ht="15.75" customHeight="1" x14ac:dyDescent="0.25">
      <c r="B64" s="15"/>
      <c r="C64" s="16">
        <f t="shared" si="0"/>
        <v>1</v>
      </c>
    </row>
    <row r="65" spans="2:3" ht="15.75" customHeight="1" x14ac:dyDescent="0.25">
      <c r="B65" s="15"/>
      <c r="C65" s="16">
        <f t="shared" si="0"/>
        <v>1</v>
      </c>
    </row>
    <row r="66" spans="2:3" ht="15.75" customHeight="1" x14ac:dyDescent="0.25">
      <c r="B66" s="15"/>
      <c r="C66" s="16">
        <f t="shared" si="0"/>
        <v>1</v>
      </c>
    </row>
    <row r="67" spans="2:3" ht="15.75" customHeight="1" x14ac:dyDescent="0.25">
      <c r="B67" s="15"/>
      <c r="C67" s="16">
        <f t="shared" si="0"/>
        <v>1</v>
      </c>
    </row>
    <row r="68" spans="2:3" ht="15.75" customHeight="1" x14ac:dyDescent="0.25">
      <c r="B68" s="15"/>
      <c r="C68" s="16">
        <f t="shared" si="0"/>
        <v>1</v>
      </c>
    </row>
    <row r="69" spans="2:3" ht="15.75" customHeight="1" x14ac:dyDescent="0.25">
      <c r="B69" s="15"/>
      <c r="C69" s="16">
        <f t="shared" si="0"/>
        <v>1</v>
      </c>
    </row>
    <row r="70" spans="2:3" ht="15.75" customHeight="1" x14ac:dyDescent="0.25">
      <c r="B70" s="15"/>
      <c r="C70" s="16">
        <f t="shared" si="0"/>
        <v>1</v>
      </c>
    </row>
    <row r="71" spans="2:3" ht="15.75" customHeight="1" x14ac:dyDescent="0.25">
      <c r="B71" s="15"/>
      <c r="C71" s="16">
        <f t="shared" si="0"/>
        <v>1</v>
      </c>
    </row>
    <row r="72" spans="2:3" ht="15.75" customHeight="1" x14ac:dyDescent="0.25">
      <c r="B72" s="15"/>
      <c r="C72" s="16">
        <f t="shared" si="0"/>
        <v>1</v>
      </c>
    </row>
    <row r="73" spans="2:3" ht="15.75" customHeight="1" x14ac:dyDescent="0.25">
      <c r="B73" s="15"/>
      <c r="C73" s="16">
        <f t="shared" si="0"/>
        <v>1</v>
      </c>
    </row>
    <row r="74" spans="2:3" ht="15.75" customHeight="1" x14ac:dyDescent="0.25">
      <c r="B74" s="15"/>
      <c r="C74" s="16">
        <f t="shared" si="0"/>
        <v>1</v>
      </c>
    </row>
    <row r="75" spans="2:3" ht="15.75" customHeight="1" x14ac:dyDescent="0.25">
      <c r="B75" s="15"/>
      <c r="C75" s="16">
        <f t="shared" si="0"/>
        <v>1</v>
      </c>
    </row>
    <row r="76" spans="2:3" ht="15.75" customHeight="1" x14ac:dyDescent="0.25">
      <c r="B76" s="15"/>
      <c r="C76" s="16">
        <f t="shared" si="0"/>
        <v>1</v>
      </c>
    </row>
    <row r="77" spans="2:3" ht="15.75" customHeight="1" x14ac:dyDescent="0.25">
      <c r="B77" s="15"/>
      <c r="C77" s="16">
        <f t="shared" si="0"/>
        <v>1</v>
      </c>
    </row>
    <row r="78" spans="2:3" ht="15.75" customHeight="1" x14ac:dyDescent="0.25">
      <c r="B78" s="15"/>
      <c r="C78" s="16">
        <f t="shared" si="0"/>
        <v>1</v>
      </c>
    </row>
    <row r="79" spans="2:3" ht="15.75" customHeight="1" x14ac:dyDescent="0.25">
      <c r="B79" s="15"/>
      <c r="C79" s="16">
        <f t="shared" si="0"/>
        <v>1</v>
      </c>
    </row>
    <row r="80" spans="2:3" ht="15.75" customHeight="1" x14ac:dyDescent="0.25">
      <c r="B80" s="15"/>
      <c r="C80" s="16">
        <f t="shared" si="0"/>
        <v>1</v>
      </c>
    </row>
    <row r="81" spans="2:3" ht="15.75" customHeight="1" x14ac:dyDescent="0.25">
      <c r="B81" s="15"/>
      <c r="C81" s="16">
        <f t="shared" si="0"/>
        <v>1</v>
      </c>
    </row>
    <row r="82" spans="2:3" ht="15.75" customHeight="1" x14ac:dyDescent="0.25">
      <c r="B82" s="15"/>
      <c r="C82" s="16">
        <f t="shared" si="0"/>
        <v>1</v>
      </c>
    </row>
    <row r="83" spans="2:3" ht="15.75" customHeight="1" x14ac:dyDescent="0.25">
      <c r="B83" s="15"/>
      <c r="C83" s="16">
        <f t="shared" si="0"/>
        <v>1</v>
      </c>
    </row>
    <row r="84" spans="2:3" ht="15.75" customHeight="1" x14ac:dyDescent="0.25">
      <c r="B84" s="15"/>
      <c r="C84" s="16">
        <f t="shared" si="0"/>
        <v>1</v>
      </c>
    </row>
    <row r="85" spans="2:3" ht="15.75" customHeight="1" x14ac:dyDescent="0.25">
      <c r="B85" s="15"/>
      <c r="C85" s="16">
        <f t="shared" si="0"/>
        <v>1</v>
      </c>
    </row>
    <row r="86" spans="2:3" ht="15.75" customHeight="1" x14ac:dyDescent="0.25">
      <c r="B86" s="15"/>
      <c r="C86" s="16">
        <f t="shared" si="0"/>
        <v>1</v>
      </c>
    </row>
    <row r="87" spans="2:3" ht="15.75" customHeight="1" x14ac:dyDescent="0.25">
      <c r="B87" s="15"/>
      <c r="C87" s="16">
        <f t="shared" si="0"/>
        <v>1</v>
      </c>
    </row>
    <row r="88" spans="2:3" ht="15.75" customHeight="1" x14ac:dyDescent="0.25">
      <c r="B88" s="15"/>
      <c r="C88" s="16">
        <f t="shared" si="0"/>
        <v>1</v>
      </c>
    </row>
    <row r="89" spans="2:3" ht="15.75" customHeight="1" x14ac:dyDescent="0.25">
      <c r="B89" s="15"/>
      <c r="C89" s="16">
        <f t="shared" si="0"/>
        <v>1</v>
      </c>
    </row>
    <row r="90" spans="2:3" ht="15.75" customHeight="1" x14ac:dyDescent="0.25">
      <c r="B90" s="15"/>
      <c r="C90" s="16">
        <f t="shared" si="0"/>
        <v>1</v>
      </c>
    </row>
    <row r="91" spans="2:3" ht="15.75" customHeight="1" x14ac:dyDescent="0.25">
      <c r="B91" s="15"/>
      <c r="C91" s="16">
        <f t="shared" si="0"/>
        <v>1</v>
      </c>
    </row>
    <row r="92" spans="2:3" ht="15.75" customHeight="1" x14ac:dyDescent="0.25">
      <c r="B92" s="15"/>
      <c r="C92" s="16">
        <f t="shared" si="0"/>
        <v>1</v>
      </c>
    </row>
    <row r="93" spans="2:3" ht="15.75" customHeight="1" x14ac:dyDescent="0.25">
      <c r="B93" s="15"/>
      <c r="C93" s="16">
        <f t="shared" si="0"/>
        <v>1</v>
      </c>
    </row>
    <row r="94" spans="2:3" ht="15.75" customHeight="1" x14ac:dyDescent="0.25">
      <c r="B94" s="15"/>
      <c r="C94" s="16">
        <f t="shared" si="0"/>
        <v>1</v>
      </c>
    </row>
    <row r="95" spans="2:3" ht="15.75" customHeight="1" x14ac:dyDescent="0.25">
      <c r="B95" s="15"/>
      <c r="C95" s="16">
        <f t="shared" si="0"/>
        <v>1</v>
      </c>
    </row>
    <row r="96" spans="2:3" ht="15.75" customHeight="1" x14ac:dyDescent="0.25">
      <c r="B96" s="15"/>
      <c r="C96" s="16">
        <f t="shared" si="0"/>
        <v>1</v>
      </c>
    </row>
    <row r="97" spans="2:3" ht="15.75" customHeight="1" x14ac:dyDescent="0.25">
      <c r="B97" s="15"/>
      <c r="C97" s="16">
        <f t="shared" si="0"/>
        <v>1</v>
      </c>
    </row>
    <row r="98" spans="2:3" ht="15.75" customHeight="1" x14ac:dyDescent="0.25">
      <c r="B98" s="15"/>
      <c r="C98" s="16">
        <f t="shared" si="0"/>
        <v>1</v>
      </c>
    </row>
    <row r="99" spans="2:3" ht="15.75" customHeight="1" x14ac:dyDescent="0.25">
      <c r="B99" s="15"/>
      <c r="C99" s="16">
        <f t="shared" si="0"/>
        <v>1</v>
      </c>
    </row>
    <row r="100" spans="2:3" ht="15.75" customHeight="1" x14ac:dyDescent="0.25">
      <c r="B100" s="15"/>
      <c r="C100" s="16">
        <f t="shared" si="0"/>
        <v>1</v>
      </c>
    </row>
    <row r="101" spans="2:3" ht="15.75" customHeight="1" x14ac:dyDescent="0.25">
      <c r="B101" s="15"/>
      <c r="C101" s="16">
        <f t="shared" si="0"/>
        <v>1</v>
      </c>
    </row>
    <row r="102" spans="2:3" ht="15.75" customHeight="1" x14ac:dyDescent="0.25">
      <c r="B102" s="15"/>
      <c r="C102" s="16">
        <f t="shared" si="0"/>
        <v>1</v>
      </c>
    </row>
    <row r="103" spans="2:3" ht="15.75" customHeight="1" x14ac:dyDescent="0.25"/>
    <row r="104" spans="2:3" ht="15.75" customHeight="1" x14ac:dyDescent="0.25"/>
    <row r="105" spans="2:3" ht="15.75" customHeight="1" x14ac:dyDescent="0.25"/>
    <row r="106" spans="2:3" ht="15.75" customHeight="1" x14ac:dyDescent="0.25"/>
    <row r="107" spans="2:3" ht="15.75" customHeight="1" x14ac:dyDescent="0.25"/>
    <row r="108" spans="2:3" ht="15.75" customHeight="1" x14ac:dyDescent="0.25"/>
    <row r="109" spans="2:3" ht="15.75" customHeight="1" x14ac:dyDescent="0.25"/>
    <row r="110" spans="2:3" ht="15.75" customHeight="1" x14ac:dyDescent="0.25"/>
    <row r="111" spans="2:3" ht="15.75" customHeight="1" x14ac:dyDescent="0.25"/>
    <row r="112" spans="2:3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5" type="noConversion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" customHeight="1" x14ac:dyDescent="0.25"/>
  <cols>
    <col min="1" max="1" width="16" customWidth="1"/>
    <col min="2" max="4" width="8.7109375" customWidth="1"/>
    <col min="5" max="9" width="14.42578125" customWidth="1"/>
    <col min="10" max="14" width="8.7109375" customWidth="1"/>
    <col min="15" max="15" width="20.42578125" customWidth="1"/>
    <col min="16" max="26" width="8.7109375" customWidth="1"/>
  </cols>
  <sheetData>
    <row r="1" spans="1:19" x14ac:dyDescent="0.25">
      <c r="A1" s="1" t="s">
        <v>0</v>
      </c>
      <c r="B1" s="2" t="s">
        <v>1</v>
      </c>
      <c r="C1" s="2"/>
    </row>
    <row r="2" spans="1:19" x14ac:dyDescent="0.25">
      <c r="B2" s="3" t="s">
        <v>2</v>
      </c>
      <c r="C2" s="3"/>
    </row>
    <row r="3" spans="1:19" x14ac:dyDescent="0.25">
      <c r="B3" s="4" t="s">
        <v>3</v>
      </c>
      <c r="C3" s="4"/>
      <c r="D3" s="4"/>
    </row>
    <row r="8" spans="1:19" x14ac:dyDescent="0.25">
      <c r="B8" s="78" t="s">
        <v>53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</row>
    <row r="9" spans="1:19" x14ac:dyDescent="0.25">
      <c r="B9" s="21"/>
      <c r="S9" s="23"/>
    </row>
    <row r="10" spans="1:19" x14ac:dyDescent="0.25">
      <c r="B10" s="21" t="s">
        <v>54</v>
      </c>
      <c r="S10" s="23"/>
    </row>
    <row r="11" spans="1:19" x14ac:dyDescent="0.25">
      <c r="B11" s="51">
        <v>15152</v>
      </c>
      <c r="S11" s="23"/>
    </row>
    <row r="12" spans="1:19" x14ac:dyDescent="0.25">
      <c r="B12" s="21"/>
      <c r="S12" s="23"/>
    </row>
    <row r="13" spans="1:19" x14ac:dyDescent="0.25">
      <c r="B13" s="21" t="s">
        <v>55</v>
      </c>
      <c r="K13" s="1" t="s">
        <v>56</v>
      </c>
      <c r="S13" s="23"/>
    </row>
    <row r="14" spans="1:19" x14ac:dyDescent="0.25">
      <c r="B14" s="79">
        <v>0.02</v>
      </c>
      <c r="C14" s="80">
        <f t="shared" ref="C14:C40" si="0">1+B14</f>
        <v>1.02</v>
      </c>
      <c r="J14" s="1" t="s">
        <v>57</v>
      </c>
      <c r="K14" s="81">
        <v>876</v>
      </c>
      <c r="O14" s="1" t="s">
        <v>58</v>
      </c>
      <c r="R14" s="1" t="s">
        <v>59</v>
      </c>
      <c r="S14" s="23"/>
    </row>
    <row r="15" spans="1:19" x14ac:dyDescent="0.25">
      <c r="B15" s="79">
        <v>0.02</v>
      </c>
      <c r="C15" s="80">
        <f t="shared" si="0"/>
        <v>1.02</v>
      </c>
      <c r="J15" s="1" t="s">
        <v>60</v>
      </c>
      <c r="K15" s="81">
        <v>0</v>
      </c>
      <c r="O15" s="82">
        <f>PRODUCT(C14:C40)*PRODUCT(F17:F21)</f>
        <v>1.5389511051710223</v>
      </c>
      <c r="R15" s="3">
        <f>SUM(K14:K18)</f>
        <v>2903</v>
      </c>
      <c r="S15" s="23"/>
    </row>
    <row r="16" spans="1:19" x14ac:dyDescent="0.25">
      <c r="B16" s="79">
        <v>0.02</v>
      </c>
      <c r="C16" s="80">
        <f t="shared" si="0"/>
        <v>1.02</v>
      </c>
      <c r="E16" s="1" t="s">
        <v>61</v>
      </c>
      <c r="J16" s="1" t="s">
        <v>62</v>
      </c>
      <c r="K16" s="81">
        <v>0</v>
      </c>
      <c r="S16" s="23"/>
    </row>
    <row r="17" spans="2:19" x14ac:dyDescent="0.25">
      <c r="B17" s="79">
        <v>0.02</v>
      </c>
      <c r="C17" s="80">
        <f t="shared" si="0"/>
        <v>1.02</v>
      </c>
      <c r="E17" s="83">
        <v>0.04</v>
      </c>
      <c r="F17" s="80">
        <f t="shared" ref="F17:F21" si="1">1+E17</f>
        <v>1.04</v>
      </c>
      <c r="J17" s="1" t="s">
        <v>63</v>
      </c>
      <c r="K17" s="81">
        <v>1075</v>
      </c>
      <c r="S17" s="23"/>
    </row>
    <row r="18" spans="2:19" x14ac:dyDescent="0.25">
      <c r="B18" s="79">
        <v>0.02</v>
      </c>
      <c r="C18" s="80">
        <f t="shared" si="0"/>
        <v>1.02</v>
      </c>
      <c r="E18" s="83">
        <v>0.04</v>
      </c>
      <c r="F18" s="80">
        <f t="shared" si="1"/>
        <v>1.04</v>
      </c>
      <c r="J18" s="1" t="s">
        <v>63</v>
      </c>
      <c r="K18" s="81">
        <v>952</v>
      </c>
      <c r="S18" s="23"/>
    </row>
    <row r="19" spans="2:19" x14ac:dyDescent="0.25">
      <c r="B19" s="79">
        <v>0.02</v>
      </c>
      <c r="C19" s="80">
        <f t="shared" si="0"/>
        <v>1.02</v>
      </c>
      <c r="E19" s="83">
        <v>0.04</v>
      </c>
      <c r="F19" s="80">
        <f t="shared" si="1"/>
        <v>1.04</v>
      </c>
      <c r="O19" s="4" t="s">
        <v>64</v>
      </c>
      <c r="Q19" s="4" t="s">
        <v>65</v>
      </c>
      <c r="R19" s="4"/>
      <c r="S19" s="84"/>
    </row>
    <row r="20" spans="2:19" x14ac:dyDescent="0.25">
      <c r="B20" s="79">
        <v>0.04</v>
      </c>
      <c r="C20" s="80">
        <f t="shared" si="0"/>
        <v>1.04</v>
      </c>
      <c r="E20" s="83">
        <v>0.04</v>
      </c>
      <c r="F20" s="80">
        <f t="shared" si="1"/>
        <v>1.04</v>
      </c>
      <c r="O20" s="4">
        <f>(B11-R15)/O15</f>
        <v>7959.3171991249064</v>
      </c>
      <c r="Q20" s="4">
        <f>O20*PRODUCT(C14:C21)+R15</f>
        <v>12970.785130695298</v>
      </c>
      <c r="R20" s="4"/>
      <c r="S20" s="84"/>
    </row>
    <row r="21" spans="2:19" ht="15.75" customHeight="1" x14ac:dyDescent="0.25">
      <c r="B21" s="79">
        <v>0.08</v>
      </c>
      <c r="C21" s="80">
        <f t="shared" si="0"/>
        <v>1.08</v>
      </c>
      <c r="E21" s="83">
        <v>0.04</v>
      </c>
      <c r="F21" s="80">
        <f t="shared" si="1"/>
        <v>1.04</v>
      </c>
      <c r="S21" s="23"/>
    </row>
    <row r="22" spans="2:19" ht="15.75" customHeight="1" x14ac:dyDescent="0.25">
      <c r="B22" s="79"/>
      <c r="C22" s="80">
        <f t="shared" si="0"/>
        <v>1</v>
      </c>
      <c r="S22" s="23"/>
    </row>
    <row r="23" spans="2:19" ht="15.75" customHeight="1" x14ac:dyDescent="0.25">
      <c r="B23" s="79"/>
      <c r="C23" s="80">
        <f t="shared" si="0"/>
        <v>1</v>
      </c>
      <c r="S23" s="23"/>
    </row>
    <row r="24" spans="2:19" ht="15.75" customHeight="1" x14ac:dyDescent="0.25">
      <c r="B24" s="79"/>
      <c r="C24" s="80">
        <f t="shared" si="0"/>
        <v>1</v>
      </c>
      <c r="O24" s="4" t="s">
        <v>66</v>
      </c>
      <c r="P24" s="4"/>
      <c r="S24" s="23"/>
    </row>
    <row r="25" spans="2:19" ht="15.75" customHeight="1" x14ac:dyDescent="0.25">
      <c r="B25" s="79"/>
      <c r="C25" s="80">
        <f t="shared" si="0"/>
        <v>1</v>
      </c>
      <c r="O25" s="4">
        <f>B11/Q20</f>
        <v>1.1681636730025593</v>
      </c>
      <c r="P25" s="4"/>
      <c r="S25" s="23"/>
    </row>
    <row r="26" spans="2:19" ht="15.75" customHeight="1" x14ac:dyDescent="0.25">
      <c r="B26" s="79"/>
      <c r="C26" s="80">
        <f t="shared" si="0"/>
        <v>1</v>
      </c>
      <c r="S26" s="23"/>
    </row>
    <row r="27" spans="2:19" ht="15.75" customHeight="1" x14ac:dyDescent="0.25">
      <c r="B27" s="79"/>
      <c r="C27" s="80">
        <f t="shared" si="0"/>
        <v>1</v>
      </c>
      <c r="S27" s="23"/>
    </row>
    <row r="28" spans="2:19" ht="15.75" customHeight="1" x14ac:dyDescent="0.25">
      <c r="B28" s="79"/>
      <c r="C28" s="80">
        <f t="shared" si="0"/>
        <v>1</v>
      </c>
      <c r="S28" s="23"/>
    </row>
    <row r="29" spans="2:19" ht="15.75" customHeight="1" x14ac:dyDescent="0.25">
      <c r="B29" s="79"/>
      <c r="C29" s="80">
        <f t="shared" si="0"/>
        <v>1</v>
      </c>
      <c r="O29" s="1" t="s">
        <v>67</v>
      </c>
      <c r="S29" s="23"/>
    </row>
    <row r="30" spans="2:19" ht="15.75" customHeight="1" x14ac:dyDescent="0.25">
      <c r="B30" s="79"/>
      <c r="C30" s="80">
        <f t="shared" si="0"/>
        <v>1</v>
      </c>
      <c r="O30" s="3">
        <f>1/(1-0.03)^5</f>
        <v>1.1645049224465593</v>
      </c>
      <c r="S30" s="23"/>
    </row>
    <row r="31" spans="2:19" ht="15.75" customHeight="1" x14ac:dyDescent="0.25">
      <c r="B31" s="79"/>
      <c r="C31" s="80">
        <f t="shared" si="0"/>
        <v>1</v>
      </c>
      <c r="S31" s="23"/>
    </row>
    <row r="32" spans="2:19" ht="15.75" customHeight="1" x14ac:dyDescent="0.25">
      <c r="B32" s="79"/>
      <c r="C32" s="80">
        <f t="shared" si="0"/>
        <v>1</v>
      </c>
      <c r="O32" s="1" t="s">
        <v>68</v>
      </c>
      <c r="S32" s="23"/>
    </row>
    <row r="33" spans="2:19" ht="15.75" customHeight="1" x14ac:dyDescent="0.25">
      <c r="B33" s="79"/>
      <c r="C33" s="80">
        <f t="shared" si="0"/>
        <v>1</v>
      </c>
      <c r="O33" s="3">
        <f>1/(1-0.1)^5</f>
        <v>1.6935087808430282</v>
      </c>
      <c r="S33" s="23"/>
    </row>
    <row r="34" spans="2:19" ht="15.75" customHeight="1" x14ac:dyDescent="0.25">
      <c r="B34" s="79"/>
      <c r="C34" s="80">
        <f t="shared" si="0"/>
        <v>1</v>
      </c>
      <c r="S34" s="23"/>
    </row>
    <row r="35" spans="2:19" ht="15.75" customHeight="1" x14ac:dyDescent="0.25">
      <c r="B35" s="79"/>
      <c r="C35" s="80">
        <f t="shared" si="0"/>
        <v>1</v>
      </c>
      <c r="S35" s="23"/>
    </row>
    <row r="36" spans="2:19" ht="15.75" customHeight="1" x14ac:dyDescent="0.25">
      <c r="B36" s="79"/>
      <c r="C36" s="80">
        <f t="shared" si="0"/>
        <v>1</v>
      </c>
      <c r="S36" s="23"/>
    </row>
    <row r="37" spans="2:19" ht="15.75" customHeight="1" x14ac:dyDescent="0.25">
      <c r="B37" s="79"/>
      <c r="C37" s="80">
        <f t="shared" si="0"/>
        <v>1</v>
      </c>
      <c r="S37" s="23"/>
    </row>
    <row r="38" spans="2:19" ht="15.75" customHeight="1" x14ac:dyDescent="0.25">
      <c r="B38" s="79"/>
      <c r="C38" s="80">
        <f t="shared" si="0"/>
        <v>1</v>
      </c>
      <c r="S38" s="23"/>
    </row>
    <row r="39" spans="2:19" ht="15.75" customHeight="1" x14ac:dyDescent="0.25">
      <c r="B39" s="79"/>
      <c r="C39" s="80">
        <f t="shared" si="0"/>
        <v>1</v>
      </c>
      <c r="S39" s="23"/>
    </row>
    <row r="40" spans="2:19" ht="15.75" customHeight="1" x14ac:dyDescent="0.25">
      <c r="B40" s="85"/>
      <c r="C40" s="86">
        <f t="shared" si="0"/>
        <v>1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7"/>
    </row>
    <row r="41" spans="2:19" ht="15.75" customHeight="1" x14ac:dyDescent="0.25"/>
    <row r="42" spans="2:19" ht="15.75" customHeight="1" x14ac:dyDescent="0.25"/>
    <row r="43" spans="2:19" ht="15.75" customHeight="1" x14ac:dyDescent="0.25"/>
    <row r="44" spans="2:19" ht="15.75" customHeight="1" x14ac:dyDescent="0.25"/>
    <row r="45" spans="2:19" ht="15.75" customHeight="1" x14ac:dyDescent="0.25"/>
    <row r="46" spans="2:19" ht="15.75" customHeight="1" x14ac:dyDescent="0.25">
      <c r="B46" s="78" t="s">
        <v>69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</row>
    <row r="47" spans="2:19" ht="15.75" customHeight="1" x14ac:dyDescent="0.25">
      <c r="B47" s="21"/>
      <c r="S47" s="23"/>
    </row>
    <row r="48" spans="2:19" ht="15.75" customHeight="1" x14ac:dyDescent="0.25">
      <c r="B48" s="21" t="s">
        <v>70</v>
      </c>
      <c r="S48" s="23"/>
    </row>
    <row r="49" spans="2:19" ht="15.75" customHeight="1" x14ac:dyDescent="0.25">
      <c r="B49" s="51">
        <v>12970</v>
      </c>
      <c r="S49" s="23"/>
    </row>
    <row r="50" spans="2:19" ht="15.75" customHeight="1" x14ac:dyDescent="0.25">
      <c r="B50" s="21"/>
      <c r="S50" s="23"/>
    </row>
    <row r="51" spans="2:19" ht="15.75" customHeight="1" x14ac:dyDescent="0.25">
      <c r="B51" s="21" t="s">
        <v>55</v>
      </c>
      <c r="K51" s="1" t="s">
        <v>56</v>
      </c>
      <c r="S51" s="23"/>
    </row>
    <row r="52" spans="2:19" ht="15.75" customHeight="1" x14ac:dyDescent="0.25">
      <c r="B52" s="79">
        <v>0.02</v>
      </c>
      <c r="C52" s="80">
        <f t="shared" ref="C52:C78" si="2">1+B52</f>
        <v>1.02</v>
      </c>
      <c r="J52" s="1" t="s">
        <v>57</v>
      </c>
      <c r="K52" s="81">
        <v>876</v>
      </c>
      <c r="O52" s="1" t="s">
        <v>58</v>
      </c>
      <c r="R52" s="1" t="s">
        <v>59</v>
      </c>
      <c r="S52" s="23"/>
    </row>
    <row r="53" spans="2:19" ht="15.75" customHeight="1" x14ac:dyDescent="0.25">
      <c r="B53" s="79">
        <v>0.02</v>
      </c>
      <c r="C53" s="80">
        <f t="shared" si="2"/>
        <v>1.02</v>
      </c>
      <c r="J53" s="1" t="s">
        <v>60</v>
      </c>
      <c r="K53" s="81">
        <v>0</v>
      </c>
      <c r="O53" s="82">
        <f>PRODUCT(C52:C78)</f>
        <v>1.2649056293173249</v>
      </c>
      <c r="R53" s="3">
        <f>SUM(K52:K56)</f>
        <v>2903</v>
      </c>
      <c r="S53" s="23"/>
    </row>
    <row r="54" spans="2:19" ht="15.75" customHeight="1" x14ac:dyDescent="0.25">
      <c r="B54" s="79">
        <v>0.02</v>
      </c>
      <c r="C54" s="80">
        <f t="shared" si="2"/>
        <v>1.02</v>
      </c>
      <c r="E54" s="1" t="s">
        <v>71</v>
      </c>
      <c r="J54" s="1" t="s">
        <v>62</v>
      </c>
      <c r="K54" s="81">
        <v>0</v>
      </c>
      <c r="S54" s="23"/>
    </row>
    <row r="55" spans="2:19" ht="15.75" customHeight="1" x14ac:dyDescent="0.25">
      <c r="B55" s="79">
        <v>0.02</v>
      </c>
      <c r="C55" s="80">
        <f t="shared" si="2"/>
        <v>1.02</v>
      </c>
      <c r="E55" s="83">
        <v>0.04</v>
      </c>
      <c r="F55" s="80">
        <f t="shared" ref="F55:F59" si="3">1+E55</f>
        <v>1.04</v>
      </c>
      <c r="J55" s="1" t="s">
        <v>63</v>
      </c>
      <c r="K55" s="81">
        <v>1075</v>
      </c>
      <c r="S55" s="23"/>
    </row>
    <row r="56" spans="2:19" ht="15.75" customHeight="1" x14ac:dyDescent="0.25">
      <c r="B56" s="79">
        <v>0.02</v>
      </c>
      <c r="C56" s="80">
        <f t="shared" si="2"/>
        <v>1.02</v>
      </c>
      <c r="E56" s="83">
        <v>0.04</v>
      </c>
      <c r="F56" s="80">
        <f t="shared" si="3"/>
        <v>1.04</v>
      </c>
      <c r="J56" s="1" t="s">
        <v>63</v>
      </c>
      <c r="K56" s="81">
        <v>952</v>
      </c>
      <c r="S56" s="23"/>
    </row>
    <row r="57" spans="2:19" ht="15.75" customHeight="1" x14ac:dyDescent="0.25">
      <c r="B57" s="79">
        <v>0.02</v>
      </c>
      <c r="C57" s="80">
        <f t="shared" si="2"/>
        <v>1.02</v>
      </c>
      <c r="E57" s="83">
        <v>0.04</v>
      </c>
      <c r="F57" s="80">
        <f t="shared" si="3"/>
        <v>1.04</v>
      </c>
      <c r="O57" s="4" t="s">
        <v>64</v>
      </c>
      <c r="Q57" s="4" t="s">
        <v>72</v>
      </c>
      <c r="R57" s="4"/>
      <c r="S57" s="84"/>
    </row>
    <row r="58" spans="2:19" ht="15.75" customHeight="1" x14ac:dyDescent="0.25">
      <c r="B58" s="79">
        <v>0.04</v>
      </c>
      <c r="C58" s="80">
        <f t="shared" si="2"/>
        <v>1.04</v>
      </c>
      <c r="E58" s="83">
        <v>0.04</v>
      </c>
      <c r="F58" s="80">
        <f t="shared" si="3"/>
        <v>1.04</v>
      </c>
      <c r="O58" s="4">
        <f>(B49-R53)/O53</f>
        <v>7958.6964961435142</v>
      </c>
      <c r="Q58" s="4">
        <f>O58*PRODUCT(C52:C59)*PRODUCT(F55:F59)+R53</f>
        <v>15151.044768460804</v>
      </c>
      <c r="R58" s="4"/>
      <c r="S58" s="84"/>
    </row>
    <row r="59" spans="2:19" ht="15.75" customHeight="1" x14ac:dyDescent="0.25">
      <c r="B59" s="79">
        <v>0.08</v>
      </c>
      <c r="C59" s="80">
        <f t="shared" si="2"/>
        <v>1.08</v>
      </c>
      <c r="E59" s="83">
        <v>0.04</v>
      </c>
      <c r="F59" s="80">
        <f t="shared" si="3"/>
        <v>1.04</v>
      </c>
      <c r="S59" s="23"/>
    </row>
    <row r="60" spans="2:19" ht="15.75" customHeight="1" x14ac:dyDescent="0.25">
      <c r="B60" s="79"/>
      <c r="C60" s="80">
        <f t="shared" si="2"/>
        <v>1</v>
      </c>
      <c r="S60" s="23"/>
    </row>
    <row r="61" spans="2:19" ht="15.75" customHeight="1" x14ac:dyDescent="0.25">
      <c r="B61" s="79"/>
      <c r="C61" s="80">
        <f t="shared" si="2"/>
        <v>1</v>
      </c>
      <c r="S61" s="23"/>
    </row>
    <row r="62" spans="2:19" ht="15.75" customHeight="1" x14ac:dyDescent="0.25">
      <c r="B62" s="79"/>
      <c r="C62" s="80">
        <f t="shared" si="2"/>
        <v>1</v>
      </c>
      <c r="O62" s="4" t="s">
        <v>66</v>
      </c>
      <c r="P62" s="4"/>
      <c r="S62" s="23"/>
    </row>
    <row r="63" spans="2:19" ht="15.75" customHeight="1" x14ac:dyDescent="0.25">
      <c r="B63" s="79"/>
      <c r="C63" s="80">
        <f t="shared" si="2"/>
        <v>1</v>
      </c>
      <c r="O63" s="4">
        <f>Q58/B49</f>
        <v>1.1681607377379186</v>
      </c>
      <c r="P63" s="4"/>
      <c r="S63" s="23"/>
    </row>
    <row r="64" spans="2:19" ht="15.75" customHeight="1" x14ac:dyDescent="0.25">
      <c r="B64" s="79"/>
      <c r="C64" s="80">
        <f t="shared" si="2"/>
        <v>1</v>
      </c>
      <c r="S64" s="23"/>
    </row>
    <row r="65" spans="2:19" ht="15.75" customHeight="1" x14ac:dyDescent="0.25">
      <c r="B65" s="79"/>
      <c r="C65" s="80">
        <f t="shared" si="2"/>
        <v>1</v>
      </c>
      <c r="S65" s="23"/>
    </row>
    <row r="66" spans="2:19" ht="15.75" customHeight="1" x14ac:dyDescent="0.25">
      <c r="B66" s="79"/>
      <c r="C66" s="80">
        <f t="shared" si="2"/>
        <v>1</v>
      </c>
      <c r="S66" s="23"/>
    </row>
    <row r="67" spans="2:19" ht="15.75" customHeight="1" x14ac:dyDescent="0.25">
      <c r="B67" s="79"/>
      <c r="C67" s="80">
        <f t="shared" si="2"/>
        <v>1</v>
      </c>
      <c r="O67" s="1" t="s">
        <v>67</v>
      </c>
      <c r="S67" s="23"/>
    </row>
    <row r="68" spans="2:19" ht="15.75" customHeight="1" x14ac:dyDescent="0.25">
      <c r="B68" s="79"/>
      <c r="C68" s="80">
        <f t="shared" si="2"/>
        <v>1</v>
      </c>
      <c r="O68" s="3">
        <f>1/(1-0.03)^5</f>
        <v>1.1645049224465593</v>
      </c>
      <c r="S68" s="23"/>
    </row>
    <row r="69" spans="2:19" ht="15.75" customHeight="1" x14ac:dyDescent="0.25">
      <c r="B69" s="79"/>
      <c r="C69" s="80">
        <f t="shared" si="2"/>
        <v>1</v>
      </c>
      <c r="S69" s="23"/>
    </row>
    <row r="70" spans="2:19" ht="15.75" customHeight="1" x14ac:dyDescent="0.25">
      <c r="B70" s="79"/>
      <c r="C70" s="80">
        <f t="shared" si="2"/>
        <v>1</v>
      </c>
      <c r="O70" s="1" t="s">
        <v>68</v>
      </c>
      <c r="S70" s="23"/>
    </row>
    <row r="71" spans="2:19" ht="15.75" customHeight="1" x14ac:dyDescent="0.25">
      <c r="B71" s="79"/>
      <c r="C71" s="80">
        <f t="shared" si="2"/>
        <v>1</v>
      </c>
      <c r="O71" s="3">
        <f>1/(1-0.1)^5</f>
        <v>1.6935087808430282</v>
      </c>
      <c r="S71" s="23"/>
    </row>
    <row r="72" spans="2:19" ht="15.75" customHeight="1" x14ac:dyDescent="0.25">
      <c r="B72" s="79"/>
      <c r="C72" s="80">
        <f t="shared" si="2"/>
        <v>1</v>
      </c>
      <c r="S72" s="23"/>
    </row>
    <row r="73" spans="2:19" ht="15.75" customHeight="1" x14ac:dyDescent="0.25">
      <c r="B73" s="79"/>
      <c r="C73" s="80">
        <f t="shared" si="2"/>
        <v>1</v>
      </c>
      <c r="S73" s="23"/>
    </row>
    <row r="74" spans="2:19" ht="15.75" customHeight="1" x14ac:dyDescent="0.25">
      <c r="B74" s="79"/>
      <c r="C74" s="80">
        <f t="shared" si="2"/>
        <v>1</v>
      </c>
      <c r="S74" s="23"/>
    </row>
    <row r="75" spans="2:19" ht="15.75" customHeight="1" x14ac:dyDescent="0.25">
      <c r="B75" s="79"/>
      <c r="C75" s="80">
        <f t="shared" si="2"/>
        <v>1</v>
      </c>
      <c r="S75" s="23"/>
    </row>
    <row r="76" spans="2:19" ht="15.75" customHeight="1" x14ac:dyDescent="0.25">
      <c r="B76" s="79"/>
      <c r="C76" s="80">
        <f t="shared" si="2"/>
        <v>1</v>
      </c>
      <c r="S76" s="23"/>
    </row>
    <row r="77" spans="2:19" ht="15.75" customHeight="1" x14ac:dyDescent="0.25">
      <c r="B77" s="79"/>
      <c r="C77" s="80">
        <f t="shared" si="2"/>
        <v>1</v>
      </c>
      <c r="S77" s="23"/>
    </row>
    <row r="78" spans="2:19" ht="15.75" customHeight="1" x14ac:dyDescent="0.25">
      <c r="B78" s="85"/>
      <c r="C78" s="86">
        <f t="shared" si="2"/>
        <v>1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7"/>
    </row>
    <row r="79" spans="2:19" ht="15.75" customHeight="1" x14ac:dyDescent="0.25"/>
    <row r="80" spans="2:1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5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Effective Health Calc (3)</vt:lpstr>
      <vt:lpstr>Gem EHP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</cp:lastModifiedBy>
  <dcterms:created xsi:type="dcterms:W3CDTF">2023-07-13T01:56:39Z</dcterms:created>
  <dcterms:modified xsi:type="dcterms:W3CDTF">2023-07-30T03:03:50Z</dcterms:modified>
</cp:coreProperties>
</file>