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filterPrivacy="1"/>
  <xr:revisionPtr revIDLastSave="0" documentId="13_ncr:1_{F7FC1CFE-BC76-4FB6-AA32-4CAA90D3A7DF}" xr6:coauthVersionLast="36" xr6:coauthVersionMax="36" xr10:uidLastSave="{00000000-0000-0000-0000-000000000000}"/>
  <bookViews>
    <workbookView xWindow="0" yWindow="0" windowWidth="22260" windowHeight="12645" activeTab="1" xr2:uid="{00000000-000D-0000-FFFF-FFFF00000000}"/>
  </bookViews>
  <sheets>
    <sheet name="서폿 공증 효율 계산기" sheetId="5" r:id="rId1"/>
    <sheet name="예시" sheetId="3" r:id="rId2"/>
    <sheet name="참고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1" i="5" l="1"/>
  <c r="S31" i="5"/>
  <c r="R31" i="5"/>
  <c r="Q31" i="5"/>
  <c r="R37" i="5" s="1"/>
  <c r="U28" i="5"/>
  <c r="T28" i="5"/>
  <c r="S28" i="5"/>
  <c r="R28" i="5"/>
  <c r="Q28" i="5"/>
  <c r="I19" i="5"/>
  <c r="R13" i="5"/>
  <c r="T18" i="5" s="1"/>
  <c r="Q13" i="5"/>
  <c r="T19" i="5" s="1"/>
  <c r="T10" i="5"/>
  <c r="S10" i="5"/>
  <c r="R10" i="5"/>
  <c r="Q10" i="5"/>
  <c r="R19" i="5" s="1"/>
  <c r="U7" i="5"/>
  <c r="T7" i="5"/>
  <c r="S7" i="5"/>
  <c r="R7" i="5"/>
  <c r="Q7" i="5"/>
  <c r="Q37" i="5" l="1"/>
  <c r="Q38" i="5"/>
  <c r="R34" i="5"/>
  <c r="Q19" i="5"/>
  <c r="S19" i="5" s="1"/>
  <c r="T17" i="5"/>
  <c r="Q16" i="5"/>
  <c r="Q18" i="5"/>
  <c r="Q36" i="5"/>
  <c r="R16" i="5"/>
  <c r="R18" i="5"/>
  <c r="Q34" i="5"/>
  <c r="R36" i="5"/>
  <c r="Q17" i="5"/>
  <c r="R38" i="5"/>
  <c r="R17" i="5"/>
  <c r="Q35" i="5"/>
  <c r="R35" i="5"/>
  <c r="I19" i="3"/>
  <c r="T10" i="3"/>
  <c r="T31" i="3"/>
  <c r="S31" i="3"/>
  <c r="R31" i="3"/>
  <c r="Q31" i="3"/>
  <c r="U28" i="3"/>
  <c r="T28" i="3"/>
  <c r="S28" i="3"/>
  <c r="R28" i="3"/>
  <c r="Q28" i="3"/>
  <c r="R13" i="3"/>
  <c r="T18" i="3" s="1"/>
  <c r="Q13" i="3"/>
  <c r="T7" i="3"/>
  <c r="S10" i="3"/>
  <c r="R10" i="3"/>
  <c r="Q10" i="3"/>
  <c r="S7" i="3"/>
  <c r="U7" i="3"/>
  <c r="Q7" i="3"/>
  <c r="R7" i="3"/>
  <c r="S38" i="5" l="1"/>
  <c r="S18" i="5"/>
  <c r="S37" i="5" s="1"/>
  <c r="S16" i="5"/>
  <c r="S35" i="5" s="1"/>
  <c r="S17" i="5"/>
  <c r="S36" i="5" s="1"/>
  <c r="S34" i="5"/>
  <c r="R34" i="3"/>
  <c r="Q36" i="3"/>
  <c r="R38" i="3"/>
  <c r="R35" i="3"/>
  <c r="Q34" i="3"/>
  <c r="T19" i="3"/>
  <c r="Q35" i="3"/>
  <c r="Q38" i="3"/>
  <c r="Q37" i="3"/>
  <c r="R37" i="3"/>
  <c r="R36" i="3"/>
  <c r="Q19" i="3"/>
  <c r="R19" i="3"/>
  <c r="Q16" i="3"/>
  <c r="Q17" i="3"/>
  <c r="Q18" i="3"/>
  <c r="R16" i="3"/>
  <c r="T17" i="3"/>
  <c r="R17" i="3"/>
  <c r="R18" i="3"/>
  <c r="T38" i="5" l="1"/>
  <c r="U36" i="5"/>
  <c r="I13" i="5" s="1"/>
  <c r="T36" i="5"/>
  <c r="T35" i="5"/>
  <c r="U38" i="5"/>
  <c r="I17" i="5" s="1"/>
  <c r="U37" i="5"/>
  <c r="I15" i="5" s="1"/>
  <c r="T37" i="5"/>
  <c r="S34" i="3"/>
  <c r="S35" i="3"/>
  <c r="S19" i="3"/>
  <c r="S38" i="3" s="1"/>
  <c r="S18" i="3"/>
  <c r="S37" i="3" s="1"/>
  <c r="S17" i="3"/>
  <c r="S36" i="3" s="1"/>
  <c r="S16" i="3"/>
  <c r="T35" i="3" l="1"/>
  <c r="U36" i="3"/>
  <c r="I13" i="3" s="1"/>
  <c r="T36" i="3"/>
  <c r="T38" i="3"/>
  <c r="U38" i="3"/>
  <c r="I17" i="3" s="1"/>
  <c r="U37" i="3"/>
  <c r="I15" i="3" s="1"/>
  <c r="T37" i="3"/>
</calcChain>
</file>

<file path=xl/sharedStrings.xml><?xml version="1.0" encoding="utf-8"?>
<sst xmlns="http://schemas.openxmlformats.org/spreadsheetml/2006/main" count="339" uniqueCount="77">
  <si>
    <t>무기</t>
    <phoneticPr fontId="2" type="noConversion"/>
  </si>
  <si>
    <t>강화</t>
    <phoneticPr fontId="2" type="noConversion"/>
  </si>
  <si>
    <t>레벨</t>
    <phoneticPr fontId="2" type="noConversion"/>
  </si>
  <si>
    <t>투구</t>
    <phoneticPr fontId="2" type="noConversion"/>
  </si>
  <si>
    <t>어깨</t>
    <phoneticPr fontId="2" type="noConversion"/>
  </si>
  <si>
    <t>상의</t>
    <phoneticPr fontId="2" type="noConversion"/>
  </si>
  <si>
    <t>하의</t>
    <phoneticPr fontId="2" type="noConversion"/>
  </si>
  <si>
    <t>장갑</t>
    <phoneticPr fontId="2" type="noConversion"/>
  </si>
  <si>
    <t>머리</t>
    <phoneticPr fontId="2" type="noConversion"/>
  </si>
  <si>
    <t>등급</t>
    <phoneticPr fontId="2" type="noConversion"/>
  </si>
  <si>
    <t>고대</t>
    <phoneticPr fontId="2" type="noConversion"/>
  </si>
  <si>
    <t>유물</t>
    <phoneticPr fontId="2" type="noConversion"/>
  </si>
  <si>
    <t>목걸이</t>
    <phoneticPr fontId="2" type="noConversion"/>
  </si>
  <si>
    <t>귀걸이</t>
    <phoneticPr fontId="2" type="noConversion"/>
  </si>
  <si>
    <t>반지</t>
    <phoneticPr fontId="2" type="noConversion"/>
  </si>
  <si>
    <t>엘릭서</t>
    <phoneticPr fontId="2" type="noConversion"/>
  </si>
  <si>
    <t>스텟</t>
    <phoneticPr fontId="2" type="noConversion"/>
  </si>
  <si>
    <t>전설</t>
    <phoneticPr fontId="2" type="noConversion"/>
  </si>
  <si>
    <t>영웅</t>
    <phoneticPr fontId="2" type="noConversion"/>
  </si>
  <si>
    <t>단계</t>
    <phoneticPr fontId="2" type="noConversion"/>
  </si>
  <si>
    <t>진군(질서)</t>
    <phoneticPr fontId="2" type="noConversion"/>
  </si>
  <si>
    <t>선각자(질서)</t>
  </si>
  <si>
    <t>선각자(질서)</t>
    <phoneticPr fontId="2" type="noConversion"/>
  </si>
  <si>
    <t>신념(질서)</t>
    <phoneticPr fontId="2" type="noConversion"/>
  </si>
  <si>
    <t>진군(혼돈)</t>
    <phoneticPr fontId="2" type="noConversion"/>
  </si>
  <si>
    <t>선각자(혼돈)</t>
  </si>
  <si>
    <t>선각자(혼돈)</t>
    <phoneticPr fontId="2" type="noConversion"/>
  </si>
  <si>
    <t>신념(혼돈)</t>
    <phoneticPr fontId="2" type="noConversion"/>
  </si>
  <si>
    <t>아군 강화</t>
    <phoneticPr fontId="2" type="noConversion"/>
  </si>
  <si>
    <t>힘</t>
    <phoneticPr fontId="2" type="noConversion"/>
  </si>
  <si>
    <t>민첩</t>
    <phoneticPr fontId="2" type="noConversion"/>
  </si>
  <si>
    <t>지능</t>
    <phoneticPr fontId="2" type="noConversion"/>
  </si>
  <si>
    <t>무기 공격력</t>
    <phoneticPr fontId="2" type="noConversion"/>
  </si>
  <si>
    <t>팔찌</t>
    <phoneticPr fontId="2" type="noConversion"/>
  </si>
  <si>
    <t>없음</t>
    <phoneticPr fontId="2" type="noConversion"/>
  </si>
  <si>
    <t>기타</t>
  </si>
  <si>
    <t>기타</t>
    <phoneticPr fontId="2" type="noConversion"/>
  </si>
  <si>
    <t>공격력</t>
    <phoneticPr fontId="2" type="noConversion"/>
  </si>
  <si>
    <t>회심(질서)</t>
    <phoneticPr fontId="2" type="noConversion"/>
  </si>
  <si>
    <t>달인(질서)</t>
    <phoneticPr fontId="2" type="noConversion"/>
  </si>
  <si>
    <t>회심(혼돈)</t>
    <phoneticPr fontId="2" type="noConversion"/>
  </si>
  <si>
    <t>달인(혼돈)</t>
    <phoneticPr fontId="2" type="noConversion"/>
  </si>
  <si>
    <t>힘/민첩/지능</t>
    <phoneticPr fontId="2" type="noConversion"/>
  </si>
  <si>
    <t>저주받은 인형</t>
    <phoneticPr fontId="2" type="noConversion"/>
  </si>
  <si>
    <t>질량 증가</t>
    <phoneticPr fontId="2" type="noConversion"/>
  </si>
  <si>
    <t>아드레날린</t>
    <phoneticPr fontId="2" type="noConversion"/>
  </si>
  <si>
    <t>에테르 포식자</t>
    <phoneticPr fontId="2" type="noConversion"/>
  </si>
  <si>
    <t>내실</t>
    <phoneticPr fontId="2" type="noConversion"/>
  </si>
  <si>
    <t>진군</t>
    <phoneticPr fontId="2" type="noConversion"/>
  </si>
  <si>
    <t>선각자</t>
    <phoneticPr fontId="2" type="noConversion"/>
  </si>
  <si>
    <t>신념</t>
    <phoneticPr fontId="2" type="noConversion"/>
  </si>
  <si>
    <t>없음</t>
    <phoneticPr fontId="2" type="noConversion"/>
  </si>
  <si>
    <t>단계</t>
    <phoneticPr fontId="2" type="noConversion"/>
  </si>
  <si>
    <t>스텟</t>
    <phoneticPr fontId="2" type="noConversion"/>
  </si>
  <si>
    <t>초월</t>
    <phoneticPr fontId="2" type="noConversion"/>
  </si>
  <si>
    <t>옵션1</t>
    <phoneticPr fontId="2" type="noConversion"/>
  </si>
  <si>
    <t>옵션2</t>
    <phoneticPr fontId="2" type="noConversion"/>
  </si>
  <si>
    <t>서폿</t>
    <phoneticPr fontId="2" type="noConversion"/>
  </si>
  <si>
    <t>딜러</t>
    <phoneticPr fontId="2" type="noConversion"/>
  </si>
  <si>
    <t>아바타</t>
    <phoneticPr fontId="2" type="noConversion"/>
  </si>
  <si>
    <t>장신구</t>
    <phoneticPr fontId="2" type="noConversion"/>
  </si>
  <si>
    <t>각인</t>
    <phoneticPr fontId="2" type="noConversion"/>
  </si>
  <si>
    <t>버프 효율</t>
    <phoneticPr fontId="2" type="noConversion"/>
  </si>
  <si>
    <t>장비</t>
    <phoneticPr fontId="2" type="noConversion"/>
  </si>
  <si>
    <t>기본</t>
    <phoneticPr fontId="2" type="noConversion"/>
  </si>
  <si>
    <t>엘릭서O, 초월X</t>
    <phoneticPr fontId="2" type="noConversion"/>
  </si>
  <si>
    <t>엘릭서X, 초월O</t>
    <phoneticPr fontId="2" type="noConversion"/>
  </si>
  <si>
    <t>엘릭서O, 초월O</t>
    <phoneticPr fontId="2" type="noConversion"/>
  </si>
  <si>
    <t>장신구, 기타</t>
    <phoneticPr fontId="2" type="noConversion"/>
  </si>
  <si>
    <t>엘릭서X, 초월X</t>
    <phoneticPr fontId="2" type="noConversion"/>
  </si>
  <si>
    <t>버프(%)</t>
    <phoneticPr fontId="2" type="noConversion"/>
  </si>
  <si>
    <t>-</t>
    <phoneticPr fontId="2" type="noConversion"/>
  </si>
  <si>
    <t>효율(%)</t>
    <phoneticPr fontId="2" type="noConversion"/>
  </si>
  <si>
    <t>기원</t>
    <phoneticPr fontId="2" type="noConversion"/>
  </si>
  <si>
    <t>엘릭서&amp;초월</t>
    <phoneticPr fontId="2" type="noConversion"/>
  </si>
  <si>
    <t>-딜러는 엘릭서와 초월을 포함한 상태로 계산
-엘릭서 또는 초월의 유무에 따른 딜러의 공격력 차이를 계산
-'전승자의 힘' 효과는 제외
-'전승자' 효과는 기대값으로 계산</t>
    <phoneticPr fontId="2" type="noConversion"/>
  </si>
  <si>
    <t>엘릭서의 보스 피해, 치명타 피해, 추가 피해, 등과 같이
힘/민첩/지능, 무기 공격력, 공격력, 세트 옵션 이외에는
'기타'로 넣어주세요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</si>
</sst>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맑은 고딕"/>
      <family val="2"/>
      <scheme val="minor"/>
    </font>
    <font>
      <sz val="10"/>
      <color theme="1"/>
      <name val="나눔바른고딕"/>
      <family val="3"/>
      <charset val="129"/>
    </font>
    <font>
      <sz val="8"/>
      <name val="맑은 고딕"/>
      <family val="3"/>
      <charset val="129"/>
      <scheme val="minor"/>
    </font>
    <font>
      <sz val="10"/>
      <color theme="1"/>
      <name val="함초롬돋움"/>
      <family val="3"/>
      <charset val="129"/>
    </font>
    <font>
      <sz val="16"/>
      <color theme="1"/>
      <name val="함초롬돋움"/>
      <family val="3"/>
      <charset val="129"/>
    </font>
    <font>
      <b/>
      <sz val="16"/>
      <color rgb="FFFF0000"/>
      <name val="함초롬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8" borderId="0" xfId="0" applyFont="1" applyFill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2" fontId="4" fillId="4" borderId="20" xfId="0" applyNumberFormat="1" applyFont="1" applyFill="1" applyBorder="1" applyAlignment="1">
      <alignment horizontal="center" vertical="center"/>
    </xf>
    <xf numFmtId="2" fontId="4" fillId="4" borderId="17" xfId="0" applyNumberFormat="1" applyFont="1" applyFill="1" applyBorder="1" applyAlignment="1">
      <alignment horizontal="center" vertical="center"/>
    </xf>
    <xf numFmtId="2" fontId="4" fillId="4" borderId="21" xfId="0" applyNumberFormat="1" applyFont="1" applyFill="1" applyBorder="1" applyAlignment="1">
      <alignment horizontal="center" vertical="center"/>
    </xf>
    <xf numFmtId="2" fontId="4" fillId="4" borderId="19" xfId="0" applyNumberFormat="1" applyFont="1" applyFill="1" applyBorder="1" applyAlignment="1">
      <alignment horizontal="center" vertical="center"/>
    </xf>
    <xf numFmtId="2" fontId="5" fillId="4" borderId="20" xfId="0" applyNumberFormat="1" applyFont="1" applyFill="1" applyBorder="1" applyAlignment="1">
      <alignment horizontal="center" vertical="center"/>
    </xf>
    <xf numFmtId="2" fontId="5" fillId="4" borderId="17" xfId="0" applyNumberFormat="1" applyFont="1" applyFill="1" applyBorder="1" applyAlignment="1">
      <alignment horizontal="center" vertical="center"/>
    </xf>
    <xf numFmtId="2" fontId="5" fillId="4" borderId="21" xfId="0" applyNumberFormat="1" applyFont="1" applyFill="1" applyBorder="1" applyAlignment="1">
      <alignment horizontal="center" vertical="center"/>
    </xf>
    <xf numFmtId="2" fontId="5" fillId="4" borderId="19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C394C-3049-4D8A-91DA-A4DBF0D7EF0C}">
  <dimension ref="A1:U43"/>
  <sheetViews>
    <sheetView zoomScale="85" zoomScaleNormal="85" workbookViewId="0">
      <selection activeCell="M6" sqref="M6"/>
    </sheetView>
  </sheetViews>
  <sheetFormatPr defaultRowHeight="14.25" x14ac:dyDescent="0.3"/>
  <cols>
    <col min="1" max="2" width="2.625" style="5" customWidth="1"/>
    <col min="3" max="3" width="11.625" style="5" customWidth="1"/>
    <col min="4" max="6" width="6.625" style="5" customWidth="1"/>
    <col min="7" max="7" width="10.625" style="5" customWidth="1"/>
    <col min="8" max="8" width="6.625" style="5" customWidth="1"/>
    <col min="9" max="9" width="10.625" style="5" customWidth="1"/>
    <col min="10" max="10" width="6.625" style="5" customWidth="1"/>
    <col min="11" max="11" width="2.625" style="5" customWidth="1"/>
    <col min="12" max="12" width="9" style="5"/>
    <col min="13" max="13" width="6.625" style="5" customWidth="1"/>
    <col min="14" max="15" width="2.625" style="5" customWidth="1"/>
    <col min="16" max="16" width="13.625" style="5" hidden="1" customWidth="1"/>
    <col min="17" max="18" width="10.625" style="5" hidden="1" customWidth="1"/>
    <col min="19" max="21" width="9.625" style="5" hidden="1" customWidth="1"/>
    <col min="22" max="16384" width="9" style="5"/>
  </cols>
  <sheetData>
    <row r="1" spans="1:21" ht="14.25" customHeight="1" x14ac:dyDescent="0.3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21" ht="14.25" customHeight="1" x14ac:dyDescent="0.3">
      <c r="A2" s="40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  <c r="O2" s="40"/>
    </row>
    <row r="3" spans="1:21" ht="14.25" customHeight="1" x14ac:dyDescent="0.3">
      <c r="A3" s="40"/>
      <c r="B3" s="15"/>
      <c r="C3" s="61" t="s">
        <v>57</v>
      </c>
      <c r="D3" s="62"/>
      <c r="E3" s="62"/>
      <c r="F3" s="62"/>
      <c r="G3" s="62"/>
      <c r="H3" s="62"/>
      <c r="I3" s="62"/>
      <c r="J3" s="62"/>
      <c r="K3" s="62"/>
      <c r="L3" s="62"/>
      <c r="M3" s="63"/>
      <c r="N3" s="17"/>
      <c r="O3" s="40"/>
    </row>
    <row r="4" spans="1:21" ht="14.25" customHeight="1" x14ac:dyDescent="0.3">
      <c r="A4" s="40"/>
      <c r="B4" s="1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7"/>
      <c r="O4" s="40"/>
    </row>
    <row r="5" spans="1:21" ht="14.25" customHeight="1" x14ac:dyDescent="0.3">
      <c r="A5" s="40"/>
      <c r="B5" s="15"/>
      <c r="C5" s="64" t="s">
        <v>63</v>
      </c>
      <c r="D5" s="66" t="s">
        <v>1</v>
      </c>
      <c r="E5" s="68" t="s">
        <v>54</v>
      </c>
      <c r="F5" s="69"/>
      <c r="G5" s="70" t="s">
        <v>15</v>
      </c>
      <c r="H5" s="71"/>
      <c r="I5" s="71"/>
      <c r="J5" s="72"/>
      <c r="K5" s="9"/>
      <c r="L5" s="8" t="s">
        <v>60</v>
      </c>
      <c r="M5" s="18" t="s">
        <v>9</v>
      </c>
      <c r="N5" s="17"/>
      <c r="O5" s="40"/>
    </row>
    <row r="6" spans="1:21" ht="14.25" customHeight="1" x14ac:dyDescent="0.3">
      <c r="A6" s="40"/>
      <c r="B6" s="15"/>
      <c r="C6" s="65"/>
      <c r="D6" s="67"/>
      <c r="E6" s="19" t="s">
        <v>19</v>
      </c>
      <c r="F6" s="20" t="s">
        <v>9</v>
      </c>
      <c r="G6" s="61" t="s">
        <v>55</v>
      </c>
      <c r="H6" s="63"/>
      <c r="I6" s="61" t="s">
        <v>56</v>
      </c>
      <c r="J6" s="63"/>
      <c r="K6" s="9"/>
      <c r="L6" s="18" t="s">
        <v>12</v>
      </c>
      <c r="M6" s="32"/>
      <c r="N6" s="17"/>
      <c r="O6" s="40"/>
      <c r="Q6" s="11" t="s">
        <v>63</v>
      </c>
      <c r="R6" s="11" t="s">
        <v>68</v>
      </c>
      <c r="S6" s="25" t="s">
        <v>15</v>
      </c>
      <c r="T6" s="26" t="s">
        <v>54</v>
      </c>
      <c r="U6" s="11" t="s">
        <v>59</v>
      </c>
    </row>
    <row r="7" spans="1:21" ht="14.25" customHeight="1" x14ac:dyDescent="0.3">
      <c r="A7" s="40"/>
      <c r="B7" s="15"/>
      <c r="C7" s="18" t="s">
        <v>3</v>
      </c>
      <c r="D7" s="32"/>
      <c r="E7" s="35"/>
      <c r="F7" s="32"/>
      <c r="G7" s="32"/>
      <c r="H7" s="36"/>
      <c r="I7" s="37"/>
      <c r="J7" s="32"/>
      <c r="K7" s="9"/>
      <c r="L7" s="21" t="s">
        <v>13</v>
      </c>
      <c r="M7" s="33"/>
      <c r="N7" s="17"/>
      <c r="O7" s="40"/>
      <c r="P7" s="11" t="s">
        <v>42</v>
      </c>
      <c r="Q7" s="11" t="e">
        <f>SUM(VLOOKUP($D$7,참고!$B$2:$H$9,MATCH($C$7,참고!$B$2:$H$2,0),0), VLOOKUP($D$8,참고!$B$2:$H$9,MATCH($C$8,참고!$B$2:$H$2,0),0), VLOOKUP($D$9,참고!$B$2:$H$9,MATCH($C$9,참고!$B$2:$H$2,0),0), VLOOKUP($D$10,참고!$B$2:$H$9,MATCH($C$10,참고!$B$2:$H$2,0),0), VLOOKUP($D$11,참고!$B$2:$H$9,MATCH($C$11,참고!$B$2:$H$2,0),0))</f>
        <v>#N/A</v>
      </c>
      <c r="R7" s="11" t="e">
        <f>SUM(VLOOKUP($M$6, 참고!$B$11:$E$13, MATCH($L$6, 참고!$B$11:$E$11, 0), 0), VLOOKUP($M$7, 참고!$B$11:$E$13, MATCH($L$7, 참고!$B$11:$E$11, 0), 0), VLOOKUP($M$8, 참고!$B$11:$E$13, MATCH($L$8, 참고!$B$11:$E$11, 0), 0), VLOOKUP($M$9, 참고!$B$11:$E$13, MATCH($L$9, 참고!$B$11:$E$11, 0), 0), VLOOKUP($M$10, 참고!$B$11:$E$13, MATCH($L$10, 참고!$B$11:$E$11, 0), 0), $M$13, $M$14, 429)</f>
        <v>#N/A</v>
      </c>
      <c r="S7" s="11">
        <f>SUM(IF(OR($G$7 = "힘", $G$7 = "민첩", $G$7 = "지능"), VLOOKUP($H$7, 참고!$B$19:$O$25, MATCH($G$7, 참고!$B$19:$O$19, 0), 0), 0), IF(OR($G$8 = "힘", $G$8 = "민첩", $G$8 = "지능"), VLOOKUP($H$8, 참고!$B$19:$O$25, MATCH($G$8, 참고!$B$19:$O$19, 0), 0), 0), IF(OR($G$9 = "힘", $G$9 = "민첩", $G$9 = "지능"), VLOOKUP($H$9, 참고!$B$19:$O$25, MATCH($G$9, 참고!$B$19:$O$19, 0), 0), 0), IF(OR($G$10 = "힘", $G$10 = "민첩", $G$10= "지능"), VLOOKUP($H$10, 참고!$B$19:$O$25, MATCH($G$10, 참고!$B$19:$O$19, 0), 0), 0), IF(OR($G$11 = "힘", $G$11 = "민첩", $G$11 = "지능"), VLOOKUP($H$11, 참고!$B$19:$O$25, MATCH($G$11, 참고!$B$19:$O$19, 0), 0), 0), IF(OR($I$7 = "힘", $I$7 = "민첩", $I$7 = "지능"), VLOOKUP($J$7, 참고!$B$19:$O$25, MATCH($I$7, 참고!$B$19:$O$19, 0), 0), 0), IF(OR($I$8 = "힘", $I$8 = "민첩", $I$8 = "지능"), VLOOKUP($J$8, 참고!$B$19:$O$25, MATCH($I$8, 참고!$B$19:$O$19, 0), 0), 0), IF(OR($I$9 = "힘", $I$9 = "민첩", $I$9 = "지능"), VLOOKUP($J$9, 참고!$B$19:$O$25, MATCH($I$9, 참고!$B$19:$O$19, 0), 0), 0), IF(OR($I$10 = "힘", $I$10 = "민첩", $I$10 = "지능"), VLOOKUP($J$10, 참고!$B$19:$O$25, MATCH($I$10, 참고!$B$19:$O$19, 0), 0), 0), IF(OR($I$11 = "힘", $I$11 = "민첩", $I$11 = "지능"), VLOOKUP($J$11, 참고!$B$19:$O$25, MATCH($I$11, 참고!$B$19:$O$19, 0), 0), 0))</f>
        <v>0</v>
      </c>
      <c r="T7" s="11" t="e">
        <f>SUM(VLOOKUP($E$7, 참고!$B$38:$C$46, 2, 0), VLOOKUP($E$8, 참고!$B$38:$C$46, 2, 0), VLOOKUP($E$9, 참고!$B$38:$C$46, 2, 0), VLOOKUP($E$10, 참고!$B$38:$C$46, 2, 0), VLOOKUP($E$11, 참고!$B$38:$C$46, 2, 0), IF($F$7 &gt;= 10, SUM($F$7:$F$11)*55, 0), IF($F$11 &gt;= 20, 12600, IF($F$11 &gt;= 15, 8400, IF($F$11 &gt;= 5, 4200, 0))))</f>
        <v>#N/A</v>
      </c>
      <c r="U7" s="11" t="e">
        <f>SUM(VLOOKUP($M$17, 참고!$B$15:$F$17, MATCH($L$17, 참고!$B$15:$F$15, 0), 0), VLOOKUP($M$18, 참고!$B$15:$F$17, MATCH($L$18, 참고!$B$15:$F$15, 0), 0), VLOOKUP($M$19, 참고!$B$15:$F$17, MATCH($L$19, 참고!$B$15:$F$15, 0), 0), VLOOKUP($M$20, 참고!$B$15:$F$17, MATCH($L$20, 참고!$B$15:$F$15, 0), 0))</f>
        <v>#N/A</v>
      </c>
    </row>
    <row r="8" spans="1:21" ht="14.25" customHeight="1" x14ac:dyDescent="0.3">
      <c r="A8" s="40"/>
      <c r="B8" s="15"/>
      <c r="C8" s="21" t="s">
        <v>4</v>
      </c>
      <c r="D8" s="33"/>
      <c r="E8" s="37"/>
      <c r="F8" s="33"/>
      <c r="G8" s="33"/>
      <c r="H8" s="36"/>
      <c r="I8" s="37"/>
      <c r="J8" s="33"/>
      <c r="K8" s="9"/>
      <c r="L8" s="21" t="s">
        <v>13</v>
      </c>
      <c r="M8" s="33"/>
      <c r="N8" s="17"/>
      <c r="O8" s="40"/>
    </row>
    <row r="9" spans="1:21" ht="14.25" customHeight="1" x14ac:dyDescent="0.3">
      <c r="A9" s="40"/>
      <c r="B9" s="15"/>
      <c r="C9" s="21" t="s">
        <v>5</v>
      </c>
      <c r="D9" s="33"/>
      <c r="E9" s="37"/>
      <c r="F9" s="33"/>
      <c r="G9" s="33"/>
      <c r="H9" s="36"/>
      <c r="I9" s="37"/>
      <c r="J9" s="33"/>
      <c r="K9" s="9"/>
      <c r="L9" s="21" t="s">
        <v>14</v>
      </c>
      <c r="M9" s="33"/>
      <c r="N9" s="17"/>
      <c r="O9" s="40"/>
      <c r="Q9" s="11" t="s">
        <v>0</v>
      </c>
      <c r="R9" s="25" t="s">
        <v>15</v>
      </c>
      <c r="S9" s="25" t="s">
        <v>48</v>
      </c>
      <c r="T9" s="26" t="s">
        <v>54</v>
      </c>
    </row>
    <row r="10" spans="1:21" ht="14.25" customHeight="1" x14ac:dyDescent="0.3">
      <c r="A10" s="40"/>
      <c r="B10" s="15"/>
      <c r="C10" s="21" t="s">
        <v>6</v>
      </c>
      <c r="D10" s="33"/>
      <c r="E10" s="37"/>
      <c r="F10" s="33"/>
      <c r="G10" s="33"/>
      <c r="H10" s="36"/>
      <c r="I10" s="37"/>
      <c r="J10" s="33"/>
      <c r="K10" s="9"/>
      <c r="L10" s="22" t="s">
        <v>14</v>
      </c>
      <c r="M10" s="34"/>
      <c r="N10" s="17"/>
      <c r="O10" s="40"/>
      <c r="P10" s="11" t="s">
        <v>32</v>
      </c>
      <c r="Q10" s="11" t="e">
        <f>VLOOKUP($D$12,참고!$B$2:$H$9,MATCH($C$12,참고!$B$2:$H$2,0),0)</f>
        <v>#N/A</v>
      </c>
      <c r="R10" s="11">
        <f>SUM(IF($G$7 = "무기 공격력", VLOOKUP($H$7, 참고!$B$19:$O$25, MATCH($G$7, 참고!$B$19:$O$19, 0), 0), 0), IF($G$8 = "무기 공격력", VLOOKUP($H$8, 참고!$B$19:$O$25, MATCH($G$8, 참고!$B$19:$O$19, 0), 0), 0), IF($G$9 = "무기 공격력", VLOOKUP($H$9, 참고!$B$19:$O$25, MATCH($G$9, 참고!$B$19:$O$19, 0), 0), 0), IF($G$10 = "무기 공격력", VLOOKUP($H$10, 참고!$B$19:$O$25, MATCH($G$10, 참고!$B$19:$O$19, 0), 0), 0), IF($G$11 = "무기 공격력", VLOOKUP($H$11, 참고!$B$19:$O$25, MATCH($G$11, 참고!$B$19:$O$19, 0), 0), 0), IF($I$7 = "무기 공격력", VLOOKUP($J$7, 참고!$B$19:$O$25, MATCH($I$7, 참고!$B$19:$O$19, 0), 0), 0), IF($I$8 = "무기 공격력", VLOOKUP($J$8, 참고!$B$19:$O$25, MATCH($I$8, 참고!$B$19:$O$19, 0), 0), 0), IF($I$9 = "무기 공격력", VLOOKUP($J$9, 참고!$B$19:$O$25, MATCH($I$9, 참고!$B$19:$O$19, 0), 0), 0), IF($I$10 = "무기 공격력", VLOOKUP($J$10, 참고!$B$19:$O$25, MATCH($I$10, 참고!$B$19:$O$19, 0), 0), 0), IF($I$11 = "무기 공격력", VLOOKUP($J$11, 참고!$B$19:$O$25, MATCH($I$11, 참고!$B$19:$O$19, 0), 0), 0))</f>
        <v>0</v>
      </c>
      <c r="S10" s="11">
        <f>IF(AND(OR($G$7 = "진군(질서)", $I$7 = "진군(질서)"), OR($G$11 = "진군(혼돈)", $I$11 = "진군(혼돈)"), SUM($H$7:$H$11, $J$7:$J$11) &gt;= 35), 2230, 0)</f>
        <v>0</v>
      </c>
      <c r="T10" s="11">
        <f>SUM(IF($F$7 &gt;= 15, SUM($F$7:$F$11)*14, 0), IF($F$8 &gt;= 20, 3600, IF($F$8 &gt;= 15, 2400, IF($F$8 &gt;= 5, 1200, 0))), IF($F$9 &gt;= 20, 7200, IF($F$9 &gt;= 15, 7200*18/30, IF($F$9 &gt;= 5, 4800*10/30, 0))))</f>
        <v>0</v>
      </c>
    </row>
    <row r="11" spans="1:21" ht="14.25" customHeight="1" x14ac:dyDescent="0.3">
      <c r="A11" s="40"/>
      <c r="B11" s="15"/>
      <c r="C11" s="21" t="s">
        <v>7</v>
      </c>
      <c r="D11" s="33"/>
      <c r="E11" s="38"/>
      <c r="F11" s="34"/>
      <c r="G11" s="34"/>
      <c r="H11" s="39"/>
      <c r="I11" s="38"/>
      <c r="J11" s="34"/>
      <c r="K11" s="9"/>
      <c r="L11" s="9"/>
      <c r="M11" s="9"/>
      <c r="N11" s="17"/>
      <c r="O11" s="40"/>
    </row>
    <row r="12" spans="1:21" ht="14.25" customHeight="1" thickBot="1" x14ac:dyDescent="0.35">
      <c r="A12" s="40"/>
      <c r="B12" s="15"/>
      <c r="C12" s="22" t="s">
        <v>0</v>
      </c>
      <c r="D12" s="34"/>
      <c r="E12" s="9"/>
      <c r="F12" s="9"/>
      <c r="G12" s="9"/>
      <c r="H12" s="9"/>
      <c r="I12" s="9"/>
      <c r="J12" s="9"/>
      <c r="K12" s="9"/>
      <c r="L12" s="8" t="s">
        <v>36</v>
      </c>
      <c r="M12" s="18" t="s">
        <v>16</v>
      </c>
      <c r="N12" s="17"/>
      <c r="O12" s="40"/>
      <c r="Q12" s="25" t="s">
        <v>15</v>
      </c>
      <c r="R12" s="26" t="s">
        <v>54</v>
      </c>
    </row>
    <row r="13" spans="1:21" ht="14.25" customHeight="1" x14ac:dyDescent="0.3">
      <c r="A13" s="40"/>
      <c r="B13" s="15"/>
      <c r="C13" s="9"/>
      <c r="D13" s="9"/>
      <c r="E13" s="9"/>
      <c r="F13" s="9"/>
      <c r="G13" s="55" t="s">
        <v>15</v>
      </c>
      <c r="H13" s="56"/>
      <c r="I13" s="42" t="e">
        <f>$U$36</f>
        <v>#N/A</v>
      </c>
      <c r="J13" s="43"/>
      <c r="K13" s="9"/>
      <c r="L13" s="12" t="s">
        <v>33</v>
      </c>
      <c r="M13" s="32"/>
      <c r="N13" s="17"/>
      <c r="O13" s="40"/>
      <c r="P13" s="11" t="s">
        <v>62</v>
      </c>
      <c r="Q13" s="11">
        <f>SUM(IF(OR($G$7="선각자(질서)",$G$7="신념(질서)",$G$7="진군(질서)"),VLOOKUP($H$7,참고!$B$19:$T$25,MATCH($G$7,참고!$B$19:$T$19,0),0),IF(OR($I$7="선각자(질서)",$I$7="신념(질서)",$I$7="진군(질서)"),VLOOKUP($J$7,참고!$B$19:$T$25,MATCH($I$7,참고!$B$19:$T$19,0),0),0)),IF($G$10="아군 강화",VLOOKUP($H$10,참고!$B$19:$T$25,MATCH($G$10,참고!$B$19:$T$19,0),0),IF($I$10="아군 강화",VLOOKUP($J$10,참고!$B$19:$T$25,MATCH($I$10,참고!$B$19:$T$19,0),0),0)),IF(AND(OR($G$7="진군(질서)",$I$7="진군(질서)"),OR($G$11="진군(혼돈)",$I$11="진군(혼돈)"),SUM($H$7:$H$11,$J$7:$J$11)&gt;=40), 6, IF(OR(AND(OR($G$7="선각자(질서)",$I$7="선각자(질서)"),OR($G$11="선각자(혼돈)",$I$11="선각자(혼돈)")), AND(OR($G$7="신념(질서)",$I$7="신념(질서)"),OR($G$11="신념(혼돈)",$I$11="신념(혼돈)"))), IF(SUM($H$7:$H$11, $J$7:$J$11) &gt;= 40, 14, IF(SUM($H$7:$H$11, $J$7:$J$11) &gt;= 35, 8, 0)))))</f>
        <v>0</v>
      </c>
      <c r="R13" s="11">
        <f>SUM(0.01*SUM($F$7:$F$11)*IF($F$7 &gt;= 20, 4, IF($F$7 &gt;= 15, 3, IF($F$7 &gt;= 10, 2, IF($F$7 &gt;= 5, 1, 0)))), IF($F$8 &gt;= 20, 3, IF($F$8 &gt;= 15, 2, IF($F$8 &gt;= 5, 1))), IF($F$11 &gt;= 20, 3, IF($F$11 &gt;= 15, 2, IF($F$11 &gt;= 5, 1))))</f>
        <v>0</v>
      </c>
    </row>
    <row r="14" spans="1:21" ht="14.25" customHeight="1" thickBot="1" x14ac:dyDescent="0.35">
      <c r="A14" s="40"/>
      <c r="B14" s="15"/>
      <c r="C14" s="54" t="s">
        <v>75</v>
      </c>
      <c r="D14" s="54"/>
      <c r="E14" s="54"/>
      <c r="F14" s="9"/>
      <c r="G14" s="57"/>
      <c r="H14" s="58"/>
      <c r="I14" s="44"/>
      <c r="J14" s="45"/>
      <c r="K14" s="9"/>
      <c r="L14" s="19" t="s">
        <v>47</v>
      </c>
      <c r="M14" s="34"/>
      <c r="N14" s="17"/>
      <c r="O14" s="40"/>
    </row>
    <row r="15" spans="1:21" ht="14.25" customHeight="1" x14ac:dyDescent="0.3">
      <c r="A15" s="40"/>
      <c r="B15" s="15"/>
      <c r="C15" s="54"/>
      <c r="D15" s="54"/>
      <c r="E15" s="54"/>
      <c r="F15" s="9"/>
      <c r="G15" s="55" t="s">
        <v>54</v>
      </c>
      <c r="H15" s="56"/>
      <c r="I15" s="42" t="e">
        <f>$U$37</f>
        <v>#N/A</v>
      </c>
      <c r="J15" s="43"/>
      <c r="K15" s="9"/>
      <c r="L15" s="9"/>
      <c r="M15" s="9"/>
      <c r="N15" s="17"/>
      <c r="O15" s="40"/>
      <c r="P15" s="4"/>
      <c r="Q15" s="11" t="s">
        <v>42</v>
      </c>
      <c r="R15" s="11" t="s">
        <v>32</v>
      </c>
      <c r="S15" s="11" t="s">
        <v>37</v>
      </c>
      <c r="T15" s="11" t="s">
        <v>62</v>
      </c>
    </row>
    <row r="16" spans="1:21" ht="14.25" customHeight="1" thickBot="1" x14ac:dyDescent="0.35">
      <c r="A16" s="40"/>
      <c r="B16" s="15"/>
      <c r="C16" s="54"/>
      <c r="D16" s="54"/>
      <c r="E16" s="54"/>
      <c r="F16" s="9"/>
      <c r="G16" s="57"/>
      <c r="H16" s="58"/>
      <c r="I16" s="44"/>
      <c r="J16" s="45"/>
      <c r="K16" s="9"/>
      <c r="L16" s="8" t="s">
        <v>59</v>
      </c>
      <c r="M16" s="16" t="s">
        <v>9</v>
      </c>
      <c r="N16" s="17"/>
      <c r="O16" s="40"/>
      <c r="P16" s="11" t="s">
        <v>69</v>
      </c>
      <c r="Q16" s="11" t="e">
        <f>FLOOR(SUM($Q$7, $R$7)*(1 + $U$7/100), 1)</f>
        <v>#N/A</v>
      </c>
      <c r="R16" s="11" t="e">
        <f>SUM($Q$10)</f>
        <v>#N/A</v>
      </c>
      <c r="S16" s="11" t="e">
        <f>FLOOR(SQRT($Q$16*$R$16/6), 1)</f>
        <v>#N/A</v>
      </c>
      <c r="T16" s="11">
        <v>0</v>
      </c>
    </row>
    <row r="17" spans="1:21" ht="14.25" customHeight="1" x14ac:dyDescent="0.3">
      <c r="A17" s="40"/>
      <c r="B17" s="15"/>
      <c r="C17" s="54"/>
      <c r="D17" s="54"/>
      <c r="E17" s="54"/>
      <c r="F17" s="9"/>
      <c r="G17" s="55" t="s">
        <v>74</v>
      </c>
      <c r="H17" s="56"/>
      <c r="I17" s="46" t="e">
        <f>$U$38</f>
        <v>#N/A</v>
      </c>
      <c r="J17" s="47"/>
      <c r="K17" s="9"/>
      <c r="L17" s="21" t="s">
        <v>8</v>
      </c>
      <c r="M17" s="36"/>
      <c r="N17" s="17"/>
      <c r="O17" s="40"/>
      <c r="P17" s="25" t="s">
        <v>65</v>
      </c>
      <c r="Q17" s="11" t="e">
        <f>FLOOR(SUM($Q$7, $R$7, $S$7)*(1 + $U$7/100), 1)</f>
        <v>#N/A</v>
      </c>
      <c r="R17" s="11" t="e">
        <f>SUM($Q$10, $R$10, $S$10)</f>
        <v>#N/A</v>
      </c>
      <c r="S17" s="11" t="e">
        <f>FLOOR(SQRT($Q$17*$R$17/6), 1)</f>
        <v>#N/A</v>
      </c>
      <c r="T17" s="11">
        <f>SUM($Q$13)</f>
        <v>0</v>
      </c>
    </row>
    <row r="18" spans="1:21" ht="14.25" customHeight="1" thickBot="1" x14ac:dyDescent="0.35">
      <c r="A18" s="40"/>
      <c r="B18" s="15"/>
      <c r="C18" s="54"/>
      <c r="D18" s="54"/>
      <c r="E18" s="54"/>
      <c r="F18" s="9"/>
      <c r="G18" s="57"/>
      <c r="H18" s="58"/>
      <c r="I18" s="48"/>
      <c r="J18" s="49"/>
      <c r="K18" s="9"/>
      <c r="L18" s="21" t="s">
        <v>5</v>
      </c>
      <c r="M18" s="36"/>
      <c r="N18" s="17"/>
      <c r="O18" s="40"/>
      <c r="P18" s="26" t="s">
        <v>66</v>
      </c>
      <c r="Q18" s="11" t="e">
        <f>FLOOR(SUM($Q$7, $R$7, $T$7)*(1 + $U$7/100), 1)</f>
        <v>#N/A</v>
      </c>
      <c r="R18" s="11" t="e">
        <f>SUM($Q$10, $T$10)</f>
        <v>#N/A</v>
      </c>
      <c r="S18" s="11" t="e">
        <f>FLOOR(SQRT($Q$18*$R$18/6), 1)</f>
        <v>#N/A</v>
      </c>
      <c r="T18" s="11">
        <f>SUM($R$13)</f>
        <v>0</v>
      </c>
    </row>
    <row r="19" spans="1:21" ht="14.25" customHeight="1" x14ac:dyDescent="0.3">
      <c r="A19" s="40"/>
      <c r="B19" s="15"/>
      <c r="C19" s="54"/>
      <c r="D19" s="54"/>
      <c r="E19" s="54"/>
      <c r="F19" s="9"/>
      <c r="G19" s="59" t="s">
        <v>73</v>
      </c>
      <c r="H19" s="60"/>
      <c r="I19" s="50">
        <f>IF($F$10 &gt;= 20, 3.5, IF($F$10 &gt;= 15, 2.5, IF($F$10 &gt;= 10, 1.5, 0)))</f>
        <v>0</v>
      </c>
      <c r="J19" s="51"/>
      <c r="K19" s="9"/>
      <c r="L19" s="21" t="s">
        <v>6</v>
      </c>
      <c r="M19" s="36"/>
      <c r="N19" s="17"/>
      <c r="O19" s="40"/>
      <c r="P19" s="27" t="s">
        <v>67</v>
      </c>
      <c r="Q19" s="11" t="e">
        <f>FLOOR(SUM($Q$7, $R$7, $S$7, $T$7)*(1 + $U$7/100), 1)</f>
        <v>#N/A</v>
      </c>
      <c r="R19" s="11" t="e">
        <f>SUM($Q$10, $R$10, $S$10, $T$10)</f>
        <v>#N/A</v>
      </c>
      <c r="S19" s="11" t="e">
        <f>FLOOR(SQRT($Q$19*$R$19/6), 1)</f>
        <v>#N/A</v>
      </c>
      <c r="T19" s="11">
        <f>SUM($Q$13, $R$13)</f>
        <v>0</v>
      </c>
    </row>
    <row r="20" spans="1:21" ht="14.25" customHeight="1" thickBot="1" x14ac:dyDescent="0.35">
      <c r="A20" s="40"/>
      <c r="B20" s="15"/>
      <c r="C20" s="54"/>
      <c r="D20" s="54"/>
      <c r="E20" s="54"/>
      <c r="F20" s="9"/>
      <c r="G20" s="57"/>
      <c r="H20" s="58"/>
      <c r="I20" s="52"/>
      <c r="J20" s="53"/>
      <c r="K20" s="9"/>
      <c r="L20" s="22" t="s">
        <v>0</v>
      </c>
      <c r="M20" s="39"/>
      <c r="N20" s="17"/>
      <c r="O20" s="40"/>
    </row>
    <row r="21" spans="1:21" ht="14.25" customHeight="1" x14ac:dyDescent="0.3">
      <c r="A21" s="40"/>
      <c r="B21" s="19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3"/>
      <c r="O21" s="40"/>
    </row>
    <row r="22" spans="1:21" ht="14.25" customHeight="1" x14ac:dyDescent="0.3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21" ht="14.25" customHeight="1" x14ac:dyDescent="0.3">
      <c r="A23" s="40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40"/>
    </row>
    <row r="24" spans="1:21" ht="14.25" customHeight="1" x14ac:dyDescent="0.3">
      <c r="A24" s="40"/>
      <c r="B24" s="15"/>
      <c r="C24" s="61" t="s">
        <v>58</v>
      </c>
      <c r="D24" s="62"/>
      <c r="E24" s="62"/>
      <c r="F24" s="62"/>
      <c r="G24" s="62"/>
      <c r="H24" s="62"/>
      <c r="I24" s="62"/>
      <c r="J24" s="62"/>
      <c r="K24" s="62"/>
      <c r="L24" s="62"/>
      <c r="M24" s="63"/>
      <c r="N24" s="17"/>
      <c r="O24" s="40"/>
    </row>
    <row r="25" spans="1:21" ht="14.25" customHeight="1" x14ac:dyDescent="0.3">
      <c r="A25" s="40"/>
      <c r="B25" s="15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7"/>
      <c r="O25" s="40"/>
    </row>
    <row r="26" spans="1:21" ht="14.25" customHeight="1" x14ac:dyDescent="0.3">
      <c r="A26" s="40"/>
      <c r="B26" s="15"/>
      <c r="C26" s="64" t="s">
        <v>63</v>
      </c>
      <c r="D26" s="66" t="s">
        <v>1</v>
      </c>
      <c r="E26" s="68" t="s">
        <v>54</v>
      </c>
      <c r="F26" s="69"/>
      <c r="G26" s="70" t="s">
        <v>15</v>
      </c>
      <c r="H26" s="71"/>
      <c r="I26" s="71"/>
      <c r="J26" s="72"/>
      <c r="K26" s="9"/>
      <c r="L26" s="8" t="s">
        <v>60</v>
      </c>
      <c r="M26" s="18" t="s">
        <v>9</v>
      </c>
      <c r="N26" s="17"/>
      <c r="O26" s="40"/>
    </row>
    <row r="27" spans="1:21" ht="14.25" customHeight="1" x14ac:dyDescent="0.3">
      <c r="A27" s="40"/>
      <c r="B27" s="15"/>
      <c r="C27" s="65"/>
      <c r="D27" s="67"/>
      <c r="E27" s="19" t="s">
        <v>19</v>
      </c>
      <c r="F27" s="20" t="s">
        <v>9</v>
      </c>
      <c r="G27" s="61" t="s">
        <v>55</v>
      </c>
      <c r="H27" s="63"/>
      <c r="I27" s="61" t="s">
        <v>56</v>
      </c>
      <c r="J27" s="63"/>
      <c r="K27" s="9"/>
      <c r="L27" s="18" t="s">
        <v>12</v>
      </c>
      <c r="M27" s="32"/>
      <c r="N27" s="17"/>
      <c r="O27" s="40"/>
      <c r="Q27" s="11" t="s">
        <v>63</v>
      </c>
      <c r="R27" s="11" t="s">
        <v>68</v>
      </c>
      <c r="S27" s="25" t="s">
        <v>15</v>
      </c>
      <c r="T27" s="26" t="s">
        <v>54</v>
      </c>
      <c r="U27" s="11" t="s">
        <v>59</v>
      </c>
    </row>
    <row r="28" spans="1:21" ht="14.25" customHeight="1" x14ac:dyDescent="0.3">
      <c r="A28" s="40"/>
      <c r="B28" s="15"/>
      <c r="C28" s="18" t="s">
        <v>3</v>
      </c>
      <c r="D28" s="32"/>
      <c r="E28" s="35"/>
      <c r="F28" s="32"/>
      <c r="G28" s="32"/>
      <c r="H28" s="36"/>
      <c r="I28" s="37"/>
      <c r="J28" s="32"/>
      <c r="K28" s="9"/>
      <c r="L28" s="21" t="s">
        <v>13</v>
      </c>
      <c r="M28" s="33"/>
      <c r="N28" s="17"/>
      <c r="O28" s="40"/>
      <c r="P28" s="11" t="s">
        <v>42</v>
      </c>
      <c r="Q28" s="11" t="e">
        <f>SUM(VLOOKUP($D$28,참고!$B$2:$H$9,MATCH($C$28,참고!$B$2:$H$2,0),0), VLOOKUP($D$29,참고!$B$2:$H$9,MATCH($C$29,참고!$B$2:$H$2,0),0), VLOOKUP($D$30,참고!$B$2:$H$9,MATCH($C$30,참고!$B$2:$H$2,0),0), VLOOKUP($D$31,참고!$B$2:$H$9,MATCH($C$31,참고!$B$2:$H$2,0),0), VLOOKUP($D$32,참고!$B$2:$H$9,MATCH($C$32,참고!$B$2:$H$2,0),0))</f>
        <v>#N/A</v>
      </c>
      <c r="R28" s="11" t="e">
        <f>SUM(VLOOKUP($M$27, 참고!$B$11:$E$13, MATCH($L$27, 참고!$B$11:$E$11, 0), 0), VLOOKUP($M$28, 참고!$B$11:$E$13, MATCH($L$28, 참고!$B$11:$E$11, 0), 0), VLOOKUP($M$29, 참고!$B$11:$E$13, MATCH($L$29, 참고!$B$11:$E$11, 0), 0), VLOOKUP($M$30, 참고!$B$11:$E$13, MATCH($L$30, 참고!$B$11:$E$11, 0), 0), VLOOKUP($M$31, 참고!$B$11:$E$13, MATCH($L$31, 참고!$B$11:$E$11, 0), 0), $M$34, $M$35, 429)</f>
        <v>#N/A</v>
      </c>
      <c r="S28" s="11">
        <f>SUM(IF(OR($G$28 = "힘", $G$28 = "민첩", $G$28 = "지능"), VLOOKUP($H$28, 참고!$B$19:$O$25, MATCH($G$28, 참고!$B$19:$O$19, 0), 0), 0), IF(OR($G$29 = "힘", $G$29 = "민첩", $G$29 = "지능"), VLOOKUP($H$29, 참고!$B$19:$O$25, MATCH($G$29, 참고!$B$19:$O$19, 0), 0), 0), IF(OR($G$30 = "힘", $G$30 = "민첩", $G$30 = "지능"), VLOOKUP($H$30, 참고!$B$19:$O$25, MATCH($G$30, 참고!$B$19:$O$19, 0), 0), 0), IF(OR($G$31 = "힘", $G$31 = "민첩", $G$31= "지능"), VLOOKUP($H$31, 참고!$B$19:$O$25, MATCH($G$31, 참고!$B$19:$O$19, 0), 0), 0), IF(OR($G$32 = "힘", $G$32 = "민첩", $G$32 = "지능"), VLOOKUP($H$32, 참고!$B$19:$O$25, MATCH($G$32, 참고!$B$19:$O$19, 0), 0), 0), IF(OR($I$28 = "힘", $I$28 = "민첩", $I$28 = "지능"), VLOOKUP($J$28, 참고!$B$19:$O$25, MATCH($I$28, 참고!$B$19:$O$19, 0), 0), 0), IF(OR($I$29 = "힘", $I$29 = "민첩", $I$29 = "지능"), VLOOKUP($J$29, 참고!$B$19:$O$25, MATCH($I$29, 참고!$B$19:$O$19, 0), 0), 0), IF(OR($I$30 = "힘", $I$30 = "민첩", $I$30 = "지능"), VLOOKUP($J$30, 참고!$B$19:$O$25, MATCH($I$30, 참고!$B$19:$O$19, 0), 0), 0), IF(OR($I$31 = "힘", $I$31 = "민첩", $I$31 = "지능"), VLOOKUP($J$31, 참고!$B$19:$O$25, MATCH($I$31, 참고!$B$19:$O$19, 0), 0), 0), IF(OR($I$32 = "힘", $I$32 = "민첩", $I$32 = "지능"), VLOOKUP($J$32, 참고!$B$19:$O$25, MATCH($I$32, 참고!$B$19:$O$19, 0), 0), 0))</f>
        <v>0</v>
      </c>
      <c r="T28" s="11" t="e">
        <f>SUM(VLOOKUP($E$28, 참고!$B$38:$C$46, 2, 0), VLOOKUP($E$29, 참고!$B$38:$C$46, 2, 0), VLOOKUP($E$30, 참고!$B$38:$C$46, 2, 0), VLOOKUP($E$31, 참고!$B$38:$C$46, 2, 0), VLOOKUP($E$32, 참고!$B$38:$C$46, 2, 0), IF($F$28 &gt;= 10, SUM($F$28:$F$32)*55, 0), IF($F$32 &gt;= 20, 12600, IF($F$32 &gt;= 15, 8400, IF($F$32 &gt;= 5, 4200, 0))))</f>
        <v>#N/A</v>
      </c>
      <c r="U28" s="11" t="e">
        <f>SUM(VLOOKUP($M$38, 참고!$B$15:$F$17, MATCH($L$38, 참고!$B$15:$F$15, 0), 0), VLOOKUP($M$39, 참고!$B$15:$F$17, MATCH($L$39, 참고!$B$15:$F$15, 0), 0), VLOOKUP($M$40, 참고!$B$15:$F$17, MATCH($L$40, 참고!$B$15:$F$15, 0), 0), VLOOKUP($M$41, 참고!$B$15:$F$17, MATCH($L$41, 참고!$B$15:$F$15, 0), 0))</f>
        <v>#N/A</v>
      </c>
    </row>
    <row r="29" spans="1:21" ht="14.25" customHeight="1" x14ac:dyDescent="0.3">
      <c r="A29" s="40"/>
      <c r="B29" s="15"/>
      <c r="C29" s="21" t="s">
        <v>4</v>
      </c>
      <c r="D29" s="33"/>
      <c r="E29" s="37"/>
      <c r="F29" s="33"/>
      <c r="G29" s="33"/>
      <c r="H29" s="36"/>
      <c r="I29" s="37"/>
      <c r="J29" s="33"/>
      <c r="K29" s="9"/>
      <c r="L29" s="21" t="s">
        <v>13</v>
      </c>
      <c r="M29" s="33"/>
      <c r="N29" s="17"/>
      <c r="O29" s="40"/>
    </row>
    <row r="30" spans="1:21" ht="14.25" customHeight="1" x14ac:dyDescent="0.3">
      <c r="A30" s="40"/>
      <c r="B30" s="15"/>
      <c r="C30" s="21" t="s">
        <v>5</v>
      </c>
      <c r="D30" s="33"/>
      <c r="E30" s="37"/>
      <c r="F30" s="33"/>
      <c r="G30" s="33"/>
      <c r="H30" s="36"/>
      <c r="I30" s="37"/>
      <c r="J30" s="33"/>
      <c r="K30" s="9"/>
      <c r="L30" s="21" t="s">
        <v>14</v>
      </c>
      <c r="M30" s="33"/>
      <c r="N30" s="17"/>
      <c r="O30" s="40"/>
      <c r="Q30" s="11" t="s">
        <v>0</v>
      </c>
      <c r="R30" s="25" t="s">
        <v>15</v>
      </c>
      <c r="S30" s="25" t="s">
        <v>48</v>
      </c>
      <c r="T30" s="26" t="s">
        <v>54</v>
      </c>
    </row>
    <row r="31" spans="1:21" ht="14.25" customHeight="1" x14ac:dyDescent="0.3">
      <c r="A31" s="40"/>
      <c r="B31" s="15"/>
      <c r="C31" s="21" t="s">
        <v>6</v>
      </c>
      <c r="D31" s="33"/>
      <c r="E31" s="37"/>
      <c r="F31" s="33"/>
      <c r="G31" s="33"/>
      <c r="H31" s="36"/>
      <c r="I31" s="37"/>
      <c r="J31" s="33"/>
      <c r="K31" s="9"/>
      <c r="L31" s="22" t="s">
        <v>14</v>
      </c>
      <c r="M31" s="34"/>
      <c r="N31" s="17"/>
      <c r="O31" s="40"/>
      <c r="P31" s="11" t="s">
        <v>32</v>
      </c>
      <c r="Q31" s="11" t="e">
        <f>VLOOKUP($D$33,참고!$B$2:$H$9,MATCH($C$33,참고!$B$2:$H$2,0),0)</f>
        <v>#N/A</v>
      </c>
      <c r="R31" s="11">
        <f>SUM(IF($G$28 = "무기 공격력", VLOOKUP($H$28, 참고!$B$19:$O$25, MATCH($G$28, 참고!$B$19:$O$19, 0), 0), 0), IF($G$29 = "무기 공격력", VLOOKUP($H$29, 참고!$B$19:$O$25, MATCH($G$29, 참고!$B$19:$O$19, 0), 0), 0), IF($G$30 = "무기 공격력", VLOOKUP($H$30, 참고!$B$19:$O$25, MATCH($G$30, 참고!$B$19:$O$19, 0), 0), 0), IF($G$31 = "무기 공격력", VLOOKUP($H$31, 참고!$B$19:$O$25, MATCH($G$31, 참고!$B$19:$O$19, 0), 0), 0), IF($G$32 = "무기 공격력", VLOOKUP($H$32, 참고!$B$19:$O$25, MATCH($G$32, 참고!$B$19:$O$19, 0), 0), 0), IF($I$28 = "무기 공격력", VLOOKUP($J$28, 참고!$B$19:$O$25, MATCH($I$28, 참고!$B$19:$O$19, 0), 0), 0), IF($I$29 = "무기 공격력", VLOOKUP($J$29, 참고!$B$19:$O$25, MATCH($I$29, 참고!$B$19:$O$19, 0), 0), 0), IF($I$30 = "무기 공격력", VLOOKUP($J$30, 참고!$B$19:$O$25, MATCH($I$30, 참고!$B$19:$O$19, 0), 0), 0), IF($I$31 = "무기 공격력", VLOOKUP($J$31, 참고!$B$19:$O$25, MATCH($I$31, 참고!$B$19:$O$19, 0), 0), 0), IF($I$32 = "무기 공격력", VLOOKUP($J$32, 참고!$B$19:$O$25, MATCH($I$32, 참고!$B$19:$O$19, 0), 0), 0))</f>
        <v>0</v>
      </c>
      <c r="S31" s="11">
        <f>IF(AND(OR($G$28 = "진군(질서)", $I$28 = "진군(질서)"), OR($G$32 = "진군(혼돈)", $I$32 = "진군(혼돈)"), SUM($H$28:$H$32, $J$28:$J$32) &gt;= 35), 2230, 0)</f>
        <v>0</v>
      </c>
      <c r="T31" s="11">
        <f>SUM(IF($F$28 &gt;= 15, SUM($F$28:$F$32)*14, 0), IF($F$29 &gt;= 20, 3600, IF($F$29 &gt;= 15, 2400, IF($F$29 &gt;= 5, 1200, 0))), IF($F$30 &gt;= 20, 7200, IF($F$30 &gt;= 15, 7200*18/30, IF($F$30 &gt;= 5, 4800*10/30, 0))))</f>
        <v>0</v>
      </c>
    </row>
    <row r="32" spans="1:21" ht="14.25" customHeight="1" x14ac:dyDescent="0.3">
      <c r="A32" s="40"/>
      <c r="B32" s="15"/>
      <c r="C32" s="21" t="s">
        <v>7</v>
      </c>
      <c r="D32" s="33"/>
      <c r="E32" s="38"/>
      <c r="F32" s="34"/>
      <c r="G32" s="34"/>
      <c r="H32" s="39"/>
      <c r="I32" s="38"/>
      <c r="J32" s="34"/>
      <c r="K32" s="9"/>
      <c r="L32" s="9"/>
      <c r="M32" s="9"/>
      <c r="N32" s="17"/>
      <c r="O32" s="40"/>
    </row>
    <row r="33" spans="1:21" ht="14.25" customHeight="1" x14ac:dyDescent="0.3">
      <c r="A33" s="40"/>
      <c r="B33" s="15"/>
      <c r="C33" s="22" t="s">
        <v>0</v>
      </c>
      <c r="D33" s="34"/>
      <c r="E33" s="9"/>
      <c r="F33" s="9"/>
      <c r="G33" s="9"/>
      <c r="H33" s="9"/>
      <c r="I33" s="9"/>
      <c r="J33" s="9"/>
      <c r="K33" s="9"/>
      <c r="L33" s="8" t="s">
        <v>36</v>
      </c>
      <c r="M33" s="18" t="s">
        <v>16</v>
      </c>
      <c r="N33" s="17"/>
      <c r="O33" s="40"/>
      <c r="Q33" s="11" t="s">
        <v>42</v>
      </c>
      <c r="R33" s="11" t="s">
        <v>32</v>
      </c>
      <c r="S33" s="11" t="s">
        <v>37</v>
      </c>
      <c r="T33" s="11" t="s">
        <v>70</v>
      </c>
      <c r="U33" s="11" t="s">
        <v>72</v>
      </c>
    </row>
    <row r="34" spans="1:21" ht="14.25" customHeight="1" x14ac:dyDescent="0.3">
      <c r="A34" s="40"/>
      <c r="B34" s="15"/>
      <c r="C34" s="9"/>
      <c r="D34" s="9"/>
      <c r="E34" s="9"/>
      <c r="F34" s="10"/>
      <c r="G34" s="10"/>
      <c r="H34" s="10"/>
      <c r="I34" s="10"/>
      <c r="J34" s="9"/>
      <c r="K34" s="9"/>
      <c r="L34" s="12" t="s">
        <v>33</v>
      </c>
      <c r="M34" s="32"/>
      <c r="N34" s="17"/>
      <c r="O34" s="40"/>
      <c r="P34" s="11" t="s">
        <v>64</v>
      </c>
      <c r="Q34" s="11" t="e">
        <f>FLOOR(SUM($Q$28, $R$28, $S$28, $T$28)*(1 + $U$28/100), 1)</f>
        <v>#N/A</v>
      </c>
      <c r="R34" s="11" t="e">
        <f>SUM($Q$31, $R$31, $T$31)</f>
        <v>#N/A</v>
      </c>
      <c r="S34" s="11" t="e">
        <f>FLOOR((FLOOR(SQRT($Q$35*$R$35/6), 1) + SUM(IF($G$28 = "공격력", VLOOKUP($H$28, 참고!$B$19:$T$25,MATCH($G$28, 참고!$B$19:$T$19, 0), 0), 0), IF($G$29 = "공격력", VLOOKUP($H$29, 참고!$B$19:$T$25, MATCH($G$29, 참고!$B$19:$T$19, 0), 0), 0), IF($G$30 = "공격력", VLOOKUP($H$30, 참고!$B$19:$T$25, MATCH($G$30, 참고!$B$19:$T$19, 0), 0), 0), IF($G$31 = "공격력", VLOOKUP($H$31, 참고!$B$19:$T$25, MATCH($G$31, 참고!$B$19:$T$19, 0), 0), 0), IF($G$32 = "공격력", VLOOKUP($H$32, 참고!$B$19:$T$25, MATCH($G$32, 참고!$B$19:$T$19, 0), 0), 0), IF($I$28 = "공격력", VLOOKUP($J$28, 참고!$B$19:$T$25, MATCH($I$28, 참고!$B$19:$T$19, 0), 0), 0), IF($I$29 = "공격력", VLOOKUP($J$29, 참고!$B$19:$T$25, MATCH($I$29, 참고!$B$19:$T$19, 0), 0), 0), IF($I$30 = "공격력", VLOOKUP($J$30, 참고!$B$19:$T$25, MATCH($I$30, 참고!$B$19:$T$19, 0), 0), 0), IF($I$31 = "공격력", VLOOKUP($J$31, 참고!$B$19:$T$25, MATCH($I$31, 참고!$B$19:$T$19, 0), 0), 0), IF($I$32 = "공격력", VLOOKUP($J$32, 참고!$B$19:$T$25, MATCH($I$32, 참고!$B$19:$T$19, 0), 0), 0)))*(1 + SUM(VLOOKUP($D$36, 참고!$B$27:$F$31, MATCH($C$36, 참고!$B$27:$F$27, 0), 0), VLOOKUP($D$37, 참고!$B$27:$F$31, MATCH($C$37, 참고!$B$27:$F$27, 0), 0), VLOOKUP($D$38, 참고!$B$27:$F$31, MATCH($C$38, 참고!$B$27:$F$27, 0), 0), VLOOKUP($D$39, 참고!$B$27:$F$31, MATCH($C$39, 참고!$B$27:$F$27, 0), 0))/100 + IF(OR($G$28="회심(질서)",$G$28="달인(질서)"),VLOOKUP($H$28,참고!$B$19:$T$25,MATCH($G$28,참고!$B$19:$T$19,0),0),IF(OR($I$28="회심(질서)",$I$28="달인(질서)"),VLOOKUP($J$28,참고!$B$19:$T$25,MATCH($I$28,참고!$B$19:$T$19,0),0),0))/100), 1)</f>
        <v>#N/A</v>
      </c>
      <c r="T34" s="31" t="s">
        <v>71</v>
      </c>
      <c r="U34" s="11" t="s">
        <v>71</v>
      </c>
    </row>
    <row r="35" spans="1:21" ht="14.25" customHeight="1" x14ac:dyDescent="0.3">
      <c r="A35" s="40"/>
      <c r="B35" s="15"/>
      <c r="C35" s="8" t="s">
        <v>61</v>
      </c>
      <c r="D35" s="16" t="s">
        <v>2</v>
      </c>
      <c r="E35" s="9"/>
      <c r="F35" s="73" t="s">
        <v>76</v>
      </c>
      <c r="G35" s="73"/>
      <c r="H35" s="73"/>
      <c r="I35" s="73"/>
      <c r="J35" s="73"/>
      <c r="K35" s="9"/>
      <c r="L35" s="19" t="s">
        <v>47</v>
      </c>
      <c r="M35" s="34"/>
      <c r="N35" s="17"/>
      <c r="O35" s="40"/>
      <c r="P35" s="6" t="s">
        <v>69</v>
      </c>
      <c r="Q35" s="11" t="e">
        <f>FLOOR(SUM($Q$28, $R$28, $S$28, $T$28)*(1 + $U$28/100), 1)</f>
        <v>#N/A</v>
      </c>
      <c r="R35" s="11" t="e">
        <f>SUM($Q$31, $R$31, $T$31)</f>
        <v>#N/A</v>
      </c>
      <c r="S35" s="11" t="e">
        <f>FLOOR((FLOOR(SQRT($Q$35*$R$35/6), 1) + SUM(IF($G$28 = "공격력", VLOOKUP($H$28, 참고!$B$19:$T$25,MATCH($G$28, 참고!$B$19:$T$19, 0), 0), 0), IF($G$29 = "공격력", VLOOKUP($H$29, 참고!$B$19:$T$25, MATCH($G$29, 참고!$B$19:$T$19, 0), 0), 0), IF($G$30 = "공격력", VLOOKUP($H$30, 참고!$B$19:$T$25, MATCH($G$30, 참고!$B$19:$T$19, 0), 0), 0), IF($G$31 = "공격력", VLOOKUP($H$31, 참고!$B$19:$T$25, MATCH($G$31, 참고!$B$19:$T$19, 0), 0), 0), IF($G$32 = "공격력", VLOOKUP($H$32, 참고!$B$19:$T$25, MATCH($G$32, 참고!$B$19:$T$19, 0), 0), 0), IF($I$28 = "공격력", VLOOKUP($J$28, 참고!$B$19:$T$25, MATCH($I$28, 참고!$B$19:$T$19, 0), 0), 0), IF($I$29 = "공격력", VLOOKUP($J$29, 참고!$B$19:$T$25, MATCH($I$29, 참고!$B$19:$T$19, 0), 0), 0), IF($I$30 = "공격력", VLOOKUP($J$30, 참고!$B$19:$T$25, MATCH($I$30, 참고!$B$19:$T$19, 0), 0), 0), IF($I$31 = "공격력", VLOOKUP($J$31, 참고!$B$19:$T$25, MATCH($I$31, 참고!$B$19:$T$19, 0), 0), 0), IF($I$32 = "공격력", VLOOKUP($J$32, 참고!$B$19:$T$25, MATCH($I$32, 참고!$B$19:$T$19, 0), 0), 0), FLOOR($S$16*0.15*(1 + $T$16/100), 1)))*(1 + SUM(VLOOKUP($D$36, 참고!$B$27:$F$31, MATCH($C$36, 참고!$B$27:$F$27, 0), 0), VLOOKUP($D$37, 참고!$B$27:$F$31, MATCH($C$37, 참고!$B$27:$F$27, 0), 0), VLOOKUP($D$38, 참고!$B$27:$F$31, MATCH($C$38, 참고!$B$27:$F$27, 0), 0), VLOOKUP($D$39, 참고!$B$27:$F$31, MATCH($C$39, 참고!$B$27:$F$27, 0), 0))/100 + IF(OR($G$28="회심(질서)",$G$28="달인(질서)"),VLOOKUP($H$28,참고!$B$19:$T$25,MATCH($G$28,참고!$B$19:$T$19,0),0),IF(OR($I$28="회심(질서)",$I$28="달인(질서)"),VLOOKUP($J$28,참고!$B$19:$T$25,MATCH($I$28,참고!$B$19:$T$19,0),0),0))/100)*1.06, 1)</f>
        <v>#N/A</v>
      </c>
      <c r="T35" s="31" t="e">
        <f>100*($S$35/$S$34 - 1)</f>
        <v>#N/A</v>
      </c>
      <c r="U35" s="11" t="s">
        <v>71</v>
      </c>
    </row>
    <row r="36" spans="1:21" ht="14.25" customHeight="1" x14ac:dyDescent="0.3">
      <c r="A36" s="40"/>
      <c r="B36" s="15"/>
      <c r="C36" s="21" t="s">
        <v>43</v>
      </c>
      <c r="D36" s="36"/>
      <c r="E36" s="9"/>
      <c r="F36" s="73"/>
      <c r="G36" s="73"/>
      <c r="H36" s="73"/>
      <c r="I36" s="73"/>
      <c r="J36" s="73"/>
      <c r="K36" s="9"/>
      <c r="L36" s="9"/>
      <c r="M36" s="9"/>
      <c r="N36" s="17"/>
      <c r="O36" s="40"/>
      <c r="P36" s="28" t="s">
        <v>65</v>
      </c>
      <c r="Q36" s="11" t="e">
        <f t="shared" ref="Q36:Q38" si="0">FLOOR(SUM($Q$28, $R$28, $S$28, $T$28)*(1 + $U$28/100), 1)</f>
        <v>#N/A</v>
      </c>
      <c r="R36" s="11" t="e">
        <f>SUM($Q$31, $R$31, $S$31, $T$31)</f>
        <v>#N/A</v>
      </c>
      <c r="S36" s="11" t="e">
        <f>FLOOR((FLOOR(SQRT($Q$36*$R$36/6), 1) + SUM(IF($G$28 = "공격력", VLOOKUP($H$28, 참고!$B$19:$T$25,MATCH($G$28, 참고!$B$19:$T$19, 0), 0), 0), IF($G$29 = "공격력", VLOOKUP($H$29, 참고!$B$19:$T$25, MATCH($G$29, 참고!$B$19:$T$19, 0), 0), 0), IF($G$30 = "공격력", VLOOKUP($H$30, 참고!$B$19:$T$25, MATCH($G$30, 참고!$B$19:$T$19, 0), 0), 0), IF($G$31 = "공격력", VLOOKUP($H$31, 참고!$B$19:$T$25, MATCH($G$31, 참고!$B$19:$T$19, 0), 0), 0), IF($G$32 = "공격력", VLOOKUP($H$32, 참고!$B$19:$T$25, MATCH($G$32, 참고!$B$19:$T$19, 0), 0), 0), IF($I$28 = "공격력", VLOOKUP($J$28, 참고!$B$19:$T$25, MATCH($I$28, 참고!$B$19:$T$19, 0), 0), 0), IF($I$29 = "공격력", VLOOKUP($J$29, 참고!$B$19:$T$25, MATCH($I$29, 참고!$B$19:$T$19, 0), 0), 0), IF($I$30 = "공격력", VLOOKUP($J$30, 참고!$B$19:$T$25, MATCH($I$30, 참고!$B$19:$T$19, 0), 0), 0), IF($I$31 = "공격력", VLOOKUP($J$31, 참고!$B$19:$T$25, MATCH($I$31, 참고!$B$19:$T$19, 0), 0), 0), IF($I$32 = "공격력", VLOOKUP($J$32, 참고!$B$19:$T$25, MATCH($I$32, 참고!$B$19:$T$19, 0), 0), 0), FLOOR($S$17*0.15*(1 + $T$17/100), 1)))*(1 + SUM(VLOOKUP($D$36, 참고!$B$27:$F$31, MATCH($C$36, 참고!$B$27:$F$27, 0), 0), VLOOKUP($D$37, 참고!$B$27:$F$31, MATCH($C$37, 참고!$B$27:$F$27, 0), 0), VLOOKUP($D$38, 참고!$B$27:$F$31, MATCH($C$38, 참고!$B$27:$F$27, 0), 0), VLOOKUP($D$39, 참고!$B$27:$F$31, MATCH($C$39, 참고!$B$27:$F$27, 0), 0))/100 + IF(OR($G$28="회심(질서)",$G$28="달인(질서)"),VLOOKUP($H$28,참고!$B$19:$T$25,MATCH($G$28,참고!$B$19:$T$19,0),0),IF(OR($I$28="회심(질서)",$I$28="달인(질서)"),VLOOKUP($J$28,참고!$B$19:$T$25,MATCH($I$28,참고!$B$19:$T$19,0),0),0))/100)*1.06, 1)</f>
        <v>#N/A</v>
      </c>
      <c r="T36" s="31" t="e">
        <f>100*($S$36/$S$34 - 1)</f>
        <v>#N/A</v>
      </c>
      <c r="U36" s="31" t="e">
        <f>100*($S$36/$S$35 - 1)</f>
        <v>#N/A</v>
      </c>
    </row>
    <row r="37" spans="1:21" ht="14.25" customHeight="1" x14ac:dyDescent="0.3">
      <c r="A37" s="40"/>
      <c r="B37" s="15"/>
      <c r="C37" s="21" t="s">
        <v>44</v>
      </c>
      <c r="D37" s="36"/>
      <c r="E37" s="9"/>
      <c r="F37" s="73"/>
      <c r="G37" s="73"/>
      <c r="H37" s="73"/>
      <c r="I37" s="73"/>
      <c r="J37" s="73"/>
      <c r="K37" s="9"/>
      <c r="L37" s="8" t="s">
        <v>59</v>
      </c>
      <c r="M37" s="16" t="s">
        <v>9</v>
      </c>
      <c r="N37" s="17"/>
      <c r="O37" s="40"/>
      <c r="P37" s="29" t="s">
        <v>66</v>
      </c>
      <c r="Q37" s="11" t="e">
        <f t="shared" si="0"/>
        <v>#N/A</v>
      </c>
      <c r="R37" s="11" t="e">
        <f t="shared" ref="R37" si="1">SUM($Q$31, $R$31, $T$31)</f>
        <v>#N/A</v>
      </c>
      <c r="S37" s="11" t="e">
        <f>FLOOR((FLOOR(SQRT($Q$37*$R$37/6), 1) + SUM(IF($G$28 = "공격력", VLOOKUP($H$28, 참고!$B$19:$T$25,MATCH($G$28, 참고!$B$19:$T$19, 0), 0), 0), IF($G$29 = "공격력", VLOOKUP($H$29, 참고!$B$19:$T$25, MATCH($G$29, 참고!$B$19:$T$19, 0), 0), 0), IF($G$30 = "공격력", VLOOKUP($H$30, 참고!$B$19:$T$25, MATCH($G$30, 참고!$B$19:$T$19, 0), 0), 0), IF($G$31 = "공격력", VLOOKUP($H$31, 참고!$B$19:$T$25, MATCH($G$31, 참고!$B$19:$T$19, 0), 0), 0), IF($G$32 = "공격력", VLOOKUP($H$32, 참고!$B$19:$T$25, MATCH($G$32, 참고!$B$19:$T$19, 0), 0), 0), IF($I$28 = "공격력", VLOOKUP($J$28, 참고!$B$19:$T$25, MATCH($I$28, 참고!$B$19:$T$19, 0), 0), 0), IF($I$29 = "공격력", VLOOKUP($J$29, 참고!$B$19:$T$25, MATCH($I$29, 참고!$B$19:$T$19, 0), 0), 0), IF($I$30 = "공격력", VLOOKUP($J$30, 참고!$B$19:$T$25, MATCH($I$30, 참고!$B$19:$T$19, 0), 0), 0), IF($I$31 = "공격력", VLOOKUP($J$31, 참고!$B$19:$T$25, MATCH($I$31, 참고!$B$19:$T$19, 0), 0), 0), IF($I$32 = "공격력", VLOOKUP($J$32, 참고!$B$19:$T$25, MATCH($I$32, 참고!$B$19:$T$19, 0), 0), 0), FLOOR($S$18*0.15*(1 + $T$18/100), 1)))*(1 + SUM(VLOOKUP($D$36, 참고!$B$27:$F$31, MATCH($C$36, 참고!$B$27:$F$27, 0), 0), VLOOKUP($D$37, 참고!$B$27:$F$31, MATCH($C$37, 참고!$B$27:$F$27, 0), 0), VLOOKUP($D$38, 참고!$B$27:$F$31, MATCH($C$38, 참고!$B$27:$F$27, 0), 0), VLOOKUP($D$39, 참고!$B$27:$F$31, MATCH($C$39, 참고!$B$27:$F$27, 0), 0))/100 + IF(OR($G$28="회심(질서)",$G$28="달인(질서)"),VLOOKUP($H$28,참고!$B$19:$T$25,MATCH($G$28,참고!$B$19:$T$19,0),0),IF(OR($I$28="회심(질서)",$I$28="달인(질서)"),VLOOKUP($J$28,참고!$B$19:$T$25,MATCH($I$28,참고!$B$19:$T$19,0),0),0))/100)*1.06, 1)</f>
        <v>#N/A</v>
      </c>
      <c r="T37" s="31" t="e">
        <f>100*($S$37/$S$34 - 1)</f>
        <v>#N/A</v>
      </c>
      <c r="U37" s="31" t="e">
        <f>100*($S$37/$S$35 - 1)</f>
        <v>#N/A</v>
      </c>
    </row>
    <row r="38" spans="1:21" ht="14.25" customHeight="1" x14ac:dyDescent="0.3">
      <c r="A38" s="40"/>
      <c r="B38" s="15"/>
      <c r="C38" s="21" t="s">
        <v>45</v>
      </c>
      <c r="D38" s="36"/>
      <c r="E38" s="9"/>
      <c r="F38" s="73"/>
      <c r="G38" s="73"/>
      <c r="H38" s="73"/>
      <c r="I38" s="73"/>
      <c r="J38" s="73"/>
      <c r="K38" s="9"/>
      <c r="L38" s="21" t="s">
        <v>8</v>
      </c>
      <c r="M38" s="36"/>
      <c r="N38" s="17"/>
      <c r="O38" s="40"/>
      <c r="P38" s="30" t="s">
        <v>67</v>
      </c>
      <c r="Q38" s="11" t="e">
        <f t="shared" si="0"/>
        <v>#N/A</v>
      </c>
      <c r="R38" s="11" t="e">
        <f>SUM($Q$31, $R$31, $S$31, $T$31)</f>
        <v>#N/A</v>
      </c>
      <c r="S38" s="11" t="e">
        <f>FLOOR((FLOOR(SQRT($Q$38*$R$38/6), 1) + SUM(IF($G$28 = "공격력", VLOOKUP($H$28, 참고!$B$19:$T$25,MATCH($G$28, 참고!$B$19:$T$19, 0), 0), 0), IF($G$29 = "공격력", VLOOKUP($H$29, 참고!$B$19:$T$25, MATCH($G$29, 참고!$B$19:$T$19, 0), 0), 0), IF($G$30 = "공격력", VLOOKUP($H$30, 참고!$B$19:$T$25, MATCH($G$30, 참고!$B$19:$T$19, 0), 0), 0), IF($G$31 = "공격력", VLOOKUP($H$31, 참고!$B$19:$T$25, MATCH($G$31, 참고!$B$19:$T$19, 0), 0), 0), IF($G$32 = "공격력", VLOOKUP($H$32, 참고!$B$19:$T$25, MATCH($G$32, 참고!$B$19:$T$19, 0), 0), 0), IF($I$28 = "공격력", VLOOKUP($J$28, 참고!$B$19:$T$25, MATCH($I$28, 참고!$B$19:$T$19, 0), 0), 0), IF($I$29 = "공격력", VLOOKUP($J$29, 참고!$B$19:$T$25, MATCH($I$29, 참고!$B$19:$T$19, 0), 0), 0), IF($I$30 = "공격력", VLOOKUP($J$30, 참고!$B$19:$T$25, MATCH($I$30, 참고!$B$19:$T$19, 0), 0), 0), IF($I$31 = "공격력", VLOOKUP($J$31, 참고!$B$19:$T$25, MATCH($I$31, 참고!$B$19:$T$19, 0), 0), 0), IF($I$32 = "공격력", VLOOKUP($J$32, 참고!$B$19:$T$25, MATCH($I$32, 참고!$B$19:$T$19, 0), 0), 0), FLOOR($S$19*0.15*(1 + $T$19/100), 1)))*(1 + SUM(VLOOKUP($D$36, 참고!$B$27:$F$31, MATCH($C$36, 참고!$B$27:$F$27, 0), 0), VLOOKUP($D$37, 참고!$B$27:$F$31, MATCH($C$37, 참고!$B$27:$F$27, 0), 0), VLOOKUP($D$38, 참고!$B$27:$F$31, MATCH($C$38, 참고!$B$27:$F$27, 0), 0), VLOOKUP($D$39, 참고!$B$27:$F$31, MATCH($C$39, 참고!$B$27:$F$27, 0), 0))/100 + IF(OR($G$28="회심(질서)",$G$28="달인(질서)"),VLOOKUP($H$28,참고!$B$19:$T$25,MATCH($G$28,참고!$B$19:$T$19,0),0),IF(OR($I$28="회심(질서)",$I$28="달인(질서)"),VLOOKUP($J$28,참고!$B$19:$T$25,MATCH($I$28,참고!$B$19:$T$19,0),0),0))/100)*1.06, 1)</f>
        <v>#N/A</v>
      </c>
      <c r="T38" s="31" t="e">
        <f>100*($S$38/$S$34 - 1)</f>
        <v>#N/A</v>
      </c>
      <c r="U38" s="31" t="e">
        <f>100*($S$38/$S$35 - 1)</f>
        <v>#N/A</v>
      </c>
    </row>
    <row r="39" spans="1:21" ht="14.25" customHeight="1" x14ac:dyDescent="0.3">
      <c r="A39" s="40"/>
      <c r="B39" s="15"/>
      <c r="C39" s="22" t="s">
        <v>46</v>
      </c>
      <c r="D39" s="39"/>
      <c r="E39" s="9"/>
      <c r="F39" s="9"/>
      <c r="G39" s="9"/>
      <c r="H39" s="9"/>
      <c r="I39" s="9"/>
      <c r="J39" s="9"/>
      <c r="K39" s="9"/>
      <c r="L39" s="21" t="s">
        <v>5</v>
      </c>
      <c r="M39" s="36"/>
      <c r="N39" s="17"/>
      <c r="O39" s="40"/>
    </row>
    <row r="40" spans="1:21" ht="14.25" customHeight="1" x14ac:dyDescent="0.3">
      <c r="A40" s="40"/>
      <c r="B40" s="15"/>
      <c r="C40" s="9"/>
      <c r="D40" s="9"/>
      <c r="E40" s="9"/>
      <c r="F40" s="9"/>
      <c r="G40" s="9"/>
      <c r="H40" s="9"/>
      <c r="I40" s="9"/>
      <c r="J40" s="9"/>
      <c r="K40" s="9"/>
      <c r="L40" s="21" t="s">
        <v>6</v>
      </c>
      <c r="M40" s="36"/>
      <c r="N40" s="17"/>
      <c r="O40" s="40"/>
    </row>
    <row r="41" spans="1:21" ht="14.25" customHeight="1" x14ac:dyDescent="0.3">
      <c r="A41" s="40"/>
      <c r="B41" s="15"/>
      <c r="C41" s="9"/>
      <c r="D41" s="9"/>
      <c r="E41" s="9"/>
      <c r="F41" s="9"/>
      <c r="G41" s="9"/>
      <c r="H41" s="9"/>
      <c r="I41" s="9"/>
      <c r="J41" s="9"/>
      <c r="K41" s="9"/>
      <c r="L41" s="22" t="s">
        <v>0</v>
      </c>
      <c r="M41" s="39"/>
      <c r="N41" s="17"/>
      <c r="O41" s="40"/>
    </row>
    <row r="42" spans="1:21" ht="14.25" customHeight="1" x14ac:dyDescent="0.3">
      <c r="A42" s="40"/>
      <c r="B42" s="19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3"/>
      <c r="O42" s="40"/>
    </row>
    <row r="43" spans="1:21" ht="14.25" customHeight="1" x14ac:dyDescent="0.3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</sheetData>
  <sheetProtection algorithmName="SHA-512" hashValue="2/oZCVImJtnFeJ3j0nnU5S2C1zchvlAxj7dyKM89DZMemDD+47RYzMsGKA6jrqhodr81Cqpe4RUN5eXQAg6W3w==" saltValue="qmvAV263w9fAthgfe2cRNg==" spinCount="100000" sheet="1" selectLockedCells="1"/>
  <mergeCells count="24">
    <mergeCell ref="F35:J38"/>
    <mergeCell ref="C24:M24"/>
    <mergeCell ref="C26:C27"/>
    <mergeCell ref="D26:D27"/>
    <mergeCell ref="E26:F26"/>
    <mergeCell ref="G26:J26"/>
    <mergeCell ref="G27:H27"/>
    <mergeCell ref="I27:J27"/>
    <mergeCell ref="G13:H14"/>
    <mergeCell ref="I13:J14"/>
    <mergeCell ref="C14:E20"/>
    <mergeCell ref="G15:H16"/>
    <mergeCell ref="I15:J16"/>
    <mergeCell ref="G17:H18"/>
    <mergeCell ref="I17:J18"/>
    <mergeCell ref="G19:H20"/>
    <mergeCell ref="I19:J20"/>
    <mergeCell ref="C3:M3"/>
    <mergeCell ref="C5:C6"/>
    <mergeCell ref="D5:D6"/>
    <mergeCell ref="E5:F5"/>
    <mergeCell ref="G5:J5"/>
    <mergeCell ref="G6:H6"/>
    <mergeCell ref="I6:J6"/>
  </mergeCells>
  <phoneticPr fontId="2" type="noConversion"/>
  <dataValidations count="1">
    <dataValidation type="whole" allowBlank="1" showInputMessage="1" showErrorMessage="1" sqref="F7:F11 F28:F32" xr:uid="{08CFCE45-8C13-4F11-8A47-E8804FD63096}">
      <formula1>0</formula1>
      <formula2>$E7*3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16ED44A3-4E6A-437F-82F3-9ED6E56C958E}">
          <x14:formula1>
            <xm:f>참고!$B$39:$B$46</xm:f>
          </x14:formula1>
          <xm:sqref>E7:E11 E28:E32</xm:sqref>
        </x14:dataValidation>
        <x14:dataValidation type="list" allowBlank="1" showInputMessage="1" showErrorMessage="1" xr:uid="{F0810C69-3EB8-4E75-85E4-39D8465B33F5}">
          <x14:formula1>
            <xm:f>참고!$B$28:$B$31</xm:f>
          </x14:formula1>
          <xm:sqref>D36:D39</xm:sqref>
        </x14:dataValidation>
        <x14:dataValidation type="list" allowBlank="1" showInputMessage="1" showErrorMessage="1" xr:uid="{E02DEE47-2298-492E-A4B5-E80706B9E0DA}">
          <x14:formula1>
            <xm:f>참고!$B$16:$B$17</xm:f>
          </x14:formula1>
          <xm:sqref>M17:M20 M38:M41</xm:sqref>
        </x14:dataValidation>
        <x14:dataValidation type="list" allowBlank="1" showInputMessage="1" showErrorMessage="1" xr:uid="{87023237-034D-43DE-972C-A36D92A835A1}">
          <x14:formula1>
            <xm:f>참고!$B$12:$B$13</xm:f>
          </x14:formula1>
          <xm:sqref>M6:M10 M27:M31</xm:sqref>
        </x14:dataValidation>
        <x14:dataValidation type="list" allowBlank="1" showInputMessage="1" showErrorMessage="1" xr:uid="{4B113DDE-4F49-4409-80D1-D8A1D7DD6CA8}">
          <x14:formula1>
            <xm:f>참고!$B$20:$B$25</xm:f>
          </x14:formula1>
          <xm:sqref>H7:H11 J7:J11 H28:H32 J28:J32</xm:sqref>
        </x14:dataValidation>
        <x14:dataValidation type="list" allowBlank="1" showInputMessage="1" showErrorMessage="1" xr:uid="{02AAF4BC-4B2C-484D-9EFA-F548FB18B5E2}">
          <x14:formula1>
            <xm:f>참고!$C$19:$T$19</xm:f>
          </x14:formula1>
          <xm:sqref>G7:G11 I7:I11 G28:G32 I28:I32</xm:sqref>
        </x14:dataValidation>
        <x14:dataValidation type="list" allowBlank="1" showInputMessage="1" showErrorMessage="1" xr:uid="{D2DD2698-4C64-4022-A339-91037885BBE8}">
          <x14:formula1>
            <xm:f>참고!$B$3:$B$9</xm:f>
          </x14:formula1>
          <xm:sqref>D7:D12 D28:D33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90078-9A4B-4A71-9B63-B9FE84077123}">
  <dimension ref="A1:U43"/>
  <sheetViews>
    <sheetView tabSelected="1" zoomScale="85" zoomScaleNormal="85" workbookViewId="0">
      <selection activeCell="M6" sqref="M6"/>
    </sheetView>
  </sheetViews>
  <sheetFormatPr defaultRowHeight="14.25" x14ac:dyDescent="0.3"/>
  <cols>
    <col min="1" max="2" width="2.625" style="5" customWidth="1"/>
    <col min="3" max="3" width="11.625" style="5" customWidth="1"/>
    <col min="4" max="6" width="6.625" style="5" customWidth="1"/>
    <col min="7" max="7" width="10.625" style="5" customWidth="1"/>
    <col min="8" max="8" width="6.625" style="5" customWidth="1"/>
    <col min="9" max="9" width="10.625" style="5" customWidth="1"/>
    <col min="10" max="10" width="6.625" style="5" customWidth="1"/>
    <col min="11" max="11" width="2.625" style="5" customWidth="1"/>
    <col min="12" max="12" width="9" style="5"/>
    <col min="13" max="13" width="6.625" style="5" customWidth="1"/>
    <col min="14" max="15" width="2.625" style="5" customWidth="1"/>
    <col min="16" max="16" width="13.625" style="5" hidden="1" customWidth="1"/>
    <col min="17" max="18" width="10.625" style="5" hidden="1" customWidth="1"/>
    <col min="19" max="21" width="9.625" style="5" hidden="1" customWidth="1"/>
    <col min="22" max="16384" width="9" style="5"/>
  </cols>
  <sheetData>
    <row r="1" spans="1:21" ht="14.25" customHeight="1" x14ac:dyDescent="0.3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21" ht="14.25" customHeight="1" x14ac:dyDescent="0.3">
      <c r="A2" s="40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  <c r="O2" s="40"/>
    </row>
    <row r="3" spans="1:21" ht="14.25" customHeight="1" x14ac:dyDescent="0.3">
      <c r="A3" s="40"/>
      <c r="B3" s="15"/>
      <c r="C3" s="61" t="s">
        <v>57</v>
      </c>
      <c r="D3" s="62"/>
      <c r="E3" s="62"/>
      <c r="F3" s="62"/>
      <c r="G3" s="62"/>
      <c r="H3" s="62"/>
      <c r="I3" s="62"/>
      <c r="J3" s="62"/>
      <c r="K3" s="62"/>
      <c r="L3" s="62"/>
      <c r="M3" s="63"/>
      <c r="N3" s="17"/>
      <c r="O3" s="40"/>
    </row>
    <row r="4" spans="1:21" ht="14.25" customHeight="1" x14ac:dyDescent="0.3">
      <c r="A4" s="40"/>
      <c r="B4" s="1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7"/>
      <c r="O4" s="40"/>
    </row>
    <row r="5" spans="1:21" ht="14.25" customHeight="1" x14ac:dyDescent="0.3">
      <c r="A5" s="40"/>
      <c r="B5" s="15"/>
      <c r="C5" s="64" t="s">
        <v>63</v>
      </c>
      <c r="D5" s="66" t="s">
        <v>1</v>
      </c>
      <c r="E5" s="68" t="s">
        <v>54</v>
      </c>
      <c r="F5" s="69"/>
      <c r="G5" s="70" t="s">
        <v>15</v>
      </c>
      <c r="H5" s="71"/>
      <c r="I5" s="71"/>
      <c r="J5" s="72"/>
      <c r="K5" s="9"/>
      <c r="L5" s="8" t="s">
        <v>60</v>
      </c>
      <c r="M5" s="18" t="s">
        <v>9</v>
      </c>
      <c r="N5" s="17"/>
      <c r="O5" s="40"/>
    </row>
    <row r="6" spans="1:21" ht="14.25" customHeight="1" x14ac:dyDescent="0.3">
      <c r="A6" s="40"/>
      <c r="B6" s="15"/>
      <c r="C6" s="65"/>
      <c r="D6" s="67"/>
      <c r="E6" s="19" t="s">
        <v>19</v>
      </c>
      <c r="F6" s="20" t="s">
        <v>9</v>
      </c>
      <c r="G6" s="61" t="s">
        <v>55</v>
      </c>
      <c r="H6" s="63"/>
      <c r="I6" s="61" t="s">
        <v>56</v>
      </c>
      <c r="J6" s="63"/>
      <c r="K6" s="9"/>
      <c r="L6" s="18" t="s">
        <v>12</v>
      </c>
      <c r="M6" s="32" t="s">
        <v>10</v>
      </c>
      <c r="N6" s="17"/>
      <c r="O6" s="40"/>
      <c r="Q6" s="11" t="s">
        <v>63</v>
      </c>
      <c r="R6" s="11" t="s">
        <v>68</v>
      </c>
      <c r="S6" s="25" t="s">
        <v>15</v>
      </c>
      <c r="T6" s="26" t="s">
        <v>54</v>
      </c>
      <c r="U6" s="11" t="s">
        <v>59</v>
      </c>
    </row>
    <row r="7" spans="1:21" ht="14.25" customHeight="1" x14ac:dyDescent="0.3">
      <c r="A7" s="40"/>
      <c r="B7" s="15"/>
      <c r="C7" s="18" t="s">
        <v>3</v>
      </c>
      <c r="D7" s="32">
        <v>23</v>
      </c>
      <c r="E7" s="35">
        <v>5</v>
      </c>
      <c r="F7" s="32">
        <v>15</v>
      </c>
      <c r="G7" s="32" t="s">
        <v>31</v>
      </c>
      <c r="H7" s="36">
        <v>1</v>
      </c>
      <c r="I7" s="37" t="s">
        <v>21</v>
      </c>
      <c r="J7" s="32">
        <v>5</v>
      </c>
      <c r="K7" s="9"/>
      <c r="L7" s="21" t="s">
        <v>13</v>
      </c>
      <c r="M7" s="33" t="s">
        <v>10</v>
      </c>
      <c r="N7" s="17"/>
      <c r="O7" s="40"/>
      <c r="P7" s="11" t="s">
        <v>42</v>
      </c>
      <c r="Q7" s="11">
        <f>SUM(VLOOKUP($D$7,참고!$B$2:$H$9,MATCH($C$7,참고!$B$2:$H$2,0),0), VLOOKUP($D$8,참고!$B$2:$H$9,MATCH($C$8,참고!$B$2:$H$2,0),0), VLOOKUP($D$9,참고!$B$2:$H$9,MATCH($C$9,참고!$B$2:$H$2,0),0), VLOOKUP($D$10,참고!$B$2:$H$9,MATCH($C$10,참고!$B$2:$H$2,0),0), VLOOKUP($D$11,참고!$B$2:$H$9,MATCH($C$11,참고!$B$2:$H$2,0),0))</f>
        <v>199078</v>
      </c>
      <c r="R7" s="11">
        <f>SUM(VLOOKUP($M$6, 참고!$B$11:$E$13, MATCH($L$6, 참고!$B$11:$E$11, 0), 0), VLOOKUP($M$7, 참고!$B$11:$E$13, MATCH($L$7, 참고!$B$11:$E$11, 0), 0), VLOOKUP($M$8, 참고!$B$11:$E$13, MATCH($L$8, 참고!$B$11:$E$11, 0), 0), VLOOKUP($M$9, 참고!$B$11:$E$13, MATCH($L$9, 참고!$B$11:$E$11, 0), 0), VLOOKUP($M$10, 참고!$B$11:$E$13, MATCH($L$10, 참고!$B$11:$E$11, 0), 0), $M$13, $M$14, 429)</f>
        <v>52082</v>
      </c>
      <c r="S7" s="11">
        <f>SUM(IF(OR($G$7 = "힘", $G$7 = "민첩", $G$7 = "지능"), VLOOKUP($H$7, 참고!$B$19:$O$25, MATCH($G$7, 참고!$B$19:$O$19, 0), 0), 0), IF(OR($G$8 = "힘", $G$8 = "민첩", $G$8 = "지능"), VLOOKUP($H$8, 참고!$B$19:$O$25, MATCH($G$8, 참고!$B$19:$O$19, 0), 0), 0), IF(OR($G$9 = "힘", $G$9 = "민첩", $G$9 = "지능"), VLOOKUP($H$9, 참고!$B$19:$O$25, MATCH($G$9, 참고!$B$19:$O$19, 0), 0), 0), IF(OR($G$10 = "힘", $G$10 = "민첩", $G$10= "지능"), VLOOKUP($H$10, 참고!$B$19:$O$25, MATCH($G$10, 참고!$B$19:$O$19, 0), 0), 0), IF(OR($G$11 = "힘", $G$11 = "민첩", $G$11 = "지능"), VLOOKUP($H$11, 참고!$B$19:$O$25, MATCH($G$11, 참고!$B$19:$O$19, 0), 0), 0), IF(OR($I$7 = "힘", $I$7 = "민첩", $I$7 = "지능"), VLOOKUP($J$7, 참고!$B$19:$O$25, MATCH($I$7, 참고!$B$19:$O$19, 0), 0), 0), IF(OR($I$8 = "힘", $I$8 = "민첩", $I$8 = "지능"), VLOOKUP($J$8, 참고!$B$19:$O$25, MATCH($I$8, 참고!$B$19:$O$19, 0), 0), 0), IF(OR($I$9 = "힘", $I$9 = "민첩", $I$9 = "지능"), VLOOKUP($J$9, 참고!$B$19:$O$25, MATCH($I$9, 참고!$B$19:$O$19, 0), 0), 0), IF(OR($I$10 = "힘", $I$10 = "민첩", $I$10 = "지능"), VLOOKUP($J$10, 참고!$B$19:$O$25, MATCH($I$10, 참고!$B$19:$O$19, 0), 0), 0), IF(OR($I$11 = "힘", $I$11 = "민첩", $I$11 = "지능"), VLOOKUP($J$11, 참고!$B$19:$O$25, MATCH($I$11, 참고!$B$19:$O$19, 0), 0), 0))</f>
        <v>6264</v>
      </c>
      <c r="T7" s="11">
        <f>SUM(VLOOKUP($E$7, 참고!$B$38:$C$46, 2, 0), VLOOKUP($E$8, 참고!$B$38:$C$46, 2, 0), VLOOKUP($E$9, 참고!$B$38:$C$46, 2, 0), VLOOKUP($E$10, 참고!$B$38:$C$46, 2, 0), VLOOKUP($E$11, 참고!$B$38:$C$46, 2, 0), IF($F$7 &gt;= 10, SUM($F$7:$F$11)*55, 0), IF($F$11 &gt;= 20, 12600, IF($F$11 &gt;= 15, 8400, IF($F$11 &gt;= 5, 4200, 0))))</f>
        <v>33855</v>
      </c>
      <c r="U7" s="11">
        <f>SUM(VLOOKUP($M$17, 참고!$B$15:$F$17, MATCH($L$17, 참고!$B$15:$F$15, 0), 0), VLOOKUP($M$18, 참고!$B$15:$F$17, MATCH($L$18, 참고!$B$15:$F$15, 0), 0), VLOOKUP($M$19, 참고!$B$15:$F$17, MATCH($L$19, 참고!$B$15:$F$15, 0), 0), VLOOKUP($M$20, 참고!$B$15:$F$17, MATCH($L$20, 참고!$B$15:$F$15, 0), 0))</f>
        <v>8</v>
      </c>
    </row>
    <row r="8" spans="1:21" ht="14.25" customHeight="1" x14ac:dyDescent="0.3">
      <c r="A8" s="40"/>
      <c r="B8" s="15"/>
      <c r="C8" s="21" t="s">
        <v>4</v>
      </c>
      <c r="D8" s="33">
        <v>23</v>
      </c>
      <c r="E8" s="37">
        <v>5</v>
      </c>
      <c r="F8" s="33">
        <v>15</v>
      </c>
      <c r="G8" s="33" t="s">
        <v>32</v>
      </c>
      <c r="H8" s="36">
        <v>5</v>
      </c>
      <c r="I8" s="37" t="s">
        <v>31</v>
      </c>
      <c r="J8" s="33">
        <v>5</v>
      </c>
      <c r="K8" s="9"/>
      <c r="L8" s="21" t="s">
        <v>13</v>
      </c>
      <c r="M8" s="33" t="s">
        <v>10</v>
      </c>
      <c r="N8" s="17"/>
      <c r="O8" s="40"/>
    </row>
    <row r="9" spans="1:21" ht="14.25" customHeight="1" x14ac:dyDescent="0.3">
      <c r="A9" s="40"/>
      <c r="B9" s="15"/>
      <c r="C9" s="21" t="s">
        <v>5</v>
      </c>
      <c r="D9" s="33">
        <v>23</v>
      </c>
      <c r="E9" s="37">
        <v>6</v>
      </c>
      <c r="F9" s="33">
        <v>18</v>
      </c>
      <c r="G9" s="33" t="s">
        <v>35</v>
      </c>
      <c r="H9" s="36">
        <v>4</v>
      </c>
      <c r="I9" s="37" t="s">
        <v>32</v>
      </c>
      <c r="J9" s="33">
        <v>5</v>
      </c>
      <c r="K9" s="9"/>
      <c r="L9" s="21" t="s">
        <v>14</v>
      </c>
      <c r="M9" s="33" t="s">
        <v>10</v>
      </c>
      <c r="N9" s="17"/>
      <c r="O9" s="40"/>
      <c r="Q9" s="11" t="s">
        <v>0</v>
      </c>
      <c r="R9" s="25" t="s">
        <v>15</v>
      </c>
      <c r="S9" s="25" t="s">
        <v>48</v>
      </c>
      <c r="T9" s="26" t="s">
        <v>54</v>
      </c>
    </row>
    <row r="10" spans="1:21" ht="14.25" customHeight="1" x14ac:dyDescent="0.3">
      <c r="A10" s="40"/>
      <c r="B10" s="15"/>
      <c r="C10" s="21" t="s">
        <v>6</v>
      </c>
      <c r="D10" s="33">
        <v>23</v>
      </c>
      <c r="E10" s="37">
        <v>6</v>
      </c>
      <c r="F10" s="33">
        <v>18</v>
      </c>
      <c r="G10" s="33" t="s">
        <v>32</v>
      </c>
      <c r="H10" s="36">
        <v>2</v>
      </c>
      <c r="I10" s="37" t="s">
        <v>28</v>
      </c>
      <c r="J10" s="33">
        <v>5</v>
      </c>
      <c r="K10" s="9"/>
      <c r="L10" s="22" t="s">
        <v>14</v>
      </c>
      <c r="M10" s="34" t="s">
        <v>10</v>
      </c>
      <c r="N10" s="17"/>
      <c r="O10" s="40"/>
      <c r="P10" s="11" t="s">
        <v>32</v>
      </c>
      <c r="Q10" s="11">
        <f>VLOOKUP($D$12,참고!$B$2:$H$9,MATCH($C$12,참고!$B$2:$H$2,0),0)</f>
        <v>74811</v>
      </c>
      <c r="R10" s="11">
        <f>SUM(IF($G$7 = "무기 공격력", VLOOKUP($H$7, 참고!$B$19:$O$25, MATCH($G$7, 참고!$B$19:$O$19, 0), 0), 0), IF($G$8 = "무기 공격력", VLOOKUP($H$8, 참고!$B$19:$O$25, MATCH($G$8, 참고!$B$19:$O$19, 0), 0), 0), IF($G$9 = "무기 공격력", VLOOKUP($H$9, 참고!$B$19:$O$25, MATCH($G$9, 참고!$B$19:$O$19, 0), 0), 0), IF($G$10 = "무기 공격력", VLOOKUP($H$10, 참고!$B$19:$O$25, MATCH($G$10, 참고!$B$19:$O$19, 0), 0), 0), IF($G$11 = "무기 공격력", VLOOKUP($H$11, 참고!$B$19:$O$25, MATCH($G$11, 참고!$B$19:$O$19, 0), 0), 0), IF($I$7 = "무기 공격력", VLOOKUP($J$7, 참고!$B$19:$O$25, MATCH($I$7, 참고!$B$19:$O$19, 0), 0), 0), IF($I$8 = "무기 공격력", VLOOKUP($J$8, 참고!$B$19:$O$25, MATCH($I$8, 참고!$B$19:$O$19, 0), 0), 0), IF($I$9 = "무기 공격력", VLOOKUP($J$9, 참고!$B$19:$O$25, MATCH($I$9, 참고!$B$19:$O$19, 0), 0), 0), IF($I$10 = "무기 공격력", VLOOKUP($J$10, 참고!$B$19:$O$25, MATCH($I$10, 참고!$B$19:$O$19, 0), 0), 0), IF($I$11 = "무기 공격력", VLOOKUP($J$11, 참고!$B$19:$O$25, MATCH($I$11, 참고!$B$19:$O$19, 0), 0), 0))</f>
        <v>4928</v>
      </c>
      <c r="S10" s="11">
        <f>IF(AND(OR($G$7 = "진군(질서)", $I$7 = "진군(질서)"), OR($G$11 = "진군(혼돈)", $I$11 = "진군(혼돈)"), SUM($H$7:$H$11, $J$7:$J$11) &gt;= 35), 2230, 0)</f>
        <v>0</v>
      </c>
      <c r="T10" s="11">
        <f>SUM(IF($F$7 &gt;= 15, SUM($F$7:$F$11)*14, 0), IF($F$8 &gt;= 20, 3600, IF($F$8 &gt;= 15, 2400, IF($F$8 &gt;= 5, 1200, 0))), IF($F$9 &gt;= 20, 7200, IF($F$9 &gt;= 15, 7200*18/30, IF($F$9 &gt;= 5, 4800*10/30, 0))))</f>
        <v>7854</v>
      </c>
    </row>
    <row r="11" spans="1:21" ht="14.25" customHeight="1" x14ac:dyDescent="0.3">
      <c r="A11" s="40"/>
      <c r="B11" s="15"/>
      <c r="C11" s="21" t="s">
        <v>7</v>
      </c>
      <c r="D11" s="33">
        <v>23</v>
      </c>
      <c r="E11" s="38">
        <v>5</v>
      </c>
      <c r="F11" s="34">
        <v>15</v>
      </c>
      <c r="G11" s="34" t="s">
        <v>25</v>
      </c>
      <c r="H11" s="39">
        <v>4</v>
      </c>
      <c r="I11" s="38" t="s">
        <v>32</v>
      </c>
      <c r="J11" s="34">
        <v>5</v>
      </c>
      <c r="K11" s="9"/>
      <c r="L11" s="9"/>
      <c r="M11" s="9"/>
      <c r="N11" s="17"/>
      <c r="O11" s="40"/>
    </row>
    <row r="12" spans="1:21" ht="14.25" customHeight="1" thickBot="1" x14ac:dyDescent="0.35">
      <c r="A12" s="40"/>
      <c r="B12" s="15"/>
      <c r="C12" s="22" t="s">
        <v>0</v>
      </c>
      <c r="D12" s="34">
        <v>25</v>
      </c>
      <c r="E12" s="9"/>
      <c r="F12" s="9"/>
      <c r="G12" s="9"/>
      <c r="H12" s="9"/>
      <c r="I12" s="9"/>
      <c r="J12" s="9"/>
      <c r="K12" s="9"/>
      <c r="L12" s="8" t="s">
        <v>36</v>
      </c>
      <c r="M12" s="18" t="s">
        <v>16</v>
      </c>
      <c r="N12" s="17"/>
      <c r="O12" s="40"/>
      <c r="Q12" s="25" t="s">
        <v>15</v>
      </c>
      <c r="R12" s="26" t="s">
        <v>54</v>
      </c>
    </row>
    <row r="13" spans="1:21" ht="14.25" customHeight="1" x14ac:dyDescent="0.3">
      <c r="A13" s="40"/>
      <c r="B13" s="15"/>
      <c r="C13" s="9"/>
      <c r="D13" s="9"/>
      <c r="E13" s="9"/>
      <c r="F13" s="9"/>
      <c r="G13" s="55" t="s">
        <v>15</v>
      </c>
      <c r="H13" s="56"/>
      <c r="I13" s="42">
        <f>$U$36</f>
        <v>3.2737660007994274</v>
      </c>
      <c r="J13" s="43"/>
      <c r="K13" s="9"/>
      <c r="L13" s="12" t="s">
        <v>33</v>
      </c>
      <c r="M13" s="32">
        <v>0</v>
      </c>
      <c r="N13" s="17"/>
      <c r="O13" s="40"/>
      <c r="P13" s="11" t="s">
        <v>62</v>
      </c>
      <c r="Q13" s="11">
        <f>SUM(IF(OR($G$7="선각자(질서)",$G$7="신념(질서)",$G$7="진군(질서)"),VLOOKUP($H$7,참고!$B$19:$T$25,MATCH($G$7,참고!$B$19:$T$19,0),0),IF(OR($I$7="선각자(질서)",$I$7="신념(질서)",$I$7="진군(질서)"),VLOOKUP($J$7,참고!$B$19:$T$25,MATCH($I$7,참고!$B$19:$T$19,0),0),0)),IF($G$10="아군 강화",VLOOKUP($H$10,참고!$B$19:$T$25,MATCH($G$10,참고!$B$19:$T$19,0),0),IF($I$10="아군 강화",VLOOKUP($J$10,참고!$B$19:$T$25,MATCH($I$10,참고!$B$19:$T$19,0),0),0)),IF(AND(OR($G$7="진군(질서)",$I$7="진군(질서)"),OR($G$11="진군(혼돈)",$I$11="진군(혼돈)"),SUM($H$7:$H$11,$J$7:$J$11)&gt;=40), 6, IF(OR(AND(OR($G$7="선각자(질서)",$I$7="선각자(질서)"),OR($G$11="선각자(혼돈)",$I$11="선각자(혼돈)")), AND(OR($G$7="신념(질서)",$I$7="신념(질서)"),OR($G$11="신념(혼돈)",$I$11="신념(혼돈)"))), IF(SUM($H$7:$H$11, $J$7:$J$11) &gt;= 40, 14, IF(SUM($H$7:$H$11, $J$7:$J$11) &gt;= 35, 8, 0)))))</f>
        <v>24</v>
      </c>
      <c r="R13" s="11">
        <f>SUM(0.01*SUM($F$7:$F$11)*IF($F$7 &gt;= 20, 4, IF($F$7 &gt;= 15, 3, IF($F$7 &gt;= 10, 2, IF($F$7 &gt;= 5, 1, 0)))), IF($F$8 &gt;= 20, 3, IF($F$8 &gt;= 15, 2, IF($F$8 &gt;= 5, 1))), IF($F$11 &gt;= 20, 3, IF($F$11 &gt;= 15, 2, IF($F$11 &gt;= 5, 1))))</f>
        <v>6.43</v>
      </c>
    </row>
    <row r="14" spans="1:21" ht="14.25" customHeight="1" thickBot="1" x14ac:dyDescent="0.35">
      <c r="A14" s="40"/>
      <c r="B14" s="15"/>
      <c r="C14" s="54" t="s">
        <v>75</v>
      </c>
      <c r="D14" s="54"/>
      <c r="E14" s="54"/>
      <c r="F14" s="9"/>
      <c r="G14" s="57"/>
      <c r="H14" s="58"/>
      <c r="I14" s="44"/>
      <c r="J14" s="45"/>
      <c r="K14" s="9"/>
      <c r="L14" s="19" t="s">
        <v>47</v>
      </c>
      <c r="M14" s="34">
        <v>1469</v>
      </c>
      <c r="N14" s="17"/>
      <c r="O14" s="40"/>
    </row>
    <row r="15" spans="1:21" ht="14.25" customHeight="1" x14ac:dyDescent="0.3">
      <c r="A15" s="40"/>
      <c r="B15" s="15"/>
      <c r="C15" s="54"/>
      <c r="D15" s="54"/>
      <c r="E15" s="54"/>
      <c r="F15" s="9"/>
      <c r="G15" s="55" t="s">
        <v>54</v>
      </c>
      <c r="H15" s="56"/>
      <c r="I15" s="42">
        <f>$U$37</f>
        <v>2.1214159671648414</v>
      </c>
      <c r="J15" s="43"/>
      <c r="K15" s="9"/>
      <c r="L15" s="9"/>
      <c r="M15" s="9"/>
      <c r="N15" s="17"/>
      <c r="O15" s="40"/>
      <c r="P15" s="4"/>
      <c r="Q15" s="11" t="s">
        <v>42</v>
      </c>
      <c r="R15" s="11" t="s">
        <v>32</v>
      </c>
      <c r="S15" s="11" t="s">
        <v>37</v>
      </c>
      <c r="T15" s="11" t="s">
        <v>62</v>
      </c>
    </row>
    <row r="16" spans="1:21" ht="14.25" customHeight="1" thickBot="1" x14ac:dyDescent="0.35">
      <c r="A16" s="40"/>
      <c r="B16" s="15"/>
      <c r="C16" s="54"/>
      <c r="D16" s="54"/>
      <c r="E16" s="54"/>
      <c r="F16" s="9"/>
      <c r="G16" s="57"/>
      <c r="H16" s="58"/>
      <c r="I16" s="44"/>
      <c r="J16" s="45"/>
      <c r="K16" s="9"/>
      <c r="L16" s="8" t="s">
        <v>59</v>
      </c>
      <c r="M16" s="7" t="s">
        <v>9</v>
      </c>
      <c r="N16" s="17"/>
      <c r="O16" s="40"/>
      <c r="P16" s="11" t="s">
        <v>69</v>
      </c>
      <c r="Q16" s="11">
        <f>FLOOR(SUM($Q$7, $R$7)*(1 + $U$7/100), 1)</f>
        <v>271252</v>
      </c>
      <c r="R16" s="11">
        <f>SUM($Q$10)</f>
        <v>74811</v>
      </c>
      <c r="S16" s="11">
        <f>FLOOR(SQRT($Q$16*$R$16/6), 1)</f>
        <v>58155</v>
      </c>
      <c r="T16" s="11">
        <v>0</v>
      </c>
    </row>
    <row r="17" spans="1:21" ht="14.25" customHeight="1" x14ac:dyDescent="0.3">
      <c r="A17" s="40"/>
      <c r="B17" s="15"/>
      <c r="C17" s="54"/>
      <c r="D17" s="54"/>
      <c r="E17" s="54"/>
      <c r="F17" s="9"/>
      <c r="G17" s="55" t="s">
        <v>74</v>
      </c>
      <c r="H17" s="56"/>
      <c r="I17" s="46">
        <f>$U$38</f>
        <v>5.7490762676337903</v>
      </c>
      <c r="J17" s="47"/>
      <c r="K17" s="9"/>
      <c r="L17" s="21" t="s">
        <v>8</v>
      </c>
      <c r="M17" s="36" t="s">
        <v>17</v>
      </c>
      <c r="N17" s="17"/>
      <c r="O17" s="40"/>
      <c r="P17" s="25" t="s">
        <v>65</v>
      </c>
      <c r="Q17" s="11">
        <f>FLOOR(SUM($Q$7, $R$7, $S$7)*(1 + $U$7/100), 1)</f>
        <v>278017</v>
      </c>
      <c r="R17" s="11">
        <f>SUM($Q$10, $R$10, $S$10)</f>
        <v>79739</v>
      </c>
      <c r="S17" s="11">
        <f>FLOOR(SQRT($Q$17*$R$17/6), 1)</f>
        <v>60784</v>
      </c>
      <c r="T17" s="11">
        <f>SUM($Q$13)</f>
        <v>24</v>
      </c>
    </row>
    <row r="18" spans="1:21" ht="14.25" customHeight="1" thickBot="1" x14ac:dyDescent="0.35">
      <c r="A18" s="40"/>
      <c r="B18" s="15"/>
      <c r="C18" s="54"/>
      <c r="D18" s="54"/>
      <c r="E18" s="54"/>
      <c r="F18" s="9"/>
      <c r="G18" s="57"/>
      <c r="H18" s="58"/>
      <c r="I18" s="48"/>
      <c r="J18" s="49"/>
      <c r="K18" s="9"/>
      <c r="L18" s="21" t="s">
        <v>5</v>
      </c>
      <c r="M18" s="36" t="s">
        <v>17</v>
      </c>
      <c r="N18" s="17"/>
      <c r="O18" s="40"/>
      <c r="P18" s="26" t="s">
        <v>66</v>
      </c>
      <c r="Q18" s="11">
        <f>FLOOR(SUM($Q$7, $R$7, $T$7)*(1 + $U$7/100), 1)</f>
        <v>307816</v>
      </c>
      <c r="R18" s="11">
        <f>SUM($Q$10, $T$10)</f>
        <v>82665</v>
      </c>
      <c r="S18" s="11">
        <f>FLOOR(SQRT($Q$18*$R$18/6), 1)</f>
        <v>65122</v>
      </c>
      <c r="T18" s="11">
        <f>SUM($R$13)</f>
        <v>6.43</v>
      </c>
    </row>
    <row r="19" spans="1:21" ht="14.25" customHeight="1" x14ac:dyDescent="0.3">
      <c r="A19" s="40"/>
      <c r="B19" s="15"/>
      <c r="C19" s="54"/>
      <c r="D19" s="54"/>
      <c r="E19" s="54"/>
      <c r="F19" s="9"/>
      <c r="G19" s="59" t="s">
        <v>73</v>
      </c>
      <c r="H19" s="60"/>
      <c r="I19" s="50">
        <f>IF($F$10 &gt;= 20, 3.5, IF($F$10 &gt;= 15, 2.5, IF($F$10 &gt;= 10, 1.5, 0)))</f>
        <v>2.5</v>
      </c>
      <c r="J19" s="51"/>
      <c r="K19" s="9"/>
      <c r="L19" s="21" t="s">
        <v>6</v>
      </c>
      <c r="M19" s="36" t="s">
        <v>17</v>
      </c>
      <c r="N19" s="17"/>
      <c r="O19" s="40"/>
      <c r="P19" s="27" t="s">
        <v>67</v>
      </c>
      <c r="Q19" s="11">
        <f>FLOOR(SUM($Q$7, $R$7, $S$7, $T$7)*(1 + $U$7/100), 1)</f>
        <v>314581</v>
      </c>
      <c r="R19" s="11">
        <f>SUM($Q$10, $R$10, $S$10, $T$10)</f>
        <v>87593</v>
      </c>
      <c r="S19" s="11">
        <f>FLOOR(SQRT($Q$19*$R$19/6), 1)</f>
        <v>67768</v>
      </c>
      <c r="T19" s="11">
        <f>SUM($Q$13, $R$13)</f>
        <v>30.43</v>
      </c>
    </row>
    <row r="20" spans="1:21" ht="14.25" customHeight="1" thickBot="1" x14ac:dyDescent="0.35">
      <c r="A20" s="40"/>
      <c r="B20" s="15"/>
      <c r="C20" s="54"/>
      <c r="D20" s="54"/>
      <c r="E20" s="54"/>
      <c r="F20" s="9"/>
      <c r="G20" s="57"/>
      <c r="H20" s="58"/>
      <c r="I20" s="52"/>
      <c r="J20" s="53"/>
      <c r="K20" s="9"/>
      <c r="L20" s="22" t="s">
        <v>0</v>
      </c>
      <c r="M20" s="39" t="s">
        <v>17</v>
      </c>
      <c r="N20" s="17"/>
      <c r="O20" s="40"/>
    </row>
    <row r="21" spans="1:21" ht="14.25" customHeight="1" x14ac:dyDescent="0.3">
      <c r="A21" s="40"/>
      <c r="B21" s="19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3"/>
      <c r="O21" s="40"/>
    </row>
    <row r="22" spans="1:21" ht="14.25" customHeight="1" x14ac:dyDescent="0.3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21" ht="14.25" customHeight="1" x14ac:dyDescent="0.3">
      <c r="A23" s="40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40"/>
    </row>
    <row r="24" spans="1:21" ht="14.25" customHeight="1" x14ac:dyDescent="0.3">
      <c r="A24" s="40"/>
      <c r="B24" s="15"/>
      <c r="C24" s="61" t="s">
        <v>58</v>
      </c>
      <c r="D24" s="62"/>
      <c r="E24" s="62"/>
      <c r="F24" s="62"/>
      <c r="G24" s="62"/>
      <c r="H24" s="62"/>
      <c r="I24" s="62"/>
      <c r="J24" s="62"/>
      <c r="K24" s="62"/>
      <c r="L24" s="62"/>
      <c r="M24" s="63"/>
      <c r="N24" s="17"/>
      <c r="O24" s="40"/>
    </row>
    <row r="25" spans="1:21" ht="14.25" customHeight="1" x14ac:dyDescent="0.3">
      <c r="A25" s="40"/>
      <c r="B25" s="15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7"/>
      <c r="O25" s="40"/>
    </row>
    <row r="26" spans="1:21" ht="14.25" customHeight="1" x14ac:dyDescent="0.3">
      <c r="A26" s="40"/>
      <c r="B26" s="15"/>
      <c r="C26" s="64" t="s">
        <v>63</v>
      </c>
      <c r="D26" s="66" t="s">
        <v>1</v>
      </c>
      <c r="E26" s="68" t="s">
        <v>54</v>
      </c>
      <c r="F26" s="69"/>
      <c r="G26" s="70" t="s">
        <v>15</v>
      </c>
      <c r="H26" s="71"/>
      <c r="I26" s="71"/>
      <c r="J26" s="72"/>
      <c r="K26" s="9"/>
      <c r="L26" s="8" t="s">
        <v>60</v>
      </c>
      <c r="M26" s="18" t="s">
        <v>9</v>
      </c>
      <c r="N26" s="17"/>
      <c r="O26" s="40"/>
    </row>
    <row r="27" spans="1:21" ht="14.25" customHeight="1" x14ac:dyDescent="0.3">
      <c r="A27" s="40"/>
      <c r="B27" s="15"/>
      <c r="C27" s="65"/>
      <c r="D27" s="67"/>
      <c r="E27" s="19" t="s">
        <v>19</v>
      </c>
      <c r="F27" s="20" t="s">
        <v>9</v>
      </c>
      <c r="G27" s="61" t="s">
        <v>55</v>
      </c>
      <c r="H27" s="63"/>
      <c r="I27" s="61" t="s">
        <v>56</v>
      </c>
      <c r="J27" s="63"/>
      <c r="K27" s="9"/>
      <c r="L27" s="18" t="s">
        <v>12</v>
      </c>
      <c r="M27" s="32" t="s">
        <v>10</v>
      </c>
      <c r="N27" s="17"/>
      <c r="O27" s="40"/>
      <c r="Q27" s="11" t="s">
        <v>63</v>
      </c>
      <c r="R27" s="11" t="s">
        <v>68</v>
      </c>
      <c r="S27" s="25" t="s">
        <v>15</v>
      </c>
      <c r="T27" s="26" t="s">
        <v>54</v>
      </c>
      <c r="U27" s="11" t="s">
        <v>59</v>
      </c>
    </row>
    <row r="28" spans="1:21" ht="14.25" customHeight="1" x14ac:dyDescent="0.3">
      <c r="A28" s="40"/>
      <c r="B28" s="15"/>
      <c r="C28" s="18" t="s">
        <v>3</v>
      </c>
      <c r="D28" s="32">
        <v>25</v>
      </c>
      <c r="E28" s="35">
        <v>6</v>
      </c>
      <c r="F28" s="32">
        <v>18</v>
      </c>
      <c r="G28" s="32" t="s">
        <v>38</v>
      </c>
      <c r="H28" s="36">
        <v>4</v>
      </c>
      <c r="I28" s="37" t="s">
        <v>32</v>
      </c>
      <c r="J28" s="32">
        <v>5</v>
      </c>
      <c r="K28" s="9"/>
      <c r="L28" s="21" t="s">
        <v>13</v>
      </c>
      <c r="M28" s="33" t="s">
        <v>10</v>
      </c>
      <c r="N28" s="17"/>
      <c r="O28" s="40"/>
      <c r="P28" s="11" t="s">
        <v>42</v>
      </c>
      <c r="Q28" s="11">
        <f>SUM(VLOOKUP($D$28,참고!$B$2:$H$9,MATCH($C$28,참고!$B$2:$H$2,0),0), VLOOKUP($D$29,참고!$B$2:$H$9,MATCH($C$29,참고!$B$2:$H$2,0),0), VLOOKUP($D$30,참고!$B$2:$H$9,MATCH($C$30,참고!$B$2:$H$2,0),0), VLOOKUP($D$31,참고!$B$2:$H$9,MATCH($C$31,참고!$B$2:$H$2,0),0), VLOOKUP($D$32,참고!$B$2:$H$9,MATCH($C$32,참고!$B$2:$H$2,0),0))</f>
        <v>212668</v>
      </c>
      <c r="R28" s="11">
        <f>SUM(VLOOKUP($M$27, 참고!$B$11:$E$13, MATCH($L$27, 참고!$B$11:$E$11, 0), 0), VLOOKUP($M$28, 참고!$B$11:$E$13, MATCH($L$28, 참고!$B$11:$E$11, 0), 0), VLOOKUP($M$29, 참고!$B$11:$E$13, MATCH($L$29, 참고!$B$11:$E$11, 0), 0), VLOOKUP($M$30, 참고!$B$11:$E$13, MATCH($L$30, 참고!$B$11:$E$11, 0), 0), VLOOKUP($M$31, 참고!$B$11:$E$13, MATCH($L$31, 참고!$B$11:$E$11, 0), 0), $M$34, $M$35, 429)</f>
        <v>52093</v>
      </c>
      <c r="S28" s="11">
        <f>SUM(IF(OR($G$28 = "힘", $G$28 = "민첩", $G$28 = "지능"), VLOOKUP($H$28, 참고!$B$19:$O$25, MATCH($G$28, 참고!$B$19:$O$19, 0), 0), 0), IF(OR($G$29 = "힘", $G$29 = "민첩", $G$29 = "지능"), VLOOKUP($H$29, 참고!$B$19:$O$25, MATCH($G$29, 참고!$B$19:$O$19, 0), 0), 0), IF(OR($G$30 = "힘", $G$30 = "민첩", $G$30 = "지능"), VLOOKUP($H$30, 참고!$B$19:$O$25, MATCH($G$30, 참고!$B$19:$O$19, 0), 0), 0), IF(OR($G$31 = "힘", $G$31 = "민첩", $G$31= "지능"), VLOOKUP($H$31, 참고!$B$19:$O$25, MATCH($G$31, 참고!$B$19:$O$19, 0), 0), 0), IF(OR($G$32 = "힘", $G$32 = "민첩", $G$32 = "지능"), VLOOKUP($H$32, 참고!$B$19:$O$25, MATCH($G$32, 참고!$B$19:$O$19, 0), 0), 0), IF(OR($I$28 = "힘", $I$28 = "민첩", $I$28 = "지능"), VLOOKUP($J$28, 참고!$B$19:$O$25, MATCH($I$28, 참고!$B$19:$O$19, 0), 0), 0), IF(OR($I$29 = "힘", $I$29 = "민첩", $I$29 = "지능"), VLOOKUP($J$29, 참고!$B$19:$O$25, MATCH($I$29, 참고!$B$19:$O$19, 0), 0), 0), IF(OR($I$30 = "힘", $I$30 = "민첩", $I$30 = "지능"), VLOOKUP($J$30, 참고!$B$19:$O$25, MATCH($I$30, 참고!$B$19:$O$19, 0), 0), 0), IF(OR($I$31 = "힘", $I$31 = "민첩", $I$31 = "지능"), VLOOKUP($J$31, 참고!$B$19:$O$25, MATCH($I$31, 참고!$B$19:$O$19, 0), 0), 0), IF(OR($I$32 = "힘", $I$32 = "민첩", $I$32 = "지능"), VLOOKUP($J$32, 참고!$B$19:$O$25, MATCH($I$32, 참고!$B$19:$O$19, 0), 0), 0))</f>
        <v>0</v>
      </c>
      <c r="T28" s="11">
        <f>SUM(VLOOKUP($E$28, 참고!$B$38:$C$46, 2, 0), VLOOKUP($E$29, 참고!$B$38:$C$46, 2, 0), VLOOKUP($E$30, 참고!$B$38:$C$46, 2, 0), VLOOKUP($E$31, 참고!$B$38:$C$46, 2, 0), VLOOKUP($E$32, 참고!$B$38:$C$46, 2, 0), IF($F$28 &gt;= 10, SUM($F$28:$F$32)*55, 0), IF($F$32 &gt;= 20, 12600, IF($F$32 &gt;= 15, 8400, IF($F$32 &gt;= 5, 4200, 0))))</f>
        <v>35020</v>
      </c>
      <c r="U28" s="11">
        <f>SUM(VLOOKUP($M$38, 참고!$B$15:$F$17, MATCH($L$38, 참고!$B$15:$F$15, 0), 0), VLOOKUP($M$39, 참고!$B$15:$F$17, MATCH($L$39, 참고!$B$15:$F$15, 0), 0), VLOOKUP($M$40, 참고!$B$15:$F$17, MATCH($L$40, 참고!$B$15:$F$15, 0), 0), VLOOKUP($M$41, 참고!$B$15:$F$17, MATCH($L$41, 참고!$B$15:$F$15, 0), 0))</f>
        <v>8</v>
      </c>
    </row>
    <row r="29" spans="1:21" ht="14.25" customHeight="1" x14ac:dyDescent="0.3">
      <c r="A29" s="40"/>
      <c r="B29" s="15"/>
      <c r="C29" s="21" t="s">
        <v>4</v>
      </c>
      <c r="D29" s="33">
        <v>25</v>
      </c>
      <c r="E29" s="37">
        <v>6</v>
      </c>
      <c r="F29" s="33">
        <v>18</v>
      </c>
      <c r="G29" s="33" t="s">
        <v>37</v>
      </c>
      <c r="H29" s="36">
        <v>5</v>
      </c>
      <c r="I29" s="37" t="s">
        <v>35</v>
      </c>
      <c r="J29" s="33">
        <v>5</v>
      </c>
      <c r="K29" s="9"/>
      <c r="L29" s="21" t="s">
        <v>13</v>
      </c>
      <c r="M29" s="33" t="s">
        <v>10</v>
      </c>
      <c r="N29" s="17"/>
      <c r="O29" s="40"/>
    </row>
    <row r="30" spans="1:21" ht="14.25" customHeight="1" x14ac:dyDescent="0.3">
      <c r="A30" s="40"/>
      <c r="B30" s="15"/>
      <c r="C30" s="21" t="s">
        <v>5</v>
      </c>
      <c r="D30" s="33">
        <v>25</v>
      </c>
      <c r="E30" s="37">
        <v>6</v>
      </c>
      <c r="F30" s="33">
        <v>18</v>
      </c>
      <c r="G30" s="33" t="s">
        <v>32</v>
      </c>
      <c r="H30" s="36">
        <v>4</v>
      </c>
      <c r="I30" s="37" t="s">
        <v>37</v>
      </c>
      <c r="J30" s="33">
        <v>5</v>
      </c>
      <c r="K30" s="9"/>
      <c r="L30" s="21" t="s">
        <v>14</v>
      </c>
      <c r="M30" s="33" t="s">
        <v>10</v>
      </c>
      <c r="N30" s="17"/>
      <c r="O30" s="40"/>
      <c r="Q30" s="11" t="s">
        <v>0</v>
      </c>
      <c r="R30" s="25" t="s">
        <v>15</v>
      </c>
      <c r="S30" s="25" t="s">
        <v>48</v>
      </c>
      <c r="T30" s="26" t="s">
        <v>54</v>
      </c>
    </row>
    <row r="31" spans="1:21" ht="14.25" customHeight="1" x14ac:dyDescent="0.3">
      <c r="A31" s="40"/>
      <c r="B31" s="15"/>
      <c r="C31" s="21" t="s">
        <v>6</v>
      </c>
      <c r="D31" s="33">
        <v>25</v>
      </c>
      <c r="E31" s="37">
        <v>5</v>
      </c>
      <c r="F31" s="33">
        <v>15</v>
      </c>
      <c r="G31" s="33" t="s">
        <v>32</v>
      </c>
      <c r="H31" s="36">
        <v>5</v>
      </c>
      <c r="I31" s="37" t="s">
        <v>36</v>
      </c>
      <c r="J31" s="33">
        <v>5</v>
      </c>
      <c r="K31" s="9"/>
      <c r="L31" s="22" t="s">
        <v>14</v>
      </c>
      <c r="M31" s="34" t="s">
        <v>10</v>
      </c>
      <c r="N31" s="17"/>
      <c r="O31" s="40"/>
      <c r="P31" s="11" t="s">
        <v>32</v>
      </c>
      <c r="Q31" s="11">
        <f>VLOOKUP($D$33,참고!$B$2:$H$9,MATCH($C$33,참고!$B$2:$H$2,0),0)</f>
        <v>74811</v>
      </c>
      <c r="R31" s="11">
        <f>SUM(IF($G$28 = "무기 공격력", VLOOKUP($H$28, 참고!$B$19:$O$25, MATCH($G$28, 참고!$B$19:$O$19, 0), 0), 0), IF($G$29 = "무기 공격력", VLOOKUP($H$29, 참고!$B$19:$O$25, MATCH($G$29, 참고!$B$19:$O$19, 0), 0), 0), IF($G$30 = "무기 공격력", VLOOKUP($H$30, 참고!$B$19:$O$25, MATCH($G$30, 참고!$B$19:$O$19, 0), 0), 0), IF($G$31 = "무기 공격력", VLOOKUP($H$31, 참고!$B$19:$O$25, MATCH($G$31, 참고!$B$19:$O$19, 0), 0), 0), IF($G$32 = "무기 공격력", VLOOKUP($H$32, 참고!$B$19:$O$25, MATCH($G$32, 참고!$B$19:$O$19, 0), 0), 0), IF($I$28 = "무기 공격력", VLOOKUP($J$28, 참고!$B$19:$O$25, MATCH($I$28, 참고!$B$19:$O$19, 0), 0), 0), IF($I$29 = "무기 공격력", VLOOKUP($J$29, 참고!$B$19:$O$25, MATCH($I$29, 참고!$B$19:$O$19, 0), 0), 0), IF($I$30 = "무기 공격력", VLOOKUP($J$30, 참고!$B$19:$O$25, MATCH($I$30, 참고!$B$19:$O$19, 0), 0), 0), IF($I$31 = "무기 공격력", VLOOKUP($J$31, 참고!$B$19:$O$25, MATCH($I$31, 참고!$B$19:$O$19, 0), 0), 0), IF($I$32 = "무기 공격력", VLOOKUP($J$32, 참고!$B$19:$O$25, MATCH($I$32, 참고!$B$19:$O$19, 0), 0), 0))</f>
        <v>4558</v>
      </c>
      <c r="S31" s="11">
        <f>IF(AND(OR($G$28 = "진군(질서)", $I$28 = "진군(질서)"), OR($G$32 = "진군(혼돈)", $I$32 = "진군(혼돈)"), SUM($H$28:$H$32, $J$28:$J$32) &gt;= 35), 2230, 0)</f>
        <v>0</v>
      </c>
      <c r="T31" s="11">
        <f>SUM(IF($F$28 &gt;= 15, SUM($F$28:$F$32)*14, 0), IF($F$29 &gt;= 20, 3600, IF($F$29 &gt;= 15, 2400, IF($F$29 &gt;= 5, 1200, 0))), IF($F$30 &gt;= 20, 7200, IF($F$30 &gt;= 15, 7200*18/30, IF($F$30 &gt;= 5, 4800*10/30, 0))))</f>
        <v>7896</v>
      </c>
    </row>
    <row r="32" spans="1:21" ht="14.25" customHeight="1" x14ac:dyDescent="0.3">
      <c r="A32" s="40"/>
      <c r="B32" s="15"/>
      <c r="C32" s="21" t="s">
        <v>7</v>
      </c>
      <c r="D32" s="33">
        <v>25</v>
      </c>
      <c r="E32" s="38">
        <v>5</v>
      </c>
      <c r="F32" s="34">
        <v>15</v>
      </c>
      <c r="G32" s="34" t="s">
        <v>32</v>
      </c>
      <c r="H32" s="39">
        <v>2</v>
      </c>
      <c r="I32" s="38" t="s">
        <v>40</v>
      </c>
      <c r="J32" s="34">
        <v>5</v>
      </c>
      <c r="K32" s="9"/>
      <c r="L32" s="9"/>
      <c r="M32" s="9"/>
      <c r="N32" s="17"/>
      <c r="O32" s="40"/>
    </row>
    <row r="33" spans="1:21" ht="14.25" customHeight="1" x14ac:dyDescent="0.3">
      <c r="A33" s="40"/>
      <c r="B33" s="15"/>
      <c r="C33" s="22" t="s">
        <v>0</v>
      </c>
      <c r="D33" s="34">
        <v>25</v>
      </c>
      <c r="E33" s="9"/>
      <c r="F33" s="9"/>
      <c r="G33" s="9"/>
      <c r="H33" s="9"/>
      <c r="I33" s="9"/>
      <c r="J33" s="9"/>
      <c r="K33" s="9"/>
      <c r="L33" s="8" t="s">
        <v>36</v>
      </c>
      <c r="M33" s="18" t="s">
        <v>16</v>
      </c>
      <c r="N33" s="17"/>
      <c r="O33" s="40"/>
      <c r="Q33" s="11" t="s">
        <v>42</v>
      </c>
      <c r="R33" s="11" t="s">
        <v>32</v>
      </c>
      <c r="S33" s="11" t="s">
        <v>37</v>
      </c>
      <c r="T33" s="11" t="s">
        <v>70</v>
      </c>
      <c r="U33" s="11" t="s">
        <v>72</v>
      </c>
    </row>
    <row r="34" spans="1:21" ht="14.25" customHeight="1" x14ac:dyDescent="0.3">
      <c r="A34" s="40"/>
      <c r="B34" s="15"/>
      <c r="C34" s="9"/>
      <c r="D34" s="9"/>
      <c r="E34" s="9"/>
      <c r="F34" s="10"/>
      <c r="G34" s="10"/>
      <c r="H34" s="10"/>
      <c r="I34" s="10"/>
      <c r="J34" s="9"/>
      <c r="K34" s="9"/>
      <c r="L34" s="12" t="s">
        <v>33</v>
      </c>
      <c r="M34" s="32">
        <v>0</v>
      </c>
      <c r="N34" s="17"/>
      <c r="O34" s="40"/>
      <c r="P34" s="11" t="s">
        <v>64</v>
      </c>
      <c r="Q34" s="11">
        <f>FLOOR(SUM($Q$28, $R$28, $S$28, $T$28)*(1 + $U$28/100), 1)</f>
        <v>323763</v>
      </c>
      <c r="R34" s="11">
        <f>SUM($Q$31, $R$31, $T$31)</f>
        <v>87265</v>
      </c>
      <c r="S34" s="11">
        <f>FLOOR((FLOOR(SQRT($Q$35*$R$35/6), 1) + SUM(IF($G$28 = "공격력", VLOOKUP($H$28, 참고!$B$19:$T$25,MATCH($G$28, 참고!$B$19:$T$19, 0), 0), 0), IF($G$29 = "공격력", VLOOKUP($H$29, 참고!$B$19:$T$25, MATCH($G$29, 참고!$B$19:$T$19, 0), 0), 0), IF($G$30 = "공격력", VLOOKUP($H$30, 참고!$B$19:$T$25, MATCH($G$30, 참고!$B$19:$T$19, 0), 0), 0), IF($G$31 = "공격력", VLOOKUP($H$31, 참고!$B$19:$T$25, MATCH($G$31, 참고!$B$19:$T$19, 0), 0), 0), IF($G$32 = "공격력", VLOOKUP($H$32, 참고!$B$19:$T$25, MATCH($G$32, 참고!$B$19:$T$19, 0), 0), 0), IF($I$28 = "공격력", VLOOKUP($J$28, 참고!$B$19:$T$25, MATCH($I$28, 참고!$B$19:$T$19, 0), 0), 0), IF($I$29 = "공격력", VLOOKUP($J$29, 참고!$B$19:$T$25, MATCH($I$29, 참고!$B$19:$T$19, 0), 0), 0), IF($I$30 = "공격력", VLOOKUP($J$30, 참고!$B$19:$T$25, MATCH($I$30, 참고!$B$19:$T$19, 0), 0), 0), IF($I$31 = "공격력", VLOOKUP($J$31, 참고!$B$19:$T$25, MATCH($I$31, 참고!$B$19:$T$19, 0), 0), 0), IF($I$32 = "공격력", VLOOKUP($J$32, 참고!$B$19:$T$25, MATCH($I$32, 참고!$B$19:$T$19, 0), 0), 0)))*(1 + SUM(VLOOKUP($D$36, 참고!$B$27:$F$31, MATCH($C$36, 참고!$B$27:$F$27, 0), 0), VLOOKUP($D$37, 참고!$B$27:$F$31, MATCH($C$37, 참고!$B$27:$F$27, 0), 0), VLOOKUP($D$38, 참고!$B$27:$F$31, MATCH($C$38, 참고!$B$27:$F$27, 0), 0), VLOOKUP($D$39, 참고!$B$27:$F$31, MATCH($C$39, 참고!$B$27:$F$27, 0), 0))/100 + IF(OR($G$28="회심(질서)",$G$28="달인(질서)"),VLOOKUP($H$28,참고!$B$19:$T$25,MATCH($G$28,참고!$B$19:$T$19,0),0),IF(OR($I$28="회심(질서)",$I$28="달인(질서)"),VLOOKUP($J$28,참고!$B$19:$T$25,MATCH($I$28,참고!$B$19:$T$19,0),0),0))/100), 1)</f>
        <v>86066</v>
      </c>
      <c r="T34" s="31" t="s">
        <v>71</v>
      </c>
      <c r="U34" s="11" t="s">
        <v>71</v>
      </c>
    </row>
    <row r="35" spans="1:21" ht="14.25" customHeight="1" x14ac:dyDescent="0.3">
      <c r="A35" s="40"/>
      <c r="B35" s="15"/>
      <c r="C35" s="8" t="s">
        <v>61</v>
      </c>
      <c r="D35" s="7" t="s">
        <v>2</v>
      </c>
      <c r="E35" s="9"/>
      <c r="F35" s="73" t="s">
        <v>76</v>
      </c>
      <c r="G35" s="73"/>
      <c r="H35" s="73"/>
      <c r="I35" s="73"/>
      <c r="J35" s="73"/>
      <c r="K35" s="9"/>
      <c r="L35" s="19" t="s">
        <v>47</v>
      </c>
      <c r="M35" s="34">
        <v>1480</v>
      </c>
      <c r="N35" s="17"/>
      <c r="O35" s="40"/>
      <c r="P35" s="6" t="s">
        <v>69</v>
      </c>
      <c r="Q35" s="11">
        <f>FLOOR(SUM($Q$28, $R$28, $S$28, $T$28)*(1 + $U$28/100), 1)</f>
        <v>323763</v>
      </c>
      <c r="R35" s="11">
        <f>SUM($Q$31, $R$31, $T$31)</f>
        <v>87265</v>
      </c>
      <c r="S35" s="11">
        <f>FLOOR((FLOOR(SQRT($Q$35*$R$35/6), 1) + SUM(IF($G$28 = "공격력", VLOOKUP($H$28, 참고!$B$19:$T$25,MATCH($G$28, 참고!$B$19:$T$19, 0), 0), 0), IF($G$29 = "공격력", VLOOKUP($H$29, 참고!$B$19:$T$25, MATCH($G$29, 참고!$B$19:$T$19, 0), 0), 0), IF($G$30 = "공격력", VLOOKUP($H$30, 참고!$B$19:$T$25, MATCH($G$30, 참고!$B$19:$T$19, 0), 0), 0), IF($G$31 = "공격력", VLOOKUP($H$31, 참고!$B$19:$T$25, MATCH($G$31, 참고!$B$19:$T$19, 0), 0), 0), IF($G$32 = "공격력", VLOOKUP($H$32, 참고!$B$19:$T$25, MATCH($G$32, 참고!$B$19:$T$19, 0), 0), 0), IF($I$28 = "공격력", VLOOKUP($J$28, 참고!$B$19:$T$25, MATCH($I$28, 참고!$B$19:$T$19, 0), 0), 0), IF($I$29 = "공격력", VLOOKUP($J$29, 참고!$B$19:$T$25, MATCH($I$29, 참고!$B$19:$T$19, 0), 0), 0), IF($I$30 = "공격력", VLOOKUP($J$30, 참고!$B$19:$T$25, MATCH($I$30, 참고!$B$19:$T$19, 0), 0), 0), IF($I$31 = "공격력", VLOOKUP($J$31, 참고!$B$19:$T$25, MATCH($I$31, 참고!$B$19:$T$19, 0), 0), 0), IF($I$32 = "공격력", VLOOKUP($J$32, 참고!$B$19:$T$25, MATCH($I$32, 참고!$B$19:$T$19, 0), 0), 0), FLOOR($S$16*0.15*(1 + $T$16/100), 1)))*(1 + SUM(VLOOKUP($D$36, 참고!$B$27:$F$31, MATCH($C$36, 참고!$B$27:$F$27, 0), 0), VLOOKUP($D$37, 참고!$B$27:$F$31, MATCH($C$37, 참고!$B$27:$F$27, 0), 0), VLOOKUP($D$38, 참고!$B$27:$F$31, MATCH($C$38, 참고!$B$27:$F$27, 0), 0), VLOOKUP($D$39, 참고!$B$27:$F$31, MATCH($C$39, 참고!$B$27:$F$27, 0), 0))/100 + IF(OR($G$28="회심(질서)",$G$28="달인(질서)"),VLOOKUP($H$28,참고!$B$19:$T$25,MATCH($G$28,참고!$B$19:$T$19,0),0),IF(OR($I$28="회심(질서)",$I$28="달인(질서)"),VLOOKUP($J$28,참고!$B$19:$T$25,MATCH($I$28,참고!$B$19:$T$19,0),0),0))/100)*1.06, 1)</f>
        <v>102573</v>
      </c>
      <c r="T35" s="31">
        <f>100*($S$35/$S$34 - 1)</f>
        <v>19.179466920735244</v>
      </c>
      <c r="U35" s="11" t="s">
        <v>71</v>
      </c>
    </row>
    <row r="36" spans="1:21" ht="14.25" customHeight="1" x14ac:dyDescent="0.3">
      <c r="A36" s="40"/>
      <c r="B36" s="15"/>
      <c r="C36" s="21" t="s">
        <v>43</v>
      </c>
      <c r="D36" s="36" t="s">
        <v>34</v>
      </c>
      <c r="E36" s="9"/>
      <c r="F36" s="73"/>
      <c r="G36" s="73"/>
      <c r="H36" s="73"/>
      <c r="I36" s="73"/>
      <c r="J36" s="73"/>
      <c r="K36" s="9"/>
      <c r="L36" s="9"/>
      <c r="M36" s="9"/>
      <c r="N36" s="17"/>
      <c r="O36" s="40"/>
      <c r="P36" s="28" t="s">
        <v>65</v>
      </c>
      <c r="Q36" s="11">
        <f t="shared" ref="Q36:Q38" si="0">FLOOR(SUM($Q$28, $R$28, $S$28, $T$28)*(1 + $U$28/100), 1)</f>
        <v>323763</v>
      </c>
      <c r="R36" s="11">
        <f>SUM($Q$31, $R$31, $S$31, $T$31)</f>
        <v>87265</v>
      </c>
      <c r="S36" s="11">
        <f>FLOOR((FLOOR(SQRT($Q$36*$R$36/6), 1) + SUM(IF($G$28 = "공격력", VLOOKUP($H$28, 참고!$B$19:$T$25,MATCH($G$28, 참고!$B$19:$T$19, 0), 0), 0), IF($G$29 = "공격력", VLOOKUP($H$29, 참고!$B$19:$T$25, MATCH($G$29, 참고!$B$19:$T$19, 0), 0), 0), IF($G$30 = "공격력", VLOOKUP($H$30, 참고!$B$19:$T$25, MATCH($G$30, 참고!$B$19:$T$19, 0), 0), 0), IF($G$31 = "공격력", VLOOKUP($H$31, 참고!$B$19:$T$25, MATCH($G$31, 참고!$B$19:$T$19, 0), 0), 0), IF($G$32 = "공격력", VLOOKUP($H$32, 참고!$B$19:$T$25, MATCH($G$32, 참고!$B$19:$T$19, 0), 0), 0), IF($I$28 = "공격력", VLOOKUP($J$28, 참고!$B$19:$T$25, MATCH($I$28, 참고!$B$19:$T$19, 0), 0), 0), IF($I$29 = "공격력", VLOOKUP($J$29, 참고!$B$19:$T$25, MATCH($I$29, 참고!$B$19:$T$19, 0), 0), 0), IF($I$30 = "공격력", VLOOKUP($J$30, 참고!$B$19:$T$25, MATCH($I$30, 참고!$B$19:$T$19, 0), 0), 0), IF($I$31 = "공격력", VLOOKUP($J$31, 참고!$B$19:$T$25, MATCH($I$31, 참고!$B$19:$T$19, 0), 0), 0), IF($I$32 = "공격력", VLOOKUP($J$32, 참고!$B$19:$T$25, MATCH($I$32, 참고!$B$19:$T$19, 0), 0), 0), FLOOR($S$17*0.15*(1 + $T$17/100), 1)))*(1 + SUM(VLOOKUP($D$36, 참고!$B$27:$F$31, MATCH($C$36, 참고!$B$27:$F$27, 0), 0), VLOOKUP($D$37, 참고!$B$27:$F$31, MATCH($C$37, 참고!$B$27:$F$27, 0), 0), VLOOKUP($D$38, 참고!$B$27:$F$31, MATCH($C$38, 참고!$B$27:$F$27, 0), 0), VLOOKUP($D$39, 참고!$B$27:$F$31, MATCH($C$39, 참고!$B$27:$F$27, 0), 0))/100 + IF(OR($G$28="회심(질서)",$G$28="달인(질서)"),VLOOKUP($H$28,참고!$B$19:$T$25,MATCH($G$28,참고!$B$19:$T$19,0),0),IF(OR($I$28="회심(질서)",$I$28="달인(질서)"),VLOOKUP($J$28,참고!$B$19:$T$25,MATCH($I$28,참고!$B$19:$T$19,0),0),0))/100)*1.06, 1)</f>
        <v>105931</v>
      </c>
      <c r="T36" s="31">
        <f>100*($S$36/$S$34 - 1)</f>
        <v>23.081123788720291</v>
      </c>
      <c r="U36" s="31">
        <f>100*($S$36/$S$35 - 1)</f>
        <v>3.2737660007994274</v>
      </c>
    </row>
    <row r="37" spans="1:21" ht="14.25" customHeight="1" x14ac:dyDescent="0.3">
      <c r="A37" s="40"/>
      <c r="B37" s="15"/>
      <c r="C37" s="21" t="s">
        <v>44</v>
      </c>
      <c r="D37" s="36">
        <v>3</v>
      </c>
      <c r="E37" s="9"/>
      <c r="F37" s="73"/>
      <c r="G37" s="73"/>
      <c r="H37" s="73"/>
      <c r="I37" s="73"/>
      <c r="J37" s="73"/>
      <c r="K37" s="9"/>
      <c r="L37" s="8" t="s">
        <v>59</v>
      </c>
      <c r="M37" s="7" t="s">
        <v>9</v>
      </c>
      <c r="N37" s="17"/>
      <c r="O37" s="40"/>
      <c r="P37" s="29" t="s">
        <v>66</v>
      </c>
      <c r="Q37" s="11">
        <f t="shared" si="0"/>
        <v>323763</v>
      </c>
      <c r="R37" s="11">
        <f t="shared" ref="R37" si="1">SUM($Q$31, $R$31, $T$31)</f>
        <v>87265</v>
      </c>
      <c r="S37" s="11">
        <f>FLOOR((FLOOR(SQRT($Q$37*$R$37/6), 1) + SUM(IF($G$28 = "공격력", VLOOKUP($H$28, 참고!$B$19:$T$25,MATCH($G$28, 참고!$B$19:$T$19, 0), 0), 0), IF($G$29 = "공격력", VLOOKUP($H$29, 참고!$B$19:$T$25, MATCH($G$29, 참고!$B$19:$T$19, 0), 0), 0), IF($G$30 = "공격력", VLOOKUP($H$30, 참고!$B$19:$T$25, MATCH($G$30, 참고!$B$19:$T$19, 0), 0), 0), IF($G$31 = "공격력", VLOOKUP($H$31, 참고!$B$19:$T$25, MATCH($G$31, 참고!$B$19:$T$19, 0), 0), 0), IF($G$32 = "공격력", VLOOKUP($H$32, 참고!$B$19:$T$25, MATCH($G$32, 참고!$B$19:$T$19, 0), 0), 0), IF($I$28 = "공격력", VLOOKUP($J$28, 참고!$B$19:$T$25, MATCH($I$28, 참고!$B$19:$T$19, 0), 0), 0), IF($I$29 = "공격력", VLOOKUP($J$29, 참고!$B$19:$T$25, MATCH($I$29, 참고!$B$19:$T$19, 0), 0), 0), IF($I$30 = "공격력", VLOOKUP($J$30, 참고!$B$19:$T$25, MATCH($I$30, 참고!$B$19:$T$19, 0), 0), 0), IF($I$31 = "공격력", VLOOKUP($J$31, 참고!$B$19:$T$25, MATCH($I$31, 참고!$B$19:$T$19, 0), 0), 0), IF($I$32 = "공격력", VLOOKUP($J$32, 참고!$B$19:$T$25, MATCH($I$32, 참고!$B$19:$T$19, 0), 0), 0), FLOOR($S$18*0.15*(1 + $T$18/100), 1)))*(1 + SUM(VLOOKUP($D$36, 참고!$B$27:$F$31, MATCH($C$36, 참고!$B$27:$F$27, 0), 0), VLOOKUP($D$37, 참고!$B$27:$F$31, MATCH($C$37, 참고!$B$27:$F$27, 0), 0), VLOOKUP($D$38, 참고!$B$27:$F$31, MATCH($C$38, 참고!$B$27:$F$27, 0), 0), VLOOKUP($D$39, 참고!$B$27:$F$31, MATCH($C$39, 참고!$B$27:$F$27, 0), 0))/100 + IF(OR($G$28="회심(질서)",$G$28="달인(질서)"),VLOOKUP($H$28,참고!$B$19:$T$25,MATCH($G$28,참고!$B$19:$T$19,0),0),IF(OR($I$28="회심(질서)",$I$28="달인(질서)"),VLOOKUP($J$28,참고!$B$19:$T$25,MATCH($I$28,참고!$B$19:$T$19,0),0),0))/100)*1.06, 1)</f>
        <v>104749</v>
      </c>
      <c r="T37" s="31">
        <f>100*($S$37/$S$34 - 1)</f>
        <v>21.70775916157368</v>
      </c>
      <c r="U37" s="31">
        <f>100*($S$37/$S$35 - 1)</f>
        <v>2.1214159671648414</v>
      </c>
    </row>
    <row r="38" spans="1:21" ht="14.25" customHeight="1" x14ac:dyDescent="0.3">
      <c r="A38" s="40"/>
      <c r="B38" s="15"/>
      <c r="C38" s="21" t="s">
        <v>45</v>
      </c>
      <c r="D38" s="36">
        <v>2</v>
      </c>
      <c r="E38" s="9"/>
      <c r="F38" s="73"/>
      <c r="G38" s="73"/>
      <c r="H38" s="73"/>
      <c r="I38" s="73"/>
      <c r="J38" s="73"/>
      <c r="K38" s="9"/>
      <c r="L38" s="21" t="s">
        <v>8</v>
      </c>
      <c r="M38" s="36" t="s">
        <v>17</v>
      </c>
      <c r="N38" s="17"/>
      <c r="O38" s="40"/>
      <c r="P38" s="30" t="s">
        <v>67</v>
      </c>
      <c r="Q38" s="11">
        <f t="shared" si="0"/>
        <v>323763</v>
      </c>
      <c r="R38" s="11">
        <f>SUM($Q$31, $R$31, $S$31, $T$31)</f>
        <v>87265</v>
      </c>
      <c r="S38" s="11">
        <f>FLOOR((FLOOR(SQRT($Q$38*$R$38/6), 1) + SUM(IF($G$28 = "공격력", VLOOKUP($H$28, 참고!$B$19:$T$25,MATCH($G$28, 참고!$B$19:$T$19, 0), 0), 0), IF($G$29 = "공격력", VLOOKUP($H$29, 참고!$B$19:$T$25, MATCH($G$29, 참고!$B$19:$T$19, 0), 0), 0), IF($G$30 = "공격력", VLOOKUP($H$30, 참고!$B$19:$T$25, MATCH($G$30, 참고!$B$19:$T$19, 0), 0), 0), IF($G$31 = "공격력", VLOOKUP($H$31, 참고!$B$19:$T$25, MATCH($G$31, 참고!$B$19:$T$19, 0), 0), 0), IF($G$32 = "공격력", VLOOKUP($H$32, 참고!$B$19:$T$25, MATCH($G$32, 참고!$B$19:$T$19, 0), 0), 0), IF($I$28 = "공격력", VLOOKUP($J$28, 참고!$B$19:$T$25, MATCH($I$28, 참고!$B$19:$T$19, 0), 0), 0), IF($I$29 = "공격력", VLOOKUP($J$29, 참고!$B$19:$T$25, MATCH($I$29, 참고!$B$19:$T$19, 0), 0), 0), IF($I$30 = "공격력", VLOOKUP($J$30, 참고!$B$19:$T$25, MATCH($I$30, 참고!$B$19:$T$19, 0), 0), 0), IF($I$31 = "공격력", VLOOKUP($J$31, 참고!$B$19:$T$25, MATCH($I$31, 참고!$B$19:$T$19, 0), 0), 0), IF($I$32 = "공격력", VLOOKUP($J$32, 참고!$B$19:$T$25, MATCH($I$32, 참고!$B$19:$T$19, 0), 0), 0), FLOOR($S$19*0.15*(1 + $T$19/100), 1)))*(1 + SUM(VLOOKUP($D$36, 참고!$B$27:$F$31, MATCH($C$36, 참고!$B$27:$F$27, 0), 0), VLOOKUP($D$37, 참고!$B$27:$F$31, MATCH($C$37, 참고!$B$27:$F$27, 0), 0), VLOOKUP($D$38, 참고!$B$27:$F$31, MATCH($C$38, 참고!$B$27:$F$27, 0), 0), VLOOKUP($D$39, 참고!$B$27:$F$31, MATCH($C$39, 참고!$B$27:$F$27, 0), 0))/100 + IF(OR($G$28="회심(질서)",$G$28="달인(질서)"),VLOOKUP($H$28,참고!$B$19:$T$25,MATCH($G$28,참고!$B$19:$T$19,0),0),IF(OR($I$28="회심(질서)",$I$28="달인(질서)"),VLOOKUP($J$28,참고!$B$19:$T$25,MATCH($I$28,참고!$B$19:$T$19,0),0),0))/100)*1.06, 1)</f>
        <v>108470</v>
      </c>
      <c r="T38" s="31">
        <f>100*($S$38/$S$34 - 1)</f>
        <v>26.031185369367705</v>
      </c>
      <c r="U38" s="31">
        <f>100*($S$38/$S$35 - 1)</f>
        <v>5.7490762676337903</v>
      </c>
    </row>
    <row r="39" spans="1:21" ht="14.25" customHeight="1" x14ac:dyDescent="0.3">
      <c r="A39" s="40"/>
      <c r="B39" s="15"/>
      <c r="C39" s="22" t="s">
        <v>46</v>
      </c>
      <c r="D39" s="39" t="s">
        <v>34</v>
      </c>
      <c r="E39" s="9"/>
      <c r="F39" s="9"/>
      <c r="G39" s="9"/>
      <c r="H39" s="9"/>
      <c r="I39" s="9"/>
      <c r="J39" s="9"/>
      <c r="K39" s="9"/>
      <c r="L39" s="21" t="s">
        <v>5</v>
      </c>
      <c r="M39" s="36" t="s">
        <v>17</v>
      </c>
      <c r="N39" s="17"/>
      <c r="O39" s="40"/>
    </row>
    <row r="40" spans="1:21" ht="14.25" customHeight="1" x14ac:dyDescent="0.3">
      <c r="A40" s="40"/>
      <c r="B40" s="15"/>
      <c r="C40" s="9"/>
      <c r="D40" s="9"/>
      <c r="E40" s="9"/>
      <c r="F40" s="9"/>
      <c r="G40" s="9"/>
      <c r="H40" s="9"/>
      <c r="I40" s="9"/>
      <c r="J40" s="9"/>
      <c r="K40" s="9"/>
      <c r="L40" s="21" t="s">
        <v>6</v>
      </c>
      <c r="M40" s="36" t="s">
        <v>17</v>
      </c>
      <c r="N40" s="17"/>
      <c r="O40" s="40"/>
    </row>
    <row r="41" spans="1:21" ht="14.25" customHeight="1" x14ac:dyDescent="0.3">
      <c r="A41" s="40"/>
      <c r="B41" s="15"/>
      <c r="C41" s="9"/>
      <c r="D41" s="9"/>
      <c r="E41" s="9"/>
      <c r="F41" s="9"/>
      <c r="G41" s="9"/>
      <c r="H41" s="9"/>
      <c r="I41" s="9"/>
      <c r="J41" s="9"/>
      <c r="K41" s="9"/>
      <c r="L41" s="22" t="s">
        <v>0</v>
      </c>
      <c r="M41" s="39" t="s">
        <v>17</v>
      </c>
      <c r="N41" s="17"/>
      <c r="O41" s="40"/>
    </row>
    <row r="42" spans="1:21" ht="14.25" customHeight="1" x14ac:dyDescent="0.3">
      <c r="A42" s="40"/>
      <c r="B42" s="19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3"/>
      <c r="O42" s="40"/>
    </row>
    <row r="43" spans="1:21" ht="14.25" customHeight="1" x14ac:dyDescent="0.3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</sheetData>
  <sheetProtection algorithmName="SHA-512" hashValue="twYGrTH+S3gkyIe6QWO7x7KlH+q2v5r1Q03/eIe2ebuCTF9pOw4yk75SRZrzwmWhUMaj4y1pWWJZNjBaZQooGA==" saltValue="26ap175XM4ScRx/CX+LqVg==" spinCount="100000" sheet="1" selectLockedCells="1"/>
  <mergeCells count="24">
    <mergeCell ref="F35:J38"/>
    <mergeCell ref="C3:M3"/>
    <mergeCell ref="E5:F5"/>
    <mergeCell ref="D5:D6"/>
    <mergeCell ref="C5:C6"/>
    <mergeCell ref="G5:J5"/>
    <mergeCell ref="G6:H6"/>
    <mergeCell ref="I6:J6"/>
    <mergeCell ref="C24:M24"/>
    <mergeCell ref="C26:C27"/>
    <mergeCell ref="D26:D27"/>
    <mergeCell ref="E26:F26"/>
    <mergeCell ref="G26:J26"/>
    <mergeCell ref="G27:H27"/>
    <mergeCell ref="I27:J27"/>
    <mergeCell ref="I13:J14"/>
    <mergeCell ref="I15:J16"/>
    <mergeCell ref="I17:J18"/>
    <mergeCell ref="I19:J20"/>
    <mergeCell ref="C14:E20"/>
    <mergeCell ref="G13:H14"/>
    <mergeCell ref="G15:H16"/>
    <mergeCell ref="G17:H18"/>
    <mergeCell ref="G19:H20"/>
  </mergeCells>
  <phoneticPr fontId="2" type="noConversion"/>
  <dataValidations count="1">
    <dataValidation type="whole" allowBlank="1" showInputMessage="1" showErrorMessage="1" sqref="F7:F11 F28:F32" xr:uid="{576DA11D-F5F1-42FA-AD83-6194C0337467}">
      <formula1>0</formula1>
      <formula2>$E7*3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A5FE9C6-1A5C-4EF2-9123-93B773FF30A3}">
          <x14:formula1>
            <xm:f>참고!$B$3:$B$9</xm:f>
          </x14:formula1>
          <xm:sqref>D7:D12 D28:D33</xm:sqref>
        </x14:dataValidation>
        <x14:dataValidation type="list" allowBlank="1" showInputMessage="1" showErrorMessage="1" xr:uid="{AD9774B4-F57B-4527-9671-58CECA5614B1}">
          <x14:formula1>
            <xm:f>참고!$C$19:$T$19</xm:f>
          </x14:formula1>
          <xm:sqref>G7:G11 I7:I11 G28:G32 I28:I32</xm:sqref>
        </x14:dataValidation>
        <x14:dataValidation type="list" allowBlank="1" showInputMessage="1" showErrorMessage="1" xr:uid="{6D2F62F2-299B-4AA1-B16D-A8852401E195}">
          <x14:formula1>
            <xm:f>참고!$B$20:$B$25</xm:f>
          </x14:formula1>
          <xm:sqref>H7:H11 J7:J11 H28:H32 J28:J32</xm:sqref>
        </x14:dataValidation>
        <x14:dataValidation type="list" allowBlank="1" showInputMessage="1" showErrorMessage="1" xr:uid="{072DC71D-13C5-4B88-AC45-6FA3259492EB}">
          <x14:formula1>
            <xm:f>참고!$B$12:$B$13</xm:f>
          </x14:formula1>
          <xm:sqref>M6:M10 M27:M31</xm:sqref>
        </x14:dataValidation>
        <x14:dataValidation type="list" allowBlank="1" showInputMessage="1" showErrorMessage="1" xr:uid="{4EA036D4-F78D-4021-95F1-3327F3FDFF68}">
          <x14:formula1>
            <xm:f>참고!$B$16:$B$17</xm:f>
          </x14:formula1>
          <xm:sqref>M17:M20 M38:M41</xm:sqref>
        </x14:dataValidation>
        <x14:dataValidation type="list" allowBlank="1" showInputMessage="1" showErrorMessage="1" xr:uid="{20D62554-4AC7-4178-A886-95F054F96B32}">
          <x14:formula1>
            <xm:f>참고!$B$28:$B$31</xm:f>
          </x14:formula1>
          <xm:sqref>D36:D39</xm:sqref>
        </x14:dataValidation>
        <x14:dataValidation type="list" allowBlank="1" showInputMessage="1" showErrorMessage="1" xr:uid="{B9DEC734-900B-42F9-9C0F-E2194AF921B3}">
          <x14:formula1>
            <xm:f>참고!$B$39:$B$46</xm:f>
          </x14:formula1>
          <xm:sqref>E7:E11 E28:E32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C171F-526C-4AF0-BD72-3C0C54DD1940}">
  <dimension ref="B2:T46"/>
  <sheetViews>
    <sheetView topLeftCell="A4" zoomScale="85" zoomScaleNormal="85" workbookViewId="0">
      <selection activeCell="T19" sqref="T19"/>
    </sheetView>
  </sheetViews>
  <sheetFormatPr defaultRowHeight="13.5" x14ac:dyDescent="0.3"/>
  <cols>
    <col min="1" max="1" width="2.625" style="1" customWidth="1"/>
    <col min="2" max="2" width="6.625" style="1" customWidth="1"/>
    <col min="3" max="20" width="10.625" style="1" customWidth="1"/>
    <col min="21" max="21" width="9.875" style="1" customWidth="1"/>
    <col min="22" max="16384" width="9" style="1"/>
  </cols>
  <sheetData>
    <row r="2" spans="2:8" x14ac:dyDescent="0.3">
      <c r="B2" s="3" t="s">
        <v>1</v>
      </c>
      <c r="C2" s="3" t="s">
        <v>0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2:8" x14ac:dyDescent="0.3">
      <c r="B3" s="2">
        <v>25</v>
      </c>
      <c r="C3" s="2">
        <v>74811</v>
      </c>
      <c r="D3" s="2">
        <v>43150</v>
      </c>
      <c r="E3" s="2">
        <v>45924</v>
      </c>
      <c r="F3" s="2">
        <v>34520</v>
      </c>
      <c r="G3" s="2">
        <v>37294</v>
      </c>
      <c r="H3" s="2">
        <v>51780</v>
      </c>
    </row>
    <row r="4" spans="2:8" x14ac:dyDescent="0.3">
      <c r="B4" s="2">
        <v>24</v>
      </c>
      <c r="C4" s="2">
        <v>72384</v>
      </c>
      <c r="D4" s="2">
        <v>41749</v>
      </c>
      <c r="E4" s="2">
        <v>44433</v>
      </c>
      <c r="F4" s="2">
        <v>33399</v>
      </c>
      <c r="G4" s="2">
        <v>36083</v>
      </c>
      <c r="H4" s="2">
        <v>50098</v>
      </c>
    </row>
    <row r="5" spans="2:8" x14ac:dyDescent="0.3">
      <c r="B5" s="2">
        <v>23</v>
      </c>
      <c r="C5" s="2">
        <v>70036</v>
      </c>
      <c r="D5" s="2">
        <v>40393</v>
      </c>
      <c r="E5" s="2">
        <v>42989</v>
      </c>
      <c r="F5" s="2">
        <v>32314</v>
      </c>
      <c r="G5" s="2">
        <v>34911</v>
      </c>
      <c r="H5" s="2">
        <v>48471</v>
      </c>
    </row>
    <row r="6" spans="2:8" x14ac:dyDescent="0.3">
      <c r="B6" s="2">
        <v>22</v>
      </c>
      <c r="C6" s="2">
        <v>67764</v>
      </c>
      <c r="D6" s="2">
        <v>39081</v>
      </c>
      <c r="E6" s="2">
        <v>41593</v>
      </c>
      <c r="F6" s="2">
        <v>31265</v>
      </c>
      <c r="G6" s="2">
        <v>33777</v>
      </c>
      <c r="H6" s="2">
        <v>46897</v>
      </c>
    </row>
    <row r="7" spans="2:8" x14ac:dyDescent="0.3">
      <c r="B7" s="2">
        <v>21</v>
      </c>
      <c r="C7" s="2">
        <v>65566</v>
      </c>
      <c r="D7" s="2">
        <v>37811</v>
      </c>
      <c r="E7" s="2">
        <v>40242</v>
      </c>
      <c r="F7" s="2">
        <v>30249</v>
      </c>
      <c r="G7" s="2">
        <v>32680</v>
      </c>
      <c r="H7" s="2">
        <v>45373</v>
      </c>
    </row>
    <row r="8" spans="2:8" x14ac:dyDescent="0.3">
      <c r="B8" s="2">
        <v>20</v>
      </c>
      <c r="C8" s="2">
        <v>63439</v>
      </c>
      <c r="D8" s="2">
        <v>36583</v>
      </c>
      <c r="E8" s="2">
        <v>38934</v>
      </c>
      <c r="F8" s="2">
        <v>29266</v>
      </c>
      <c r="G8" s="2">
        <v>31618</v>
      </c>
      <c r="H8" s="2">
        <v>43899</v>
      </c>
    </row>
    <row r="9" spans="2:8" x14ac:dyDescent="0.3">
      <c r="B9" s="2">
        <v>19</v>
      </c>
      <c r="C9" s="2">
        <v>61381</v>
      </c>
      <c r="D9" s="2">
        <v>35394</v>
      </c>
      <c r="E9" s="2">
        <v>37669</v>
      </c>
      <c r="F9" s="2">
        <v>28315</v>
      </c>
      <c r="G9" s="2">
        <v>30591</v>
      </c>
      <c r="H9" s="2">
        <v>42473</v>
      </c>
    </row>
    <row r="11" spans="2:8" x14ac:dyDescent="0.3">
      <c r="B11" s="3" t="s">
        <v>9</v>
      </c>
      <c r="C11" s="3" t="s">
        <v>12</v>
      </c>
      <c r="D11" s="3" t="s">
        <v>13</v>
      </c>
      <c r="E11" s="3" t="s">
        <v>14</v>
      </c>
    </row>
    <row r="12" spans="2:8" x14ac:dyDescent="0.3">
      <c r="B12" s="2" t="s">
        <v>10</v>
      </c>
      <c r="C12" s="2">
        <v>12546</v>
      </c>
      <c r="D12" s="2">
        <v>9758</v>
      </c>
      <c r="E12" s="2">
        <v>9061</v>
      </c>
    </row>
    <row r="13" spans="2:8" x14ac:dyDescent="0.3">
      <c r="B13" s="2" t="s">
        <v>11</v>
      </c>
      <c r="C13" s="2">
        <v>9872</v>
      </c>
      <c r="D13" s="2">
        <v>7678</v>
      </c>
      <c r="E13" s="2">
        <v>7130</v>
      </c>
    </row>
    <row r="15" spans="2:8" x14ac:dyDescent="0.3">
      <c r="B15" s="3" t="s">
        <v>9</v>
      </c>
      <c r="C15" s="3" t="s">
        <v>0</v>
      </c>
      <c r="D15" s="3" t="s">
        <v>8</v>
      </c>
      <c r="E15" s="3" t="s">
        <v>5</v>
      </c>
      <c r="F15" s="3" t="s">
        <v>6</v>
      </c>
    </row>
    <row r="16" spans="2:8" x14ac:dyDescent="0.3">
      <c r="B16" s="2" t="s">
        <v>17</v>
      </c>
      <c r="C16" s="2">
        <v>2</v>
      </c>
      <c r="D16" s="2">
        <v>2</v>
      </c>
      <c r="E16" s="2">
        <v>2</v>
      </c>
      <c r="F16" s="2">
        <v>2</v>
      </c>
    </row>
    <row r="17" spans="2:20" x14ac:dyDescent="0.3">
      <c r="B17" s="2" t="s">
        <v>18</v>
      </c>
      <c r="C17" s="2">
        <v>1</v>
      </c>
      <c r="D17" s="2">
        <v>1</v>
      </c>
      <c r="E17" s="2">
        <v>1</v>
      </c>
      <c r="F17" s="2">
        <v>1</v>
      </c>
    </row>
    <row r="19" spans="2:20" x14ac:dyDescent="0.3">
      <c r="B19" s="3" t="s">
        <v>2</v>
      </c>
      <c r="C19" s="3" t="s">
        <v>20</v>
      </c>
      <c r="D19" s="3" t="s">
        <v>24</v>
      </c>
      <c r="E19" s="3" t="s">
        <v>22</v>
      </c>
      <c r="F19" s="3" t="s">
        <v>26</v>
      </c>
      <c r="G19" s="3" t="s">
        <v>23</v>
      </c>
      <c r="H19" s="3" t="s">
        <v>27</v>
      </c>
      <c r="I19" s="3" t="s">
        <v>28</v>
      </c>
      <c r="J19" s="3" t="s">
        <v>29</v>
      </c>
      <c r="K19" s="3" t="s">
        <v>30</v>
      </c>
      <c r="L19" s="3" t="s">
        <v>31</v>
      </c>
      <c r="M19" s="3" t="s">
        <v>32</v>
      </c>
      <c r="N19" s="3" t="s">
        <v>36</v>
      </c>
      <c r="O19" s="3" t="s">
        <v>34</v>
      </c>
      <c r="P19" s="3" t="s">
        <v>37</v>
      </c>
      <c r="Q19" s="3" t="s">
        <v>38</v>
      </c>
      <c r="R19" s="3" t="s">
        <v>40</v>
      </c>
      <c r="S19" s="3" t="s">
        <v>39</v>
      </c>
      <c r="T19" s="3" t="s">
        <v>41</v>
      </c>
    </row>
    <row r="20" spans="2:20" x14ac:dyDescent="0.3">
      <c r="B20" s="2">
        <v>5</v>
      </c>
      <c r="C20" s="2">
        <v>4</v>
      </c>
      <c r="D20" s="2">
        <v>0</v>
      </c>
      <c r="E20" s="2">
        <v>4</v>
      </c>
      <c r="F20" s="2">
        <v>0</v>
      </c>
      <c r="G20" s="2">
        <v>4</v>
      </c>
      <c r="H20" s="2">
        <v>0</v>
      </c>
      <c r="I20" s="2">
        <v>6</v>
      </c>
      <c r="J20" s="2">
        <v>5400</v>
      </c>
      <c r="K20" s="2">
        <v>5400</v>
      </c>
      <c r="L20" s="2">
        <v>5400</v>
      </c>
      <c r="M20" s="2">
        <v>1480</v>
      </c>
      <c r="N20" s="2">
        <v>0</v>
      </c>
      <c r="O20" s="2">
        <v>0</v>
      </c>
      <c r="P20" s="2">
        <v>767</v>
      </c>
      <c r="Q20" s="2">
        <v>1.44</v>
      </c>
      <c r="R20" s="2">
        <v>0</v>
      </c>
      <c r="S20" s="2">
        <v>1.44</v>
      </c>
      <c r="T20" s="2">
        <v>0</v>
      </c>
    </row>
    <row r="21" spans="2:20" x14ac:dyDescent="0.3">
      <c r="B21" s="2">
        <v>4</v>
      </c>
      <c r="C21" s="2">
        <v>3</v>
      </c>
      <c r="D21" s="2">
        <v>0</v>
      </c>
      <c r="E21" s="2">
        <v>3</v>
      </c>
      <c r="F21" s="2">
        <v>0</v>
      </c>
      <c r="G21" s="2">
        <v>3</v>
      </c>
      <c r="H21" s="2">
        <v>0</v>
      </c>
      <c r="I21" s="2">
        <v>4.5</v>
      </c>
      <c r="J21" s="2">
        <v>4050</v>
      </c>
      <c r="K21" s="2">
        <v>4050</v>
      </c>
      <c r="L21" s="2">
        <v>4050</v>
      </c>
      <c r="M21" s="2">
        <v>1110</v>
      </c>
      <c r="N21" s="2">
        <v>0</v>
      </c>
      <c r="O21" s="2">
        <v>0</v>
      </c>
      <c r="P21" s="2">
        <v>575</v>
      </c>
      <c r="Q21" s="2">
        <v>1.08</v>
      </c>
      <c r="R21" s="2">
        <v>0</v>
      </c>
      <c r="S21" s="2">
        <v>1.08</v>
      </c>
      <c r="T21" s="2">
        <v>0</v>
      </c>
    </row>
    <row r="22" spans="2:20" x14ac:dyDescent="0.3">
      <c r="B22" s="2">
        <v>3</v>
      </c>
      <c r="C22" s="2">
        <v>2</v>
      </c>
      <c r="D22" s="2">
        <v>0</v>
      </c>
      <c r="E22" s="2">
        <v>2</v>
      </c>
      <c r="F22" s="2">
        <v>0</v>
      </c>
      <c r="G22" s="2">
        <v>2</v>
      </c>
      <c r="H22" s="2">
        <v>0</v>
      </c>
      <c r="I22" s="2">
        <v>3</v>
      </c>
      <c r="J22" s="2">
        <v>2700</v>
      </c>
      <c r="K22" s="2">
        <v>2700</v>
      </c>
      <c r="L22" s="2">
        <v>2700</v>
      </c>
      <c r="M22" s="2">
        <v>740</v>
      </c>
      <c r="N22" s="2">
        <v>0</v>
      </c>
      <c r="O22" s="2">
        <v>0</v>
      </c>
      <c r="P22" s="2">
        <v>383</v>
      </c>
      <c r="Q22" s="2">
        <v>0.72</v>
      </c>
      <c r="R22" s="2">
        <v>0</v>
      </c>
      <c r="S22" s="2">
        <v>0.72</v>
      </c>
      <c r="T22" s="2">
        <v>0</v>
      </c>
    </row>
    <row r="23" spans="2:20" x14ac:dyDescent="0.3">
      <c r="B23" s="2">
        <v>2</v>
      </c>
      <c r="C23" s="2">
        <v>1.32</v>
      </c>
      <c r="D23" s="2">
        <v>0</v>
      </c>
      <c r="E23" s="2">
        <v>1.32</v>
      </c>
      <c r="F23" s="2">
        <v>0</v>
      </c>
      <c r="G23" s="2">
        <v>1.32</v>
      </c>
      <c r="H23" s="2">
        <v>0</v>
      </c>
      <c r="I23" s="2">
        <v>1.8</v>
      </c>
      <c r="J23" s="2">
        <v>1782</v>
      </c>
      <c r="K23" s="2">
        <v>1782</v>
      </c>
      <c r="L23" s="2">
        <v>1782</v>
      </c>
      <c r="M23" s="2">
        <v>488</v>
      </c>
      <c r="N23" s="2">
        <v>0</v>
      </c>
      <c r="O23" s="2">
        <v>0</v>
      </c>
      <c r="P23" s="2">
        <v>253</v>
      </c>
      <c r="Q23" s="2">
        <v>0.47</v>
      </c>
      <c r="R23" s="2">
        <v>0</v>
      </c>
      <c r="S23" s="2">
        <v>0.47</v>
      </c>
      <c r="T23" s="2">
        <v>0</v>
      </c>
    </row>
    <row r="24" spans="2:20" x14ac:dyDescent="0.3">
      <c r="B24" s="2">
        <v>1</v>
      </c>
      <c r="C24" s="2">
        <v>0.64</v>
      </c>
      <c r="D24" s="2">
        <v>0</v>
      </c>
      <c r="E24" s="2">
        <v>0.64</v>
      </c>
      <c r="F24" s="2">
        <v>0</v>
      </c>
      <c r="G24" s="2">
        <v>0.64</v>
      </c>
      <c r="H24" s="2">
        <v>0</v>
      </c>
      <c r="I24" s="2">
        <v>0.96</v>
      </c>
      <c r="J24" s="2">
        <v>864</v>
      </c>
      <c r="K24" s="2">
        <v>864</v>
      </c>
      <c r="L24" s="2">
        <v>864</v>
      </c>
      <c r="M24" s="2">
        <v>236</v>
      </c>
      <c r="N24" s="2">
        <v>0</v>
      </c>
      <c r="O24" s="2">
        <v>0</v>
      </c>
      <c r="P24" s="2">
        <v>122</v>
      </c>
      <c r="Q24" s="2">
        <v>0.23</v>
      </c>
      <c r="R24" s="2">
        <v>0</v>
      </c>
      <c r="S24" s="2">
        <v>0.23</v>
      </c>
      <c r="T24" s="2">
        <v>0</v>
      </c>
    </row>
    <row r="25" spans="2:20" x14ac:dyDescent="0.3">
      <c r="B25" s="2" t="s">
        <v>34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</row>
    <row r="27" spans="2:20" x14ac:dyDescent="0.3">
      <c r="B27" s="3" t="s">
        <v>2</v>
      </c>
      <c r="C27" s="3" t="s">
        <v>43</v>
      </c>
      <c r="D27" s="3" t="s">
        <v>44</v>
      </c>
      <c r="E27" s="3" t="s">
        <v>45</v>
      </c>
      <c r="F27" s="3" t="s">
        <v>46</v>
      </c>
    </row>
    <row r="28" spans="2:20" x14ac:dyDescent="0.3">
      <c r="B28" s="2">
        <v>3</v>
      </c>
      <c r="C28" s="2">
        <v>16</v>
      </c>
      <c r="D28" s="2">
        <v>18</v>
      </c>
      <c r="E28" s="2">
        <v>6</v>
      </c>
      <c r="F28" s="2">
        <v>15</v>
      </c>
    </row>
    <row r="29" spans="2:20" x14ac:dyDescent="0.3">
      <c r="B29" s="2">
        <v>2</v>
      </c>
      <c r="C29" s="2">
        <v>8</v>
      </c>
      <c r="D29" s="2">
        <v>10</v>
      </c>
      <c r="E29" s="2">
        <v>3.6</v>
      </c>
      <c r="F29" s="2">
        <v>9</v>
      </c>
    </row>
    <row r="30" spans="2:20" x14ac:dyDescent="0.3">
      <c r="B30" s="2">
        <v>1</v>
      </c>
      <c r="C30" s="2">
        <v>3</v>
      </c>
      <c r="D30" s="2">
        <v>4</v>
      </c>
      <c r="E30" s="2">
        <v>1.8</v>
      </c>
      <c r="F30" s="2">
        <v>6</v>
      </c>
    </row>
    <row r="31" spans="2:20" x14ac:dyDescent="0.3">
      <c r="B31" s="2" t="s">
        <v>34</v>
      </c>
      <c r="C31" s="2">
        <v>0</v>
      </c>
      <c r="D31" s="2">
        <v>0</v>
      </c>
      <c r="E31" s="2">
        <v>0</v>
      </c>
      <c r="F31" s="2">
        <v>0</v>
      </c>
    </row>
    <row r="33" spans="2:6" x14ac:dyDescent="0.3">
      <c r="B33" s="3" t="s">
        <v>19</v>
      </c>
      <c r="C33" s="3" t="s">
        <v>48</v>
      </c>
      <c r="D33" s="3" t="s">
        <v>49</v>
      </c>
      <c r="E33" s="3" t="s">
        <v>50</v>
      </c>
      <c r="F33" s="3" t="s">
        <v>34</v>
      </c>
    </row>
    <row r="34" spans="2:6" x14ac:dyDescent="0.3">
      <c r="B34" s="2">
        <v>2</v>
      </c>
      <c r="C34" s="2">
        <v>6</v>
      </c>
      <c r="D34" s="2">
        <v>14</v>
      </c>
      <c r="E34" s="2">
        <v>14</v>
      </c>
      <c r="F34" s="2">
        <v>0</v>
      </c>
    </row>
    <row r="35" spans="2:6" x14ac:dyDescent="0.3">
      <c r="B35" s="2">
        <v>1</v>
      </c>
      <c r="C35" s="2">
        <v>0</v>
      </c>
      <c r="D35" s="2">
        <v>8</v>
      </c>
      <c r="E35" s="2">
        <v>8</v>
      </c>
      <c r="F35" s="2">
        <v>0</v>
      </c>
    </row>
    <row r="36" spans="2:6" x14ac:dyDescent="0.3">
      <c r="B36" s="2" t="s">
        <v>34</v>
      </c>
      <c r="C36" s="2">
        <v>0</v>
      </c>
      <c r="D36" s="2">
        <v>0</v>
      </c>
      <c r="E36" s="2">
        <v>0</v>
      </c>
      <c r="F36" s="2">
        <v>0</v>
      </c>
    </row>
    <row r="38" spans="2:6" x14ac:dyDescent="0.3">
      <c r="B38" s="3" t="s">
        <v>52</v>
      </c>
      <c r="C38" s="3" t="s">
        <v>53</v>
      </c>
    </row>
    <row r="39" spans="2:6" x14ac:dyDescent="0.3">
      <c r="B39" s="2">
        <v>7</v>
      </c>
      <c r="C39" s="2">
        <v>5880</v>
      </c>
    </row>
    <row r="40" spans="2:6" x14ac:dyDescent="0.3">
      <c r="B40" s="2">
        <v>6</v>
      </c>
      <c r="C40" s="2">
        <v>4800</v>
      </c>
    </row>
    <row r="41" spans="2:6" x14ac:dyDescent="0.3">
      <c r="B41" s="2">
        <v>5</v>
      </c>
      <c r="C41" s="2">
        <v>3800</v>
      </c>
    </row>
    <row r="42" spans="2:6" x14ac:dyDescent="0.3">
      <c r="B42" s="2">
        <v>4</v>
      </c>
      <c r="C42" s="2">
        <v>2880</v>
      </c>
    </row>
    <row r="43" spans="2:6" x14ac:dyDescent="0.3">
      <c r="B43" s="2">
        <v>3</v>
      </c>
      <c r="C43" s="2">
        <v>2040</v>
      </c>
    </row>
    <row r="44" spans="2:6" x14ac:dyDescent="0.3">
      <c r="B44" s="2">
        <v>2</v>
      </c>
      <c r="C44" s="2">
        <v>1280</v>
      </c>
    </row>
    <row r="45" spans="2:6" x14ac:dyDescent="0.3">
      <c r="B45" s="2">
        <v>1</v>
      </c>
      <c r="C45" s="2">
        <v>600</v>
      </c>
    </row>
    <row r="46" spans="2:6" x14ac:dyDescent="0.3">
      <c r="B46" s="2" t="s">
        <v>51</v>
      </c>
      <c r="C46" s="2">
        <v>0</v>
      </c>
    </row>
  </sheetData>
  <sheetProtection algorithmName="SHA-512" hashValue="yshjufmRJfo+3VJNOSoGLyupYApDMhAuSNuDPuZEjK4AcUUnGkzQxRfCiOsWQ3d3gJ15CKKyDweSOWMUNMoHqg==" saltValue="7VZRal6L+uaDflKqI+3jXQ==" spinCount="100000" sheet="1" objects="1" scenarios="1" selectLockedCells="1" selectUnlockedCells="1"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서폿 공증 효율 계산기</vt:lpstr>
      <vt:lpstr>예시</vt:lpstr>
      <vt:lpstr>참고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2023-11-10T13:53:22Z</dcterms:modified>
</cp:coreProperties>
</file>