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엑셀 작업\"/>
    </mc:Choice>
  </mc:AlternateContent>
  <xr:revisionPtr revIDLastSave="0" documentId="13_ncr:1_{8BAE1706-4F9A-4BD9-B516-BE5A880A29B4}" xr6:coauthVersionLast="47" xr6:coauthVersionMax="47" xr10:uidLastSave="{00000000-0000-0000-0000-000000000000}"/>
  <bookViews>
    <workbookView xWindow="-110" yWindow="-110" windowWidth="38620" windowHeight="21100" xr2:uid="{FCE97CE2-71B7-4218-BE65-7EF4903813BE}"/>
  </bookViews>
  <sheets>
    <sheet name="지속 피해 &amp; 흐릿한 위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4" i="1" l="1"/>
  <c r="AV43" i="1"/>
  <c r="AB24" i="1"/>
  <c r="AC9" i="1"/>
  <c r="AB16" i="1"/>
  <c r="AT43" i="1"/>
  <c r="AB9" i="1"/>
  <c r="AB10" i="1" s="1"/>
  <c r="AB47" i="1"/>
  <c r="AE24" i="1"/>
  <c r="AQ40" i="1"/>
  <c r="AU37" i="1"/>
  <c r="AN40" i="1"/>
  <c r="AK40" i="1"/>
  <c r="AZ25" i="1"/>
  <c r="AI40" i="1"/>
  <c r="AC47" i="1"/>
  <c r="AC46" i="1"/>
  <c r="AC45" i="1"/>
  <c r="AC44" i="1"/>
  <c r="AC43" i="1"/>
  <c r="AI17" i="1"/>
  <c r="AV36" i="1" s="1"/>
  <c r="AE46" i="1" l="1"/>
  <c r="AE48" i="1" s="1"/>
  <c r="AG9" i="1"/>
  <c r="AI20" i="1" s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E28" i="1" s="1"/>
  <c r="AC26" i="1"/>
  <c r="AC25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B41" i="1"/>
  <c r="AB34" i="1"/>
  <c r="AB28" i="1"/>
  <c r="AB26" i="1"/>
  <c r="AB21" i="1"/>
  <c r="AQ28" i="1" l="1"/>
  <c r="AI27" i="1"/>
  <c r="AI31" i="1" s="1"/>
  <c r="AQ27" i="1"/>
  <c r="AE26" i="1"/>
  <c r="AO27" i="1"/>
  <c r="AN27" i="1"/>
  <c r="AL27" i="1"/>
  <c r="AK27" i="1"/>
  <c r="AE16" i="1"/>
  <c r="AE23" i="1"/>
  <c r="AE41" i="1"/>
  <c r="AE34" i="1"/>
  <c r="AQ34" i="1" l="1"/>
  <c r="AQ29" i="1"/>
  <c r="AQ35" i="1"/>
  <c r="AN34" i="1"/>
  <c r="AI34" i="1"/>
  <c r="AI38" i="1" s="1"/>
  <c r="AI43" i="1" s="1"/>
  <c r="AI45" i="1" s="1"/>
  <c r="AT36" i="1" s="1"/>
  <c r="AK34" i="1"/>
  <c r="AL34" i="1"/>
  <c r="AU28" i="1"/>
  <c r="AU27" i="1"/>
  <c r="AU26" i="1"/>
  <c r="AU25" i="1"/>
  <c r="AU24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Q36" i="1" l="1"/>
  <c r="AK11" i="1"/>
  <c r="AK14" i="1" s="1"/>
  <c r="AN11" i="1"/>
  <c r="AN17" i="1" l="1"/>
  <c r="AN20" i="1" s="1"/>
  <c r="AO31" i="1" s="1"/>
  <c r="AO38" i="1" s="1"/>
  <c r="AO43" i="1" s="1"/>
  <c r="AO45" i="1" s="1"/>
  <c r="AT38" i="1" s="1"/>
  <c r="AV38" i="1"/>
  <c r="AK17" i="1"/>
  <c r="AK20" i="1" s="1"/>
  <c r="AL31" i="1" s="1"/>
  <c r="AL38" i="1" s="1"/>
  <c r="AL43" i="1" s="1"/>
  <c r="AV37" i="1"/>
  <c r="C6" i="1" s="1"/>
  <c r="AL45" i="1" l="1"/>
  <c r="AT37" i="1" s="1"/>
  <c r="AX37" i="1" s="1"/>
  <c r="AN31" i="1"/>
  <c r="AN38" i="1" s="1"/>
  <c r="AN43" i="1" s="1"/>
  <c r="AN45" i="1" s="1"/>
  <c r="E50" i="1"/>
  <c r="E51" i="1" s="1"/>
  <c r="AK31" i="1"/>
  <c r="AK38" i="1" s="1"/>
  <c r="AK43" i="1" s="1"/>
  <c r="AK45" i="1" s="1"/>
  <c r="AQ17" i="1" l="1"/>
  <c r="AQ20" i="1" s="1"/>
  <c r="AQ31" i="1" l="1"/>
  <c r="AQ38" i="1" s="1"/>
  <c r="AQ43" i="1" s="1"/>
  <c r="AQ45" i="1" s="1"/>
  <c r="AT39" i="1" s="1"/>
  <c r="E52" i="1" s="1"/>
</calcChain>
</file>

<file path=xl/sharedStrings.xml><?xml version="1.0" encoding="utf-8"?>
<sst xmlns="http://schemas.openxmlformats.org/spreadsheetml/2006/main" count="176" uniqueCount="141">
  <si>
    <t>난이도</t>
    <phoneticPr fontId="2" type="noConversion"/>
  </si>
  <si>
    <t>피의 문양 %</t>
    <phoneticPr fontId="2" type="noConversion"/>
  </si>
  <si>
    <t>스킬 레벨</t>
    <phoneticPr fontId="2" type="noConversion"/>
  </si>
  <si>
    <t>스킬 계수</t>
    <phoneticPr fontId="2" type="noConversion"/>
  </si>
  <si>
    <t>기술</t>
    <phoneticPr fontId="2" type="noConversion"/>
  </si>
  <si>
    <t>초기 계수</t>
    <phoneticPr fontId="2" type="noConversion"/>
  </si>
  <si>
    <t>렙당 증가</t>
    <phoneticPr fontId="2" type="noConversion"/>
  </si>
  <si>
    <t>최대값 계수</t>
    <phoneticPr fontId="2" type="noConversion"/>
  </si>
  <si>
    <t>지속피해 저항</t>
    <phoneticPr fontId="2" type="noConversion"/>
  </si>
  <si>
    <t>흐릿한 위상</t>
    <phoneticPr fontId="2" type="noConversion"/>
  </si>
  <si>
    <t>할퀴기</t>
    <phoneticPr fontId="2" type="noConversion"/>
  </si>
  <si>
    <t>일반</t>
    <phoneticPr fontId="2" type="noConversion"/>
  </si>
  <si>
    <t>발톱</t>
    <phoneticPr fontId="2" type="noConversion"/>
  </si>
  <si>
    <t>악몽</t>
    <phoneticPr fontId="2" type="noConversion"/>
  </si>
  <si>
    <t>폭풍 강타</t>
    <phoneticPr fontId="2" type="noConversion"/>
  </si>
  <si>
    <t>고행</t>
    <phoneticPr fontId="2" type="noConversion"/>
  </si>
  <si>
    <t>바람 칼날</t>
    <phoneticPr fontId="2" type="noConversion"/>
  </si>
  <si>
    <t>대지의 쐐기</t>
    <phoneticPr fontId="2" type="noConversion"/>
  </si>
  <si>
    <t>산사태</t>
    <phoneticPr fontId="2" type="noConversion"/>
  </si>
  <si>
    <t>번개 폭풍</t>
    <phoneticPr fontId="2" type="noConversion"/>
  </si>
  <si>
    <t>회오리바람</t>
    <phoneticPr fontId="2" type="noConversion"/>
  </si>
  <si>
    <t>맹독 덩굴 특성</t>
    <phoneticPr fontId="2" type="noConversion"/>
  </si>
  <si>
    <t>지속 시간</t>
    <phoneticPr fontId="2" type="noConversion"/>
  </si>
  <si>
    <t>쳐부수기</t>
    <phoneticPr fontId="2" type="noConversion"/>
  </si>
  <si>
    <t>칼날 발톱_1타</t>
    <phoneticPr fontId="2" type="noConversion"/>
  </si>
  <si>
    <t>칼날 발톱_2타</t>
    <phoneticPr fontId="2" type="noConversion"/>
  </si>
  <si>
    <t>칼날 발톱_3타</t>
    <phoneticPr fontId="2" type="noConversion"/>
  </si>
  <si>
    <t>회오리 갑옷</t>
    <phoneticPr fontId="2" type="noConversion"/>
  </si>
  <si>
    <t>대지 방벽</t>
    <phoneticPr fontId="2" type="noConversion"/>
  </si>
  <si>
    <t>맹독 덩굴</t>
    <phoneticPr fontId="2" type="noConversion"/>
  </si>
  <si>
    <t>바위</t>
    <phoneticPr fontId="2" type="noConversion"/>
  </si>
  <si>
    <t>짓밟기</t>
    <phoneticPr fontId="2" type="noConversion"/>
  </si>
  <si>
    <t>싹쓸바람</t>
    <phoneticPr fontId="2" type="noConversion"/>
  </si>
  <si>
    <t>광견병</t>
    <phoneticPr fontId="2" type="noConversion"/>
  </si>
  <si>
    <t>찢어발기기</t>
    <phoneticPr fontId="2" type="noConversion"/>
  </si>
  <si>
    <t>대격변</t>
    <phoneticPr fontId="2" type="noConversion"/>
  </si>
  <si>
    <t>안다리엘 독발</t>
    <phoneticPr fontId="2" type="noConversion"/>
  </si>
  <si>
    <t>미적용</t>
    <phoneticPr fontId="2" type="noConversion"/>
  </si>
  <si>
    <t>공통 적용</t>
    <phoneticPr fontId="2" type="noConversion"/>
  </si>
  <si>
    <t>모든 피해</t>
    <phoneticPr fontId="2" type="noConversion"/>
  </si>
  <si>
    <t>독 피해</t>
  </si>
  <si>
    <t>건강 상태시 피해</t>
  </si>
  <si>
    <t>보강 상태시 피해</t>
  </si>
  <si>
    <t>중독 적 피해</t>
  </si>
  <si>
    <t>군중 제어 적 피해</t>
  </si>
  <si>
    <t>맹독 덩굴 &amp; 광견병</t>
    <phoneticPr fontId="2" type="noConversion"/>
  </si>
  <si>
    <t>취약 피해</t>
    <phoneticPr fontId="2" type="noConversion"/>
  </si>
  <si>
    <t>지속 피해</t>
    <phoneticPr fontId="2" type="noConversion"/>
  </si>
  <si>
    <t>동료 기술 피해 1</t>
    <phoneticPr fontId="2" type="noConversion"/>
  </si>
  <si>
    <t>동료 기술 피해 2</t>
  </si>
  <si>
    <t>흐릿한 야수 위상</t>
    <phoneticPr fontId="2" type="noConversion"/>
  </si>
  <si>
    <t>핵심 기술 피해</t>
  </si>
  <si>
    <t>늑대 인간 기술 피해</t>
  </si>
  <si>
    <t>변신 기술 피해</t>
  </si>
  <si>
    <t>적용 구분</t>
    <phoneticPr fontId="2" type="noConversion"/>
  </si>
  <si>
    <t>동료 기술</t>
    <phoneticPr fontId="2" type="noConversion"/>
  </si>
  <si>
    <t>극대화 피해</t>
    <phoneticPr fontId="2" type="noConversion"/>
  </si>
  <si>
    <t>늑대 기술 극대화 피해</t>
    <phoneticPr fontId="2" type="noConversion"/>
  </si>
  <si>
    <t>기타 극대화 피해 1</t>
    <phoneticPr fontId="2" type="noConversion"/>
  </si>
  <si>
    <t>의지력</t>
    <phoneticPr fontId="2" type="noConversion"/>
  </si>
  <si>
    <t>무기 공격력</t>
    <phoneticPr fontId="2" type="noConversion"/>
  </si>
  <si>
    <t>지킴이</t>
    <phoneticPr fontId="2" type="noConversion"/>
  </si>
  <si>
    <t>쑥대밭</t>
    <phoneticPr fontId="2" type="noConversion"/>
  </si>
  <si>
    <t>야생의 부름</t>
    <phoneticPr fontId="2" type="noConversion"/>
  </si>
  <si>
    <t>흐르는 혈관</t>
    <phoneticPr fontId="2" type="noConversion"/>
  </si>
  <si>
    <t>반격</t>
    <phoneticPr fontId="2" type="noConversion"/>
  </si>
  <si>
    <t>원소 위상</t>
    <phoneticPr fontId="2" type="noConversion"/>
  </si>
  <si>
    <t>극대화 피해 적용 설정</t>
    <phoneticPr fontId="2" type="noConversion"/>
  </si>
  <si>
    <t>취약 피해 적용 설정</t>
    <phoneticPr fontId="2" type="noConversion"/>
  </si>
  <si>
    <t>위상 / 패시브 / 피해 곱연산</t>
    <phoneticPr fontId="2" type="noConversion"/>
  </si>
  <si>
    <t>[늑대/곰] 상태시 피해</t>
    <phoneticPr fontId="2" type="noConversion"/>
  </si>
  <si>
    <t>지속 피해 &amp; 흐릿한 야수 위상 데미지 계산기</t>
    <phoneticPr fontId="2" type="noConversion"/>
  </si>
  <si>
    <t>근거리 피해</t>
    <phoneticPr fontId="2" type="noConversion"/>
  </si>
  <si>
    <t>중독 적 피해</t>
    <phoneticPr fontId="2" type="noConversion"/>
  </si>
  <si>
    <t>독살</t>
    <phoneticPr fontId="2" type="noConversion"/>
  </si>
  <si>
    <t>합연산</t>
    <phoneticPr fontId="2" type="noConversion"/>
  </si>
  <si>
    <t>2배 적용 피해</t>
    <phoneticPr fontId="2" type="noConversion"/>
  </si>
  <si>
    <t>자신의 공격력</t>
    <phoneticPr fontId="2" type="noConversion"/>
  </si>
  <si>
    <t>상대의 상태</t>
    <phoneticPr fontId="2" type="noConversion"/>
  </si>
  <si>
    <t>취약</t>
    <phoneticPr fontId="2" type="noConversion"/>
  </si>
  <si>
    <t>기술 피해</t>
    <phoneticPr fontId="2" type="noConversion"/>
  </si>
  <si>
    <t>상태 적 피해</t>
    <phoneticPr fontId="2" type="noConversion"/>
  </si>
  <si>
    <t>곱연산</t>
    <phoneticPr fontId="2" type="noConversion"/>
  </si>
  <si>
    <t>고조된 악의</t>
    <phoneticPr fontId="2" type="noConversion"/>
  </si>
  <si>
    <t>곱연산1</t>
    <phoneticPr fontId="2" type="noConversion"/>
  </si>
  <si>
    <t>곱연산 2</t>
    <phoneticPr fontId="2" type="noConversion"/>
  </si>
  <si>
    <t>지속 피해 곱연산</t>
    <phoneticPr fontId="2" type="noConversion"/>
  </si>
  <si>
    <t>동료 기술 곱연산</t>
    <phoneticPr fontId="2" type="noConversion"/>
  </si>
  <si>
    <t>흐릿한 곱연산 1</t>
    <phoneticPr fontId="2" type="noConversion"/>
  </si>
  <si>
    <t>흐릿한 곱연산 2</t>
    <phoneticPr fontId="2" type="noConversion"/>
  </si>
  <si>
    <t>극피 적용</t>
    <phoneticPr fontId="2" type="noConversion"/>
  </si>
  <si>
    <t>기본 공격력</t>
    <phoneticPr fontId="2" type="noConversion"/>
  </si>
  <si>
    <t>의지력 증뎀%</t>
    <phoneticPr fontId="2" type="noConversion"/>
  </si>
  <si>
    <t>의지력 적용</t>
    <phoneticPr fontId="2" type="noConversion"/>
  </si>
  <si>
    <t>합연산 적용</t>
    <phoneticPr fontId="2" type="noConversion"/>
  </si>
  <si>
    <t>곱연산 적용</t>
    <phoneticPr fontId="2" type="noConversion"/>
  </si>
  <si>
    <t>기타 극대화 피해 2</t>
  </si>
  <si>
    <t>기타 극대화 피해 3</t>
  </si>
  <si>
    <t>기타 극대화 피해 4</t>
    <phoneticPr fontId="2" type="noConversion"/>
  </si>
  <si>
    <t>극피 곱연산</t>
    <phoneticPr fontId="2" type="noConversion"/>
  </si>
  <si>
    <t>난이도 적용</t>
    <phoneticPr fontId="2" type="noConversion"/>
  </si>
  <si>
    <t>지속시간</t>
    <phoneticPr fontId="2" type="noConversion"/>
  </si>
  <si>
    <t>적용 계수</t>
    <phoneticPr fontId="2" type="noConversion"/>
  </si>
  <si>
    <t>기본 기술 계수</t>
    <phoneticPr fontId="2" type="noConversion"/>
  </si>
  <si>
    <t>스킬창 표시</t>
    <phoneticPr fontId="2" type="noConversion"/>
  </si>
  <si>
    <t>실제 적용</t>
    <phoneticPr fontId="2" type="noConversion"/>
  </si>
  <si>
    <t>곱연산 수치</t>
    <phoneticPr fontId="2" type="noConversion"/>
  </si>
  <si>
    <t>합연산 수치</t>
    <phoneticPr fontId="2" type="noConversion"/>
  </si>
  <si>
    <t>난이도 피감 계수</t>
    <phoneticPr fontId="2" type="noConversion"/>
  </si>
  <si>
    <t>난이도 설정(베타)</t>
    <phoneticPr fontId="2" type="noConversion"/>
  </si>
  <si>
    <t>틱당 데미지</t>
    <phoneticPr fontId="2" type="noConversion"/>
  </si>
  <si>
    <t>총 지속 데미지</t>
    <phoneticPr fontId="2" type="noConversion"/>
  </si>
  <si>
    <t>취약+약육 강식</t>
    <phoneticPr fontId="2" type="noConversion"/>
  </si>
  <si>
    <t>계산기 표시값</t>
    <phoneticPr fontId="2" type="noConversion"/>
  </si>
  <si>
    <t>데미지</t>
    <phoneticPr fontId="2" type="noConversion"/>
  </si>
  <si>
    <t>계수</t>
    <phoneticPr fontId="2" type="noConversion"/>
  </si>
  <si>
    <t>흐릿한 야수 위상 데미지</t>
    <phoneticPr fontId="2" type="noConversion"/>
  </si>
  <si>
    <t>안다리엘 독발</t>
  </si>
  <si>
    <t>적용 극피</t>
    <phoneticPr fontId="2" type="noConversion"/>
  </si>
  <si>
    <t>적용</t>
    <phoneticPr fontId="2" type="noConversion"/>
  </si>
  <si>
    <t>기본 극피 수치 계산</t>
    <phoneticPr fontId="2" type="noConversion"/>
  </si>
  <si>
    <t>취피 수치 계산</t>
    <phoneticPr fontId="2" type="noConversion"/>
  </si>
  <si>
    <t>피의 문양 적용</t>
    <phoneticPr fontId="2" type="noConversion"/>
  </si>
  <si>
    <t>수치 입력은 해당 옵션 수치에 마우스를 가져갔을때 나오는 수치를 입력하세요.</t>
    <phoneticPr fontId="2" type="noConversion"/>
  </si>
  <si>
    <t>취약/극대화/지킴이/피의 문양 등과 같이 곱연산을 해주는 경우 기본 스탯창 수치가 틀어집니다.</t>
    <phoneticPr fontId="2" type="noConversion"/>
  </si>
  <si>
    <t>약육 강식의 경우 수정 패치가 된 줄 알고 있었으나, 여전히 합연산 16으로 적용됩니다.</t>
    <phoneticPr fontId="2" type="noConversion"/>
  </si>
  <si>
    <t>기본 극대화 피해의 증뎀 곱연산은 1.5배 이나, 흐릿한 위상의 경우 1.92배 정도로 적용됩니다.</t>
    <phoneticPr fontId="2" type="noConversion"/>
  </si>
  <si>
    <t>난이도 설정의 경우 훈련장 허수아비의 난이도별 피감을 적용합니다.</t>
    <phoneticPr fontId="2" type="noConversion"/>
  </si>
  <si>
    <t>지속 피해의 지속 시간 증가 옵션(맹독 덩굴 특성, 추적자 문양)의 경우 지속 시간만 늘려주는것이라 도트 데미지는 일정합니다.</t>
    <phoneticPr fontId="2" type="noConversion"/>
  </si>
  <si>
    <t xml:space="preserve"> - 흐릿한 위상의 기본 데미지에 변화를 주지 않음.</t>
    <phoneticPr fontId="2" type="noConversion"/>
  </si>
  <si>
    <t xml:space="preserve"> - 취피 1.2배 / 극피 1.5배로 표시되지만 실제 적용은 순수 수치만 적용됩니다.</t>
    <phoneticPr fontId="2" type="noConversion"/>
  </si>
  <si>
    <t>피의 문양은 스탯창에서 모든 피해 증가로 표시되지만, 실 데미지에서 곱연산으로 적용됩니다.</t>
    <phoneticPr fontId="2" type="noConversion"/>
  </si>
  <si>
    <t>정확하지 않은 부분이 있을수 있으니 참조바랍니다.</t>
    <phoneticPr fontId="2" type="noConversion"/>
  </si>
  <si>
    <t>피해 합연산</t>
    <phoneticPr fontId="2" type="noConversion"/>
  </si>
  <si>
    <t>인벤 7895123</t>
    <phoneticPr fontId="2" type="noConversion"/>
  </si>
  <si>
    <t>선조의 인도</t>
    <phoneticPr fontId="2" type="noConversion"/>
  </si>
  <si>
    <t>건강 상태의 적 피해</t>
    <phoneticPr fontId="2" type="noConversion"/>
  </si>
  <si>
    <t>취약+약육 강식</t>
  </si>
  <si>
    <t>적용</t>
  </si>
  <si>
    <t>미적용</t>
  </si>
  <si>
    <t>송곳니와 발톱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</si>
</sst>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00"/>
    <numFmt numFmtId="177" formatCode="_-* #,##0.0_-;\-* #,##0.0_-;_-* &quot;-&quot;_-;_-@_-"/>
    <numFmt numFmtId="178" formatCode="0.0"/>
  </numFmts>
  <fonts count="17" x14ac:knownFonts="1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2" tint="-9.9978637043366805E-2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4"/>
      <color rgb="FFFFFF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 tint="-0.1499984740745262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auto="1"/>
      </left>
      <right style="medium">
        <color auto="1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auto="1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8" fillId="11" borderId="36" xfId="0" applyFont="1" applyFill="1" applyBorder="1" applyAlignment="1" applyProtection="1">
      <alignment horizontal="center" vertical="center"/>
      <protection locked="0"/>
    </xf>
    <xf numFmtId="0" fontId="8" fillId="6" borderId="40" xfId="0" applyFont="1" applyFill="1" applyBorder="1" applyAlignment="1" applyProtection="1">
      <alignment horizontal="center" vertical="center"/>
      <protection locked="0"/>
    </xf>
    <xf numFmtId="0" fontId="8" fillId="6" borderId="38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4" fillId="2" borderId="25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176" fontId="8" fillId="0" borderId="5" xfId="0" applyNumberFormat="1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176" fontId="8" fillId="0" borderId="8" xfId="0" applyNumberFormat="1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1" fontId="8" fillId="0" borderId="0" xfId="0" applyNumberFormat="1" applyFont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8" fillId="0" borderId="24" xfId="0" applyFont="1" applyBorder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76" fontId="8" fillId="0" borderId="11" xfId="0" applyNumberFormat="1" applyFont="1" applyBorder="1" applyAlignment="1" applyProtection="1">
      <alignment horizontal="center" vertical="center"/>
      <protection hidden="1"/>
    </xf>
    <xf numFmtId="0" fontId="8" fillId="0" borderId="16" xfId="0" applyFont="1" applyBorder="1" applyProtection="1">
      <alignment vertical="center"/>
      <protection hidden="1"/>
    </xf>
    <xf numFmtId="0" fontId="8" fillId="0" borderId="23" xfId="0" applyFont="1" applyBorder="1" applyProtection="1">
      <alignment vertical="center"/>
      <protection hidden="1"/>
    </xf>
    <xf numFmtId="0" fontId="8" fillId="0" borderId="24" xfId="0" applyFont="1" applyBorder="1" applyProtection="1">
      <alignment vertical="center"/>
      <protection hidden="1"/>
    </xf>
    <xf numFmtId="1" fontId="8" fillId="0" borderId="15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43" fontId="0" fillId="0" borderId="0" xfId="0" applyNumberForma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hidden="1"/>
    </xf>
    <xf numFmtId="0" fontId="8" fillId="12" borderId="44" xfId="0" applyFont="1" applyFill="1" applyBorder="1" applyAlignment="1" applyProtection="1">
      <alignment horizontal="center" vertical="center"/>
      <protection locked="0"/>
    </xf>
    <xf numFmtId="0" fontId="8" fillId="12" borderId="39" xfId="0" applyFont="1" applyFill="1" applyBorder="1" applyAlignment="1" applyProtection="1">
      <alignment horizontal="center" vertical="center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39" xfId="0" applyFont="1" applyFill="1" applyBorder="1" applyAlignment="1" applyProtection="1">
      <alignment horizontal="center" vertical="center"/>
      <protection locked="0"/>
    </xf>
    <xf numFmtId="0" fontId="8" fillId="9" borderId="3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43" fontId="0" fillId="0" borderId="0" xfId="0" applyNumberForma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8" fillId="9" borderId="57" xfId="0" applyFont="1" applyFill="1" applyBorder="1" applyAlignment="1" applyProtection="1">
      <alignment horizontal="center" vertical="center"/>
      <protection locked="0"/>
    </xf>
    <xf numFmtId="0" fontId="8" fillId="9" borderId="58" xfId="0" applyFont="1" applyFill="1" applyBorder="1" applyAlignment="1" applyProtection="1">
      <alignment horizontal="center" vertical="center"/>
      <protection locked="0"/>
    </xf>
    <xf numFmtId="0" fontId="8" fillId="11" borderId="33" xfId="0" applyFont="1" applyFill="1" applyBorder="1" applyAlignment="1" applyProtection="1">
      <alignment horizontal="center" vertical="center"/>
      <protection locked="0"/>
    </xf>
    <xf numFmtId="0" fontId="8" fillId="5" borderId="41" xfId="0" applyFont="1" applyFill="1" applyBorder="1" applyAlignment="1" applyProtection="1">
      <alignment horizontal="center" vertical="center"/>
      <protection locked="0"/>
    </xf>
    <xf numFmtId="0" fontId="8" fillId="10" borderId="44" xfId="0" applyFont="1" applyFill="1" applyBorder="1" applyAlignment="1" applyProtection="1">
      <alignment horizontal="center" vertical="center"/>
      <protection locked="0"/>
    </xf>
    <xf numFmtId="0" fontId="8" fillId="10" borderId="36" xfId="0" applyFont="1" applyFill="1" applyBorder="1" applyAlignment="1" applyProtection="1">
      <alignment horizontal="center" vertical="center"/>
      <protection locked="0"/>
    </xf>
    <xf numFmtId="0" fontId="8" fillId="10" borderId="58" xfId="0" applyFont="1" applyFill="1" applyBorder="1" applyAlignment="1" applyProtection="1">
      <alignment horizontal="center" vertical="center"/>
      <protection locked="0"/>
    </xf>
    <xf numFmtId="0" fontId="8" fillId="13" borderId="33" xfId="0" applyFont="1" applyFill="1" applyBorder="1" applyAlignment="1" applyProtection="1">
      <alignment horizontal="center" vertical="center"/>
      <protection locked="0"/>
    </xf>
    <xf numFmtId="0" fontId="8" fillId="13" borderId="36" xfId="0" applyFont="1" applyFill="1" applyBorder="1" applyAlignment="1" applyProtection="1">
      <alignment horizontal="center" vertical="center"/>
      <protection locked="0"/>
    </xf>
    <xf numFmtId="0" fontId="8" fillId="13" borderId="39" xfId="0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 applyProtection="1">
      <alignment horizontal="center" vertical="center"/>
      <protection locked="0"/>
    </xf>
    <xf numFmtId="0" fontId="8" fillId="4" borderId="39" xfId="0" applyFont="1" applyFill="1" applyBorder="1" applyAlignment="1" applyProtection="1">
      <alignment horizontal="center" vertical="center"/>
      <protection locked="0"/>
    </xf>
    <xf numFmtId="0" fontId="4" fillId="6" borderId="25" xfId="0" applyFont="1" applyFill="1" applyBorder="1" applyAlignment="1" applyProtection="1">
      <alignment horizontal="center" vertical="center"/>
      <protection locked="0"/>
    </xf>
    <xf numFmtId="178" fontId="8" fillId="9" borderId="35" xfId="0" applyNumberFormat="1" applyFont="1" applyFill="1" applyBorder="1" applyAlignment="1" applyProtection="1">
      <alignment horizontal="center" vertical="center"/>
      <protection locked="0"/>
    </xf>
    <xf numFmtId="178" fontId="8" fillId="5" borderId="40" xfId="0" applyNumberFormat="1" applyFont="1" applyFill="1" applyBorder="1" applyAlignment="1" applyProtection="1">
      <alignment horizontal="center" vertical="center"/>
      <protection locked="0"/>
    </xf>
    <xf numFmtId="178" fontId="8" fillId="9" borderId="52" xfId="0" applyNumberFormat="1" applyFont="1" applyFill="1" applyBorder="1" applyAlignment="1" applyProtection="1">
      <alignment horizontal="center" vertical="center"/>
      <protection locked="0"/>
    </xf>
    <xf numFmtId="178" fontId="8" fillId="9" borderId="50" xfId="0" applyNumberFormat="1" applyFont="1" applyFill="1" applyBorder="1" applyAlignment="1" applyProtection="1">
      <alignment horizontal="center" vertical="center"/>
      <protection locked="0"/>
    </xf>
    <xf numFmtId="178" fontId="8" fillId="11" borderId="42" xfId="0" applyNumberFormat="1" applyFont="1" applyFill="1" applyBorder="1" applyAlignment="1" applyProtection="1">
      <alignment horizontal="center" vertical="center"/>
      <protection locked="0"/>
    </xf>
    <xf numFmtId="178" fontId="8" fillId="11" borderId="35" xfId="0" applyNumberFormat="1" applyFont="1" applyFill="1" applyBorder="1" applyAlignment="1" applyProtection="1">
      <alignment horizontal="center" vertical="center"/>
      <protection locked="0"/>
    </xf>
    <xf numFmtId="178" fontId="8" fillId="12" borderId="32" xfId="0" applyNumberFormat="1" applyFont="1" applyFill="1" applyBorder="1" applyAlignment="1" applyProtection="1">
      <alignment horizontal="center" vertical="center"/>
      <protection locked="0"/>
    </xf>
    <xf numFmtId="178" fontId="8" fillId="12" borderId="38" xfId="0" applyNumberFormat="1" applyFont="1" applyFill="1" applyBorder="1" applyAlignment="1" applyProtection="1">
      <alignment horizontal="center" vertical="center"/>
      <protection locked="0"/>
    </xf>
    <xf numFmtId="178" fontId="8" fillId="8" borderId="42" xfId="0" applyNumberFormat="1" applyFont="1" applyFill="1" applyBorder="1" applyAlignment="1" applyProtection="1">
      <alignment horizontal="center" vertical="center"/>
      <protection locked="0"/>
    </xf>
    <xf numFmtId="178" fontId="8" fillId="8" borderId="38" xfId="0" applyNumberFormat="1" applyFont="1" applyFill="1" applyBorder="1" applyAlignment="1" applyProtection="1">
      <alignment horizontal="center" vertical="center"/>
      <protection locked="0"/>
    </xf>
    <xf numFmtId="178" fontId="8" fillId="10" borderId="32" xfId="0" applyNumberFormat="1" applyFont="1" applyFill="1" applyBorder="1" applyAlignment="1" applyProtection="1">
      <alignment horizontal="center" vertical="center"/>
      <protection locked="0"/>
    </xf>
    <xf numFmtId="178" fontId="8" fillId="10" borderId="35" xfId="0" applyNumberFormat="1" applyFont="1" applyFill="1" applyBorder="1" applyAlignment="1" applyProtection="1">
      <alignment horizontal="center" vertical="center"/>
      <protection locked="0"/>
    </xf>
    <xf numFmtId="178" fontId="8" fillId="10" borderId="50" xfId="0" applyNumberFormat="1" applyFont="1" applyFill="1" applyBorder="1" applyAlignment="1" applyProtection="1">
      <alignment horizontal="center" vertical="center"/>
      <protection locked="0"/>
    </xf>
    <xf numFmtId="178" fontId="8" fillId="13" borderId="42" xfId="0" applyNumberFormat="1" applyFont="1" applyFill="1" applyBorder="1" applyAlignment="1" applyProtection="1">
      <alignment horizontal="center" vertical="center"/>
      <protection locked="0"/>
    </xf>
    <xf numFmtId="178" fontId="8" fillId="13" borderId="35" xfId="0" applyNumberFormat="1" applyFont="1" applyFill="1" applyBorder="1" applyAlignment="1" applyProtection="1">
      <alignment horizontal="center" vertical="center"/>
      <protection locked="0"/>
    </xf>
    <xf numFmtId="178" fontId="8" fillId="13" borderId="38" xfId="0" applyNumberFormat="1" applyFont="1" applyFill="1" applyBorder="1" applyAlignment="1" applyProtection="1">
      <alignment horizontal="center" vertical="center"/>
      <protection locked="0"/>
    </xf>
    <xf numFmtId="178" fontId="8" fillId="4" borderId="42" xfId="0" applyNumberFormat="1" applyFont="1" applyFill="1" applyBorder="1" applyAlignment="1" applyProtection="1">
      <alignment horizontal="center" vertical="center"/>
      <protection locked="0"/>
    </xf>
    <xf numFmtId="178" fontId="8" fillId="4" borderId="35" xfId="0" applyNumberFormat="1" applyFont="1" applyFill="1" applyBorder="1" applyAlignment="1" applyProtection="1">
      <alignment horizontal="center" vertical="center"/>
      <protection locked="0"/>
    </xf>
    <xf numFmtId="178" fontId="8" fillId="4" borderId="3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3" fillId="17" borderId="21" xfId="0" applyFont="1" applyFill="1" applyBorder="1" applyAlignment="1" applyProtection="1">
      <alignment horizontal="center" vertical="center"/>
      <protection hidden="1"/>
    </xf>
    <xf numFmtId="0" fontId="9" fillId="10" borderId="0" xfId="0" applyFont="1" applyFill="1" applyAlignment="1" applyProtection="1">
      <alignment horizontal="center" vertical="center"/>
      <protection locked="0"/>
    </xf>
    <xf numFmtId="0" fontId="3" fillId="16" borderId="21" xfId="0" applyFont="1" applyFill="1" applyBorder="1" applyAlignment="1" applyProtection="1">
      <alignment horizontal="center" vertical="center"/>
      <protection hidden="1"/>
    </xf>
    <xf numFmtId="177" fontId="3" fillId="14" borderId="21" xfId="1" applyNumberFormat="1" applyFont="1" applyFill="1" applyBorder="1" applyAlignment="1" applyProtection="1">
      <alignment horizontal="center" vertical="center"/>
      <protection hidden="1"/>
    </xf>
    <xf numFmtId="177" fontId="7" fillId="14" borderId="21" xfId="1" applyNumberFormat="1" applyFont="1" applyFill="1" applyBorder="1" applyAlignment="1" applyProtection="1">
      <alignment horizontal="center" vertical="center"/>
      <protection hidden="1"/>
    </xf>
    <xf numFmtId="0" fontId="8" fillId="10" borderId="43" xfId="0" applyFont="1" applyFill="1" applyBorder="1" applyAlignment="1" applyProtection="1">
      <alignment horizontal="center" vertical="center"/>
      <protection locked="0"/>
    </xf>
    <xf numFmtId="0" fontId="8" fillId="10" borderId="47" xfId="0" applyFont="1" applyFill="1" applyBorder="1" applyAlignment="1" applyProtection="1">
      <alignment horizontal="center" vertical="center"/>
      <protection locked="0"/>
    </xf>
    <xf numFmtId="0" fontId="8" fillId="10" borderId="34" xfId="0" applyFont="1" applyFill="1" applyBorder="1" applyAlignment="1" applyProtection="1">
      <alignment horizontal="center" vertical="center"/>
      <protection locked="0"/>
    </xf>
    <xf numFmtId="0" fontId="8" fillId="10" borderId="45" xfId="0" applyFont="1" applyFill="1" applyBorder="1" applyAlignment="1" applyProtection="1">
      <alignment horizontal="center" vertical="center"/>
      <protection locked="0"/>
    </xf>
    <xf numFmtId="0" fontId="8" fillId="11" borderId="55" xfId="0" applyFont="1" applyFill="1" applyBorder="1" applyAlignment="1" applyProtection="1">
      <alignment horizontal="center" vertical="center"/>
      <protection locked="0"/>
    </xf>
    <xf numFmtId="0" fontId="8" fillId="11" borderId="56" xfId="0" applyFont="1" applyFill="1" applyBorder="1" applyAlignment="1" applyProtection="1">
      <alignment horizontal="center" vertical="center"/>
      <protection locked="0"/>
    </xf>
    <xf numFmtId="0" fontId="3" fillId="3" borderId="53" xfId="0" applyFont="1" applyFill="1" applyBorder="1" applyAlignment="1" applyProtection="1">
      <alignment horizontal="center" vertical="center"/>
      <protection hidden="1"/>
    </xf>
    <xf numFmtId="0" fontId="3" fillId="3" borderId="49" xfId="0" applyFont="1" applyFill="1" applyBorder="1" applyAlignment="1" applyProtection="1">
      <alignment horizontal="center" vertical="center"/>
      <protection hidden="1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46" xfId="0" applyFont="1" applyFill="1" applyBorder="1" applyAlignment="1" applyProtection="1">
      <alignment horizontal="center" vertical="center"/>
      <protection locked="0"/>
    </xf>
    <xf numFmtId="0" fontId="8" fillId="13" borderId="34" xfId="0" applyFont="1" applyFill="1" applyBorder="1" applyAlignment="1" applyProtection="1">
      <alignment horizontal="center" vertical="center"/>
      <protection locked="0"/>
    </xf>
    <xf numFmtId="0" fontId="8" fillId="13" borderId="45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horizontal="center" vertical="center"/>
      <protection hidden="1"/>
    </xf>
    <xf numFmtId="0" fontId="8" fillId="0" borderId="24" xfId="0" applyFont="1" applyBorder="1" applyAlignment="1" applyProtection="1">
      <alignment horizontal="center" vertical="center"/>
      <protection hidden="1"/>
    </xf>
    <xf numFmtId="0" fontId="8" fillId="10" borderId="51" xfId="0" applyFont="1" applyFill="1" applyBorder="1" applyAlignment="1" applyProtection="1">
      <alignment horizontal="center" vertical="center"/>
      <protection locked="0"/>
    </xf>
    <xf numFmtId="0" fontId="8" fillId="10" borderId="54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8" fillId="11" borderId="34" xfId="0" applyFont="1" applyFill="1" applyBorder="1" applyAlignment="1" applyProtection="1">
      <alignment horizontal="center" vertical="center"/>
      <protection locked="0"/>
    </xf>
    <xf numFmtId="0" fontId="8" fillId="11" borderId="45" xfId="0" applyFont="1" applyFill="1" applyBorder="1" applyAlignment="1" applyProtection="1">
      <alignment horizontal="center" vertical="center"/>
      <protection locked="0"/>
    </xf>
    <xf numFmtId="0" fontId="8" fillId="9" borderId="29" xfId="0" applyFont="1" applyFill="1" applyBorder="1" applyAlignment="1" applyProtection="1">
      <alignment horizontal="center" vertical="center"/>
      <protection hidden="1"/>
    </xf>
    <xf numFmtId="0" fontId="8" fillId="9" borderId="30" xfId="0" applyFont="1" applyFill="1" applyBorder="1" applyAlignment="1" applyProtection="1">
      <alignment horizontal="center" vertical="center"/>
      <protection hidden="1"/>
    </xf>
    <xf numFmtId="0" fontId="8" fillId="9" borderId="27" xfId="0" applyFont="1" applyFill="1" applyBorder="1" applyAlignment="1" applyProtection="1">
      <alignment horizontal="center" vertical="center"/>
      <protection hidden="1"/>
    </xf>
    <xf numFmtId="0" fontId="8" fillId="12" borderId="32" xfId="0" applyFont="1" applyFill="1" applyBorder="1" applyAlignment="1" applyProtection="1">
      <alignment horizontal="center" vertical="center"/>
      <protection hidden="1"/>
    </xf>
    <xf numFmtId="0" fontId="8" fillId="12" borderId="38" xfId="0" applyFont="1" applyFill="1" applyBorder="1" applyAlignment="1" applyProtection="1">
      <alignment horizontal="center" vertical="center"/>
      <protection hidden="1"/>
    </xf>
    <xf numFmtId="0" fontId="8" fillId="8" borderId="42" xfId="0" applyFont="1" applyFill="1" applyBorder="1" applyAlignment="1" applyProtection="1">
      <alignment horizontal="center" vertical="center"/>
      <protection hidden="1"/>
    </xf>
    <xf numFmtId="0" fontId="8" fillId="8" borderId="38" xfId="0" applyFont="1" applyFill="1" applyBorder="1" applyAlignment="1" applyProtection="1">
      <alignment horizontal="center" vertical="center"/>
      <protection hidden="1"/>
    </xf>
    <xf numFmtId="0" fontId="8" fillId="10" borderId="42" xfId="0" applyFont="1" applyFill="1" applyBorder="1" applyAlignment="1" applyProtection="1">
      <alignment horizontal="center" vertical="center"/>
      <protection hidden="1"/>
    </xf>
    <xf numFmtId="0" fontId="8" fillId="10" borderId="35" xfId="0" applyFont="1" applyFill="1" applyBorder="1" applyAlignment="1" applyProtection="1">
      <alignment horizontal="center" vertical="center"/>
      <protection hidden="1"/>
    </xf>
    <xf numFmtId="0" fontId="8" fillId="10" borderId="38" xfId="0" applyFont="1" applyFill="1" applyBorder="1" applyAlignment="1" applyProtection="1">
      <alignment horizontal="center" vertical="center"/>
      <protection hidden="1"/>
    </xf>
    <xf numFmtId="0" fontId="8" fillId="13" borderId="37" xfId="0" applyFont="1" applyFill="1" applyBorder="1" applyAlignment="1" applyProtection="1">
      <alignment horizontal="center" vertical="center"/>
      <protection locked="0"/>
    </xf>
    <xf numFmtId="0" fontId="8" fillId="13" borderId="48" xfId="0" applyFont="1" applyFill="1" applyBorder="1" applyAlignment="1" applyProtection="1">
      <alignment horizontal="center" vertical="center"/>
      <protection locked="0"/>
    </xf>
    <xf numFmtId="0" fontId="8" fillId="7" borderId="39" xfId="0" applyFont="1" applyFill="1" applyBorder="1" applyAlignment="1" applyProtection="1">
      <alignment horizontal="center" vertical="center"/>
      <protection locked="0"/>
    </xf>
    <xf numFmtId="0" fontId="8" fillId="13" borderId="31" xfId="0" applyFont="1" applyFill="1" applyBorder="1" applyAlignment="1" applyProtection="1">
      <alignment horizontal="center" vertical="center"/>
      <protection locked="0"/>
    </xf>
    <xf numFmtId="0" fontId="8" fillId="13" borderId="46" xfId="0" applyFont="1" applyFill="1" applyBorder="1" applyAlignment="1" applyProtection="1">
      <alignment horizontal="center" vertical="center"/>
      <protection locked="0"/>
    </xf>
    <xf numFmtId="0" fontId="8" fillId="12" borderId="44" xfId="0" applyFont="1" applyFill="1" applyBorder="1" applyAlignment="1" applyProtection="1">
      <alignment horizontal="center" vertical="center"/>
      <protection locked="0"/>
    </xf>
    <xf numFmtId="0" fontId="8" fillId="12" borderId="39" xfId="0" applyFont="1" applyFill="1" applyBorder="1" applyAlignment="1" applyProtection="1">
      <alignment horizontal="center" vertical="center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39" xfId="0" applyFont="1" applyFill="1" applyBorder="1" applyAlignment="1" applyProtection="1">
      <alignment horizontal="center" vertical="center"/>
      <protection locked="0"/>
    </xf>
    <xf numFmtId="0" fontId="8" fillId="14" borderId="23" xfId="0" applyFont="1" applyFill="1" applyBorder="1" applyAlignment="1" applyProtection="1">
      <alignment horizontal="center" vertical="center"/>
      <protection locked="0"/>
    </xf>
    <xf numFmtId="0" fontId="8" fillId="14" borderId="24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8" fillId="9" borderId="34" xfId="0" applyFont="1" applyFill="1" applyBorder="1" applyAlignment="1" applyProtection="1">
      <alignment horizontal="center" vertical="center"/>
      <protection locked="0"/>
    </xf>
    <xf numFmtId="0" fontId="8" fillId="9" borderId="45" xfId="0" applyFont="1" applyFill="1" applyBorder="1" applyAlignment="1" applyProtection="1">
      <alignment horizontal="center" vertical="center"/>
      <protection locked="0"/>
    </xf>
    <xf numFmtId="0" fontId="8" fillId="9" borderId="51" xfId="0" applyFont="1" applyFill="1" applyBorder="1" applyAlignment="1" applyProtection="1">
      <alignment horizontal="center" vertical="center"/>
      <protection locked="0"/>
    </xf>
    <xf numFmtId="0" fontId="8" fillId="9" borderId="54" xfId="0" applyFont="1" applyFill="1" applyBorder="1" applyAlignment="1" applyProtection="1">
      <alignment horizontal="center" vertical="center"/>
      <protection locked="0"/>
    </xf>
    <xf numFmtId="0" fontId="8" fillId="9" borderId="36" xfId="0" applyFont="1" applyFill="1" applyBorder="1" applyAlignment="1" applyProtection="1">
      <alignment horizontal="center" vertical="center"/>
      <protection locked="0"/>
    </xf>
    <xf numFmtId="0" fontId="8" fillId="7" borderId="41" xfId="0" applyFont="1" applyFill="1" applyBorder="1" applyAlignment="1" applyProtection="1">
      <alignment horizontal="center" vertical="center"/>
      <protection locked="0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9966FF"/>
      <color rgb="FFCC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539750</xdr:colOff>
      <xdr:row>21</xdr:row>
      <xdr:rowOff>107950</xdr:rowOff>
    </xdr:from>
    <xdr:to>
      <xdr:col>13</xdr:col>
      <xdr:colOff>209793</xdr:colOff>
      <xdr:row>30</xdr:row>
      <xdr:rowOff>31840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EE73546-B912-3170-69B9-0289E2986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4083050"/>
          <a:ext cx="4724643" cy="1752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D274-0C8A-4AA6-A3A3-A2883E6F8B12}">
  <dimension ref="B1:BA66"/>
  <sheetViews>
    <sheetView tabSelected="1" zoomScaleNormal="100" workbookViewId="0">
      <selection activeCell="D19" sqref="D19"/>
    </sheetView>
  </sheetViews>
  <sheetFormatPr defaultRowHeight="17" x14ac:dyDescent="0.45"/>
  <cols>
    <col min="1" max="1" width="5.58203125" style="7" customWidth="1"/>
    <col min="2" max="2" width="18.58203125" style="6" customWidth="1"/>
    <col min="3" max="3" width="32.58203125" style="6" customWidth="1"/>
    <col min="4" max="7" width="16.58203125" style="6" customWidth="1"/>
    <col min="8" max="8" width="13.58203125" style="6" customWidth="1"/>
    <col min="9" max="9" width="5.58203125" style="6" customWidth="1"/>
    <col min="10" max="15" width="16.58203125" style="6" customWidth="1"/>
    <col min="16" max="24" width="16.58203125" style="6" hidden="1" customWidth="1"/>
    <col min="25" max="26" width="16.58203125" style="6" customWidth="1"/>
    <col min="27" max="27" width="16.58203125" style="6" hidden="1" customWidth="1"/>
    <col min="28" max="29" width="10.58203125" style="6" hidden="1" customWidth="1"/>
    <col min="30" max="30" width="15.75" style="6" hidden="1" customWidth="1"/>
    <col min="31" max="31" width="10.58203125" style="6" hidden="1" customWidth="1"/>
    <col min="32" max="32" width="3.58203125" style="6" hidden="1" customWidth="1"/>
    <col min="33" max="35" width="16.58203125" style="6" hidden="1" customWidth="1"/>
    <col min="36" max="36" width="3.58203125" style="6" hidden="1" customWidth="1"/>
    <col min="37" max="37" width="16.58203125" style="6" hidden="1" customWidth="1"/>
    <col min="38" max="38" width="15.58203125" style="6" hidden="1" customWidth="1"/>
    <col min="39" max="39" width="3.58203125" style="6" hidden="1" customWidth="1"/>
    <col min="40" max="41" width="15.58203125" style="6" hidden="1" customWidth="1"/>
    <col min="42" max="42" width="3.58203125" style="6" hidden="1" customWidth="1"/>
    <col min="43" max="43" width="15.58203125" style="6" hidden="1" customWidth="1"/>
    <col min="44" max="44" width="5.58203125" style="6" hidden="1" customWidth="1"/>
    <col min="45" max="45" width="15.58203125" style="6" hidden="1" customWidth="1"/>
    <col min="46" max="48" width="10.58203125" style="6" hidden="1" customWidth="1"/>
    <col min="49" max="49" width="5.58203125" style="6" hidden="1" customWidth="1"/>
    <col min="50" max="53" width="15.58203125" style="7" hidden="1" customWidth="1"/>
    <col min="54" max="56" width="15.58203125" style="7" customWidth="1"/>
    <col min="57" max="16384" width="8.6640625" style="7"/>
  </cols>
  <sheetData>
    <row r="1" spans="2:52" ht="5" customHeight="1" thickBot="1" x14ac:dyDescent="0.5"/>
    <row r="2" spans="2:52" s="9" customFormat="1" ht="22" customHeight="1" thickBot="1" x14ac:dyDescent="0.5">
      <c r="B2" s="104" t="s">
        <v>71</v>
      </c>
      <c r="C2" s="105"/>
      <c r="D2" s="105"/>
      <c r="E2" s="105"/>
      <c r="F2" s="105"/>
      <c r="G2" s="10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52" ht="5" customHeight="1" thickBot="1" x14ac:dyDescent="0.5">
      <c r="B3" s="10"/>
      <c r="G3" s="11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2:52" s="14" customFormat="1" ht="18" customHeight="1" thickTop="1" thickBot="1" x14ac:dyDescent="0.5">
      <c r="B4" s="12" t="s">
        <v>47</v>
      </c>
      <c r="C4" s="82" t="s">
        <v>117</v>
      </c>
      <c r="D4" s="12" t="s">
        <v>59</v>
      </c>
      <c r="E4" s="12" t="s">
        <v>60</v>
      </c>
      <c r="F4" s="12" t="s">
        <v>1</v>
      </c>
      <c r="G4" s="12" t="s">
        <v>50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2:52" ht="16" customHeight="1" thickBot="1" x14ac:dyDescent="0.5">
      <c r="B5" s="15" t="s">
        <v>2</v>
      </c>
      <c r="C5" s="2">
        <v>5</v>
      </c>
      <c r="D5" s="160">
        <v>921</v>
      </c>
      <c r="E5" s="162">
        <v>3688</v>
      </c>
      <c r="F5" s="160">
        <v>103.6</v>
      </c>
      <c r="G5" s="162">
        <v>150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2:52" ht="16" customHeight="1" thickBot="1" x14ac:dyDescent="0.5">
      <c r="B6" s="17" t="s">
        <v>3</v>
      </c>
      <c r="C6" s="17">
        <f>(VLOOKUP($C$4,$AS$36:$AV$38,4,FALSE))</f>
        <v>15513</v>
      </c>
      <c r="D6" s="161"/>
      <c r="E6" s="163"/>
      <c r="F6" s="161"/>
      <c r="G6" s="163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2:52" ht="5" customHeight="1" thickTop="1" thickBot="1" x14ac:dyDescent="0.5">
      <c r="B7" s="10"/>
      <c r="G7" s="11"/>
    </row>
    <row r="8" spans="2:52" ht="18" customHeight="1" thickBot="1" x14ac:dyDescent="0.5">
      <c r="B8" s="56" t="s">
        <v>54</v>
      </c>
      <c r="C8" s="118" t="s">
        <v>133</v>
      </c>
      <c r="D8" s="119"/>
      <c r="E8" s="119" t="s">
        <v>69</v>
      </c>
      <c r="F8" s="124"/>
      <c r="G8" s="124"/>
      <c r="AA8" s="134" t="s">
        <v>75</v>
      </c>
      <c r="AB8" s="135"/>
      <c r="AC8" s="134" t="s">
        <v>82</v>
      </c>
      <c r="AD8" s="136"/>
      <c r="AE8" s="135"/>
      <c r="AG8" s="6" t="s">
        <v>92</v>
      </c>
      <c r="AI8" s="16" t="s">
        <v>36</v>
      </c>
      <c r="AK8" s="6" t="s">
        <v>29</v>
      </c>
      <c r="AN8" s="6" t="s">
        <v>33</v>
      </c>
      <c r="AQ8" s="6" t="s">
        <v>50</v>
      </c>
    </row>
    <row r="9" spans="2:52" s="25" customFormat="1" ht="16" customHeight="1" thickTop="1" thickBot="1" x14ac:dyDescent="0.5">
      <c r="B9" s="139" t="s">
        <v>38</v>
      </c>
      <c r="C9" s="69" t="s">
        <v>39</v>
      </c>
      <c r="D9" s="85">
        <v>90</v>
      </c>
      <c r="E9" s="164" t="s">
        <v>61</v>
      </c>
      <c r="F9" s="165"/>
      <c r="G9" s="83">
        <v>10</v>
      </c>
      <c r="H9" s="18"/>
      <c r="I9" s="18"/>
      <c r="J9" s="6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9" t="s">
        <v>39</v>
      </c>
      <c r="AB9" s="20">
        <f>$D$9</f>
        <v>90</v>
      </c>
      <c r="AC9" s="19">
        <f>1+$G$9%</f>
        <v>1.1000000000000001</v>
      </c>
      <c r="AD9" s="21"/>
      <c r="AE9" s="20"/>
      <c r="AF9" s="18"/>
      <c r="AG9" s="18">
        <f>($D$5/1000)+1</f>
        <v>1.921</v>
      </c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22" t="s">
        <v>4</v>
      </c>
      <c r="AT9" s="23" t="s">
        <v>5</v>
      </c>
      <c r="AU9" s="23" t="s">
        <v>6</v>
      </c>
      <c r="AV9" s="24" t="s">
        <v>7</v>
      </c>
      <c r="AX9" s="125" t="s">
        <v>36</v>
      </c>
      <c r="AY9" s="126"/>
      <c r="AZ9" s="127"/>
    </row>
    <row r="10" spans="2:52" s="25" customFormat="1" ht="16" customHeight="1" x14ac:dyDescent="0.45">
      <c r="B10" s="140"/>
      <c r="C10" s="61" t="s">
        <v>40</v>
      </c>
      <c r="D10" s="83"/>
      <c r="E10" s="164" t="s">
        <v>66</v>
      </c>
      <c r="F10" s="165"/>
      <c r="G10" s="83"/>
      <c r="H10" s="18"/>
      <c r="I10" s="18"/>
      <c r="J10" s="62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28" t="s">
        <v>76</v>
      </c>
      <c r="AB10" s="29">
        <f>AB9</f>
        <v>90</v>
      </c>
      <c r="AC10" s="28">
        <f>1+$G$10%</f>
        <v>1</v>
      </c>
      <c r="AD10" s="18"/>
      <c r="AE10" s="29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26" t="s">
        <v>10</v>
      </c>
      <c r="AT10" s="30">
        <v>0.22</v>
      </c>
      <c r="AU10" s="30">
        <f>AT10/10</f>
        <v>2.1999999999999999E-2</v>
      </c>
      <c r="AV10" s="27">
        <v>1.1000000000000001</v>
      </c>
      <c r="AX10" s="31" t="s">
        <v>0</v>
      </c>
      <c r="AY10" s="32" t="s">
        <v>8</v>
      </c>
      <c r="AZ10" s="33" t="s">
        <v>9</v>
      </c>
    </row>
    <row r="11" spans="2:52" s="25" customFormat="1" ht="16" customHeight="1" x14ac:dyDescent="0.45">
      <c r="B11" s="140"/>
      <c r="C11" s="61" t="s">
        <v>41</v>
      </c>
      <c r="D11" s="83"/>
      <c r="E11" s="164"/>
      <c r="F11" s="165"/>
      <c r="G11" s="83"/>
      <c r="H11" s="18"/>
      <c r="I11" s="18"/>
      <c r="J11" s="62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28"/>
      <c r="AB11" s="29"/>
      <c r="AC11" s="28">
        <f>1+$G$11%</f>
        <v>1</v>
      </c>
      <c r="AD11" s="18"/>
      <c r="AE11" s="29"/>
      <c r="AF11" s="18"/>
      <c r="AG11" s="18"/>
      <c r="AH11" s="18" t="s">
        <v>103</v>
      </c>
      <c r="AI11" s="18"/>
      <c r="AJ11" s="18"/>
      <c r="AK11" s="18">
        <f>(VLOOKUP($AK$8,$AS$10:$AU$31,2,FALSE)+(VLOOKUP($AK$8,$AS$10:$AU$31,3,FALSE)*($C$5-1)))</f>
        <v>1.26</v>
      </c>
      <c r="AL11" s="18"/>
      <c r="AM11" s="18"/>
      <c r="AN11" s="18">
        <f>(VLOOKUP($AN$8,$AS$10:$AU$31,2,FALSE)+(VLOOKUP($AK$8,$AS$10:$AU$31,3,FALSE)*($C$5-1)))</f>
        <v>1.7599999999999998</v>
      </c>
      <c r="AO11" s="18"/>
      <c r="AP11" s="18"/>
      <c r="AQ11" s="18">
        <v>1.5</v>
      </c>
      <c r="AR11" s="18"/>
      <c r="AS11" s="31" t="s">
        <v>12</v>
      </c>
      <c r="AT11" s="34">
        <v>0.22</v>
      </c>
      <c r="AU11" s="34">
        <f t="shared" ref="AU11:AU28" si="0">AT11/10</f>
        <v>2.1999999999999999E-2</v>
      </c>
      <c r="AV11" s="33">
        <v>1.1000000000000001</v>
      </c>
      <c r="AX11" s="31" t="s">
        <v>37</v>
      </c>
      <c r="AY11" s="32">
        <v>1</v>
      </c>
      <c r="AZ11" s="33">
        <v>1</v>
      </c>
    </row>
    <row r="12" spans="2:52" s="25" customFormat="1" ht="16" customHeight="1" x14ac:dyDescent="0.45">
      <c r="B12" s="140"/>
      <c r="C12" s="61" t="s">
        <v>70</v>
      </c>
      <c r="D12" s="83"/>
      <c r="E12" s="168"/>
      <c r="F12" s="168"/>
      <c r="G12" s="83"/>
      <c r="H12" s="18"/>
      <c r="I12" s="18"/>
      <c r="J12" s="6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28"/>
      <c r="AB12" s="29"/>
      <c r="AC12" s="28">
        <f>1+$G$12%</f>
        <v>1</v>
      </c>
      <c r="AD12" s="18"/>
      <c r="AE12" s="29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31" t="s">
        <v>14</v>
      </c>
      <c r="AT12" s="34">
        <v>0.2</v>
      </c>
      <c r="AU12" s="34">
        <f t="shared" si="0"/>
        <v>0.02</v>
      </c>
      <c r="AV12" s="33">
        <v>1.1000000000000001</v>
      </c>
      <c r="AX12" s="31" t="s">
        <v>11</v>
      </c>
      <c r="AY12" s="32">
        <v>0.41909999999999997</v>
      </c>
      <c r="AZ12" s="35">
        <v>0.92</v>
      </c>
    </row>
    <row r="13" spans="2:52" s="25" customFormat="1" ht="16" customHeight="1" x14ac:dyDescent="0.45">
      <c r="B13" s="140"/>
      <c r="C13" s="61" t="s">
        <v>42</v>
      </c>
      <c r="D13" s="83"/>
      <c r="E13" s="168"/>
      <c r="F13" s="168"/>
      <c r="G13" s="83"/>
      <c r="H13" s="18"/>
      <c r="I13" s="18"/>
      <c r="J13" s="62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8"/>
      <c r="AB13" s="29"/>
      <c r="AC13" s="28">
        <f>1+$G$13%</f>
        <v>1</v>
      </c>
      <c r="AD13" s="18"/>
      <c r="AE13" s="29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31" t="s">
        <v>16</v>
      </c>
      <c r="AT13" s="34">
        <v>0.18</v>
      </c>
      <c r="AU13" s="34">
        <f t="shared" si="0"/>
        <v>1.7999999999999999E-2</v>
      </c>
      <c r="AV13" s="33">
        <v>1.1000000000000001</v>
      </c>
      <c r="AX13" s="31" t="s">
        <v>13</v>
      </c>
      <c r="AY13" s="32">
        <v>0.33805000000000002</v>
      </c>
      <c r="AZ13" s="35">
        <v>0.74399999999999999</v>
      </c>
    </row>
    <row r="14" spans="2:52" s="25" customFormat="1" ht="16" customHeight="1" thickBot="1" x14ac:dyDescent="0.5">
      <c r="B14" s="140"/>
      <c r="C14" s="61"/>
      <c r="D14" s="83"/>
      <c r="E14" s="164"/>
      <c r="F14" s="165"/>
      <c r="G14" s="83"/>
      <c r="H14" s="18"/>
      <c r="I14" s="18"/>
      <c r="J14" s="62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8"/>
      <c r="AB14" s="29"/>
      <c r="AC14" s="28">
        <f>1+$G$14%</f>
        <v>1</v>
      </c>
      <c r="AD14" s="18"/>
      <c r="AE14" s="29"/>
      <c r="AF14" s="18"/>
      <c r="AG14" s="18"/>
      <c r="AH14" s="18" t="s">
        <v>102</v>
      </c>
      <c r="AI14" s="18"/>
      <c r="AJ14" s="18"/>
      <c r="AK14" s="18">
        <f>$AK$11*(IF($H$27="미적용",1,IF($H$27="강화",1.5,IF($H$27="포악",3))))</f>
        <v>1.26</v>
      </c>
      <c r="AL14" s="18"/>
      <c r="AM14" s="18"/>
      <c r="AN14" s="18"/>
      <c r="AO14" s="18"/>
      <c r="AP14" s="18"/>
      <c r="AQ14" s="18"/>
      <c r="AR14" s="18"/>
      <c r="AS14" s="31" t="s">
        <v>17</v>
      </c>
      <c r="AT14" s="34">
        <v>0.17</v>
      </c>
      <c r="AU14" s="34">
        <f t="shared" si="0"/>
        <v>1.7000000000000001E-2</v>
      </c>
      <c r="AV14" s="33">
        <v>1.1000000000000001</v>
      </c>
      <c r="AX14" s="36" t="s">
        <v>15</v>
      </c>
      <c r="AY14" s="37">
        <v>0.26019999999999999</v>
      </c>
      <c r="AZ14" s="38">
        <v>0.57499999999999996</v>
      </c>
    </row>
    <row r="15" spans="2:52" s="25" customFormat="1" ht="16" customHeight="1" thickBot="1" x14ac:dyDescent="0.5">
      <c r="B15" s="140"/>
      <c r="C15" s="61"/>
      <c r="D15" s="83"/>
      <c r="E15" s="164"/>
      <c r="F15" s="165"/>
      <c r="G15" s="83"/>
      <c r="H15" s="18"/>
      <c r="I15" s="18"/>
      <c r="J15" s="62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8"/>
      <c r="AB15" s="29"/>
      <c r="AC15" s="28">
        <f>1+$G$15%</f>
        <v>1</v>
      </c>
      <c r="AD15" s="18"/>
      <c r="AE15" s="29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31" t="s">
        <v>18</v>
      </c>
      <c r="AT15" s="34">
        <v>0.75</v>
      </c>
      <c r="AU15" s="34">
        <f t="shared" si="0"/>
        <v>7.4999999999999997E-2</v>
      </c>
      <c r="AV15" s="33">
        <v>1.1000000000000001</v>
      </c>
    </row>
    <row r="16" spans="2:52" s="25" customFormat="1" ht="16" customHeight="1" x14ac:dyDescent="0.45">
      <c r="B16" s="140"/>
      <c r="C16" s="70"/>
      <c r="D16" s="86"/>
      <c r="E16" s="166"/>
      <c r="F16" s="167"/>
      <c r="G16" s="86"/>
      <c r="H16" s="18"/>
      <c r="I16" s="18"/>
      <c r="J16" s="62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8" t="s">
        <v>77</v>
      </c>
      <c r="AB16" s="29">
        <f>SUM($D$10:$D$16)</f>
        <v>0</v>
      </c>
      <c r="AC16" s="28">
        <f>1+$G$16%</f>
        <v>1</v>
      </c>
      <c r="AD16" s="18" t="s">
        <v>84</v>
      </c>
      <c r="AE16" s="29">
        <f>PRODUCT(AC9:AC16)</f>
        <v>1.1000000000000001</v>
      </c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31" t="s">
        <v>19</v>
      </c>
      <c r="AT16" s="34">
        <v>0.4</v>
      </c>
      <c r="AU16" s="34">
        <f t="shared" si="0"/>
        <v>0.04</v>
      </c>
      <c r="AV16" s="33">
        <v>1.1000000000000001</v>
      </c>
      <c r="AX16" s="125" t="s">
        <v>45</v>
      </c>
      <c r="AY16" s="126"/>
      <c r="AZ16" s="127"/>
    </row>
    <row r="17" spans="2:52" s="25" customFormat="1" ht="16" customHeight="1" x14ac:dyDescent="0.45">
      <c r="B17" s="140"/>
      <c r="C17" s="71" t="s">
        <v>72</v>
      </c>
      <c r="D17" s="87"/>
      <c r="E17" s="116" t="s">
        <v>83</v>
      </c>
      <c r="F17" s="117"/>
      <c r="G17" s="87"/>
      <c r="H17" s="18"/>
      <c r="I17" s="18"/>
      <c r="J17" s="66" t="s">
        <v>124</v>
      </c>
      <c r="K17" s="67"/>
      <c r="L17" s="67"/>
      <c r="M17" s="67"/>
      <c r="N17" s="67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8"/>
      <c r="AB17" s="29"/>
      <c r="AC17" s="28">
        <f>1+G17%</f>
        <v>1</v>
      </c>
      <c r="AD17" s="18"/>
      <c r="AE17" s="29"/>
      <c r="AF17" s="18"/>
      <c r="AG17" s="18"/>
      <c r="AH17" s="18" t="s">
        <v>91</v>
      </c>
      <c r="AI17" s="39">
        <f>$AT$31</f>
        <v>15513</v>
      </c>
      <c r="AJ17" s="18"/>
      <c r="AK17" s="18">
        <f>$E$5*$AK$14</f>
        <v>4646.88</v>
      </c>
      <c r="AL17" s="18"/>
      <c r="AM17" s="18"/>
      <c r="AN17" s="18">
        <f>$E$5*$AN$11</f>
        <v>6490.8799999999992</v>
      </c>
      <c r="AO17" s="18"/>
      <c r="AP17" s="18"/>
      <c r="AQ17" s="39">
        <f>$E$51*$G$5%</f>
        <v>59970.918157083666</v>
      </c>
      <c r="AR17" s="18"/>
      <c r="AS17" s="31" t="s">
        <v>20</v>
      </c>
      <c r="AT17" s="34">
        <v>0.35</v>
      </c>
      <c r="AU17" s="34">
        <f t="shared" si="0"/>
        <v>3.4999999999999996E-2</v>
      </c>
      <c r="AV17" s="33">
        <v>1.1000000000000001</v>
      </c>
      <c r="AX17" s="31" t="s">
        <v>0</v>
      </c>
      <c r="AY17" s="32" t="s">
        <v>8</v>
      </c>
      <c r="AZ17" s="33" t="s">
        <v>9</v>
      </c>
    </row>
    <row r="18" spans="2:52" s="25" customFormat="1" ht="16" customHeight="1" x14ac:dyDescent="0.45">
      <c r="B18" s="140"/>
      <c r="C18" s="3" t="s">
        <v>44</v>
      </c>
      <c r="D18" s="88"/>
      <c r="E18" s="137" t="s">
        <v>135</v>
      </c>
      <c r="F18" s="138"/>
      <c r="G18" s="88"/>
      <c r="H18" s="18"/>
      <c r="I18" s="18"/>
      <c r="J18" s="68" t="s">
        <v>130</v>
      </c>
      <c r="K18" s="67"/>
      <c r="L18" s="67"/>
      <c r="M18" s="67"/>
      <c r="N18" s="67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8"/>
      <c r="AB18" s="29"/>
      <c r="AC18" s="28">
        <f>1+$G$18%</f>
        <v>1</v>
      </c>
      <c r="AD18" s="18"/>
      <c r="AE18" s="29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31" t="s">
        <v>23</v>
      </c>
      <c r="AT18" s="34">
        <v>0.5</v>
      </c>
      <c r="AU18" s="34">
        <f t="shared" si="0"/>
        <v>0.05</v>
      </c>
      <c r="AV18" s="33">
        <v>1.1000000000000001</v>
      </c>
      <c r="AX18" s="31" t="s">
        <v>37</v>
      </c>
      <c r="AY18" s="32">
        <v>1</v>
      </c>
      <c r="AZ18" s="33">
        <v>1</v>
      </c>
    </row>
    <row r="19" spans="2:52" s="25" customFormat="1" ht="16" customHeight="1" x14ac:dyDescent="0.45">
      <c r="B19" s="140"/>
      <c r="C19" s="3" t="s">
        <v>73</v>
      </c>
      <c r="D19" s="88"/>
      <c r="E19" s="137" t="s">
        <v>140</v>
      </c>
      <c r="F19" s="138"/>
      <c r="G19" s="8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28"/>
      <c r="AB19" s="29"/>
      <c r="AC19" s="28">
        <f>1+$G$19%</f>
        <v>1</v>
      </c>
      <c r="AD19" s="18"/>
      <c r="AE19" s="29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31" t="s">
        <v>24</v>
      </c>
      <c r="AT19" s="34">
        <v>0.25</v>
      </c>
      <c r="AU19" s="34">
        <f t="shared" si="0"/>
        <v>2.5000000000000001E-2</v>
      </c>
      <c r="AV19" s="33">
        <v>1.1000000000000001</v>
      </c>
      <c r="AX19" s="31" t="s">
        <v>11</v>
      </c>
      <c r="AY19" s="32">
        <v>0.44800000000000001</v>
      </c>
      <c r="AZ19" s="33">
        <v>0.83699999999999997</v>
      </c>
    </row>
    <row r="20" spans="2:52" s="25" customFormat="1" ht="16" customHeight="1" x14ac:dyDescent="0.45">
      <c r="B20" s="140"/>
      <c r="C20" s="3" t="s">
        <v>136</v>
      </c>
      <c r="D20" s="88"/>
      <c r="E20" s="137"/>
      <c r="F20" s="138"/>
      <c r="G20" s="88"/>
      <c r="H20" s="18"/>
      <c r="I20" s="18"/>
      <c r="J20" s="63" t="s">
        <v>123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28"/>
      <c r="AB20" s="29"/>
      <c r="AC20" s="28">
        <f>1+$G$20%</f>
        <v>1</v>
      </c>
      <c r="AD20" s="18"/>
      <c r="AE20" s="29"/>
      <c r="AF20" s="18"/>
      <c r="AG20" s="18"/>
      <c r="AH20" s="18" t="s">
        <v>93</v>
      </c>
      <c r="AI20" s="18">
        <f>$AI$17*$AG$9</f>
        <v>29800.473000000002</v>
      </c>
      <c r="AJ20" s="18"/>
      <c r="AK20" s="18">
        <f>$AK$17*$AG$9</f>
        <v>8926.6564799999996</v>
      </c>
      <c r="AL20" s="18"/>
      <c r="AM20" s="18"/>
      <c r="AN20" s="18">
        <f>$AN$17*$AG$9</f>
        <v>12468.980479999998</v>
      </c>
      <c r="AO20" s="18"/>
      <c r="AP20" s="18"/>
      <c r="AQ20" s="18">
        <f>$AQ$17*$AG$9</f>
        <v>115204.13377975773</v>
      </c>
      <c r="AR20" s="18"/>
      <c r="AS20" s="31" t="s">
        <v>25</v>
      </c>
      <c r="AT20" s="34">
        <v>0.35</v>
      </c>
      <c r="AU20" s="34">
        <f t="shared" si="0"/>
        <v>3.4999999999999996E-2</v>
      </c>
      <c r="AV20" s="33">
        <v>1.1000000000000001</v>
      </c>
      <c r="AX20" s="31" t="s">
        <v>13</v>
      </c>
      <c r="AY20" s="32">
        <v>0.36499999999999999</v>
      </c>
      <c r="AZ20" s="33">
        <v>0.67600000000000005</v>
      </c>
    </row>
    <row r="21" spans="2:52" s="25" customFormat="1" ht="16" customHeight="1" thickBot="1" x14ac:dyDescent="0.5">
      <c r="B21" s="140"/>
      <c r="C21" s="3"/>
      <c r="D21" s="88"/>
      <c r="E21" s="137"/>
      <c r="F21" s="138"/>
      <c r="G21" s="8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28" t="s">
        <v>78</v>
      </c>
      <c r="AB21" s="29">
        <f>SUM($D$17:$D$23)</f>
        <v>0</v>
      </c>
      <c r="AC21" s="28">
        <f>1+$G$21%</f>
        <v>1</v>
      </c>
      <c r="AD21" s="18"/>
      <c r="AE21" s="29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31" t="s">
        <v>26</v>
      </c>
      <c r="AT21" s="34">
        <v>0.7</v>
      </c>
      <c r="AU21" s="34">
        <f t="shared" si="0"/>
        <v>6.9999999999999993E-2</v>
      </c>
      <c r="AV21" s="33">
        <v>1.1000000000000001</v>
      </c>
      <c r="AX21" s="36" t="s">
        <v>15</v>
      </c>
      <c r="AY21" s="37">
        <v>0.28100000000000003</v>
      </c>
      <c r="AZ21" s="40">
        <v>0.52300000000000002</v>
      </c>
    </row>
    <row r="22" spans="2:52" s="25" customFormat="1" ht="16" customHeight="1" x14ac:dyDescent="0.45">
      <c r="B22" s="140"/>
      <c r="C22" s="3"/>
      <c r="D22" s="88"/>
      <c r="E22" s="137"/>
      <c r="F22" s="138"/>
      <c r="G22" s="8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28"/>
      <c r="AB22" s="29"/>
      <c r="AC22" s="28">
        <f>1+$G$22%</f>
        <v>1</v>
      </c>
      <c r="AD22" s="18"/>
      <c r="AE22" s="29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31" t="s">
        <v>27</v>
      </c>
      <c r="AT22" s="34">
        <v>0.3</v>
      </c>
      <c r="AU22" s="34">
        <f t="shared" si="0"/>
        <v>0.03</v>
      </c>
      <c r="AV22" s="33">
        <v>1.1000000000000001</v>
      </c>
    </row>
    <row r="23" spans="2:52" s="25" customFormat="1" ht="16" customHeight="1" thickBot="1" x14ac:dyDescent="0.5">
      <c r="B23" s="140"/>
      <c r="C23" s="3"/>
      <c r="D23" s="88"/>
      <c r="E23" s="137"/>
      <c r="F23" s="138"/>
      <c r="G23" s="8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28"/>
      <c r="AB23" s="29"/>
      <c r="AC23" s="28">
        <f>1+$G$23%</f>
        <v>1</v>
      </c>
      <c r="AD23" s="18" t="s">
        <v>85</v>
      </c>
      <c r="AE23" s="29">
        <f>PRODUCT(AC17:AC23)</f>
        <v>1</v>
      </c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31" t="s">
        <v>28</v>
      </c>
      <c r="AT23" s="34">
        <v>0.3</v>
      </c>
      <c r="AU23" s="34">
        <v>0</v>
      </c>
      <c r="AV23" s="33">
        <v>1</v>
      </c>
      <c r="AX23" s="128" t="s">
        <v>22</v>
      </c>
      <c r="AY23" s="128"/>
      <c r="AZ23" s="128"/>
    </row>
    <row r="24" spans="2:52" s="25" customFormat="1" ht="16" customHeight="1" thickBot="1" x14ac:dyDescent="0.5">
      <c r="B24" s="141"/>
      <c r="C24" s="72" t="s">
        <v>46</v>
      </c>
      <c r="D24" s="84"/>
      <c r="E24" s="169" t="s">
        <v>68</v>
      </c>
      <c r="F24" s="169"/>
      <c r="G24" s="4" t="s">
        <v>137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41" t="s">
        <v>79</v>
      </c>
      <c r="AB24" s="42">
        <f>VLOOKUP($G$24,$AS$41:$AV$44,2,FALSE)</f>
        <v>16</v>
      </c>
      <c r="AC24" s="41"/>
      <c r="AD24" s="43" t="s">
        <v>79</v>
      </c>
      <c r="AE24" s="42">
        <f>IF($G$24="미적용",1, IF($G$24="취약",1.2, IF($G$24="취약+약육 강식",1.2)))</f>
        <v>1.2</v>
      </c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31" t="s">
        <v>29</v>
      </c>
      <c r="AT24" s="34">
        <v>0.9</v>
      </c>
      <c r="AU24" s="34">
        <f t="shared" si="0"/>
        <v>0.09</v>
      </c>
      <c r="AV24" s="33">
        <v>1</v>
      </c>
      <c r="AX24" s="26" t="s">
        <v>36</v>
      </c>
      <c r="AY24" s="27">
        <v>5</v>
      </c>
      <c r="AZ24" s="20">
        <v>5</v>
      </c>
    </row>
    <row r="25" spans="2:52" s="25" customFormat="1" ht="16" customHeight="1" x14ac:dyDescent="0.45">
      <c r="B25" s="142" t="s">
        <v>47</v>
      </c>
      <c r="C25" s="57" t="s">
        <v>47</v>
      </c>
      <c r="D25" s="89">
        <v>16</v>
      </c>
      <c r="E25" s="154" t="s">
        <v>64</v>
      </c>
      <c r="F25" s="154"/>
      <c r="G25" s="89">
        <v>60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9"/>
      <c r="AB25" s="20"/>
      <c r="AC25" s="19">
        <f>1+$G$25%</f>
        <v>1.6</v>
      </c>
      <c r="AD25" s="21"/>
      <c r="AE25" s="20"/>
      <c r="AF25" s="18"/>
      <c r="AG25" s="18"/>
      <c r="AH25" s="18"/>
      <c r="AI25" s="18"/>
      <c r="AJ25" s="18"/>
      <c r="AK25" s="18" t="s">
        <v>104</v>
      </c>
      <c r="AL25" s="18" t="s">
        <v>105</v>
      </c>
      <c r="AM25" s="18"/>
      <c r="AN25" s="18" t="s">
        <v>104</v>
      </c>
      <c r="AO25" s="18" t="s">
        <v>105</v>
      </c>
      <c r="AP25" s="18"/>
      <c r="AQ25" s="18"/>
      <c r="AR25" s="18"/>
      <c r="AS25" s="31" t="s">
        <v>30</v>
      </c>
      <c r="AT25" s="34">
        <v>0.46</v>
      </c>
      <c r="AU25" s="34">
        <f t="shared" si="0"/>
        <v>4.5999999999999999E-2</v>
      </c>
      <c r="AV25" s="33">
        <v>1.1000000000000001</v>
      </c>
      <c r="AX25" s="31" t="s">
        <v>29</v>
      </c>
      <c r="AY25" s="33">
        <v>2</v>
      </c>
      <c r="AZ25" s="29">
        <f>$AY$25*(IF($H$27="미적용",1, IF($H$27="강화",1.5, IF($H$27="포악",3))))</f>
        <v>2</v>
      </c>
    </row>
    <row r="26" spans="2:52" s="25" customFormat="1" ht="16" customHeight="1" thickBot="1" x14ac:dyDescent="0.5">
      <c r="B26" s="143"/>
      <c r="C26" s="58"/>
      <c r="D26" s="90"/>
      <c r="E26" s="155"/>
      <c r="F26" s="155"/>
      <c r="G26" s="90"/>
      <c r="H26" s="55" t="s">
        <v>21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44" t="s">
        <v>47</v>
      </c>
      <c r="AB26" s="45">
        <f>SUM($D$25:$D$26)</f>
        <v>16</v>
      </c>
      <c r="AC26" s="44">
        <f>1+$G$26%</f>
        <v>1</v>
      </c>
      <c r="AD26" s="46" t="s">
        <v>86</v>
      </c>
      <c r="AE26" s="45">
        <f>PRODUCT(AC25:AC26)</f>
        <v>1.6</v>
      </c>
      <c r="AF26" s="18"/>
      <c r="AG26" s="18"/>
      <c r="AH26" s="18"/>
      <c r="AI26" s="18"/>
      <c r="AJ26" s="18"/>
      <c r="AK26" s="25" t="s">
        <v>75</v>
      </c>
      <c r="AM26" s="18"/>
      <c r="AN26" s="18"/>
      <c r="AO26" s="18"/>
      <c r="AP26" s="18"/>
      <c r="AQ26" s="18"/>
      <c r="AR26" s="18"/>
      <c r="AS26" s="31" t="s">
        <v>31</v>
      </c>
      <c r="AT26" s="34">
        <v>0.75</v>
      </c>
      <c r="AU26" s="34">
        <f t="shared" si="0"/>
        <v>7.4999999999999997E-2</v>
      </c>
      <c r="AV26" s="33">
        <v>1.1000000000000001</v>
      </c>
      <c r="AX26" s="36" t="s">
        <v>33</v>
      </c>
      <c r="AY26" s="40">
        <v>6</v>
      </c>
      <c r="AZ26" s="45">
        <v>6</v>
      </c>
    </row>
    <row r="27" spans="2:52" s="25" customFormat="1" ht="16" customHeight="1" x14ac:dyDescent="0.45">
      <c r="B27" s="144" t="s">
        <v>55</v>
      </c>
      <c r="C27" s="59" t="s">
        <v>48</v>
      </c>
      <c r="D27" s="91"/>
      <c r="E27" s="156" t="s">
        <v>62</v>
      </c>
      <c r="F27" s="156"/>
      <c r="G27" s="91"/>
      <c r="H27" s="108" t="s">
        <v>139</v>
      </c>
      <c r="I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28"/>
      <c r="AB27" s="29"/>
      <c r="AC27" s="28">
        <f>1+$G$27%</f>
        <v>1</v>
      </c>
      <c r="AD27" s="18"/>
      <c r="AE27" s="29"/>
      <c r="AF27" s="18"/>
      <c r="AG27" s="18"/>
      <c r="AH27" s="18" t="s">
        <v>107</v>
      </c>
      <c r="AI27" s="18">
        <f>SUM($AB$9:$AB$26)</f>
        <v>212</v>
      </c>
      <c r="AJ27" s="18"/>
      <c r="AK27" s="18">
        <f>SUM($AB$9:$AB$28)-$AB$10</f>
        <v>122</v>
      </c>
      <c r="AL27" s="18">
        <f>SUM($AB$9:$AB$28)</f>
        <v>212</v>
      </c>
      <c r="AM27" s="18"/>
      <c r="AN27" s="18">
        <f>SUM($AB$9:$AB$26)-$AB$10</f>
        <v>122</v>
      </c>
      <c r="AO27" s="18">
        <f>SUM($AB$9:$AB$26)</f>
        <v>212</v>
      </c>
      <c r="AP27" s="18"/>
      <c r="AQ27" s="18">
        <f>SUM($AB$9:$AB$24)-$AB$10</f>
        <v>106</v>
      </c>
      <c r="AR27" s="18"/>
      <c r="AS27" s="31" t="s">
        <v>32</v>
      </c>
      <c r="AT27" s="34">
        <v>1.34</v>
      </c>
      <c r="AU27" s="34">
        <f t="shared" si="0"/>
        <v>0.13400000000000001</v>
      </c>
      <c r="AV27" s="33">
        <v>1.1000000000000001</v>
      </c>
    </row>
    <row r="28" spans="2:52" s="25" customFormat="1" ht="16" customHeight="1" thickBot="1" x14ac:dyDescent="0.5">
      <c r="B28" s="145"/>
      <c r="C28" s="60" t="s">
        <v>49</v>
      </c>
      <c r="D28" s="92"/>
      <c r="E28" s="157" t="s">
        <v>63</v>
      </c>
      <c r="F28" s="157"/>
      <c r="G28" s="92"/>
      <c r="H28" s="10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44" t="s">
        <v>55</v>
      </c>
      <c r="AB28" s="45">
        <f>SUM($D$27:$D$28)</f>
        <v>0</v>
      </c>
      <c r="AC28" s="44">
        <f>1+$G$28%</f>
        <v>1</v>
      </c>
      <c r="AD28" s="46" t="s">
        <v>87</v>
      </c>
      <c r="AE28" s="45">
        <f>PRODUCT(AC27:AC28)</f>
        <v>1</v>
      </c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>
        <f>SUM($AB$29:$AB$48)</f>
        <v>0</v>
      </c>
      <c r="AR28" s="18"/>
      <c r="AS28" s="31" t="s">
        <v>33</v>
      </c>
      <c r="AT28" s="34">
        <v>1.4</v>
      </c>
      <c r="AU28" s="34">
        <f t="shared" si="0"/>
        <v>0.13999999999999999</v>
      </c>
      <c r="AV28" s="33">
        <v>1</v>
      </c>
    </row>
    <row r="29" spans="2:52" s="25" customFormat="1" ht="16" customHeight="1" x14ac:dyDescent="0.45">
      <c r="B29" s="146" t="s">
        <v>50</v>
      </c>
      <c r="C29" s="73" t="s">
        <v>51</v>
      </c>
      <c r="D29" s="93"/>
      <c r="E29" s="112" t="s">
        <v>65</v>
      </c>
      <c r="F29" s="113"/>
      <c r="G29" s="93">
        <v>40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9"/>
      <c r="AB29" s="20"/>
      <c r="AC29" s="19">
        <f>1+$G$29%</f>
        <v>1.4</v>
      </c>
      <c r="AD29" s="21"/>
      <c r="AE29" s="20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47">
        <f>SUM(AQ27:AQ28)</f>
        <v>106</v>
      </c>
      <c r="AR29" s="18"/>
      <c r="AS29" s="31" t="s">
        <v>34</v>
      </c>
      <c r="AT29" s="34">
        <v>4.5999999999999996</v>
      </c>
      <c r="AU29" s="34">
        <v>0</v>
      </c>
      <c r="AV29" s="33">
        <v>1.1000000000000001</v>
      </c>
    </row>
    <row r="30" spans="2:52" s="25" customFormat="1" ht="16" customHeight="1" x14ac:dyDescent="0.45">
      <c r="B30" s="147"/>
      <c r="C30" s="74" t="s">
        <v>52</v>
      </c>
      <c r="D30" s="94"/>
      <c r="E30" s="114"/>
      <c r="F30" s="115"/>
      <c r="G30" s="9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28"/>
      <c r="AB30" s="29"/>
      <c r="AC30" s="28">
        <f>1+$G$30%</f>
        <v>1</v>
      </c>
      <c r="AD30" s="18"/>
      <c r="AE30" s="29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R30" s="18"/>
      <c r="AS30" s="31" t="s">
        <v>35</v>
      </c>
      <c r="AT30" s="34">
        <v>0.77</v>
      </c>
      <c r="AU30" s="34">
        <v>0</v>
      </c>
      <c r="AV30" s="33">
        <v>1.1000000000000001</v>
      </c>
    </row>
    <row r="31" spans="2:52" s="25" customFormat="1" ht="16" customHeight="1" thickBot="1" x14ac:dyDescent="0.5">
      <c r="B31" s="147"/>
      <c r="C31" s="74" t="s">
        <v>53</v>
      </c>
      <c r="D31" s="94"/>
      <c r="E31" s="114"/>
      <c r="F31" s="115"/>
      <c r="G31" s="94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8"/>
      <c r="AB31" s="29"/>
      <c r="AC31" s="28">
        <f>1+$G$31%</f>
        <v>1</v>
      </c>
      <c r="AD31" s="18"/>
      <c r="AE31" s="29"/>
      <c r="AF31" s="18"/>
      <c r="AG31" s="18"/>
      <c r="AH31" s="18" t="s">
        <v>94</v>
      </c>
      <c r="AI31" s="18">
        <f>$AI$20*(1+$AI$27%)</f>
        <v>92977.475760000016</v>
      </c>
      <c r="AJ31" s="18"/>
      <c r="AK31" s="18">
        <f>$AK$20*(1+$AK$27%)</f>
        <v>19817.177385599996</v>
      </c>
      <c r="AL31" s="18">
        <f>$AK$20*(1+$AL$27%)</f>
        <v>27851.168217599999</v>
      </c>
      <c r="AM31" s="18"/>
      <c r="AN31" s="18">
        <f>$AN$20*(1+$AN$27%)</f>
        <v>27681.136665599992</v>
      </c>
      <c r="AO31" s="18">
        <f>$AN$20*(1+$AO$27%)</f>
        <v>38903.219097599998</v>
      </c>
      <c r="AP31" s="18"/>
      <c r="AQ31" s="18">
        <f>$AQ$20*(1+$AQ$29%)</f>
        <v>237320.51558630093</v>
      </c>
      <c r="AR31" s="18"/>
      <c r="AS31" s="36" t="s">
        <v>36</v>
      </c>
      <c r="AT31" s="48">
        <v>15513</v>
      </c>
      <c r="AU31" s="48">
        <v>0</v>
      </c>
      <c r="AV31" s="40">
        <v>1</v>
      </c>
    </row>
    <row r="32" spans="2:52" s="25" customFormat="1" ht="16" customHeight="1" x14ac:dyDescent="0.45">
      <c r="B32" s="147"/>
      <c r="C32" s="74"/>
      <c r="D32" s="94"/>
      <c r="E32" s="114"/>
      <c r="F32" s="115"/>
      <c r="G32" s="94"/>
      <c r="H32" s="18"/>
      <c r="I32" s="18"/>
      <c r="J32" s="62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8"/>
      <c r="AB32" s="29"/>
      <c r="AC32" s="28">
        <f>1+$G$32%</f>
        <v>1</v>
      </c>
      <c r="AD32" s="18"/>
      <c r="AE32" s="29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</row>
    <row r="33" spans="2:50" s="25" customFormat="1" ht="16" customHeight="1" thickBot="1" x14ac:dyDescent="0.5">
      <c r="B33" s="147"/>
      <c r="C33" s="74"/>
      <c r="D33" s="94"/>
      <c r="E33" s="114"/>
      <c r="F33" s="115"/>
      <c r="G33" s="94"/>
      <c r="H33" s="18"/>
      <c r="I33" s="18"/>
      <c r="J33" s="62" t="s">
        <v>125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8"/>
      <c r="AB33" s="29"/>
      <c r="AC33" s="28">
        <f>1+$G$33%</f>
        <v>1</v>
      </c>
      <c r="AD33" s="18"/>
      <c r="AE33" s="29"/>
      <c r="AF33" s="18"/>
      <c r="AG33" s="18"/>
      <c r="AR33" s="18"/>
      <c r="AW33" s="18"/>
    </row>
    <row r="34" spans="2:50" s="25" customFormat="1" ht="16" customHeight="1" thickBot="1" x14ac:dyDescent="0.5">
      <c r="B34" s="147"/>
      <c r="C34" s="75"/>
      <c r="D34" s="95"/>
      <c r="E34" s="132"/>
      <c r="F34" s="133"/>
      <c r="G34" s="95"/>
      <c r="H34" s="18"/>
      <c r="I34" s="18"/>
      <c r="J34" s="62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8" t="s">
        <v>80</v>
      </c>
      <c r="AB34" s="29">
        <f>SUM($D$29:$D$34)</f>
        <v>0</v>
      </c>
      <c r="AC34" s="28">
        <f>1+$G$34%</f>
        <v>1</v>
      </c>
      <c r="AD34" s="18" t="s">
        <v>88</v>
      </c>
      <c r="AE34" s="29">
        <f>PRODUCT(AC29:AC34)</f>
        <v>1.4</v>
      </c>
      <c r="AF34" s="18"/>
      <c r="AG34" s="18"/>
      <c r="AH34" s="18" t="s">
        <v>106</v>
      </c>
      <c r="AI34" s="18">
        <f>$AE$16*$AE$23*$AE$24*$AE$26</f>
        <v>2.1120000000000001</v>
      </c>
      <c r="AJ34" s="18"/>
      <c r="AK34" s="18">
        <f>$AE$16*$AE$23*$AE$24*$AE$26*(1+$G$27%)</f>
        <v>2.1120000000000001</v>
      </c>
      <c r="AL34" s="18">
        <f>$AE$16*$AE$23*$AE$24*$AE$26*$AE$28</f>
        <v>2.1120000000000001</v>
      </c>
      <c r="AM34" s="18"/>
      <c r="AN34" s="18">
        <f>$AE$16*$AE$23*$AE$24*$AE$26</f>
        <v>2.1120000000000001</v>
      </c>
      <c r="AO34" s="18"/>
      <c r="AP34" s="18"/>
      <c r="AQ34" s="18">
        <f>$AE$16*$AE$23*$AE$24</f>
        <v>1.32</v>
      </c>
      <c r="AR34" s="18"/>
      <c r="AS34" s="129" t="s">
        <v>113</v>
      </c>
      <c r="AT34" s="130"/>
      <c r="AU34" s="130"/>
      <c r="AV34" s="131"/>
      <c r="AW34" s="18"/>
    </row>
    <row r="35" spans="2:50" s="25" customFormat="1" ht="16" customHeight="1" thickBot="1" x14ac:dyDescent="0.5">
      <c r="B35" s="147"/>
      <c r="C35" s="76" t="s">
        <v>43</v>
      </c>
      <c r="D35" s="96"/>
      <c r="E35" s="152"/>
      <c r="F35" s="153"/>
      <c r="G35" s="96"/>
      <c r="H35" s="18"/>
      <c r="I35" s="18"/>
      <c r="J35" s="62" t="s">
        <v>126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28"/>
      <c r="AB35" s="29"/>
      <c r="AC35" s="28">
        <f>1+$G$35%</f>
        <v>1</v>
      </c>
      <c r="AD35" s="18"/>
      <c r="AE35" s="29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>
        <f>$AE$34*$AE$41*$AE$48</f>
        <v>4.3007999999999997</v>
      </c>
      <c r="AR35" s="18"/>
      <c r="AS35" s="49"/>
      <c r="AT35" s="50" t="s">
        <v>114</v>
      </c>
      <c r="AU35" s="50" t="s">
        <v>101</v>
      </c>
      <c r="AV35" s="51" t="s">
        <v>115</v>
      </c>
      <c r="AW35" s="18"/>
    </row>
    <row r="36" spans="2:50" s="25" customFormat="1" ht="16" customHeight="1" x14ac:dyDescent="0.45">
      <c r="B36" s="147"/>
      <c r="C36" s="77" t="s">
        <v>44</v>
      </c>
      <c r="D36" s="97"/>
      <c r="E36" s="122"/>
      <c r="F36" s="123"/>
      <c r="G36" s="97"/>
      <c r="H36" s="18"/>
      <c r="I36" s="18"/>
      <c r="J36" s="6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28"/>
      <c r="AB36" s="29"/>
      <c r="AC36" s="28">
        <f>1+$G$36%</f>
        <v>1</v>
      </c>
      <c r="AD36" s="18"/>
      <c r="AE36" s="29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47">
        <f>$AQ$34*$AQ$35</f>
        <v>5.6770560000000003</v>
      </c>
      <c r="AR36" s="18"/>
      <c r="AS36" s="19" t="s">
        <v>36</v>
      </c>
      <c r="AT36" s="21">
        <f>$AI$45</f>
        <v>399806.12104722444</v>
      </c>
      <c r="AU36" s="21">
        <v>5</v>
      </c>
      <c r="AV36" s="52">
        <f>$AI$17</f>
        <v>15513</v>
      </c>
      <c r="AW36" s="18"/>
    </row>
    <row r="37" spans="2:50" s="25" customFormat="1" ht="16" customHeight="1" x14ac:dyDescent="0.45">
      <c r="B37" s="147"/>
      <c r="C37" s="77"/>
      <c r="D37" s="97"/>
      <c r="E37" s="122"/>
      <c r="F37" s="123"/>
      <c r="G37" s="97"/>
      <c r="H37" s="18"/>
      <c r="I37" s="18"/>
      <c r="J37" s="62" t="s">
        <v>127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28"/>
      <c r="AB37" s="29"/>
      <c r="AC37" s="28">
        <f>1+$G$37%</f>
        <v>1</v>
      </c>
      <c r="AD37" s="18"/>
      <c r="AE37" s="29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28" t="s">
        <v>29</v>
      </c>
      <c r="AT37" s="18">
        <f>$AL$45</f>
        <v>119760.91457306297</v>
      </c>
      <c r="AU37" s="18">
        <f>$AY$25*(IF($H$27="미적용",1, IF($H$27="강화",1.5, IF($H$27="포악",3))))</f>
        <v>2</v>
      </c>
      <c r="AV37" s="29">
        <f>$AK$14</f>
        <v>1.26</v>
      </c>
      <c r="AW37" s="18"/>
      <c r="AX37" s="25">
        <f>AT37/(AU37*2)</f>
        <v>29940.228643265742</v>
      </c>
    </row>
    <row r="38" spans="2:50" s="25" customFormat="1" ht="16" customHeight="1" x14ac:dyDescent="0.45">
      <c r="B38" s="147"/>
      <c r="C38" s="77"/>
      <c r="D38" s="97"/>
      <c r="E38" s="122"/>
      <c r="F38" s="123"/>
      <c r="G38" s="97"/>
      <c r="H38" s="18"/>
      <c r="I38" s="18"/>
      <c r="J38" s="6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28"/>
      <c r="AB38" s="29"/>
      <c r="AC38" s="28">
        <f>1+$G$38%</f>
        <v>1</v>
      </c>
      <c r="AD38" s="18"/>
      <c r="AE38" s="29"/>
      <c r="AF38" s="18"/>
      <c r="AG38" s="18"/>
      <c r="AH38" s="18" t="s">
        <v>95</v>
      </c>
      <c r="AI38" s="18">
        <f>AI$31*AI$34</f>
        <v>196368.42880512006</v>
      </c>
      <c r="AJ38" s="18"/>
      <c r="AK38" s="18">
        <f>AK$31*AK$34</f>
        <v>41853.878638387192</v>
      </c>
      <c r="AL38" s="18">
        <f>AL$31*AL$34</f>
        <v>58821.667275571199</v>
      </c>
      <c r="AM38" s="18"/>
      <c r="AN38" s="18">
        <f>AN$31*AN$34</f>
        <v>58462.560637747185</v>
      </c>
      <c r="AO38" s="18">
        <f>AO$31*$AN$34</f>
        <v>82163.598734131199</v>
      </c>
      <c r="AP38" s="18"/>
      <c r="AQ38" s="18">
        <f>AQ$31*$AQ$36</f>
        <v>1347281.8569323032</v>
      </c>
      <c r="AR38" s="18"/>
      <c r="AS38" s="28" t="s">
        <v>33</v>
      </c>
      <c r="AT38" s="18">
        <f>$AO$45</f>
        <v>167285.08702269112</v>
      </c>
      <c r="AU38" s="18">
        <v>6</v>
      </c>
      <c r="AV38" s="29">
        <f>$AN$11</f>
        <v>1.7599999999999998</v>
      </c>
      <c r="AW38" s="18"/>
    </row>
    <row r="39" spans="2:50" s="25" customFormat="1" ht="16" customHeight="1" thickBot="1" x14ac:dyDescent="0.5">
      <c r="B39" s="147"/>
      <c r="C39" s="77"/>
      <c r="D39" s="97"/>
      <c r="E39" s="122"/>
      <c r="F39" s="123"/>
      <c r="G39" s="97"/>
      <c r="H39" s="18"/>
      <c r="I39" s="18"/>
      <c r="J39" s="62" t="s">
        <v>128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28"/>
      <c r="AB39" s="29"/>
      <c r="AC39" s="28">
        <f>1+$G$39%</f>
        <v>1</v>
      </c>
      <c r="AD39" s="18"/>
      <c r="AE39" s="29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44" t="s">
        <v>50</v>
      </c>
      <c r="AT39" s="46">
        <f>$AQ$45</f>
        <v>2743065.8607141692</v>
      </c>
      <c r="AU39" s="46"/>
      <c r="AV39" s="45"/>
      <c r="AW39" s="18"/>
    </row>
    <row r="40" spans="2:50" s="25" customFormat="1" ht="16" customHeight="1" thickBot="1" x14ac:dyDescent="0.5">
      <c r="B40" s="147"/>
      <c r="C40" s="77"/>
      <c r="D40" s="97"/>
      <c r="E40" s="122"/>
      <c r="F40" s="123"/>
      <c r="G40" s="97"/>
      <c r="H40" s="18"/>
      <c r="I40" s="18"/>
      <c r="J40" s="62" t="s">
        <v>129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28"/>
      <c r="AB40" s="29"/>
      <c r="AC40" s="28">
        <f>1+$G$40%</f>
        <v>1</v>
      </c>
      <c r="AD40" s="18"/>
      <c r="AE40" s="29"/>
      <c r="AF40" s="18"/>
      <c r="AG40" s="18"/>
      <c r="AH40" s="18" t="s">
        <v>108</v>
      </c>
      <c r="AI40" s="18">
        <f>VLOOKUP($G$51,$AX$11:$AZ$14,2,FALSE)</f>
        <v>1</v>
      </c>
      <c r="AJ40" s="18"/>
      <c r="AK40" s="18">
        <f>VLOOKUP($G$51,$AX$18:$AZ$21,2,FALSE)</f>
        <v>1</v>
      </c>
      <c r="AL40" s="18"/>
      <c r="AM40" s="18"/>
      <c r="AN40" s="18">
        <f>VLOOKUP($G$51,$AX$18:$AZ$21,2,FALSE)</f>
        <v>1</v>
      </c>
      <c r="AO40" s="18"/>
      <c r="AP40" s="18"/>
      <c r="AQ40" s="18">
        <f>VLOOKUP($G$51,$AX$18:$AZ$21,3,FALSE)</f>
        <v>1</v>
      </c>
      <c r="AR40" s="18"/>
      <c r="AS40" s="18"/>
      <c r="AT40" s="18"/>
      <c r="AU40" s="18"/>
      <c r="AV40" s="18"/>
      <c r="AW40" s="18"/>
    </row>
    <row r="41" spans="2:50" s="25" customFormat="1" ht="16" customHeight="1" thickBot="1" x14ac:dyDescent="0.5">
      <c r="B41" s="147"/>
      <c r="C41" s="78"/>
      <c r="D41" s="98"/>
      <c r="E41" s="149"/>
      <c r="F41" s="150"/>
      <c r="G41" s="98"/>
      <c r="H41" s="18"/>
      <c r="I41" s="18"/>
      <c r="J41" s="6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28" t="s">
        <v>81</v>
      </c>
      <c r="AB41" s="29">
        <f>SUM($D$35:$D$41)</f>
        <v>0</v>
      </c>
      <c r="AC41" s="28">
        <f>1+$G$41%</f>
        <v>1</v>
      </c>
      <c r="AD41" s="18" t="s">
        <v>89</v>
      </c>
      <c r="AE41" s="29">
        <f>PRODUCT(AC35:AC41)</f>
        <v>1</v>
      </c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29" t="s">
        <v>121</v>
      </c>
      <c r="AT41" s="131"/>
      <c r="AU41" s="129" t="s">
        <v>120</v>
      </c>
      <c r="AV41" s="131"/>
      <c r="AW41" s="18"/>
    </row>
    <row r="42" spans="2:50" s="25" customFormat="1" ht="16" customHeight="1" thickBot="1" x14ac:dyDescent="0.5">
      <c r="B42" s="147"/>
      <c r="C42" s="158" t="s">
        <v>56</v>
      </c>
      <c r="D42" s="158"/>
      <c r="E42" s="158"/>
      <c r="F42" s="158"/>
      <c r="G42" s="159"/>
      <c r="H42" s="18"/>
      <c r="I42" s="18"/>
      <c r="J42" s="62" t="s">
        <v>131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28"/>
      <c r="AB42" s="29"/>
      <c r="AC42" s="28"/>
      <c r="AD42" s="18"/>
      <c r="AE42" s="29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28" t="s">
        <v>37</v>
      </c>
      <c r="AT42" s="29">
        <v>0</v>
      </c>
      <c r="AU42" s="28" t="s">
        <v>37</v>
      </c>
      <c r="AV42" s="29">
        <v>0</v>
      </c>
      <c r="AW42" s="18"/>
    </row>
    <row r="43" spans="2:50" s="25" customFormat="1" ht="16" customHeight="1" x14ac:dyDescent="0.45">
      <c r="B43" s="147"/>
      <c r="C43" s="79" t="s">
        <v>56</v>
      </c>
      <c r="D43" s="99"/>
      <c r="E43" s="120" t="s">
        <v>74</v>
      </c>
      <c r="F43" s="121"/>
      <c r="G43" s="99">
        <v>60</v>
      </c>
      <c r="H43" s="18"/>
      <c r="I43" s="18"/>
      <c r="J43" s="62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28"/>
      <c r="AB43" s="29"/>
      <c r="AC43" s="28">
        <f>(1+$G$43%)</f>
        <v>1.6</v>
      </c>
      <c r="AD43" s="18"/>
      <c r="AE43" s="29"/>
      <c r="AF43" s="18"/>
      <c r="AG43" s="18"/>
      <c r="AH43" s="18" t="s">
        <v>100</v>
      </c>
      <c r="AI43" s="53">
        <f>AI$38*AI$40</f>
        <v>196368.42880512006</v>
      </c>
      <c r="AJ43" s="53"/>
      <c r="AK43" s="53">
        <f>AK$38*AK$40</f>
        <v>41853.878638387192</v>
      </c>
      <c r="AL43" s="53">
        <f>AL$38*AK$40</f>
        <v>58821.667275571199</v>
      </c>
      <c r="AM43" s="53"/>
      <c r="AN43" s="53">
        <f>AN$38*AN$40</f>
        <v>58462.560637747185</v>
      </c>
      <c r="AO43" s="53">
        <f>AO$38*AN$40</f>
        <v>82163.598734131199</v>
      </c>
      <c r="AP43" s="53"/>
      <c r="AQ43" s="53">
        <f>AQ$38*AQ$40</f>
        <v>1347281.8569323032</v>
      </c>
      <c r="AR43" s="18"/>
      <c r="AS43" s="28" t="s">
        <v>79</v>
      </c>
      <c r="AT43" s="29">
        <f>$D$24</f>
        <v>0</v>
      </c>
      <c r="AU43" s="28" t="s">
        <v>119</v>
      </c>
      <c r="AV43" s="29">
        <f>SUM($D$43:$D$48)</f>
        <v>0</v>
      </c>
      <c r="AW43" s="18"/>
    </row>
    <row r="44" spans="2:50" s="25" customFormat="1" ht="16" customHeight="1" thickBot="1" x14ac:dyDescent="0.5">
      <c r="B44" s="147"/>
      <c r="C44" s="80" t="s">
        <v>57</v>
      </c>
      <c r="D44" s="100"/>
      <c r="E44" s="120"/>
      <c r="F44" s="121"/>
      <c r="G44" s="100"/>
      <c r="H44" s="18"/>
      <c r="I44" s="18"/>
      <c r="J44" s="62" t="s">
        <v>132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28"/>
      <c r="AB44" s="29"/>
      <c r="AC44" s="28">
        <f>(1+$G$44%)</f>
        <v>1</v>
      </c>
      <c r="AD44" s="18"/>
      <c r="AE44" s="29"/>
      <c r="AF44" s="18"/>
      <c r="AG44" s="18"/>
      <c r="AR44" s="18"/>
      <c r="AS44" s="44" t="s">
        <v>112</v>
      </c>
      <c r="AT44" s="45">
        <f>$D$24+16</f>
        <v>16</v>
      </c>
      <c r="AU44" s="44"/>
      <c r="AV44" s="45"/>
      <c r="AW44" s="18"/>
    </row>
    <row r="45" spans="2:50" s="25" customFormat="1" ht="16" customHeight="1" x14ac:dyDescent="0.45">
      <c r="B45" s="147"/>
      <c r="C45" s="80" t="s">
        <v>58</v>
      </c>
      <c r="D45" s="100"/>
      <c r="E45" s="120"/>
      <c r="F45" s="121"/>
      <c r="G45" s="100"/>
      <c r="H45" s="18"/>
      <c r="I45" s="18"/>
      <c r="J45" s="62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28"/>
      <c r="AB45" s="29"/>
      <c r="AC45" s="28">
        <f>(1+$G$45%)</f>
        <v>1</v>
      </c>
      <c r="AD45" s="18"/>
      <c r="AE45" s="29"/>
      <c r="AF45" s="18"/>
      <c r="AG45" s="18"/>
      <c r="AH45" s="25" t="s">
        <v>122</v>
      </c>
      <c r="AI45" s="25">
        <f>($F$5%+1)*$AI$43</f>
        <v>399806.12104722444</v>
      </c>
      <c r="AK45" s="25">
        <f>($F$5%+1)*$AK$43</f>
        <v>85214.496907756329</v>
      </c>
      <c r="AL45" s="25">
        <f>($F$5%+1)*$AL$43</f>
        <v>119760.91457306297</v>
      </c>
      <c r="AN45" s="25">
        <f>($F$5%+1)*$AN$43</f>
        <v>119029.77345845327</v>
      </c>
      <c r="AO45" s="25">
        <f>($F$5%+1)*$AO$43</f>
        <v>167285.08702269112</v>
      </c>
      <c r="AQ45" s="25">
        <f>($F$5%+1)*$AQ$43</f>
        <v>2743065.8607141692</v>
      </c>
      <c r="AR45" s="18"/>
      <c r="AS45" s="18"/>
      <c r="AT45" s="18"/>
      <c r="AU45" s="18"/>
      <c r="AV45" s="18"/>
      <c r="AW45" s="18"/>
    </row>
    <row r="46" spans="2:50" s="25" customFormat="1" ht="16" customHeight="1" x14ac:dyDescent="0.45">
      <c r="B46" s="147"/>
      <c r="C46" s="80" t="s">
        <v>96</v>
      </c>
      <c r="D46" s="100"/>
      <c r="E46" s="120"/>
      <c r="F46" s="121"/>
      <c r="G46" s="100"/>
      <c r="H46" s="18"/>
      <c r="I46" s="18"/>
      <c r="J46" s="62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28"/>
      <c r="AB46" s="18"/>
      <c r="AC46" s="28">
        <f>(1+$G$46%)</f>
        <v>1</v>
      </c>
      <c r="AD46" s="18" t="s">
        <v>99</v>
      </c>
      <c r="AE46" s="29">
        <f>PRODUCT($AC$43:$AC$47)</f>
        <v>1.6</v>
      </c>
      <c r="AF46" s="18"/>
      <c r="AG46" s="18"/>
      <c r="AR46" s="18"/>
      <c r="AS46" s="18"/>
      <c r="AT46" s="18"/>
      <c r="AU46" s="18"/>
      <c r="AV46" s="18"/>
      <c r="AW46" s="18"/>
    </row>
    <row r="47" spans="2:50" s="25" customFormat="1" ht="16" customHeight="1" x14ac:dyDescent="0.45">
      <c r="B47" s="147"/>
      <c r="C47" s="80" t="s">
        <v>97</v>
      </c>
      <c r="D47" s="100"/>
      <c r="E47" s="120"/>
      <c r="F47" s="121"/>
      <c r="G47" s="100"/>
      <c r="H47" s="18"/>
      <c r="I47" s="18"/>
      <c r="J47" s="62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28" t="s">
        <v>118</v>
      </c>
      <c r="AB47" s="18">
        <f>IF($G$48="미적용",$AV$42, IF($G$48="적용",$AV$43))</f>
        <v>0</v>
      </c>
      <c r="AC47" s="28">
        <f>(1+$G$47%)</f>
        <v>1</v>
      </c>
      <c r="AD47" s="18"/>
      <c r="AE47" s="29"/>
      <c r="AF47" s="18"/>
      <c r="AG47" s="18"/>
      <c r="AR47" s="18"/>
      <c r="AS47" s="18"/>
      <c r="AT47" s="18"/>
      <c r="AU47" s="18"/>
      <c r="AV47" s="18"/>
      <c r="AW47" s="18"/>
    </row>
    <row r="48" spans="2:50" s="25" customFormat="1" ht="16" customHeight="1" thickBot="1" x14ac:dyDescent="0.5">
      <c r="B48" s="148"/>
      <c r="C48" s="81" t="s">
        <v>98</v>
      </c>
      <c r="D48" s="101"/>
      <c r="E48" s="151" t="s">
        <v>67</v>
      </c>
      <c r="F48" s="151"/>
      <c r="G48" s="5" t="s">
        <v>138</v>
      </c>
      <c r="H48" s="18"/>
      <c r="I48" s="18"/>
      <c r="J48" s="62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44"/>
      <c r="AB48" s="45"/>
      <c r="AC48" s="44"/>
      <c r="AD48" s="46" t="s">
        <v>90</v>
      </c>
      <c r="AE48" s="45">
        <f>IF($G$48="미적용",1, IF($G$48="적용",1.92*$AE$46))</f>
        <v>3.0720000000000001</v>
      </c>
      <c r="AF48" s="18"/>
      <c r="AG48" s="18"/>
      <c r="AR48" s="18"/>
      <c r="AS48" s="18"/>
      <c r="AT48" s="18"/>
      <c r="AU48" s="18"/>
      <c r="AV48" s="18"/>
      <c r="AW48" s="18"/>
    </row>
    <row r="49" spans="2:28" ht="5" customHeight="1" thickBot="1" x14ac:dyDescent="0.5">
      <c r="B49" s="10"/>
      <c r="G49" s="11"/>
      <c r="J49" s="64"/>
    </row>
    <row r="50" spans="2:28" ht="20" customHeight="1" thickTop="1" thickBot="1" x14ac:dyDescent="0.5">
      <c r="B50" s="109" t="s">
        <v>111</v>
      </c>
      <c r="C50" s="109"/>
      <c r="D50" s="109"/>
      <c r="E50" s="110">
        <f>VLOOKUP($C$4,$AS$36:$AT$38,2,FALSE)</f>
        <v>399806.12104722444</v>
      </c>
      <c r="F50" s="110"/>
      <c r="G50" s="1" t="s">
        <v>109</v>
      </c>
      <c r="J50" s="64"/>
    </row>
    <row r="51" spans="2:28" ht="20" customHeight="1" thickBot="1" x14ac:dyDescent="0.5">
      <c r="B51" s="109" t="s">
        <v>110</v>
      </c>
      <c r="C51" s="109"/>
      <c r="D51" s="109"/>
      <c r="E51" s="110">
        <f>$E$50/((VLOOKUP($C$4,$AS$36:$AU$38,3,FALSE))*2)</f>
        <v>39980.612104722444</v>
      </c>
      <c r="F51" s="110"/>
      <c r="G51" s="160" t="s">
        <v>139</v>
      </c>
      <c r="H51" s="54"/>
      <c r="I51" s="54"/>
      <c r="J51" s="65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2:28" ht="20" customHeight="1" thickBot="1" x14ac:dyDescent="0.5">
      <c r="B52" s="107" t="s">
        <v>116</v>
      </c>
      <c r="C52" s="107"/>
      <c r="D52" s="107"/>
      <c r="E52" s="111">
        <f>$AT$39</f>
        <v>2743065.8607141692</v>
      </c>
      <c r="F52" s="111"/>
      <c r="G52" s="160"/>
      <c r="H52" s="54"/>
      <c r="I52" s="54"/>
      <c r="J52" s="65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</row>
    <row r="53" spans="2:28" ht="5" customHeight="1" x14ac:dyDescent="0.45">
      <c r="I53" s="54"/>
      <c r="J53" s="65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2:28" x14ac:dyDescent="0.45">
      <c r="F54" s="102" t="s">
        <v>134</v>
      </c>
      <c r="G54" s="103"/>
      <c r="AA54" s="54"/>
    </row>
    <row r="55" spans="2:28" x14ac:dyDescent="0.45">
      <c r="AA55" s="54"/>
      <c r="AB55" s="54"/>
    </row>
    <row r="56" spans="2:28" x14ac:dyDescent="0.45">
      <c r="F56" s="54"/>
      <c r="G56" s="54"/>
      <c r="AB56" s="54"/>
    </row>
    <row r="57" spans="2:28" x14ac:dyDescent="0.45">
      <c r="F57" s="54"/>
      <c r="G57" s="54"/>
      <c r="AB57" s="54"/>
    </row>
    <row r="58" spans="2:28" x14ac:dyDescent="0.45">
      <c r="F58" s="54"/>
      <c r="AA58" s="54"/>
      <c r="AB58" s="54"/>
    </row>
    <row r="59" spans="2:28" x14ac:dyDescent="0.45">
      <c r="F59" s="54"/>
    </row>
    <row r="60" spans="2:28" x14ac:dyDescent="0.45">
      <c r="AA60" s="54"/>
      <c r="AB60" s="54"/>
    </row>
    <row r="62" spans="2:28" x14ac:dyDescent="0.45">
      <c r="AA62" s="54"/>
    </row>
    <row r="63" spans="2:28" x14ac:dyDescent="0.45">
      <c r="AA63" s="54"/>
    </row>
    <row r="66" spans="26:26" x14ac:dyDescent="0.45">
      <c r="Z66" s="54"/>
    </row>
  </sheetData>
  <sheetProtection algorithmName="SHA-512" hashValue="iw9VXg7CKFPWM11N8fmiwIYrJloxKNjL2bld8qQ9ciQ9D1pE98pQdA13/AKQr10dbRuSO/R7znn0BZZQtGe8xg==" saltValue="93oiVuPn46SdL8xIHnvtCA==" spinCount="100000" sheet="1" selectLockedCells="1"/>
  <mergeCells count="68">
    <mergeCell ref="G51:G52"/>
    <mergeCell ref="F5:F6"/>
    <mergeCell ref="AX9:AZ9"/>
    <mergeCell ref="E16:F16"/>
    <mergeCell ref="E11:F11"/>
    <mergeCell ref="E12:F12"/>
    <mergeCell ref="E13:F13"/>
    <mergeCell ref="E14:F14"/>
    <mergeCell ref="E15:F15"/>
    <mergeCell ref="E18:F18"/>
    <mergeCell ref="E19:F19"/>
    <mergeCell ref="E22:F22"/>
    <mergeCell ref="E23:F23"/>
    <mergeCell ref="E24:F24"/>
    <mergeCell ref="AS41:AT41"/>
    <mergeCell ref="AU41:AV41"/>
    <mergeCell ref="D5:D6"/>
    <mergeCell ref="E5:E6"/>
    <mergeCell ref="G5:G6"/>
    <mergeCell ref="E9:F9"/>
    <mergeCell ref="E10:F10"/>
    <mergeCell ref="B9:B24"/>
    <mergeCell ref="B25:B26"/>
    <mergeCell ref="B27:B28"/>
    <mergeCell ref="B29:B48"/>
    <mergeCell ref="E41:F41"/>
    <mergeCell ref="E47:F47"/>
    <mergeCell ref="E48:F48"/>
    <mergeCell ref="E35:F35"/>
    <mergeCell ref="E36:F36"/>
    <mergeCell ref="E25:F25"/>
    <mergeCell ref="E26:F26"/>
    <mergeCell ref="E27:F27"/>
    <mergeCell ref="E28:F28"/>
    <mergeCell ref="E44:F44"/>
    <mergeCell ref="C42:G42"/>
    <mergeCell ref="E37:F37"/>
    <mergeCell ref="E38:F38"/>
    <mergeCell ref="E39:F39"/>
    <mergeCell ref="E40:F40"/>
    <mergeCell ref="E8:G8"/>
    <mergeCell ref="AX16:AZ16"/>
    <mergeCell ref="AX23:AZ23"/>
    <mergeCell ref="AS34:AV34"/>
    <mergeCell ref="E33:F33"/>
    <mergeCell ref="E34:F34"/>
    <mergeCell ref="AA8:AB8"/>
    <mergeCell ref="AC8:AE8"/>
    <mergeCell ref="E31:F31"/>
    <mergeCell ref="E32:F32"/>
    <mergeCell ref="E20:F20"/>
    <mergeCell ref="E21:F21"/>
    <mergeCell ref="F54:G54"/>
    <mergeCell ref="B2:G2"/>
    <mergeCell ref="B52:D52"/>
    <mergeCell ref="H27:H28"/>
    <mergeCell ref="B50:D50"/>
    <mergeCell ref="B51:D51"/>
    <mergeCell ref="E50:F50"/>
    <mergeCell ref="E51:F51"/>
    <mergeCell ref="E52:F52"/>
    <mergeCell ref="E29:F29"/>
    <mergeCell ref="E30:F30"/>
    <mergeCell ref="E17:F17"/>
    <mergeCell ref="C8:D8"/>
    <mergeCell ref="E43:F43"/>
    <mergeCell ref="E45:F45"/>
    <mergeCell ref="E46:F46"/>
  </mergeCells>
  <phoneticPr fontId="2" type="noConversion"/>
  <dataValidations count="6">
    <dataValidation type="list" allowBlank="1" showInputMessage="1" showErrorMessage="1" sqref="C4" xr:uid="{C6034B56-5670-450E-96F6-5A7E2B08E29C}">
      <formula1>"안다리엘 독발, 맹독 덩굴, 광견병"</formula1>
    </dataValidation>
    <dataValidation type="list" allowBlank="1" showInputMessage="1" showErrorMessage="1" sqref="G24" xr:uid="{CCBACD5A-7796-46F3-A39B-AE03CE70FB15}">
      <formula1>"미적용, 취약, 취약+약육 강식"</formula1>
    </dataValidation>
    <dataValidation type="list" allowBlank="1" showInputMessage="1" showErrorMessage="1" sqref="G48" xr:uid="{4BF4BAA3-693C-4249-A6C1-F678A09766E1}">
      <formula1>"미적용, 적용"</formula1>
    </dataValidation>
    <dataValidation type="list" allowBlank="1" showInputMessage="1" showErrorMessage="1" sqref="G51:G52" xr:uid="{53593B90-F5AE-45A6-8031-AD52EAB14935}">
      <formula1>"미적용, 일반, 악몽, 고행"</formula1>
    </dataValidation>
    <dataValidation type="list" allowBlank="1" showInputMessage="1" showErrorMessage="1" sqref="H27" xr:uid="{66A88C89-96D2-4961-8EC4-957CB43D33C7}">
      <formula1>"미적용,강화, 포악"</formula1>
    </dataValidation>
    <dataValidation type="list" allowBlank="1" showInputMessage="1" showErrorMessage="1" sqref="I5:Y5" xr:uid="{E65A7E9A-2502-4400-9A6F-6E60CE586109}">
      <formula1>난이도</formula1>
    </dataValidation>
  </dataValidations>
  <pageMargins left="0.7" right="0.7" top="0.75" bottom="0.75" header="0.3" footer="0.3"/>
  <pageSetup paperSize="9" scale="56" orientation="portrait" horizontalDpi="200" verticalDpi="200" copies="0" r:id="rId1"/>
  <colBreaks count="1" manualBreakCount="1">
    <brk id="7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지속 피해 &amp; 흐릿한 위상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YUNKI KIM</dc:creator>
  <cp:lastModifiedBy>YUNKI KIM</cp:lastModifiedBy>
  <dcterms:created xsi:type="dcterms:W3CDTF">2023-12-25T01:52:48Z</dcterms:created>
  <dcterms:modified xsi:type="dcterms:W3CDTF">2024-01-02T09:49:48Z</dcterms:modified>
</cp:coreProperties>
</file>