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720" activeTab="0"/>
  </bookViews>
  <sheets>
    <sheet name="배틀마스터 쿨타임 계산기" sheetId="1" r:id="rId1"/>
  </sheets>
  <definedNames/>
  <calcPr fullCalcOnLoad="1"/>
</workbook>
</file>

<file path=xl/sharedStrings.xml><?xml version="1.0" encoding="utf-8"?>
<sst xmlns="http://schemas.openxmlformats.org/spreadsheetml/2006/main" count="144" uniqueCount="111">
  <si>
    <t>v1.5 변경사항</t>
  </si>
  <si>
    <t>악몽셋 너프 반영 했습니다.(레벨2 4셋 쿨감 25% -&gt; 22%, 레벨2 6셋 쿨감 45% -&gt; 40%)</t>
  </si>
  <si>
    <t>악몽셋 4셋, 6셋 및 4셋(레벨2), 6셋(레벨2) 반영 했습니다.</t>
  </si>
  <si>
    <t>주력스킬 외 스킬도 보석과 비교하기 편하게 시트를 변경 하였습니다.</t>
  </si>
  <si>
    <t>수치(펫 적용)</t>
  </si>
  <si>
    <t>비고</t>
  </si>
  <si>
    <t>여부선택</t>
  </si>
  <si>
    <t>적용값</t>
  </si>
  <si>
    <t>적용값(각성)</t>
  </si>
  <si>
    <t>신속특성</t>
  </si>
  <si>
    <t>(인게임 수치)</t>
  </si>
  <si>
    <t>지배여부</t>
  </si>
  <si>
    <t>악몽여부</t>
  </si>
  <si>
    <t>해제</t>
  </si>
  <si>
    <t>신속계수</t>
  </si>
  <si>
    <t>(고정)</t>
  </si>
  <si>
    <t>단심여부</t>
  </si>
  <si>
    <t>신속쿨감</t>
  </si>
  <si>
    <t>(인게임 확인)</t>
  </si>
  <si>
    <t>*보석은 홍염(쿨타임 감소)보석 입니다.</t>
  </si>
  <si>
    <t>*쿨타임 초단위 초과시 인게임에서 올림하여 표기 됩니다. (예 : 11.12초 -&gt; 12초)</t>
  </si>
  <si>
    <t>*각성기 분단위 초과시 내림하여 표기 됩니다. (예 : 1m30s -&gt; 1m)</t>
  </si>
  <si>
    <t>*0.001초(1ms) 단위는 오차가 있을 수 있습니다.</t>
  </si>
  <si>
    <t>보석X</t>
  </si>
  <si>
    <t>보석1</t>
  </si>
  <si>
    <t>보석2</t>
  </si>
  <si>
    <t>보석3</t>
  </si>
  <si>
    <t>보석4</t>
  </si>
  <si>
    <t>보석5</t>
  </si>
  <si>
    <t>보석6</t>
  </si>
  <si>
    <t>보석7</t>
  </si>
  <si>
    <t>보석8</t>
  </si>
  <si>
    <t>보석9</t>
  </si>
  <si>
    <t>보석10</t>
  </si>
  <si>
    <t>기본 쿨타임</t>
  </si>
  <si>
    <t>용포</t>
  </si>
  <si>
    <t>용포빠준1</t>
  </si>
  <si>
    <t>용포빠준5</t>
  </si>
  <si>
    <t>바속빠준1</t>
  </si>
  <si>
    <t>바속빠준5</t>
  </si>
  <si>
    <t>내공연소</t>
  </si>
  <si>
    <t>각성기</t>
  </si>
  <si>
    <t>뇌명각</t>
  </si>
  <si>
    <t>섬열란아</t>
  </si>
  <si>
    <t>초풍각</t>
  </si>
  <si>
    <t>초풍각빠준1</t>
  </si>
  <si>
    <t>초풍각빠준2</t>
  </si>
  <si>
    <t>초풍각빠준3</t>
  </si>
  <si>
    <t>초풍각빠준4</t>
  </si>
  <si>
    <t>초풍각빠준5</t>
  </si>
  <si>
    <t>화조강림</t>
  </si>
  <si>
    <t>추가사항</t>
  </si>
  <si>
    <t>오류나 수정사항이 있을시 인벤쪽지나 댓글 부탁드립니다.</t>
  </si>
  <si>
    <t>수정 : 인벤 강한닉네임</t>
  </si>
  <si>
    <t>*(원제작자 : 카마인-냥냥뽀승이)</t>
  </si>
  <si>
    <t>원제작자 글: https://www.inven.co.kr/board/lostark/5342/55426</t>
  </si>
  <si>
    <t>v1.5.1 변경사항</t>
  </si>
  <si>
    <t>악몽셋 쿨감이 합적용 -&gt; 곱적용 너프 반영되었습니다.</t>
  </si>
  <si>
    <t>v1.6 (22.04.23) 변경사항</t>
  </si>
  <si>
    <t>단심 쿨감 합적용 -&gt; 곱적용 너프 반영</t>
  </si>
  <si>
    <t>신속, 룬, 유물세트 외의 쿨감수치 반영 가능 (ex: 칼엘리고스 뇌룡의 힘, 하누마탄 약점포착)</t>
  </si>
  <si>
    <t>보석제외 총 쿨감(&lt;=80)</t>
  </si>
  <si>
    <t>기타 합연산</t>
  </si>
  <si>
    <t>기타 곱연산</t>
  </si>
  <si>
    <t>데이터 확인 셀 손상으로 참조 오류 가능성이 있어 시트를 모두 잠금 합니다.</t>
  </si>
  <si>
    <t>사용하시려면 파일 -&gt; 사본 만들기 -&gt; 본인 드라이브로 복사 하셔서 개인적으로 사용 바랍니다.(현재 시트에서는 수치 입력 수정이 불가합니다.)</t>
  </si>
  <si>
    <t>개인적으로 사용하실때 복사하신 후 노란색 시트만 수정하시면 됩니다.(신속 특성 수치 입력과, 유물 및 단심 여부를 선택하시면 됩니다.)</t>
  </si>
  <si>
    <t>잠룡빠준1</t>
  </si>
  <si>
    <t>화조멈기1</t>
  </si>
  <si>
    <t>화조멈기2</t>
  </si>
  <si>
    <t>화조멈기3</t>
  </si>
  <si>
    <t>화조멈기4</t>
  </si>
  <si>
    <t>화조멈기5</t>
  </si>
  <si>
    <t>내연기감1</t>
  </si>
  <si>
    <t>내연기감5</t>
  </si>
  <si>
    <t>오의:창룡패황권</t>
  </si>
  <si>
    <t>오의:폭쇄진</t>
  </si>
  <si>
    <t>오의:화룡천상</t>
  </si>
  <si>
    <t>나선경</t>
  </si>
  <si>
    <t>붕천퇴</t>
  </si>
  <si>
    <t>내연연소유지1</t>
  </si>
  <si>
    <t>내연연소유지5</t>
  </si>
  <si>
    <t>잠룡승천축</t>
  </si>
  <si>
    <t>잠룡빠준2</t>
  </si>
  <si>
    <t>잠룡빠준3</t>
  </si>
  <si>
    <t>잠룡빠준4</t>
  </si>
  <si>
    <t>잠룡빠준5</t>
  </si>
  <si>
    <t>섬열란아타달</t>
  </si>
  <si>
    <t>선풍용류각</t>
  </si>
  <si>
    <t>방천격</t>
  </si>
  <si>
    <t>내공연소</t>
  </si>
  <si>
    <t>용포</t>
  </si>
  <si>
    <t>바속</t>
  </si>
  <si>
    <t>용포빠준1</t>
  </si>
  <si>
    <t>용포빠준5</t>
  </si>
  <si>
    <t>바속빠준1</t>
  </si>
  <si>
    <t>바속빠준5</t>
  </si>
  <si>
    <t>오의:풍신초래</t>
  </si>
  <si>
    <t>삼연권</t>
  </si>
  <si>
    <t>초심</t>
  </si>
  <si>
    <t>오의 강화</t>
  </si>
  <si>
    <t>각성기+각성1</t>
  </si>
  <si>
    <t>각성기+각성2</t>
  </si>
  <si>
    <t>각성기+각성3</t>
  </si>
  <si>
    <t>각성기</t>
  </si>
  <si>
    <t>월섬각</t>
  </si>
  <si>
    <t>월섬각탁기1</t>
  </si>
  <si>
    <t>월섬각탁기2</t>
  </si>
  <si>
    <t>월섬각탁기3</t>
  </si>
  <si>
    <t>월섬각탁기4</t>
  </si>
  <si>
    <t>월섬각탁기5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</si>
</sst>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&quot;%&quot;"/>
    <numFmt numFmtId="177" formatCode="0.00_ "/>
  </numFmts>
  <fonts count="49">
    <font>
      <sz val="10"/>
      <color rgb="FF000000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8"/>
      <name val="돋움"/>
      <family val="3"/>
    </font>
    <font>
      <sz val="11"/>
      <color indexed="8"/>
      <name val="맑은 고딕"/>
      <family val="3"/>
    </font>
    <font>
      <b/>
      <sz val="11"/>
      <color indexed="8"/>
      <name val="맑은 고딕"/>
      <family val="3"/>
    </font>
    <font>
      <sz val="10"/>
      <color indexed="8"/>
      <name val="맑은 고딕"/>
      <family val="3"/>
    </font>
    <font>
      <sz val="10"/>
      <color indexed="8"/>
      <name val="Arial"/>
      <family val="2"/>
    </font>
    <font>
      <b/>
      <sz val="10"/>
      <color indexed="8"/>
      <name val="맑은 고딕"/>
      <family val="3"/>
    </font>
    <font>
      <sz val="10"/>
      <name val="맑은 고딕"/>
      <family val="3"/>
    </font>
    <font>
      <sz val="18"/>
      <color indexed="8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FF0000"/>
      <name val="Arial"/>
      <family val="2"/>
    </font>
    <font>
      <b/>
      <sz val="11"/>
      <color rgb="FFFA7D00"/>
      <name val="Arial"/>
      <family val="2"/>
    </font>
    <font>
      <sz val="11"/>
      <color rgb="FF9C0006"/>
      <name val="Arial"/>
      <family val="2"/>
    </font>
    <font>
      <sz val="11"/>
      <color rgb="FF9C5700"/>
      <name val="Arial"/>
      <family val="2"/>
    </font>
    <font>
      <i/>
      <sz val="11"/>
      <color rgb="FF7F7F7F"/>
      <name val="Arial"/>
      <family val="2"/>
    </font>
    <font>
      <b/>
      <sz val="11"/>
      <color theme="0"/>
      <name val="Arial"/>
      <family val="2"/>
    </font>
    <font>
      <sz val="11"/>
      <color rgb="FFFA7D00"/>
      <name val="Arial"/>
      <family val="2"/>
    </font>
    <font>
      <b/>
      <sz val="11"/>
      <color theme="1"/>
      <name val="Arial"/>
      <family val="2"/>
    </font>
    <font>
      <sz val="11"/>
      <color rgb="FF3F3F76"/>
      <name val="Arial"/>
      <family val="2"/>
    </font>
    <font>
      <sz val="18"/>
      <color theme="3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b/>
      <sz val="11"/>
      <color rgb="FF3F3F3F"/>
      <name val="Arial"/>
      <family val="2"/>
    </font>
    <font>
      <sz val="11"/>
      <color theme="1"/>
      <name val="Calibri"/>
      <family val="2"/>
    </font>
    <font>
      <sz val="10"/>
      <color rgb="FF000000"/>
      <name val="맑은 고딕"/>
      <family val="3"/>
    </font>
    <font>
      <b/>
      <sz val="11"/>
      <color theme="1"/>
      <name val="맑은 고딕"/>
      <family val="3"/>
    </font>
    <font>
      <sz val="11"/>
      <color theme="1"/>
      <name val="맑은 고딕"/>
      <family val="3"/>
    </font>
    <font>
      <sz val="11"/>
      <color rgb="FF000000"/>
      <name val="맑은 고딕"/>
      <family val="3"/>
    </font>
    <font>
      <sz val="10"/>
      <color theme="1"/>
      <name val="맑은 고딕"/>
      <family val="3"/>
    </font>
    <font>
      <b/>
      <sz val="10"/>
      <color rgb="FF000000"/>
      <name val="맑은 고딕"/>
      <family val="3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1499900072813034"/>
        <bgColor indexed="64"/>
      </patternFill>
    </fill>
    <fill>
      <patternFill patternType="solid">
        <fgColor rgb="FFB7B7B7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/>
      <right style="medium"/>
      <top/>
      <bottom style="medium"/>
    </border>
    <border>
      <left style="thin">
        <color rgb="FF000000"/>
      </left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 style="medium"/>
      <top style="medium"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/>
      <top style="thin">
        <color rgb="FF000000"/>
      </top>
      <bottom/>
    </border>
    <border>
      <left style="medium"/>
      <right/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thin">
        <color rgb="FF000000"/>
      </right>
      <top/>
      <bottom style="medium"/>
    </border>
    <border>
      <left style="medium"/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/>
      <bottom style="thin"/>
    </border>
    <border>
      <left style="medium"/>
      <right style="thin">
        <color rgb="FF000000"/>
      </right>
      <top style="thin">
        <color rgb="FF000000"/>
      </top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>
        <color rgb="FF000000"/>
      </left>
      <right style="medium"/>
      <top style="thin">
        <color rgb="FF000000"/>
      </top>
      <bottom style="thin"/>
    </border>
    <border>
      <left style="thin">
        <color rgb="FF000000"/>
      </left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thin">
        <color rgb="FF000000"/>
      </left>
      <right/>
      <top/>
      <bottom/>
    </border>
    <border>
      <left/>
      <right style="medium"/>
      <top/>
      <bottom/>
    </border>
    <border>
      <left style="thin">
        <color rgb="FF000000"/>
      </left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medium">
        <color rgb="FF000000"/>
      </bottom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/>
      <bottom style="medium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31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  <xf numFmtId="0" fontId="4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4">
    <xf numFmtId="0" fontId="0" fillId="0" borderId="0" xfId="0" applyAlignment="1">
      <alignment/>
    </xf>
    <xf numFmtId="0" fontId="42" fillId="0" borderId="0" xfId="0" applyFont="1" applyAlignment="1">
      <alignment/>
    </xf>
    <xf numFmtId="2" fontId="42" fillId="0" borderId="0" xfId="0" applyNumberFormat="1" applyFont="1" applyAlignment="1">
      <alignment horizontal="right"/>
    </xf>
    <xf numFmtId="2" fontId="42" fillId="0" borderId="0" xfId="0" applyNumberFormat="1" applyFont="1" applyAlignment="1">
      <alignment/>
    </xf>
    <xf numFmtId="0" fontId="43" fillId="0" borderId="0" xfId="0" applyFont="1" applyAlignment="1">
      <alignment/>
    </xf>
    <xf numFmtId="0" fontId="0" fillId="0" borderId="0" xfId="0" applyFont="1" applyAlignment="1">
      <alignment/>
    </xf>
    <xf numFmtId="0" fontId="44" fillId="28" borderId="0" xfId="0" applyFont="1" applyFill="1" applyAlignment="1">
      <alignment/>
    </xf>
    <xf numFmtId="0" fontId="44" fillId="28" borderId="0" xfId="0" applyFont="1" applyFill="1" applyAlignment="1">
      <alignment horizontal="right"/>
    </xf>
    <xf numFmtId="0" fontId="45" fillId="33" borderId="0" xfId="0" applyFont="1" applyFill="1" applyAlignment="1">
      <alignment/>
    </xf>
    <xf numFmtId="0" fontId="44" fillId="33" borderId="0" xfId="0" applyFont="1" applyFill="1" applyAlignment="1">
      <alignment/>
    </xf>
    <xf numFmtId="0" fontId="45" fillId="0" borderId="0" xfId="0" applyFont="1" applyAlignment="1">
      <alignment/>
    </xf>
    <xf numFmtId="0" fontId="45" fillId="28" borderId="0" xfId="0" applyFont="1" applyFill="1" applyAlignment="1">
      <alignment/>
    </xf>
    <xf numFmtId="0" fontId="45" fillId="0" borderId="0" xfId="0" applyFont="1" applyAlignment="1">
      <alignment horizontal="center"/>
    </xf>
    <xf numFmtId="9" fontId="45" fillId="0" borderId="0" xfId="0" applyNumberFormat="1" applyFont="1" applyAlignment="1">
      <alignment/>
    </xf>
    <xf numFmtId="0" fontId="44" fillId="0" borderId="0" xfId="0" applyFont="1" applyAlignment="1">
      <alignment/>
    </xf>
    <xf numFmtId="0" fontId="46" fillId="33" borderId="0" xfId="0" applyFont="1" applyFill="1" applyAlignment="1">
      <alignment/>
    </xf>
    <xf numFmtId="0" fontId="44" fillId="34" borderId="10" xfId="0" applyFont="1" applyFill="1" applyBorder="1" applyAlignment="1">
      <alignment horizontal="center" vertical="center"/>
    </xf>
    <xf numFmtId="0" fontId="45" fillId="0" borderId="11" xfId="0" applyFont="1" applyBorder="1" applyAlignment="1">
      <alignment vertical="center"/>
    </xf>
    <xf numFmtId="0" fontId="44" fillId="35" borderId="12" xfId="0" applyFont="1" applyFill="1" applyBorder="1" applyAlignment="1">
      <alignment horizontal="center" vertical="center"/>
    </xf>
    <xf numFmtId="0" fontId="44" fillId="35" borderId="13" xfId="0" applyFont="1" applyFill="1" applyBorder="1" applyAlignment="1">
      <alignment horizontal="center" vertical="center"/>
    </xf>
    <xf numFmtId="0" fontId="45" fillId="0" borderId="0" xfId="0" applyFont="1" applyAlignment="1">
      <alignment vertical="center"/>
    </xf>
    <xf numFmtId="0" fontId="44" fillId="35" borderId="14" xfId="0" applyFont="1" applyFill="1" applyBorder="1" applyAlignment="1">
      <alignment horizontal="center" vertical="center"/>
    </xf>
    <xf numFmtId="0" fontId="45" fillId="36" borderId="15" xfId="0" applyFont="1" applyFill="1" applyBorder="1" applyAlignment="1">
      <alignment horizontal="center" vertical="center"/>
    </xf>
    <xf numFmtId="0" fontId="44" fillId="37" borderId="16" xfId="0" applyFont="1" applyFill="1" applyBorder="1" applyAlignment="1">
      <alignment horizontal="center" vertical="center"/>
    </xf>
    <xf numFmtId="0" fontId="44" fillId="35" borderId="17" xfId="0" applyFont="1" applyFill="1" applyBorder="1" applyAlignment="1">
      <alignment horizontal="center" vertical="center"/>
    </xf>
    <xf numFmtId="0" fontId="45" fillId="36" borderId="18" xfId="0" applyFont="1" applyFill="1" applyBorder="1" applyAlignment="1">
      <alignment horizontal="center" vertical="center"/>
    </xf>
    <xf numFmtId="0" fontId="44" fillId="37" borderId="18" xfId="0" applyFont="1" applyFill="1" applyBorder="1" applyAlignment="1">
      <alignment horizontal="center" vertical="center"/>
    </xf>
    <xf numFmtId="0" fontId="44" fillId="37" borderId="19" xfId="0" applyFont="1" applyFill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4" fillId="35" borderId="11" xfId="0" applyFont="1" applyFill="1" applyBorder="1" applyAlignment="1">
      <alignment horizontal="center" vertical="center"/>
    </xf>
    <xf numFmtId="0" fontId="45" fillId="37" borderId="12" xfId="0" applyFont="1" applyFill="1" applyBorder="1" applyAlignment="1">
      <alignment horizontal="center" vertical="center"/>
    </xf>
    <xf numFmtId="0" fontId="44" fillId="37" borderId="13" xfId="0" applyFont="1" applyFill="1" applyBorder="1" applyAlignment="1">
      <alignment horizontal="center" vertical="center"/>
    </xf>
    <xf numFmtId="0" fontId="44" fillId="37" borderId="15" xfId="0" applyFont="1" applyFill="1" applyBorder="1" applyAlignment="1">
      <alignment horizontal="center" vertical="center"/>
    </xf>
    <xf numFmtId="176" fontId="44" fillId="37" borderId="15" xfId="0" applyNumberFormat="1" applyFont="1" applyFill="1" applyBorder="1" applyAlignment="1">
      <alignment horizontal="center" vertical="center"/>
    </xf>
    <xf numFmtId="0" fontId="43" fillId="0" borderId="0" xfId="0" applyFont="1" applyAlignment="1">
      <alignment vertical="center"/>
    </xf>
    <xf numFmtId="0" fontId="44" fillId="38" borderId="20" xfId="0" applyFont="1" applyFill="1" applyBorder="1" applyAlignment="1">
      <alignment horizontal="center" vertical="center"/>
    </xf>
    <xf numFmtId="0" fontId="44" fillId="35" borderId="21" xfId="0" applyFont="1" applyFill="1" applyBorder="1" applyAlignment="1">
      <alignment horizontal="center" vertical="center"/>
    </xf>
    <xf numFmtId="0" fontId="44" fillId="39" borderId="21" xfId="0" applyFont="1" applyFill="1" applyBorder="1" applyAlignment="1">
      <alignment horizontal="center" vertical="center"/>
    </xf>
    <xf numFmtId="0" fontId="44" fillId="40" borderId="21" xfId="0" applyFont="1" applyFill="1" applyBorder="1" applyAlignment="1">
      <alignment horizontal="center" vertical="center"/>
    </xf>
    <xf numFmtId="0" fontId="44" fillId="41" borderId="21" xfId="0" applyFont="1" applyFill="1" applyBorder="1" applyAlignment="1">
      <alignment horizontal="center" vertical="center"/>
    </xf>
    <xf numFmtId="0" fontId="44" fillId="42" borderId="21" xfId="0" applyFont="1" applyFill="1" applyBorder="1" applyAlignment="1">
      <alignment horizontal="center" vertical="center"/>
    </xf>
    <xf numFmtId="0" fontId="44" fillId="43" borderId="21" xfId="0" applyFont="1" applyFill="1" applyBorder="1" applyAlignment="1">
      <alignment horizontal="center" vertical="center"/>
    </xf>
    <xf numFmtId="0" fontId="44" fillId="43" borderId="22" xfId="0" applyFont="1" applyFill="1" applyBorder="1" applyAlignment="1">
      <alignment horizontal="center" vertical="center"/>
    </xf>
    <xf numFmtId="0" fontId="44" fillId="35" borderId="23" xfId="0" applyFont="1" applyFill="1" applyBorder="1" applyAlignment="1">
      <alignment horizontal="center" vertical="center"/>
    </xf>
    <xf numFmtId="0" fontId="44" fillId="39" borderId="23" xfId="0" applyFont="1" applyFill="1" applyBorder="1" applyAlignment="1">
      <alignment horizontal="center" vertical="center"/>
    </xf>
    <xf numFmtId="0" fontId="44" fillId="40" borderId="23" xfId="0" applyFont="1" applyFill="1" applyBorder="1" applyAlignment="1">
      <alignment horizontal="center" vertical="center"/>
    </xf>
    <xf numFmtId="0" fontId="44" fillId="41" borderId="23" xfId="0" applyFont="1" applyFill="1" applyBorder="1" applyAlignment="1">
      <alignment horizontal="center" vertical="center"/>
    </xf>
    <xf numFmtId="0" fontId="44" fillId="42" borderId="23" xfId="0" applyFont="1" applyFill="1" applyBorder="1" applyAlignment="1">
      <alignment horizontal="center" vertical="center"/>
    </xf>
    <xf numFmtId="0" fontId="44" fillId="43" borderId="23" xfId="0" applyFont="1" applyFill="1" applyBorder="1" applyAlignment="1">
      <alignment horizontal="center" vertical="center"/>
    </xf>
    <xf numFmtId="0" fontId="44" fillId="43" borderId="24" xfId="0" applyFont="1" applyFill="1" applyBorder="1" applyAlignment="1">
      <alignment horizontal="center" vertical="center"/>
    </xf>
    <xf numFmtId="0" fontId="44" fillId="35" borderId="25" xfId="0" applyFont="1" applyFill="1" applyBorder="1" applyAlignment="1">
      <alignment horizontal="center" vertical="center"/>
    </xf>
    <xf numFmtId="0" fontId="44" fillId="35" borderId="26" xfId="0" applyFont="1" applyFill="1" applyBorder="1" applyAlignment="1">
      <alignment horizontal="center" vertical="center"/>
    </xf>
    <xf numFmtId="0" fontId="44" fillId="35" borderId="27" xfId="0" applyFont="1" applyFill="1" applyBorder="1" applyAlignment="1">
      <alignment horizontal="center" vertical="center"/>
    </xf>
    <xf numFmtId="0" fontId="44" fillId="34" borderId="26" xfId="0" applyFont="1" applyFill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5" fillId="44" borderId="28" xfId="0" applyFont="1" applyFill="1" applyBorder="1" applyAlignment="1">
      <alignment horizontal="center" vertical="center"/>
    </xf>
    <xf numFmtId="2" fontId="45" fillId="33" borderId="28" xfId="0" applyNumberFormat="1" applyFont="1" applyFill="1" applyBorder="1" applyAlignment="1">
      <alignment horizontal="center" vertical="center"/>
    </xf>
    <xf numFmtId="2" fontId="45" fillId="33" borderId="29" xfId="0" applyNumberFormat="1" applyFont="1" applyFill="1" applyBorder="1" applyAlignment="1">
      <alignment horizontal="center" vertical="center"/>
    </xf>
    <xf numFmtId="0" fontId="45" fillId="45" borderId="30" xfId="0" applyFont="1" applyFill="1" applyBorder="1" applyAlignment="1">
      <alignment horizontal="center" vertical="center"/>
    </xf>
    <xf numFmtId="2" fontId="45" fillId="45" borderId="30" xfId="0" applyNumberFormat="1" applyFont="1" applyFill="1" applyBorder="1" applyAlignment="1">
      <alignment horizontal="center" vertical="center"/>
    </xf>
    <xf numFmtId="0" fontId="45" fillId="44" borderId="18" xfId="0" applyFont="1" applyFill="1" applyBorder="1" applyAlignment="1">
      <alignment horizontal="center" vertical="center"/>
    </xf>
    <xf numFmtId="2" fontId="45" fillId="46" borderId="30" xfId="0" applyNumberFormat="1" applyFont="1" applyFill="1" applyBorder="1" applyAlignment="1">
      <alignment horizontal="center" vertical="center"/>
    </xf>
    <xf numFmtId="0" fontId="45" fillId="45" borderId="18" xfId="0" applyFont="1" applyFill="1" applyBorder="1" applyAlignment="1">
      <alignment horizontal="center" vertical="center"/>
    </xf>
    <xf numFmtId="0" fontId="45" fillId="44" borderId="31" xfId="0" applyFont="1" applyFill="1" applyBorder="1" applyAlignment="1">
      <alignment horizontal="center" vertical="center"/>
    </xf>
    <xf numFmtId="2" fontId="45" fillId="46" borderId="32" xfId="0" applyNumberFormat="1" applyFont="1" applyFill="1" applyBorder="1" applyAlignment="1">
      <alignment horizontal="center" vertical="center"/>
    </xf>
    <xf numFmtId="0" fontId="45" fillId="0" borderId="33" xfId="0" applyFont="1" applyBorder="1" applyAlignment="1">
      <alignment horizontal="center" vertical="center"/>
    </xf>
    <xf numFmtId="177" fontId="45" fillId="0" borderId="0" xfId="0" applyNumberFormat="1" applyFont="1" applyAlignment="1">
      <alignment horizontal="center" vertical="center"/>
    </xf>
    <xf numFmtId="0" fontId="45" fillId="0" borderId="18" xfId="0" applyFont="1" applyBorder="1" applyAlignment="1">
      <alignment horizontal="center" vertical="center"/>
    </xf>
    <xf numFmtId="2" fontId="45" fillId="0" borderId="18" xfId="0" applyNumberFormat="1" applyFont="1" applyBorder="1" applyAlignment="1">
      <alignment horizontal="center" vertical="center"/>
    </xf>
    <xf numFmtId="2" fontId="45" fillId="0" borderId="34" xfId="0" applyNumberFormat="1" applyFont="1" applyBorder="1" applyAlignment="1">
      <alignment horizontal="center" vertical="center"/>
    </xf>
    <xf numFmtId="2" fontId="45" fillId="33" borderId="18" xfId="0" applyNumberFormat="1" applyFont="1" applyFill="1" applyBorder="1" applyAlignment="1">
      <alignment horizontal="center" vertical="center"/>
    </xf>
    <xf numFmtId="2" fontId="45" fillId="33" borderId="34" xfId="0" applyNumberFormat="1" applyFont="1" applyFill="1" applyBorder="1" applyAlignment="1">
      <alignment horizontal="center" vertical="center"/>
    </xf>
    <xf numFmtId="2" fontId="45" fillId="47" borderId="18" xfId="0" applyNumberFormat="1" applyFont="1" applyFill="1" applyBorder="1" applyAlignment="1">
      <alignment horizontal="center" vertical="center"/>
    </xf>
    <xf numFmtId="0" fontId="44" fillId="48" borderId="26" xfId="0" applyFont="1" applyFill="1" applyBorder="1" applyAlignment="1">
      <alignment horizontal="center" vertical="center"/>
    </xf>
    <xf numFmtId="2" fontId="45" fillId="47" borderId="28" xfId="0" applyNumberFormat="1" applyFont="1" applyFill="1" applyBorder="1" applyAlignment="1">
      <alignment horizontal="center" vertical="center"/>
    </xf>
    <xf numFmtId="0" fontId="44" fillId="49" borderId="25" xfId="0" applyFont="1" applyFill="1" applyBorder="1" applyAlignment="1">
      <alignment horizontal="center" vertical="center"/>
    </xf>
    <xf numFmtId="0" fontId="45" fillId="47" borderId="28" xfId="0" applyFont="1" applyFill="1" applyBorder="1" applyAlignment="1">
      <alignment horizontal="center" vertical="center"/>
    </xf>
    <xf numFmtId="2" fontId="45" fillId="47" borderId="29" xfId="0" applyNumberFormat="1" applyFont="1" applyFill="1" applyBorder="1" applyAlignment="1">
      <alignment horizontal="center" vertical="center"/>
    </xf>
    <xf numFmtId="0" fontId="45" fillId="50" borderId="28" xfId="0" applyFont="1" applyFill="1" applyBorder="1" applyAlignment="1">
      <alignment horizontal="center" vertical="center"/>
    </xf>
    <xf numFmtId="0" fontId="45" fillId="0" borderId="28" xfId="0" applyFont="1" applyBorder="1" applyAlignment="1">
      <alignment horizontal="center" vertical="center"/>
    </xf>
    <xf numFmtId="2" fontId="45" fillId="0" borderId="28" xfId="0" applyNumberFormat="1" applyFont="1" applyBorder="1" applyAlignment="1">
      <alignment horizontal="center" vertical="center"/>
    </xf>
    <xf numFmtId="2" fontId="45" fillId="0" borderId="29" xfId="0" applyNumberFormat="1" applyFont="1" applyBorder="1" applyAlignment="1">
      <alignment horizontal="center" vertical="center"/>
    </xf>
    <xf numFmtId="0" fontId="44" fillId="34" borderId="35" xfId="0" applyFont="1" applyFill="1" applyBorder="1" applyAlignment="1">
      <alignment horizontal="center" vertical="center"/>
    </xf>
    <xf numFmtId="0" fontId="44" fillId="34" borderId="36" xfId="0" applyFont="1" applyFill="1" applyBorder="1" applyAlignment="1">
      <alignment horizontal="center" vertical="center"/>
    </xf>
    <xf numFmtId="0" fontId="44" fillId="34" borderId="37" xfId="0" applyFont="1" applyFill="1" applyBorder="1" applyAlignment="1">
      <alignment horizontal="center" vertical="center"/>
    </xf>
    <xf numFmtId="0" fontId="44" fillId="34" borderId="38" xfId="0" applyFont="1" applyFill="1" applyBorder="1" applyAlignment="1">
      <alignment horizontal="center" vertical="center"/>
    </xf>
    <xf numFmtId="0" fontId="44" fillId="19" borderId="33" xfId="0" applyFont="1" applyFill="1" applyBorder="1" applyAlignment="1">
      <alignment horizontal="center" vertical="center"/>
    </xf>
    <xf numFmtId="0" fontId="44" fillId="16" borderId="33" xfId="0" applyFont="1" applyFill="1" applyBorder="1" applyAlignment="1">
      <alignment horizontal="center" vertical="center"/>
    </xf>
    <xf numFmtId="0" fontId="45" fillId="51" borderId="21" xfId="0" applyFont="1" applyFill="1" applyBorder="1" applyAlignment="1">
      <alignment horizontal="center" vertical="center"/>
    </xf>
    <xf numFmtId="0" fontId="45" fillId="51" borderId="26" xfId="0" applyFont="1" applyFill="1" applyBorder="1" applyAlignment="1">
      <alignment horizontal="center" vertical="center"/>
    </xf>
    <xf numFmtId="0" fontId="45" fillId="47" borderId="18" xfId="0" applyFont="1" applyFill="1" applyBorder="1" applyAlignment="1">
      <alignment horizontal="center" vertical="center"/>
    </xf>
    <xf numFmtId="2" fontId="45" fillId="47" borderId="34" xfId="0" applyNumberFormat="1" applyFont="1" applyFill="1" applyBorder="1" applyAlignment="1">
      <alignment horizontal="center" vertical="center"/>
    </xf>
    <xf numFmtId="0" fontId="45" fillId="47" borderId="39" xfId="0" applyFont="1" applyFill="1" applyBorder="1" applyAlignment="1">
      <alignment horizontal="center" vertical="center"/>
    </xf>
    <xf numFmtId="2" fontId="45" fillId="47" borderId="39" xfId="0" applyNumberFormat="1" applyFont="1" applyFill="1" applyBorder="1" applyAlignment="1">
      <alignment horizontal="center" vertical="center"/>
    </xf>
    <xf numFmtId="2" fontId="45" fillId="47" borderId="40" xfId="0" applyNumberFormat="1" applyFont="1" applyFill="1" applyBorder="1" applyAlignment="1">
      <alignment horizontal="center" vertical="center"/>
    </xf>
    <xf numFmtId="0" fontId="45" fillId="47" borderId="41" xfId="0" applyFont="1" applyFill="1" applyBorder="1" applyAlignment="1">
      <alignment horizontal="center" vertical="center"/>
    </xf>
    <xf numFmtId="2" fontId="45" fillId="47" borderId="41" xfId="0" applyNumberFormat="1" applyFont="1" applyFill="1" applyBorder="1" applyAlignment="1">
      <alignment horizontal="center" vertical="center"/>
    </xf>
    <xf numFmtId="2" fontId="45" fillId="47" borderId="42" xfId="0" applyNumberFormat="1" applyFont="1" applyFill="1" applyBorder="1" applyAlignment="1">
      <alignment horizontal="center" vertical="center"/>
    </xf>
    <xf numFmtId="0" fontId="45" fillId="0" borderId="43" xfId="0" applyFont="1" applyBorder="1" applyAlignment="1">
      <alignment horizontal="center" vertical="center"/>
    </xf>
    <xf numFmtId="2" fontId="45" fillId="0" borderId="43" xfId="0" applyNumberFormat="1" applyFont="1" applyBorder="1" applyAlignment="1">
      <alignment horizontal="center" vertical="center"/>
    </xf>
    <xf numFmtId="2" fontId="45" fillId="0" borderId="44" xfId="0" applyNumberFormat="1" applyFont="1" applyBorder="1" applyAlignment="1">
      <alignment horizontal="center" vertical="center"/>
    </xf>
    <xf numFmtId="2" fontId="45" fillId="0" borderId="39" xfId="0" applyNumberFormat="1" applyFont="1" applyBorder="1" applyAlignment="1">
      <alignment horizontal="center" vertical="center"/>
    </xf>
    <xf numFmtId="2" fontId="45" fillId="0" borderId="40" xfId="0" applyNumberFormat="1" applyFont="1" applyBorder="1" applyAlignment="1">
      <alignment horizontal="center" vertical="center"/>
    </xf>
    <xf numFmtId="2" fontId="45" fillId="0" borderId="30" xfId="0" applyNumberFormat="1" applyFont="1" applyBorder="1" applyAlignment="1">
      <alignment horizontal="center" vertical="center"/>
    </xf>
    <xf numFmtId="0" fontId="45" fillId="0" borderId="31" xfId="0" applyFont="1" applyBorder="1" applyAlignment="1">
      <alignment horizontal="center" vertical="center"/>
    </xf>
    <xf numFmtId="2" fontId="45" fillId="0" borderId="32" xfId="0" applyNumberFormat="1" applyFont="1" applyBorder="1" applyAlignment="1">
      <alignment horizontal="center" vertical="center"/>
    </xf>
    <xf numFmtId="0" fontId="45" fillId="47" borderId="30" xfId="0" applyFont="1" applyFill="1" applyBorder="1" applyAlignment="1">
      <alignment horizontal="center" vertical="center"/>
    </xf>
    <xf numFmtId="2" fontId="45" fillId="47" borderId="30" xfId="0" applyNumberFormat="1" applyFont="1" applyFill="1" applyBorder="1" applyAlignment="1">
      <alignment horizontal="center" vertical="center"/>
    </xf>
    <xf numFmtId="2" fontId="45" fillId="0" borderId="45" xfId="0" applyNumberFormat="1" applyFont="1" applyBorder="1" applyAlignment="1">
      <alignment horizontal="center" vertical="center"/>
    </xf>
    <xf numFmtId="2" fontId="45" fillId="0" borderId="46" xfId="0" applyNumberFormat="1" applyFont="1" applyBorder="1" applyAlignment="1">
      <alignment horizontal="center" vertical="center"/>
    </xf>
    <xf numFmtId="2" fontId="45" fillId="0" borderId="47" xfId="0" applyNumberFormat="1" applyFont="1" applyBorder="1" applyAlignment="1">
      <alignment horizontal="center" vertical="center"/>
    </xf>
    <xf numFmtId="2" fontId="45" fillId="0" borderId="48" xfId="0" applyNumberFormat="1" applyFont="1" applyBorder="1" applyAlignment="1">
      <alignment horizontal="center" vertical="center"/>
    </xf>
    <xf numFmtId="2" fontId="45" fillId="0" borderId="0" xfId="0" applyNumberFormat="1" applyFont="1" applyAlignment="1">
      <alignment horizontal="center" vertical="center"/>
    </xf>
    <xf numFmtId="2" fontId="45" fillId="0" borderId="49" xfId="0" applyNumberFormat="1" applyFont="1" applyBorder="1" applyAlignment="1">
      <alignment horizontal="center" vertical="center"/>
    </xf>
    <xf numFmtId="2" fontId="45" fillId="0" borderId="50" xfId="0" applyNumberFormat="1" applyFont="1" applyBorder="1" applyAlignment="1">
      <alignment horizontal="center" vertical="center"/>
    </xf>
    <xf numFmtId="2" fontId="45" fillId="0" borderId="51" xfId="0" applyNumberFormat="1" applyFont="1" applyBorder="1" applyAlignment="1">
      <alignment horizontal="center" vertical="center"/>
    </xf>
    <xf numFmtId="2" fontId="45" fillId="0" borderId="52" xfId="0" applyNumberFormat="1" applyFont="1" applyBorder="1" applyAlignment="1">
      <alignment horizontal="center" vertical="center"/>
    </xf>
    <xf numFmtId="0" fontId="47" fillId="0" borderId="48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49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9" fillId="0" borderId="50" xfId="0" applyFont="1" applyBorder="1" applyAlignment="1">
      <alignment horizontal="center" vertical="center"/>
    </xf>
    <xf numFmtId="0" fontId="9" fillId="0" borderId="51" xfId="0" applyFont="1" applyBorder="1" applyAlignment="1">
      <alignment horizontal="center" vertical="center"/>
    </xf>
    <xf numFmtId="0" fontId="9" fillId="0" borderId="52" xfId="0" applyFont="1" applyBorder="1" applyAlignment="1">
      <alignment horizontal="center" vertical="center"/>
    </xf>
    <xf numFmtId="0" fontId="44" fillId="33" borderId="0" xfId="0" applyFont="1" applyFill="1" applyAlignment="1">
      <alignment horizontal="right"/>
    </xf>
    <xf numFmtId="0" fontId="48" fillId="33" borderId="0" xfId="0" applyFont="1" applyFill="1" applyAlignment="1">
      <alignment/>
    </xf>
    <xf numFmtId="0" fontId="48" fillId="33" borderId="0" xfId="0" applyFont="1" applyFill="1" applyAlignment="1">
      <alignment horizontal="right"/>
    </xf>
    <xf numFmtId="0" fontId="44" fillId="34" borderId="53" xfId="0" applyFont="1" applyFill="1" applyBorder="1" applyAlignment="1">
      <alignment horizontal="center" vertical="center"/>
    </xf>
    <xf numFmtId="0" fontId="9" fillId="0" borderId="54" xfId="0" applyFont="1" applyBorder="1" applyAlignment="1">
      <alignment vertical="center"/>
    </xf>
    <xf numFmtId="10" fontId="44" fillId="44" borderId="55" xfId="0" applyNumberFormat="1" applyFont="1" applyFill="1" applyBorder="1" applyAlignment="1">
      <alignment horizontal="center" vertical="center"/>
    </xf>
    <xf numFmtId="10" fontId="9" fillId="0" borderId="56" xfId="0" applyNumberFormat="1" applyFont="1" applyBorder="1" applyAlignment="1">
      <alignment vertical="center"/>
    </xf>
    <xf numFmtId="0" fontId="45" fillId="37" borderId="57" xfId="0" applyFont="1" applyFill="1" applyBorder="1" applyAlignment="1">
      <alignment vertical="center"/>
    </xf>
    <xf numFmtId="0" fontId="9" fillId="0" borderId="58" xfId="0" applyFont="1" applyBorder="1" applyAlignment="1">
      <alignment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/>
    <outlinePr summaryBelow="0" summaryRight="0"/>
    <pageSetUpPr fitToPage="1"/>
  </sheetPr>
  <dimension ref="A1:R100"/>
  <sheetViews>
    <sheetView showGridLines="0" tabSelected="1" zoomScalePageLayoutView="0" workbookViewId="0" topLeftCell="A1">
      <selection activeCell="O19" sqref="O19"/>
    </sheetView>
  </sheetViews>
  <sheetFormatPr defaultColWidth="14.421875" defaultRowHeight="15.75" customHeight="1"/>
  <cols>
    <col min="1" max="1" width="14.421875" style="0" customWidth="1"/>
    <col min="2" max="2" width="16.8515625" style="0" customWidth="1"/>
    <col min="3" max="6" width="14.421875" style="0" customWidth="1"/>
    <col min="7" max="7" width="18.140625" style="0" customWidth="1"/>
  </cols>
  <sheetData>
    <row r="1" spans="1:15" ht="15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5.75" customHeight="1">
      <c r="A2" s="1"/>
      <c r="B2" s="8" t="s">
        <v>0</v>
      </c>
      <c r="C2" s="8"/>
      <c r="D2" s="8"/>
      <c r="E2" s="8"/>
      <c r="F2" s="8"/>
      <c r="G2" s="8"/>
      <c r="H2" s="8"/>
      <c r="I2" s="9"/>
      <c r="J2" s="9"/>
      <c r="K2" s="9"/>
      <c r="L2" s="125" t="s">
        <v>54</v>
      </c>
      <c r="M2" s="126"/>
      <c r="N2" s="126"/>
      <c r="O2" s="1"/>
    </row>
    <row r="3" spans="1:15" ht="15.75" customHeight="1">
      <c r="A3" s="1"/>
      <c r="B3" s="8" t="s">
        <v>1</v>
      </c>
      <c r="C3" s="8"/>
      <c r="D3" s="8"/>
      <c r="E3" s="8"/>
      <c r="F3" s="8"/>
      <c r="G3" s="8"/>
      <c r="H3" s="8"/>
      <c r="I3" s="127" t="s">
        <v>55</v>
      </c>
      <c r="J3" s="127"/>
      <c r="K3" s="127"/>
      <c r="L3" s="127"/>
      <c r="M3" s="127"/>
      <c r="N3" s="127"/>
      <c r="O3" s="1"/>
    </row>
    <row r="4" spans="1:15" ht="15.75" customHeight="1">
      <c r="A4" s="1"/>
      <c r="B4" s="8" t="s">
        <v>2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1"/>
    </row>
    <row r="5" spans="1:15" ht="15.75" customHeight="1">
      <c r="A5" s="1"/>
      <c r="B5" s="8" t="s">
        <v>3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1"/>
    </row>
    <row r="6" spans="1:15" ht="15.75" customHeight="1">
      <c r="A6" s="1"/>
      <c r="B6" s="8" t="s">
        <v>64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1"/>
    </row>
    <row r="7" spans="1:15" ht="15.75" customHeight="1">
      <c r="A7" s="1"/>
      <c r="B7" s="8" t="s">
        <v>65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1"/>
    </row>
    <row r="8" spans="1:15" ht="15.75" customHeight="1">
      <c r="A8" s="1"/>
      <c r="B8" s="15" t="s">
        <v>66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1"/>
    </row>
    <row r="9" spans="1:15" ht="15.75" customHeight="1">
      <c r="A9" s="1"/>
      <c r="B9" s="8" t="s">
        <v>56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1"/>
    </row>
    <row r="10" spans="1:15" ht="15.75" customHeight="1">
      <c r="A10" s="1"/>
      <c r="B10" s="8" t="s">
        <v>57</v>
      </c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1"/>
    </row>
    <row r="11" spans="1:15" ht="15.75" customHeight="1">
      <c r="A11" s="1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"/>
    </row>
    <row r="12" spans="1:15" ht="15.75" customHeight="1">
      <c r="A12" s="1"/>
      <c r="B12" s="6" t="s">
        <v>51</v>
      </c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7" t="s">
        <v>53</v>
      </c>
      <c r="O12" s="1"/>
    </row>
    <row r="13" spans="1:15" ht="15.75" customHeight="1">
      <c r="A13" s="1"/>
      <c r="B13" s="11" t="s">
        <v>58</v>
      </c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7" t="s">
        <v>52</v>
      </c>
      <c r="O13" s="1"/>
    </row>
    <row r="14" spans="1:15" ht="15.75" customHeight="1">
      <c r="A14" s="1"/>
      <c r="B14" s="11" t="s">
        <v>59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"/>
    </row>
    <row r="15" spans="1:15" ht="15.75" customHeight="1">
      <c r="A15" s="1"/>
      <c r="B15" s="11" t="s">
        <v>60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"/>
    </row>
    <row r="16" spans="1:14" ht="15.75" customHeight="1">
      <c r="A16" s="1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4"/>
    </row>
    <row r="17" spans="1:14" ht="15.75" customHeight="1" thickBot="1">
      <c r="A17" s="1"/>
      <c r="B17" s="10"/>
      <c r="C17" s="10"/>
      <c r="D17" s="10"/>
      <c r="E17" s="10"/>
      <c r="F17" s="10"/>
      <c r="G17" s="10"/>
      <c r="H17" s="10"/>
      <c r="I17" s="10"/>
      <c r="J17" s="10"/>
      <c r="K17" s="12"/>
      <c r="L17" s="10"/>
      <c r="M17" s="10"/>
      <c r="N17" s="4"/>
    </row>
    <row r="18" spans="1:14" ht="19.5" customHeight="1">
      <c r="A18" s="1"/>
      <c r="B18" s="17"/>
      <c r="C18" s="18" t="s">
        <v>4</v>
      </c>
      <c r="D18" s="19" t="s">
        <v>5</v>
      </c>
      <c r="E18" s="20"/>
      <c r="F18" s="17"/>
      <c r="G18" s="18" t="s">
        <v>6</v>
      </c>
      <c r="H18" s="18" t="s">
        <v>7</v>
      </c>
      <c r="I18" s="19" t="s">
        <v>8</v>
      </c>
      <c r="J18" s="20"/>
      <c r="K18" s="128" t="s">
        <v>61</v>
      </c>
      <c r="L18" s="129"/>
      <c r="M18" s="4"/>
      <c r="N18" s="4"/>
    </row>
    <row r="19" spans="1:14" ht="19.5" customHeight="1" thickBot="1">
      <c r="A19" s="1"/>
      <c r="B19" s="21" t="s">
        <v>9</v>
      </c>
      <c r="C19" s="22">
        <v>650</v>
      </c>
      <c r="D19" s="23" t="s">
        <v>10</v>
      </c>
      <c r="E19" s="20"/>
      <c r="F19" s="24" t="s">
        <v>11</v>
      </c>
      <c r="G19" s="25" t="s">
        <v>13</v>
      </c>
      <c r="H19" s="26">
        <f>IF($G$19="해제",0,18)</f>
        <v>0</v>
      </c>
      <c r="I19" s="27">
        <f>IF($G$19="해제",0,20)</f>
        <v>0</v>
      </c>
      <c r="J19" s="20"/>
      <c r="K19" s="130">
        <f>IF((1-(1-($C$22+$H$24)/100)*(1-$H$19/100)*(1-$H$20/100)*(1-$H$21/100)*(1-$I$24/100))&gt;=0.8,0.8,(1-(1-($C$22+$H$24)/100)*(1-$H$19/100)*(1-$H$20/100)*(1-$H$21/100)*(1-$I$24/100)))</f>
        <v>0.13958099999999996</v>
      </c>
      <c r="L19" s="131"/>
      <c r="M19" s="4"/>
      <c r="N19" s="4"/>
    </row>
    <row r="20" spans="1:15" ht="19.5" customHeight="1" thickBot="1">
      <c r="A20" s="1"/>
      <c r="B20" s="20"/>
      <c r="C20" s="20"/>
      <c r="D20" s="20"/>
      <c r="E20" s="20"/>
      <c r="F20" s="24" t="s">
        <v>12</v>
      </c>
      <c r="G20" s="25" t="s">
        <v>13</v>
      </c>
      <c r="H20" s="26">
        <f>IF(G20="4셋적용",20,IF(G20="6셋적용",35,IF(G20="레벨2적용(4셋)",22,IF(G20="레벨2적용(6셋)",40,IF(G20="레벨3적용(4셋)",23,IF(G20="레벨3적용(6셋)",43,0))))))</f>
        <v>0</v>
      </c>
      <c r="I20" s="132"/>
      <c r="J20" s="20"/>
      <c r="K20" s="28"/>
      <c r="L20" s="20"/>
      <c r="M20" s="10"/>
      <c r="N20" s="10"/>
      <c r="O20" s="1"/>
    </row>
    <row r="21" spans="1:18" ht="19.5" customHeight="1" thickBot="1">
      <c r="A21" s="1"/>
      <c r="B21" s="29" t="s">
        <v>14</v>
      </c>
      <c r="C21" s="30">
        <v>0.021474</v>
      </c>
      <c r="D21" s="31" t="s">
        <v>15</v>
      </c>
      <c r="E21" s="20"/>
      <c r="F21" s="21" t="s">
        <v>16</v>
      </c>
      <c r="G21" s="22" t="s">
        <v>13</v>
      </c>
      <c r="H21" s="32">
        <f>IF(G21="해제",0,15)</f>
        <v>0</v>
      </c>
      <c r="I21" s="133"/>
      <c r="J21" s="20"/>
      <c r="K21" s="28"/>
      <c r="L21" s="20"/>
      <c r="M21" s="10"/>
      <c r="N21" s="13"/>
      <c r="O21" s="1"/>
      <c r="P21" s="5"/>
      <c r="Q21" s="5"/>
      <c r="R21" s="5"/>
    </row>
    <row r="22" spans="1:18" ht="19.5" customHeight="1" thickBot="1">
      <c r="A22" s="1"/>
      <c r="B22" s="21" t="s">
        <v>17</v>
      </c>
      <c r="C22" s="33">
        <f>$C$19*$C$21</f>
        <v>13.9581</v>
      </c>
      <c r="D22" s="23" t="s">
        <v>18</v>
      </c>
      <c r="E22" s="20"/>
      <c r="F22" s="20"/>
      <c r="G22" s="20"/>
      <c r="H22" s="20"/>
      <c r="I22" s="20"/>
      <c r="J22" s="20"/>
      <c r="K22" s="20"/>
      <c r="L22" s="20"/>
      <c r="M22" s="10"/>
      <c r="N22" s="10"/>
      <c r="O22" s="1"/>
      <c r="P22" s="4"/>
      <c r="Q22" s="4"/>
      <c r="R22" s="5"/>
    </row>
    <row r="23" spans="1:18" ht="19.5" customHeight="1">
      <c r="A23" s="1"/>
      <c r="B23" s="20"/>
      <c r="C23" s="20"/>
      <c r="D23" s="20"/>
      <c r="E23" s="20"/>
      <c r="F23" s="34"/>
      <c r="G23" s="20"/>
      <c r="H23" s="16" t="s">
        <v>62</v>
      </c>
      <c r="I23" s="16" t="s">
        <v>63</v>
      </c>
      <c r="J23" s="20"/>
      <c r="K23" s="20"/>
      <c r="L23" s="20"/>
      <c r="M23" s="10"/>
      <c r="N23" s="10"/>
      <c r="O23" s="1"/>
      <c r="P23" s="4"/>
      <c r="Q23" s="4"/>
      <c r="R23" s="5"/>
    </row>
    <row r="24" spans="1:18" ht="19.5" customHeight="1" thickBot="1">
      <c r="A24" s="1"/>
      <c r="B24" s="20"/>
      <c r="C24" s="20"/>
      <c r="D24" s="20"/>
      <c r="E24" s="20"/>
      <c r="F24" s="34"/>
      <c r="G24" s="20"/>
      <c r="H24" s="35">
        <v>0</v>
      </c>
      <c r="I24" s="35">
        <v>0</v>
      </c>
      <c r="J24" s="20"/>
      <c r="K24" s="20"/>
      <c r="L24" s="20"/>
      <c r="M24" s="10"/>
      <c r="N24" s="10"/>
      <c r="O24" s="1"/>
      <c r="P24" s="4"/>
      <c r="Q24" s="4"/>
      <c r="R24" s="5"/>
    </row>
    <row r="25" spans="1:18" ht="19.5" customHeight="1">
      <c r="A25" s="1"/>
      <c r="B25" s="14" t="s">
        <v>19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3"/>
      <c r="P25" s="4"/>
      <c r="Q25" s="4"/>
      <c r="R25" s="5"/>
    </row>
    <row r="26" spans="1:18" ht="19.5" customHeight="1">
      <c r="A26" s="1"/>
      <c r="B26" s="14" t="s">
        <v>20</v>
      </c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"/>
      <c r="P26" s="4"/>
      <c r="Q26" s="4"/>
      <c r="R26" s="5"/>
    </row>
    <row r="27" spans="1:18" ht="19.5" customHeight="1">
      <c r="A27" s="1"/>
      <c r="B27" s="14" t="s">
        <v>21</v>
      </c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"/>
      <c r="P27" s="5"/>
      <c r="Q27" s="5"/>
      <c r="R27" s="5"/>
    </row>
    <row r="28" spans="1:18" ht="19.5" customHeight="1" thickBot="1">
      <c r="A28" s="1"/>
      <c r="B28" s="14" t="s">
        <v>22</v>
      </c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"/>
      <c r="P28" s="5"/>
      <c r="Q28" s="5"/>
      <c r="R28" s="5"/>
    </row>
    <row r="29" spans="1:18" ht="19.5" customHeight="1">
      <c r="A29" s="1"/>
      <c r="B29" s="86" t="s">
        <v>100</v>
      </c>
      <c r="C29" s="88"/>
      <c r="D29" s="36" t="s">
        <v>23</v>
      </c>
      <c r="E29" s="37" t="s">
        <v>24</v>
      </c>
      <c r="F29" s="37" t="s">
        <v>25</v>
      </c>
      <c r="G29" s="38" t="s">
        <v>26</v>
      </c>
      <c r="H29" s="38" t="s">
        <v>27</v>
      </c>
      <c r="I29" s="39" t="s">
        <v>28</v>
      </c>
      <c r="J29" s="39" t="s">
        <v>29</v>
      </c>
      <c r="K29" s="40" t="s">
        <v>30</v>
      </c>
      <c r="L29" s="40" t="s">
        <v>31</v>
      </c>
      <c r="M29" s="41" t="s">
        <v>32</v>
      </c>
      <c r="N29" s="42" t="s">
        <v>33</v>
      </c>
      <c r="O29" s="1"/>
      <c r="P29" s="5"/>
      <c r="Q29" s="5"/>
      <c r="R29" s="5"/>
    </row>
    <row r="30" spans="1:15" ht="19.5" customHeight="1">
      <c r="A30" s="1"/>
      <c r="B30" s="89"/>
      <c r="C30" s="43" t="s">
        <v>34</v>
      </c>
      <c r="D30" s="43">
        <v>0</v>
      </c>
      <c r="E30" s="44">
        <v>2</v>
      </c>
      <c r="F30" s="44">
        <v>4</v>
      </c>
      <c r="G30" s="45">
        <v>6</v>
      </c>
      <c r="H30" s="45">
        <v>8</v>
      </c>
      <c r="I30" s="46">
        <v>10</v>
      </c>
      <c r="J30" s="46">
        <v>12</v>
      </c>
      <c r="K30" s="47">
        <v>14</v>
      </c>
      <c r="L30" s="47">
        <v>16</v>
      </c>
      <c r="M30" s="48">
        <v>18</v>
      </c>
      <c r="N30" s="49">
        <v>20</v>
      </c>
      <c r="O30" s="1"/>
    </row>
    <row r="31" spans="1:16" ht="19.5" customHeight="1">
      <c r="A31" s="1"/>
      <c r="B31" s="75" t="s">
        <v>35</v>
      </c>
      <c r="C31" s="79">
        <v>25</v>
      </c>
      <c r="D31" s="80">
        <f>IF((1-$K$19)*(1-D$30/100)&lt;=0.2,$C31*0.2,$C31*(1-$K$19)*(1-D$30/100))</f>
        <v>21.510475</v>
      </c>
      <c r="E31" s="80">
        <f aca="true" t="shared" si="0" ref="E31:N41">IF((1-$K$19)*(1-E$30/100)&lt;=0.2,$C31*0.2,$C31*(1-$K$19)*(1-E$30/100))</f>
        <v>21.0802655</v>
      </c>
      <c r="F31" s="80">
        <f t="shared" si="0"/>
        <v>20.650056</v>
      </c>
      <c r="G31" s="80">
        <f t="shared" si="0"/>
        <v>20.2198465</v>
      </c>
      <c r="H31" s="80">
        <f t="shared" si="0"/>
        <v>19.789637</v>
      </c>
      <c r="I31" s="80">
        <f t="shared" si="0"/>
        <v>19.3594275</v>
      </c>
      <c r="J31" s="80">
        <f t="shared" si="0"/>
        <v>18.929218</v>
      </c>
      <c r="K31" s="80">
        <f t="shared" si="0"/>
        <v>18.4990085</v>
      </c>
      <c r="L31" s="80">
        <f t="shared" si="0"/>
        <v>18.068799</v>
      </c>
      <c r="M31" s="80">
        <f t="shared" si="0"/>
        <v>17.638589500000002</v>
      </c>
      <c r="N31" s="81">
        <f t="shared" si="0"/>
        <v>17.208380000000002</v>
      </c>
      <c r="O31" s="1"/>
      <c r="P31" s="2"/>
    </row>
    <row r="32" spans="1:16" ht="19.5" customHeight="1">
      <c r="A32" s="1"/>
      <c r="B32" s="75" t="s">
        <v>36</v>
      </c>
      <c r="C32" s="78">
        <f>C31-5</f>
        <v>20</v>
      </c>
      <c r="D32" s="74">
        <f>IF((1-$K$19)*(1-D$30/100)&lt;=0.2,$C32*0.2,$C32*(1-$K$19)*(1-D$30/100))</f>
        <v>17.208380000000002</v>
      </c>
      <c r="E32" s="74">
        <f t="shared" si="0"/>
        <v>16.864212400000003</v>
      </c>
      <c r="F32" s="74">
        <f t="shared" si="0"/>
        <v>16.5200448</v>
      </c>
      <c r="G32" s="74">
        <f t="shared" si="0"/>
        <v>16.175877200000002</v>
      </c>
      <c r="H32" s="74">
        <f t="shared" si="0"/>
        <v>15.831709600000002</v>
      </c>
      <c r="I32" s="74">
        <f t="shared" si="0"/>
        <v>15.487542000000001</v>
      </c>
      <c r="J32" s="74">
        <f t="shared" si="0"/>
        <v>15.1433744</v>
      </c>
      <c r="K32" s="74">
        <f t="shared" si="0"/>
        <v>14.799206800000002</v>
      </c>
      <c r="L32" s="74">
        <f t="shared" si="0"/>
        <v>14.455039200000002</v>
      </c>
      <c r="M32" s="74">
        <f t="shared" si="0"/>
        <v>14.110871600000003</v>
      </c>
      <c r="N32" s="77">
        <f t="shared" si="0"/>
        <v>13.766704000000002</v>
      </c>
      <c r="O32" s="1"/>
      <c r="P32" s="2"/>
    </row>
    <row r="33" spans="1:16" ht="19.5" customHeight="1">
      <c r="A33" s="1"/>
      <c r="B33" s="75" t="s">
        <v>37</v>
      </c>
      <c r="C33" s="79">
        <f>C31-9</f>
        <v>16</v>
      </c>
      <c r="D33" s="80">
        <f>IF((1-$K$19)*(1-D$30/100)&lt;=0.2,$C33*0.2,$C33*(1-$K$19)*(1-D$30/100))</f>
        <v>13.766704</v>
      </c>
      <c r="E33" s="80">
        <f t="shared" si="0"/>
        <v>13.49136992</v>
      </c>
      <c r="F33" s="80">
        <f t="shared" si="0"/>
        <v>13.21603584</v>
      </c>
      <c r="G33" s="80">
        <f t="shared" si="0"/>
        <v>12.94070176</v>
      </c>
      <c r="H33" s="80">
        <f t="shared" si="0"/>
        <v>12.665367680000001</v>
      </c>
      <c r="I33" s="80">
        <f t="shared" si="0"/>
        <v>12.3900336</v>
      </c>
      <c r="J33" s="80">
        <f t="shared" si="0"/>
        <v>12.11469952</v>
      </c>
      <c r="K33" s="80">
        <f t="shared" si="0"/>
        <v>11.83936544</v>
      </c>
      <c r="L33" s="80">
        <f t="shared" si="0"/>
        <v>11.56403136</v>
      </c>
      <c r="M33" s="80">
        <f t="shared" si="0"/>
        <v>11.288697280000001</v>
      </c>
      <c r="N33" s="81">
        <f t="shared" si="0"/>
        <v>11.0133632</v>
      </c>
      <c r="O33" s="1"/>
      <c r="P33" s="2"/>
    </row>
    <row r="34" spans="1:16" ht="19.5" customHeight="1">
      <c r="A34" s="1"/>
      <c r="B34" s="75" t="s">
        <v>92</v>
      </c>
      <c r="C34" s="76">
        <v>30</v>
      </c>
      <c r="D34" s="74">
        <f>IF((1-$K$19)*(1-D$30/100)&lt;=0.2,$C34*0.2,$C34*(1-$K$19)*(1-D$30/100))</f>
        <v>25.81257</v>
      </c>
      <c r="E34" s="74">
        <f t="shared" si="0"/>
        <v>25.2963186</v>
      </c>
      <c r="F34" s="74">
        <f t="shared" si="0"/>
        <v>24.7800672</v>
      </c>
      <c r="G34" s="74">
        <f t="shared" si="0"/>
        <v>24.2638158</v>
      </c>
      <c r="H34" s="74">
        <f t="shared" si="0"/>
        <v>23.7475644</v>
      </c>
      <c r="I34" s="74">
        <f t="shared" si="0"/>
        <v>23.231313</v>
      </c>
      <c r="J34" s="74">
        <f t="shared" si="0"/>
        <v>22.715061600000002</v>
      </c>
      <c r="K34" s="74">
        <f t="shared" si="0"/>
        <v>22.1988102</v>
      </c>
      <c r="L34" s="74">
        <f t="shared" si="0"/>
        <v>21.6825588</v>
      </c>
      <c r="M34" s="74">
        <f t="shared" si="0"/>
        <v>21.1663074</v>
      </c>
      <c r="N34" s="77">
        <f t="shared" si="0"/>
        <v>20.650056000000003</v>
      </c>
      <c r="O34" s="1"/>
      <c r="P34" s="2"/>
    </row>
    <row r="35" spans="1:16" ht="19.5" customHeight="1">
      <c r="A35" s="1"/>
      <c r="B35" s="75" t="s">
        <v>38</v>
      </c>
      <c r="C35" s="79">
        <f>C34-6</f>
        <v>24</v>
      </c>
      <c r="D35" s="80">
        <f>IF((1-$K$19)*(1-D$30/100)&lt;=0.2,$C35*0.2,$C35*(1-$K$19)*(1-D$30/100))</f>
        <v>20.650056</v>
      </c>
      <c r="E35" s="80">
        <f t="shared" si="0"/>
        <v>20.23705488</v>
      </c>
      <c r="F35" s="80">
        <f t="shared" si="0"/>
        <v>19.824053759999998</v>
      </c>
      <c r="G35" s="80">
        <f t="shared" si="0"/>
        <v>19.411052639999998</v>
      </c>
      <c r="H35" s="80">
        <f t="shared" si="0"/>
        <v>18.99805152</v>
      </c>
      <c r="I35" s="80">
        <f t="shared" si="0"/>
        <v>18.5850504</v>
      </c>
      <c r="J35" s="80">
        <f t="shared" si="0"/>
        <v>18.17204928</v>
      </c>
      <c r="K35" s="80">
        <f t="shared" si="0"/>
        <v>17.75904816</v>
      </c>
      <c r="L35" s="80">
        <f t="shared" si="0"/>
        <v>17.34604704</v>
      </c>
      <c r="M35" s="80">
        <f t="shared" si="0"/>
        <v>16.93304592</v>
      </c>
      <c r="N35" s="81">
        <f t="shared" si="0"/>
        <v>16.5200448</v>
      </c>
      <c r="O35" s="1"/>
      <c r="P35" s="2"/>
    </row>
    <row r="36" spans="1:16" ht="19.5" customHeight="1">
      <c r="A36" s="1"/>
      <c r="B36" s="75" t="s">
        <v>39</v>
      </c>
      <c r="C36" s="78">
        <f>C34-9</f>
        <v>21</v>
      </c>
      <c r="D36" s="74">
        <f>IF((1-$K$19)*(1-D$30/100)&lt;=0.2,$C36*0.2,$C36*(1-$K$19)*(1-D$30/100))</f>
        <v>18.068799000000002</v>
      </c>
      <c r="E36" s="74">
        <f t="shared" si="0"/>
        <v>17.70742302</v>
      </c>
      <c r="F36" s="74">
        <f t="shared" si="0"/>
        <v>17.346047040000002</v>
      </c>
      <c r="G36" s="74">
        <f t="shared" si="0"/>
        <v>16.98467106</v>
      </c>
      <c r="H36" s="74">
        <f t="shared" si="0"/>
        <v>16.623295080000002</v>
      </c>
      <c r="I36" s="74">
        <f t="shared" si="0"/>
        <v>16.261919100000004</v>
      </c>
      <c r="J36" s="74">
        <f t="shared" si="0"/>
        <v>15.900543120000002</v>
      </c>
      <c r="K36" s="74">
        <f t="shared" si="0"/>
        <v>15.539167140000002</v>
      </c>
      <c r="L36" s="74">
        <f t="shared" si="0"/>
        <v>15.177791160000002</v>
      </c>
      <c r="M36" s="74">
        <f t="shared" si="0"/>
        <v>14.816415180000003</v>
      </c>
      <c r="N36" s="77">
        <f t="shared" si="0"/>
        <v>14.455039200000002</v>
      </c>
      <c r="O36" s="1"/>
      <c r="P36" s="2"/>
    </row>
    <row r="37" spans="1:16" ht="19.5" customHeight="1">
      <c r="A37" s="1"/>
      <c r="B37" s="75" t="s">
        <v>75</v>
      </c>
      <c r="C37" s="79">
        <v>21</v>
      </c>
      <c r="D37" s="80">
        <f>IF((1-$K$19)*(1-D$30/100)&lt;=0.2,$C37*0.2,$C37*(1-$K$19)*(1-D$30/100))</f>
        <v>18.068799000000002</v>
      </c>
      <c r="E37" s="80">
        <f t="shared" si="0"/>
        <v>17.70742302</v>
      </c>
      <c r="F37" s="80">
        <f t="shared" si="0"/>
        <v>17.346047040000002</v>
      </c>
      <c r="G37" s="80">
        <f t="shared" si="0"/>
        <v>16.98467106</v>
      </c>
      <c r="H37" s="80">
        <f t="shared" si="0"/>
        <v>16.623295080000002</v>
      </c>
      <c r="I37" s="80">
        <f t="shared" si="0"/>
        <v>16.261919100000004</v>
      </c>
      <c r="J37" s="80">
        <f t="shared" si="0"/>
        <v>15.900543120000002</v>
      </c>
      <c r="K37" s="80">
        <f t="shared" si="0"/>
        <v>15.539167140000002</v>
      </c>
      <c r="L37" s="80">
        <f t="shared" si="0"/>
        <v>15.177791160000002</v>
      </c>
      <c r="M37" s="80">
        <f t="shared" si="0"/>
        <v>14.816415180000003</v>
      </c>
      <c r="N37" s="81">
        <f t="shared" si="0"/>
        <v>14.455039200000002</v>
      </c>
      <c r="O37" s="1"/>
      <c r="P37" s="2"/>
    </row>
    <row r="38" spans="1:16" ht="19.5" customHeight="1">
      <c r="A38" s="1"/>
      <c r="B38" s="75" t="s">
        <v>76</v>
      </c>
      <c r="C38" s="78">
        <v>20</v>
      </c>
      <c r="D38" s="74">
        <f>IF((1-$K$19)*(1-D$30/100)&lt;=0.2,$C38*0.2,$C38*(1-$K$19)*(1-D$30/100))</f>
        <v>17.208380000000002</v>
      </c>
      <c r="E38" s="74">
        <f t="shared" si="0"/>
        <v>16.864212400000003</v>
      </c>
      <c r="F38" s="74">
        <f t="shared" si="0"/>
        <v>16.5200448</v>
      </c>
      <c r="G38" s="74">
        <f t="shared" si="0"/>
        <v>16.175877200000002</v>
      </c>
      <c r="H38" s="74">
        <f t="shared" si="0"/>
        <v>15.831709600000002</v>
      </c>
      <c r="I38" s="74">
        <f t="shared" si="0"/>
        <v>15.487542000000001</v>
      </c>
      <c r="J38" s="74">
        <f t="shared" si="0"/>
        <v>15.1433744</v>
      </c>
      <c r="K38" s="74">
        <f t="shared" si="0"/>
        <v>14.799206800000002</v>
      </c>
      <c r="L38" s="74">
        <f t="shared" si="0"/>
        <v>14.455039200000002</v>
      </c>
      <c r="M38" s="74">
        <f t="shared" si="0"/>
        <v>14.110871600000003</v>
      </c>
      <c r="N38" s="77">
        <f t="shared" si="0"/>
        <v>13.766704000000002</v>
      </c>
      <c r="O38" s="1"/>
      <c r="P38" s="2"/>
    </row>
    <row r="39" spans="1:16" ht="19.5" customHeight="1">
      <c r="A39" s="1"/>
      <c r="B39" s="75" t="s">
        <v>77</v>
      </c>
      <c r="C39" s="79">
        <v>16</v>
      </c>
      <c r="D39" s="80">
        <f>IF((1-$K$19)*(1-D$30/100)&lt;=0.2,$C39*0.2,$C39*(1-$K$19)*(1-D$30/100))</f>
        <v>13.766704</v>
      </c>
      <c r="E39" s="80">
        <f t="shared" si="0"/>
        <v>13.49136992</v>
      </c>
      <c r="F39" s="80">
        <f t="shared" si="0"/>
        <v>13.21603584</v>
      </c>
      <c r="G39" s="80">
        <f t="shared" si="0"/>
        <v>12.94070176</v>
      </c>
      <c r="H39" s="80">
        <f t="shared" si="0"/>
        <v>12.665367680000001</v>
      </c>
      <c r="I39" s="80">
        <f t="shared" si="0"/>
        <v>12.3900336</v>
      </c>
      <c r="J39" s="80">
        <f t="shared" si="0"/>
        <v>12.11469952</v>
      </c>
      <c r="K39" s="80">
        <f t="shared" si="0"/>
        <v>11.83936544</v>
      </c>
      <c r="L39" s="80">
        <f t="shared" si="0"/>
        <v>11.56403136</v>
      </c>
      <c r="M39" s="80">
        <f t="shared" si="0"/>
        <v>11.288697280000001</v>
      </c>
      <c r="N39" s="81">
        <f t="shared" si="0"/>
        <v>11.0133632</v>
      </c>
      <c r="O39" s="1"/>
      <c r="P39" s="2"/>
    </row>
    <row r="40" spans="1:16" ht="19.5" customHeight="1">
      <c r="A40" s="1"/>
      <c r="B40" s="75" t="s">
        <v>79</v>
      </c>
      <c r="C40" s="78">
        <v>8</v>
      </c>
      <c r="D40" s="74">
        <f>IF((1-$K$19)*(1-D$30/100)&lt;=0.2,$C40*0.2,$C40*(1-$K$19)*(1-D$30/100))</f>
        <v>6.883352</v>
      </c>
      <c r="E40" s="74">
        <f t="shared" si="0"/>
        <v>6.74568496</v>
      </c>
      <c r="F40" s="74">
        <f t="shared" si="0"/>
        <v>6.60801792</v>
      </c>
      <c r="G40" s="74">
        <f t="shared" si="0"/>
        <v>6.47035088</v>
      </c>
      <c r="H40" s="74">
        <f t="shared" si="0"/>
        <v>6.3326838400000005</v>
      </c>
      <c r="I40" s="74">
        <f t="shared" si="0"/>
        <v>6.1950168</v>
      </c>
      <c r="J40" s="74">
        <f t="shared" si="0"/>
        <v>6.05734976</v>
      </c>
      <c r="K40" s="74">
        <f t="shared" si="0"/>
        <v>5.91968272</v>
      </c>
      <c r="L40" s="74">
        <f t="shared" si="0"/>
        <v>5.78201568</v>
      </c>
      <c r="M40" s="74">
        <f t="shared" si="0"/>
        <v>5.6443486400000005</v>
      </c>
      <c r="N40" s="77">
        <f t="shared" si="0"/>
        <v>5.5066816</v>
      </c>
      <c r="O40" s="1"/>
      <c r="P40" s="2"/>
    </row>
    <row r="41" spans="1:16" ht="19.5" customHeight="1">
      <c r="A41" s="1"/>
      <c r="B41" s="75" t="s">
        <v>78</v>
      </c>
      <c r="C41" s="79">
        <v>8</v>
      </c>
      <c r="D41" s="80">
        <f>IF((1-$K$19)*(1-D$30/100)&lt;=0.2,$C41*0.2,$C41*(1-$K$19)*(1-D$30/100))</f>
        <v>6.883352</v>
      </c>
      <c r="E41" s="80">
        <f t="shared" si="0"/>
        <v>6.74568496</v>
      </c>
      <c r="F41" s="80">
        <f t="shared" si="0"/>
        <v>6.60801792</v>
      </c>
      <c r="G41" s="80">
        <f t="shared" si="0"/>
        <v>6.47035088</v>
      </c>
      <c r="H41" s="80">
        <f t="shared" si="0"/>
        <v>6.3326838400000005</v>
      </c>
      <c r="I41" s="80">
        <f t="shared" si="0"/>
        <v>6.1950168</v>
      </c>
      <c r="J41" s="80">
        <f t="shared" si="0"/>
        <v>6.05734976</v>
      </c>
      <c r="K41" s="80">
        <f t="shared" si="0"/>
        <v>5.91968272</v>
      </c>
      <c r="L41" s="80">
        <f t="shared" si="0"/>
        <v>5.78201568</v>
      </c>
      <c r="M41" s="80">
        <f t="shared" si="0"/>
        <v>5.6443486400000005</v>
      </c>
      <c r="N41" s="81">
        <f t="shared" si="0"/>
        <v>5.5066816</v>
      </c>
      <c r="O41" s="1"/>
      <c r="P41" s="2"/>
    </row>
    <row r="42" spans="1:15" ht="19.5" customHeight="1">
      <c r="A42" s="1"/>
      <c r="B42" s="75" t="s">
        <v>40</v>
      </c>
      <c r="C42" s="76">
        <v>36</v>
      </c>
      <c r="D42" s="74">
        <f>IF((1-$K$19)*(1-D$30/100)&lt;=0.2,$C42*0.2,$C42*(1-$K$19)*(1-D$30/100))</f>
        <v>30.975084000000003</v>
      </c>
      <c r="E42" s="74">
        <f>IF((1-$K$19)*(1-E$30/100)&lt;=0.2,$C42*0.2,$C42*(1-$K$19)*(1-E$30/100))</f>
        <v>30.355582320000003</v>
      </c>
      <c r="F42" s="74">
        <f>IF((1-$K$19)*(1-F$30/100)&lt;=0.2,$C42*0.2,$C42*(1-$K$19)*(1-F$30/100))</f>
        <v>29.73608064</v>
      </c>
      <c r="G42" s="74">
        <f>IF((1-$K$19)*(1-G$30/100)&lt;=0.2,$C42*0.2,$C42*(1-$K$19)*(1-G$30/100))</f>
        <v>29.116578960000002</v>
      </c>
      <c r="H42" s="74">
        <f>IF((1-$K$19)*(1-H$30/100)&lt;=0.2,$C42*0.2,$C42*(1-$K$19)*(1-H$30/100))</f>
        <v>28.497077280000003</v>
      </c>
      <c r="I42" s="74">
        <f>IF((1-$K$19)*(1-I$30/100)&lt;=0.2,$C42*0.2,$C42*(1-$K$19)*(1-I$30/100))</f>
        <v>27.877575600000004</v>
      </c>
      <c r="J42" s="74">
        <f>IF((1-$K$19)*(1-J$30/100)&lt;=0.2,$C42*0.2,$C42*(1-$K$19)*(1-J$30/100))</f>
        <v>27.25807392</v>
      </c>
      <c r="K42" s="74">
        <f>IF((1-$K$19)*(1-K$30/100)&lt;=0.2,$C42*0.2,$C42*(1-$K$19)*(1-K$30/100))</f>
        <v>26.638572240000002</v>
      </c>
      <c r="L42" s="74">
        <f>IF((1-$K$19)*(1-L$30/100)&lt;=0.2,$C42*0.2,$C42*(1-$K$19)*(1-L$30/100))</f>
        <v>26.01907056</v>
      </c>
      <c r="M42" s="74">
        <f>IF((1-$K$19)*(1-M$30/100)&lt;=0.2,$C42*0.2,$C42*(1-$K$19)*(1-M$30/100))</f>
        <v>25.399568880000004</v>
      </c>
      <c r="N42" s="77">
        <f>IF((1-$K$19)*(1-N$30/100)&lt;=0.2,$C42*0.2,$C42*(1-$K$19)*(1-N$30/100))</f>
        <v>24.780067200000005</v>
      </c>
      <c r="O42" s="1"/>
    </row>
    <row r="43" spans="1:15" ht="19.5" customHeight="1">
      <c r="A43" s="1"/>
      <c r="B43" s="75" t="s">
        <v>80</v>
      </c>
      <c r="C43" s="79">
        <f>C42+8</f>
        <v>44</v>
      </c>
      <c r="D43" s="80">
        <f>IF((1-$K$19)*(1-D$30/100)&lt;=0.2,$C43*0.2,$C43*(1-$K$19)*(1-D$30/100))</f>
        <v>37.858436000000005</v>
      </c>
      <c r="E43" s="80">
        <f>IF((1-$K$19)*(1-E$30/100)&lt;=0.2,$C43*0.2,$C43*(1-$K$19)*(1-E$30/100))</f>
        <v>37.10126728</v>
      </c>
      <c r="F43" s="80">
        <f>IF((1-$K$19)*(1-F$30/100)&lt;=0.2,$C43*0.2,$C43*(1-$K$19)*(1-F$30/100))</f>
        <v>36.344098560000006</v>
      </c>
      <c r="G43" s="80">
        <f>IF((1-$K$19)*(1-G$30/100)&lt;=0.2,$C43*0.2,$C43*(1-$K$19)*(1-G$30/100))</f>
        <v>35.58692984</v>
      </c>
      <c r="H43" s="80">
        <f>IF((1-$K$19)*(1-H$30/100)&lt;=0.2,$C43*0.2,$C43*(1-$K$19)*(1-H$30/100))</f>
        <v>34.82976112000001</v>
      </c>
      <c r="I43" s="80">
        <f>IF((1-$K$19)*(1-I$30/100)&lt;=0.2,$C43*0.2,$C43*(1-$K$19)*(1-I$30/100))</f>
        <v>34.072592400000005</v>
      </c>
      <c r="J43" s="80">
        <f>IF((1-$K$19)*(1-J$30/100)&lt;=0.2,$C43*0.2,$C43*(1-$K$19)*(1-J$30/100))</f>
        <v>33.31542368</v>
      </c>
      <c r="K43" s="80">
        <f>IF((1-$K$19)*(1-K$30/100)&lt;=0.2,$C43*0.2,$C43*(1-$K$19)*(1-K$30/100))</f>
        <v>32.558254960000006</v>
      </c>
      <c r="L43" s="80">
        <f>IF((1-$K$19)*(1-L$30/100)&lt;=0.2,$C43*0.2,$C43*(1-$K$19)*(1-L$30/100))</f>
        <v>31.801086240000004</v>
      </c>
      <c r="M43" s="80">
        <f>IF((1-$K$19)*(1-M$30/100)&lt;=0.2,$C43*0.2,$C43*(1-$K$19)*(1-M$30/100))</f>
        <v>31.043917520000008</v>
      </c>
      <c r="N43" s="81">
        <f>IF((1-$K$19)*(1-N$30/100)&lt;=0.2,$C43*0.2,$C43*(1-$K$19)*(1-N$30/100))</f>
        <v>30.286748800000005</v>
      </c>
      <c r="O43" s="1"/>
    </row>
    <row r="44" spans="1:15" ht="19.5" customHeight="1">
      <c r="A44" s="1"/>
      <c r="B44" s="75" t="s">
        <v>81</v>
      </c>
      <c r="C44" s="76">
        <f>C42+14</f>
        <v>50</v>
      </c>
      <c r="D44" s="74">
        <f>IF((1-$K$19)*(1-D$30/100)&lt;=0.2,$C44*0.2,$C44*(1-$K$19)*(1-D$30/100))</f>
        <v>43.02095</v>
      </c>
      <c r="E44" s="74">
        <f>IF((1-$K$19)*(1-E$30/100)&lt;=0.2,$C44*0.2,$C44*(1-$K$19)*(1-E$30/100))</f>
        <v>42.160531</v>
      </c>
      <c r="F44" s="74">
        <f>IF((1-$K$19)*(1-F$30/100)&lt;=0.2,$C44*0.2,$C44*(1-$K$19)*(1-F$30/100))</f>
        <v>41.300112</v>
      </c>
      <c r="G44" s="74">
        <f>IF((1-$K$19)*(1-G$30/100)&lt;=0.2,$C44*0.2,$C44*(1-$K$19)*(1-G$30/100))</f>
        <v>40.439693</v>
      </c>
      <c r="H44" s="74">
        <f>IF((1-$K$19)*(1-H$30/100)&lt;=0.2,$C44*0.2,$C44*(1-$K$19)*(1-H$30/100))</f>
        <v>39.579274</v>
      </c>
      <c r="I44" s="74">
        <f>IF((1-$K$19)*(1-I$30/100)&lt;=0.2,$C44*0.2,$C44*(1-$K$19)*(1-I$30/100))</f>
        <v>38.718855</v>
      </c>
      <c r="J44" s="74">
        <f>IF((1-$K$19)*(1-J$30/100)&lt;=0.2,$C44*0.2,$C44*(1-$K$19)*(1-J$30/100))</f>
        <v>37.858436</v>
      </c>
      <c r="K44" s="74">
        <f>IF((1-$K$19)*(1-K$30/100)&lt;=0.2,$C44*0.2,$C44*(1-$K$19)*(1-K$30/100))</f>
        <v>36.998017</v>
      </c>
      <c r="L44" s="74">
        <f>IF((1-$K$19)*(1-L$30/100)&lt;=0.2,$C44*0.2,$C44*(1-$K$19)*(1-L$30/100))</f>
        <v>36.137598</v>
      </c>
      <c r="M44" s="74">
        <f>IF((1-$K$19)*(1-M$30/100)&lt;=0.2,$C44*0.2,$C44*(1-$K$19)*(1-M$30/100))</f>
        <v>35.277179000000004</v>
      </c>
      <c r="N44" s="77">
        <f>IF((1-$K$19)*(1-N$30/100)&lt;=0.2,$C44*0.2,$C44*(1-$K$19)*(1-N$30/100))</f>
        <v>34.416760000000004</v>
      </c>
      <c r="O44" s="1"/>
    </row>
    <row r="45" spans="1:15" ht="19.5" customHeight="1">
      <c r="A45" s="1"/>
      <c r="B45" s="75" t="s">
        <v>73</v>
      </c>
      <c r="C45" s="79">
        <f>C42-15</f>
        <v>21</v>
      </c>
      <c r="D45" s="80">
        <f>IF((1-$K$19)*(1-D$30/100)&lt;=0.2,$C45*0.2,$C45*(1-$K$19)*(1-D$30/100))</f>
        <v>18.068799000000002</v>
      </c>
      <c r="E45" s="80">
        <f>IF((1-$K$19)*(1-E$30/100)&lt;=0.2,$C45*0.2,$C45*(1-$K$19)*(1-E$30/100))</f>
        <v>17.70742302</v>
      </c>
      <c r="F45" s="80">
        <f>IF((1-$K$19)*(1-F$30/100)&lt;=0.2,$C45*0.2,$C45*(1-$K$19)*(1-F$30/100))</f>
        <v>17.346047040000002</v>
      </c>
      <c r="G45" s="80">
        <f>IF((1-$K$19)*(1-G$30/100)&lt;=0.2,$C45*0.2,$C45*(1-$K$19)*(1-G$30/100))</f>
        <v>16.98467106</v>
      </c>
      <c r="H45" s="80">
        <f>IF((1-$K$19)*(1-H$30/100)&lt;=0.2,$C45*0.2,$C45*(1-$K$19)*(1-H$30/100))</f>
        <v>16.623295080000002</v>
      </c>
      <c r="I45" s="80">
        <f>IF((1-$K$19)*(1-I$30/100)&lt;=0.2,$C45*0.2,$C45*(1-$K$19)*(1-I$30/100))</f>
        <v>16.261919100000004</v>
      </c>
      <c r="J45" s="80">
        <f>IF((1-$K$19)*(1-J$30/100)&lt;=0.2,$C45*0.2,$C45*(1-$K$19)*(1-J$30/100))</f>
        <v>15.900543120000002</v>
      </c>
      <c r="K45" s="80">
        <f>IF((1-$K$19)*(1-K$30/100)&lt;=0.2,$C45*0.2,$C45*(1-$K$19)*(1-K$30/100))</f>
        <v>15.539167140000002</v>
      </c>
      <c r="L45" s="80">
        <f>IF((1-$K$19)*(1-L$30/100)&lt;=0.2,$C45*0.2,$C45*(1-$K$19)*(1-L$30/100))</f>
        <v>15.177791160000002</v>
      </c>
      <c r="M45" s="80">
        <f>IF((1-$K$19)*(1-M$30/100)&lt;=0.2,$C45*0.2,$C45*(1-$K$19)*(1-M$30/100))</f>
        <v>14.816415180000003</v>
      </c>
      <c r="N45" s="81">
        <f>IF((1-$K$19)*(1-N$30/100)&lt;=0.2,$C45*0.2,$C45*(1-$K$19)*(1-N$30/100))</f>
        <v>14.455039200000002</v>
      </c>
      <c r="O45" s="1"/>
    </row>
    <row r="46" spans="1:15" ht="19.5" customHeight="1">
      <c r="A46" s="1"/>
      <c r="B46" s="50" t="s">
        <v>74</v>
      </c>
      <c r="C46" s="55">
        <f>C42-16</f>
        <v>20</v>
      </c>
      <c r="D46" s="56">
        <f>IF((1-$K$19)*(1-D$30/100)&lt;=0.2,$C46*0.2,$C46*(1-$K$19)*(1-D$30/100))</f>
        <v>17.208380000000002</v>
      </c>
      <c r="E46" s="56">
        <f>IF((1-$K$19)*(1-E$30/100)&lt;=0.2,$C46*0.2,$C46*(1-$K$19)*(1-E$30/100))</f>
        <v>16.864212400000003</v>
      </c>
      <c r="F46" s="56">
        <f>IF((1-$K$19)*(1-F$30/100)&lt;=0.2,$C46*0.2,$C46*(1-$K$19)*(1-F$30/100))</f>
        <v>16.5200448</v>
      </c>
      <c r="G46" s="56">
        <f>IF((1-$K$19)*(1-G$30/100)&lt;=0.2,$C46*0.2,$C46*(1-$K$19)*(1-G$30/100))</f>
        <v>16.175877200000002</v>
      </c>
      <c r="H46" s="56">
        <f>IF((1-$K$19)*(1-H$30/100)&lt;=0.2,$C46*0.2,$C46*(1-$K$19)*(1-H$30/100))</f>
        <v>15.831709600000002</v>
      </c>
      <c r="I46" s="56">
        <f>IF((1-$K$19)*(1-I$30/100)&lt;=0.2,$C46*0.2,$C46*(1-$K$19)*(1-I$30/100))</f>
        <v>15.487542000000001</v>
      </c>
      <c r="J46" s="56">
        <f>IF((1-$K$19)*(1-J$30/100)&lt;=0.2,$C46*0.2,$C46*(1-$K$19)*(1-J$30/100))</f>
        <v>15.1433744</v>
      </c>
      <c r="K46" s="56">
        <f>IF((1-$K$19)*(1-K$30/100)&lt;=0.2,$C46*0.2,$C46*(1-$K$19)*(1-K$30/100))</f>
        <v>14.799206800000002</v>
      </c>
      <c r="L46" s="56">
        <f>IF((1-$K$19)*(1-L$30/100)&lt;=0.2,$C46*0.2,$C46*(1-$K$19)*(1-L$30/100))</f>
        <v>14.455039200000002</v>
      </c>
      <c r="M46" s="56">
        <f>IF((1-$K$19)*(1-M$30/100)&lt;=0.2,$C46*0.2,$C46*(1-$K$19)*(1-M$30/100))</f>
        <v>14.110871600000003</v>
      </c>
      <c r="N46" s="57">
        <f>IF((1-$K$19)*(1-N$30/100)&lt;=0.2,$C46*0.2,$C46*(1-$K$19)*(1-N$30/100))</f>
        <v>13.766704000000002</v>
      </c>
      <c r="O46" s="1"/>
    </row>
    <row r="47" spans="1:15" ht="19.5" customHeight="1">
      <c r="A47" s="1"/>
      <c r="B47" s="51" t="s">
        <v>41</v>
      </c>
      <c r="C47" s="58">
        <v>300</v>
      </c>
      <c r="D47" s="59">
        <f>IF((1-($C$22+$H$24)/100)*(1-$I$19/100)*(1-$H$20/100)*(1-$H$21/100)*(1-$I$24/100)&lt;=0.2,$C47*0.2,(1-($C$22+$H$24)/100)*(1-$I$19/100)*(1-$H$20/100)*(1-$H$21/100)*(1-$I$24/100)*$C47)</f>
        <v>258.1257</v>
      </c>
      <c r="E47" s="117"/>
      <c r="F47" s="118"/>
      <c r="G47" s="118"/>
      <c r="H47" s="118"/>
      <c r="I47" s="118"/>
      <c r="J47" s="118"/>
      <c r="K47" s="118"/>
      <c r="L47" s="118"/>
      <c r="M47" s="118"/>
      <c r="N47" s="119"/>
      <c r="O47" s="1"/>
    </row>
    <row r="48" spans="1:15" ht="19.5" customHeight="1">
      <c r="A48" s="1"/>
      <c r="B48" s="51" t="s">
        <v>101</v>
      </c>
      <c r="C48" s="60">
        <f>300*(1-0.1)</f>
        <v>270</v>
      </c>
      <c r="D48" s="61">
        <f>IF((1-($C$22+$H$24)/100)*(1-$I$19/100)*(1-$H$20/100)*(1-$H$21/100)*(1-$I$24/100)&lt;=0.2,$C48*0.2,(1-($C$22+$H$24)/100)*(1-$I$19/100)*(1-$H$20/100)*(1-$H$21/100)*(1-$I$24/100)*$C48)</f>
        <v>232.31313</v>
      </c>
      <c r="E48" s="120"/>
      <c r="F48" s="121"/>
      <c r="G48" s="121"/>
      <c r="H48" s="121"/>
      <c r="I48" s="121"/>
      <c r="J48" s="121"/>
      <c r="K48" s="121"/>
      <c r="L48" s="121"/>
      <c r="M48" s="121"/>
      <c r="N48" s="119"/>
      <c r="O48" s="1"/>
    </row>
    <row r="49" spans="1:15" ht="19.5" customHeight="1">
      <c r="A49" s="1"/>
      <c r="B49" s="51" t="s">
        <v>102</v>
      </c>
      <c r="C49" s="62">
        <f>300*(1-0.25)</f>
        <v>225</v>
      </c>
      <c r="D49" s="59">
        <f>IF((1-($C$22+$H$24)/100)*(1-$I$19/100)*(1-$H$20/100)*(1-$H$21/100)*(1-$I$24/100)&lt;=0.2,$C49*0.2,(1-($C$22+$H$24)/100)*(1-$I$19/100)*(1-$H$20/100)*(1-$H$21/100)*(1-$I$24/100)*$C49)</f>
        <v>193.594275</v>
      </c>
      <c r="E49" s="120"/>
      <c r="F49" s="121"/>
      <c r="G49" s="121"/>
      <c r="H49" s="121"/>
      <c r="I49" s="121"/>
      <c r="J49" s="121"/>
      <c r="K49" s="121"/>
      <c r="L49" s="121"/>
      <c r="M49" s="121"/>
      <c r="N49" s="119"/>
      <c r="O49" s="1"/>
    </row>
    <row r="50" spans="1:15" ht="19.5" customHeight="1" thickBot="1">
      <c r="A50" s="1"/>
      <c r="B50" s="52" t="s">
        <v>103</v>
      </c>
      <c r="C50" s="63">
        <f>300*(1-0.5)</f>
        <v>150</v>
      </c>
      <c r="D50" s="64">
        <f>IF((1-($C$22+$H$24)/100)*(1-$I$19/100)*(1-$H$20/100)*(1-$H$21/100)*(1-$I$24/100)&lt;=0.2,$C50*0.2,(1-($C$22+$H$24)/100)*(1-$I$19/100)*(1-$H$20/100)*(1-$H$21/100)*(1-$I$24/100)*$C50)</f>
        <v>129.06285</v>
      </c>
      <c r="E50" s="122"/>
      <c r="F50" s="123"/>
      <c r="G50" s="123"/>
      <c r="H50" s="123"/>
      <c r="I50" s="123"/>
      <c r="J50" s="123"/>
      <c r="K50" s="123"/>
      <c r="L50" s="123"/>
      <c r="M50" s="123"/>
      <c r="N50" s="124"/>
      <c r="O50" s="1"/>
    </row>
    <row r="51" spans="1:15" ht="19.5" customHeight="1" thickBot="1">
      <c r="A51" s="1"/>
      <c r="B51" s="28"/>
      <c r="C51" s="28"/>
      <c r="D51" s="66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1"/>
    </row>
    <row r="52" spans="1:15" ht="19.5" customHeight="1">
      <c r="A52" s="1"/>
      <c r="B52" s="87" t="s">
        <v>99</v>
      </c>
      <c r="C52" s="36" t="s">
        <v>34</v>
      </c>
      <c r="D52" s="36" t="s">
        <v>23</v>
      </c>
      <c r="E52" s="37" t="s">
        <v>24</v>
      </c>
      <c r="F52" s="37" t="s">
        <v>25</v>
      </c>
      <c r="G52" s="38" t="s">
        <v>26</v>
      </c>
      <c r="H52" s="38" t="s">
        <v>27</v>
      </c>
      <c r="I52" s="39" t="s">
        <v>28</v>
      </c>
      <c r="J52" s="39" t="s">
        <v>29</v>
      </c>
      <c r="K52" s="40" t="s">
        <v>30</v>
      </c>
      <c r="L52" s="40" t="s">
        <v>31</v>
      </c>
      <c r="M52" s="41" t="s">
        <v>32</v>
      </c>
      <c r="N52" s="42" t="s">
        <v>33</v>
      </c>
      <c r="O52" s="1"/>
    </row>
    <row r="53" spans="2:14" ht="19.5" customHeight="1">
      <c r="B53" s="73" t="s">
        <v>91</v>
      </c>
      <c r="C53" s="67">
        <v>25</v>
      </c>
      <c r="D53" s="68">
        <f>IF((1-$K$19)*(1-D$30/100)&lt;=0.2,$C53*0.2,$C53*(1-$K$19)*(1-D$30/100))</f>
        <v>21.510475</v>
      </c>
      <c r="E53" s="68">
        <f aca="true" t="shared" si="1" ref="E53:N67">IF((1-$K$19)*(1-E$30/100)&lt;=0.2,$C53*0.2,$C53*(1-$K$19)*(1-E$30/100))</f>
        <v>21.0802655</v>
      </c>
      <c r="F53" s="68">
        <f t="shared" si="1"/>
        <v>20.650056</v>
      </c>
      <c r="G53" s="68">
        <f t="shared" si="1"/>
        <v>20.2198465</v>
      </c>
      <c r="H53" s="68">
        <f t="shared" si="1"/>
        <v>19.789637</v>
      </c>
      <c r="I53" s="68">
        <f t="shared" si="1"/>
        <v>19.3594275</v>
      </c>
      <c r="J53" s="68">
        <f t="shared" si="1"/>
        <v>18.929218</v>
      </c>
      <c r="K53" s="68">
        <f t="shared" si="1"/>
        <v>18.4990085</v>
      </c>
      <c r="L53" s="68">
        <f t="shared" si="1"/>
        <v>18.068799</v>
      </c>
      <c r="M53" s="68">
        <f t="shared" si="1"/>
        <v>17.638589500000002</v>
      </c>
      <c r="N53" s="69">
        <f t="shared" si="1"/>
        <v>17.208380000000002</v>
      </c>
    </row>
    <row r="54" spans="2:14" ht="19.5" customHeight="1">
      <c r="B54" s="73" t="s">
        <v>93</v>
      </c>
      <c r="C54" s="90">
        <v>20</v>
      </c>
      <c r="D54" s="72">
        <f aca="true" t="shared" si="2" ref="D54:D59">IF((1-$K$19)*(1-D$30/100)&lt;=0.2,$C54*0.2,$C54*(1-$K$19)*(1-D$30/100))</f>
        <v>17.208380000000002</v>
      </c>
      <c r="E54" s="72">
        <f t="shared" si="1"/>
        <v>16.864212400000003</v>
      </c>
      <c r="F54" s="72">
        <f t="shared" si="1"/>
        <v>16.5200448</v>
      </c>
      <c r="G54" s="72">
        <f t="shared" si="1"/>
        <v>16.175877200000002</v>
      </c>
      <c r="H54" s="72">
        <f t="shared" si="1"/>
        <v>15.831709600000002</v>
      </c>
      <c r="I54" s="72">
        <f t="shared" si="1"/>
        <v>15.487542000000001</v>
      </c>
      <c r="J54" s="72">
        <f t="shared" si="1"/>
        <v>15.1433744</v>
      </c>
      <c r="K54" s="72">
        <f t="shared" si="1"/>
        <v>14.799206800000002</v>
      </c>
      <c r="L54" s="72">
        <f t="shared" si="1"/>
        <v>14.455039200000002</v>
      </c>
      <c r="M54" s="72">
        <f t="shared" si="1"/>
        <v>14.110871600000003</v>
      </c>
      <c r="N54" s="91">
        <f t="shared" si="1"/>
        <v>13.766704000000002</v>
      </c>
    </row>
    <row r="55" spans="2:14" ht="19.5" customHeight="1">
      <c r="B55" s="73" t="s">
        <v>94</v>
      </c>
      <c r="C55" s="67">
        <v>16</v>
      </c>
      <c r="D55" s="68">
        <f t="shared" si="2"/>
        <v>13.766704</v>
      </c>
      <c r="E55" s="68">
        <f t="shared" si="1"/>
        <v>13.49136992</v>
      </c>
      <c r="F55" s="68">
        <f t="shared" si="1"/>
        <v>13.21603584</v>
      </c>
      <c r="G55" s="68">
        <f t="shared" si="1"/>
        <v>12.94070176</v>
      </c>
      <c r="H55" s="68">
        <f t="shared" si="1"/>
        <v>12.665367680000001</v>
      </c>
      <c r="I55" s="68">
        <f t="shared" si="1"/>
        <v>12.3900336</v>
      </c>
      <c r="J55" s="68">
        <f t="shared" si="1"/>
        <v>12.11469952</v>
      </c>
      <c r="K55" s="68">
        <f t="shared" si="1"/>
        <v>11.83936544</v>
      </c>
      <c r="L55" s="68">
        <f t="shared" si="1"/>
        <v>11.56403136</v>
      </c>
      <c r="M55" s="68">
        <f t="shared" si="1"/>
        <v>11.288697280000001</v>
      </c>
      <c r="N55" s="69">
        <f t="shared" si="1"/>
        <v>11.0133632</v>
      </c>
    </row>
    <row r="56" spans="2:14" ht="19.5" customHeight="1">
      <c r="B56" s="73" t="s">
        <v>92</v>
      </c>
      <c r="C56" s="90">
        <v>30</v>
      </c>
      <c r="D56" s="72">
        <f t="shared" si="2"/>
        <v>25.81257</v>
      </c>
      <c r="E56" s="72">
        <f t="shared" si="1"/>
        <v>25.2963186</v>
      </c>
      <c r="F56" s="72">
        <f t="shared" si="1"/>
        <v>24.7800672</v>
      </c>
      <c r="G56" s="72">
        <f t="shared" si="1"/>
        <v>24.2638158</v>
      </c>
      <c r="H56" s="72">
        <f t="shared" si="1"/>
        <v>23.7475644</v>
      </c>
      <c r="I56" s="72">
        <f t="shared" si="1"/>
        <v>23.231313</v>
      </c>
      <c r="J56" s="72">
        <f t="shared" si="1"/>
        <v>22.715061600000002</v>
      </c>
      <c r="K56" s="72">
        <f t="shared" si="1"/>
        <v>22.1988102</v>
      </c>
      <c r="L56" s="72">
        <f t="shared" si="1"/>
        <v>21.6825588</v>
      </c>
      <c r="M56" s="72">
        <f t="shared" si="1"/>
        <v>21.1663074</v>
      </c>
      <c r="N56" s="91">
        <f t="shared" si="1"/>
        <v>20.650056000000003</v>
      </c>
    </row>
    <row r="57" spans="2:14" ht="19.5" customHeight="1">
      <c r="B57" s="73" t="s">
        <v>95</v>
      </c>
      <c r="C57" s="67">
        <v>24</v>
      </c>
      <c r="D57" s="68">
        <f t="shared" si="2"/>
        <v>20.650056</v>
      </c>
      <c r="E57" s="68">
        <f t="shared" si="1"/>
        <v>20.23705488</v>
      </c>
      <c r="F57" s="68">
        <f t="shared" si="1"/>
        <v>19.824053759999998</v>
      </c>
      <c r="G57" s="68">
        <f t="shared" si="1"/>
        <v>19.411052639999998</v>
      </c>
      <c r="H57" s="68">
        <f t="shared" si="1"/>
        <v>18.99805152</v>
      </c>
      <c r="I57" s="68">
        <f t="shared" si="1"/>
        <v>18.5850504</v>
      </c>
      <c r="J57" s="68">
        <f t="shared" si="1"/>
        <v>18.17204928</v>
      </c>
      <c r="K57" s="68">
        <f t="shared" si="1"/>
        <v>17.75904816</v>
      </c>
      <c r="L57" s="68">
        <f t="shared" si="1"/>
        <v>17.34604704</v>
      </c>
      <c r="M57" s="68">
        <f t="shared" si="1"/>
        <v>16.93304592</v>
      </c>
      <c r="N57" s="69">
        <f t="shared" si="1"/>
        <v>16.5200448</v>
      </c>
    </row>
    <row r="58" spans="2:14" ht="19.5" customHeight="1">
      <c r="B58" s="73" t="s">
        <v>96</v>
      </c>
      <c r="C58" s="90">
        <v>21</v>
      </c>
      <c r="D58" s="72">
        <f t="shared" si="2"/>
        <v>18.068799000000002</v>
      </c>
      <c r="E58" s="72">
        <f t="shared" si="1"/>
        <v>17.70742302</v>
      </c>
      <c r="F58" s="72">
        <f t="shared" si="1"/>
        <v>17.346047040000002</v>
      </c>
      <c r="G58" s="72">
        <f t="shared" si="1"/>
        <v>16.98467106</v>
      </c>
      <c r="H58" s="72">
        <f t="shared" si="1"/>
        <v>16.623295080000002</v>
      </c>
      <c r="I58" s="72">
        <f t="shared" si="1"/>
        <v>16.261919100000004</v>
      </c>
      <c r="J58" s="72">
        <f t="shared" si="1"/>
        <v>15.900543120000002</v>
      </c>
      <c r="K58" s="72">
        <f t="shared" si="1"/>
        <v>15.539167140000002</v>
      </c>
      <c r="L58" s="72">
        <f t="shared" si="1"/>
        <v>15.177791160000002</v>
      </c>
      <c r="M58" s="72">
        <f t="shared" si="1"/>
        <v>14.816415180000003</v>
      </c>
      <c r="N58" s="91">
        <f t="shared" si="1"/>
        <v>14.455039200000002</v>
      </c>
    </row>
    <row r="59" spans="2:14" ht="19.5" customHeight="1">
      <c r="B59" s="73" t="s">
        <v>79</v>
      </c>
      <c r="C59" s="67">
        <v>8</v>
      </c>
      <c r="D59" s="68">
        <f t="shared" si="2"/>
        <v>6.883352</v>
      </c>
      <c r="E59" s="68">
        <f t="shared" si="1"/>
        <v>6.74568496</v>
      </c>
      <c r="F59" s="68">
        <f t="shared" si="1"/>
        <v>6.60801792</v>
      </c>
      <c r="G59" s="68">
        <f t="shared" si="1"/>
        <v>6.47035088</v>
      </c>
      <c r="H59" s="68">
        <f t="shared" si="1"/>
        <v>6.3326838400000005</v>
      </c>
      <c r="I59" s="68">
        <f t="shared" si="1"/>
        <v>6.1950168</v>
      </c>
      <c r="J59" s="68">
        <f t="shared" si="1"/>
        <v>6.05734976</v>
      </c>
      <c r="K59" s="68">
        <f t="shared" si="1"/>
        <v>5.91968272</v>
      </c>
      <c r="L59" s="68">
        <f t="shared" si="1"/>
        <v>5.78201568</v>
      </c>
      <c r="M59" s="68">
        <f t="shared" si="1"/>
        <v>5.6443486400000005</v>
      </c>
      <c r="N59" s="69">
        <f t="shared" si="1"/>
        <v>5.5066816</v>
      </c>
    </row>
    <row r="60" spans="2:14" ht="19.5" customHeight="1">
      <c r="B60" s="53" t="s">
        <v>42</v>
      </c>
      <c r="C60" s="60">
        <v>9</v>
      </c>
      <c r="D60" s="70">
        <f aca="true" t="shared" si="3" ref="D60:D67">IF((1-$K$19)*(1-D$30/100)&lt;=0.2,$C60*0.2,$C60*(1-$K$19)*(1-D$30/100))</f>
        <v>7.743771000000001</v>
      </c>
      <c r="E60" s="70">
        <f t="shared" si="1"/>
        <v>7.588895580000001</v>
      </c>
      <c r="F60" s="70">
        <f t="shared" si="1"/>
        <v>7.43402016</v>
      </c>
      <c r="G60" s="70">
        <f t="shared" si="1"/>
        <v>7.2791447400000004</v>
      </c>
      <c r="H60" s="70">
        <f t="shared" si="1"/>
        <v>7.124269320000001</v>
      </c>
      <c r="I60" s="70">
        <f t="shared" si="1"/>
        <v>6.969393900000001</v>
      </c>
      <c r="J60" s="70">
        <f t="shared" si="1"/>
        <v>6.81451848</v>
      </c>
      <c r="K60" s="70">
        <f t="shared" si="1"/>
        <v>6.6596430600000005</v>
      </c>
      <c r="L60" s="70">
        <f t="shared" si="1"/>
        <v>6.50476764</v>
      </c>
      <c r="M60" s="70">
        <f t="shared" si="1"/>
        <v>6.349892220000001</v>
      </c>
      <c r="N60" s="71">
        <f t="shared" si="1"/>
        <v>6.195016800000001</v>
      </c>
    </row>
    <row r="61" spans="2:14" ht="19.5" customHeight="1">
      <c r="B61" s="73" t="s">
        <v>43</v>
      </c>
      <c r="C61" s="67">
        <v>14</v>
      </c>
      <c r="D61" s="68">
        <f t="shared" si="3"/>
        <v>12.045866</v>
      </c>
      <c r="E61" s="68">
        <f t="shared" si="1"/>
        <v>11.80494868</v>
      </c>
      <c r="F61" s="68">
        <f t="shared" si="1"/>
        <v>11.56403136</v>
      </c>
      <c r="G61" s="68">
        <f t="shared" si="1"/>
        <v>11.32311404</v>
      </c>
      <c r="H61" s="68">
        <f t="shared" si="1"/>
        <v>11.08219672</v>
      </c>
      <c r="I61" s="68">
        <f t="shared" si="1"/>
        <v>10.841279400000001</v>
      </c>
      <c r="J61" s="68">
        <f t="shared" si="1"/>
        <v>10.60036208</v>
      </c>
      <c r="K61" s="68">
        <f t="shared" si="1"/>
        <v>10.35944476</v>
      </c>
      <c r="L61" s="68">
        <f t="shared" si="1"/>
        <v>10.11852744</v>
      </c>
      <c r="M61" s="68">
        <f t="shared" si="1"/>
        <v>9.877610120000002</v>
      </c>
      <c r="N61" s="69">
        <f t="shared" si="1"/>
        <v>9.6366928</v>
      </c>
    </row>
    <row r="62" spans="2:14" ht="19.5" customHeight="1">
      <c r="B62" s="53" t="s">
        <v>87</v>
      </c>
      <c r="C62" s="60">
        <v>21</v>
      </c>
      <c r="D62" s="70">
        <f t="shared" si="3"/>
        <v>18.068799000000002</v>
      </c>
      <c r="E62" s="70">
        <f t="shared" si="1"/>
        <v>17.70742302</v>
      </c>
      <c r="F62" s="70">
        <f t="shared" si="1"/>
        <v>17.346047040000002</v>
      </c>
      <c r="G62" s="70">
        <f t="shared" si="1"/>
        <v>16.98467106</v>
      </c>
      <c r="H62" s="70">
        <f t="shared" si="1"/>
        <v>16.623295080000002</v>
      </c>
      <c r="I62" s="70">
        <f t="shared" si="1"/>
        <v>16.261919100000004</v>
      </c>
      <c r="J62" s="70">
        <f t="shared" si="1"/>
        <v>15.900543120000002</v>
      </c>
      <c r="K62" s="70">
        <f t="shared" si="1"/>
        <v>15.539167140000002</v>
      </c>
      <c r="L62" s="70">
        <f t="shared" si="1"/>
        <v>15.177791160000002</v>
      </c>
      <c r="M62" s="70">
        <f t="shared" si="1"/>
        <v>14.816415180000003</v>
      </c>
      <c r="N62" s="71">
        <f t="shared" si="1"/>
        <v>14.455039200000002</v>
      </c>
    </row>
    <row r="63" spans="2:14" ht="19.5" customHeight="1">
      <c r="B63" s="53" t="s">
        <v>88</v>
      </c>
      <c r="C63" s="67">
        <v>24</v>
      </c>
      <c r="D63" s="68">
        <f t="shared" si="3"/>
        <v>20.650056</v>
      </c>
      <c r="E63" s="68">
        <f t="shared" si="1"/>
        <v>20.23705488</v>
      </c>
      <c r="F63" s="68">
        <f t="shared" si="1"/>
        <v>19.824053759999998</v>
      </c>
      <c r="G63" s="68">
        <f t="shared" si="1"/>
        <v>19.411052639999998</v>
      </c>
      <c r="H63" s="68">
        <f t="shared" si="1"/>
        <v>18.99805152</v>
      </c>
      <c r="I63" s="68">
        <f t="shared" si="1"/>
        <v>18.5850504</v>
      </c>
      <c r="J63" s="68">
        <f t="shared" si="1"/>
        <v>18.17204928</v>
      </c>
      <c r="K63" s="68">
        <f t="shared" si="1"/>
        <v>17.75904816</v>
      </c>
      <c r="L63" s="68">
        <f t="shared" si="1"/>
        <v>17.34604704</v>
      </c>
      <c r="M63" s="68">
        <f t="shared" si="1"/>
        <v>16.93304592</v>
      </c>
      <c r="N63" s="69">
        <f t="shared" si="1"/>
        <v>16.5200448</v>
      </c>
    </row>
    <row r="64" spans="2:14" ht="19.5" customHeight="1">
      <c r="B64" s="53" t="s">
        <v>89</v>
      </c>
      <c r="C64" s="60">
        <v>25</v>
      </c>
      <c r="D64" s="70">
        <f t="shared" si="3"/>
        <v>21.510475</v>
      </c>
      <c r="E64" s="70">
        <f t="shared" si="1"/>
        <v>21.0802655</v>
      </c>
      <c r="F64" s="70">
        <f t="shared" si="1"/>
        <v>20.650056</v>
      </c>
      <c r="G64" s="70">
        <f t="shared" si="1"/>
        <v>20.2198465</v>
      </c>
      <c r="H64" s="70">
        <f t="shared" si="1"/>
        <v>19.789637</v>
      </c>
      <c r="I64" s="70">
        <f t="shared" si="1"/>
        <v>19.3594275</v>
      </c>
      <c r="J64" s="70">
        <f t="shared" si="1"/>
        <v>18.929218</v>
      </c>
      <c r="K64" s="70">
        <f t="shared" si="1"/>
        <v>18.4990085</v>
      </c>
      <c r="L64" s="70">
        <f t="shared" si="1"/>
        <v>18.068799</v>
      </c>
      <c r="M64" s="70">
        <f t="shared" si="1"/>
        <v>17.638589500000002</v>
      </c>
      <c r="N64" s="71">
        <f t="shared" si="1"/>
        <v>17.208380000000002</v>
      </c>
    </row>
    <row r="65" spans="2:14" ht="19.5" customHeight="1">
      <c r="B65" s="53" t="s">
        <v>90</v>
      </c>
      <c r="C65" s="67">
        <v>36</v>
      </c>
      <c r="D65" s="68">
        <f t="shared" si="3"/>
        <v>30.975084000000003</v>
      </c>
      <c r="E65" s="68">
        <f t="shared" si="1"/>
        <v>30.355582320000003</v>
      </c>
      <c r="F65" s="68">
        <f t="shared" si="1"/>
        <v>29.73608064</v>
      </c>
      <c r="G65" s="68">
        <f t="shared" si="1"/>
        <v>29.116578960000002</v>
      </c>
      <c r="H65" s="68">
        <f t="shared" si="1"/>
        <v>28.497077280000003</v>
      </c>
      <c r="I65" s="68">
        <f t="shared" si="1"/>
        <v>27.877575600000004</v>
      </c>
      <c r="J65" s="68">
        <f t="shared" si="1"/>
        <v>27.25807392</v>
      </c>
      <c r="K65" s="68">
        <f t="shared" si="1"/>
        <v>26.638572240000002</v>
      </c>
      <c r="L65" s="68">
        <f t="shared" si="1"/>
        <v>26.01907056</v>
      </c>
      <c r="M65" s="68">
        <f t="shared" si="1"/>
        <v>25.399568880000004</v>
      </c>
      <c r="N65" s="69">
        <f t="shared" si="1"/>
        <v>24.780067200000005</v>
      </c>
    </row>
    <row r="66" spans="2:14" ht="19.5" customHeight="1">
      <c r="B66" s="53" t="s">
        <v>73</v>
      </c>
      <c r="C66" s="60">
        <v>21</v>
      </c>
      <c r="D66" s="70">
        <f t="shared" si="3"/>
        <v>18.068799000000002</v>
      </c>
      <c r="E66" s="70">
        <f t="shared" si="1"/>
        <v>17.70742302</v>
      </c>
      <c r="F66" s="70">
        <f t="shared" si="1"/>
        <v>17.346047040000002</v>
      </c>
      <c r="G66" s="70">
        <f t="shared" si="1"/>
        <v>16.98467106</v>
      </c>
      <c r="H66" s="70">
        <f t="shared" si="1"/>
        <v>16.623295080000002</v>
      </c>
      <c r="I66" s="70">
        <f t="shared" si="1"/>
        <v>16.261919100000004</v>
      </c>
      <c r="J66" s="70">
        <f t="shared" si="1"/>
        <v>15.900543120000002</v>
      </c>
      <c r="K66" s="70">
        <f t="shared" si="1"/>
        <v>15.539167140000002</v>
      </c>
      <c r="L66" s="70">
        <f t="shared" si="1"/>
        <v>15.177791160000002</v>
      </c>
      <c r="M66" s="70">
        <f t="shared" si="1"/>
        <v>14.816415180000003</v>
      </c>
      <c r="N66" s="71">
        <f t="shared" si="1"/>
        <v>14.455039200000002</v>
      </c>
    </row>
    <row r="67" spans="2:14" ht="19.5" customHeight="1">
      <c r="B67" s="85" t="s">
        <v>74</v>
      </c>
      <c r="C67" s="98">
        <v>20</v>
      </c>
      <c r="D67" s="99">
        <f t="shared" si="3"/>
        <v>17.208380000000002</v>
      </c>
      <c r="E67" s="99">
        <f t="shared" si="1"/>
        <v>16.864212400000003</v>
      </c>
      <c r="F67" s="99">
        <f t="shared" si="1"/>
        <v>16.5200448</v>
      </c>
      <c r="G67" s="99">
        <f t="shared" si="1"/>
        <v>16.175877200000002</v>
      </c>
      <c r="H67" s="99">
        <f t="shared" si="1"/>
        <v>15.831709600000002</v>
      </c>
      <c r="I67" s="99">
        <f t="shared" si="1"/>
        <v>15.487542000000001</v>
      </c>
      <c r="J67" s="99">
        <f t="shared" si="1"/>
        <v>15.1433744</v>
      </c>
      <c r="K67" s="99">
        <f t="shared" si="1"/>
        <v>14.799206800000002</v>
      </c>
      <c r="L67" s="99">
        <f t="shared" si="1"/>
        <v>14.455039200000002</v>
      </c>
      <c r="M67" s="99">
        <f t="shared" si="1"/>
        <v>14.110871600000003</v>
      </c>
      <c r="N67" s="100">
        <f t="shared" si="1"/>
        <v>13.766704000000002</v>
      </c>
    </row>
    <row r="68" spans="2:14" ht="19.5" customHeight="1">
      <c r="B68" s="84" t="s">
        <v>104</v>
      </c>
      <c r="C68" s="106">
        <v>300</v>
      </c>
      <c r="D68" s="107">
        <f>IF((1-($C$22+$H$24)/100)*(1-$I$19/100)*(1-$H$20/100)*(1-$H$21/100)*(1-$I$24/100)&lt;=0.2,$C68*0.2,(1-($C$22+$H$24)/100)*(1-$I$19/100)*(1-$H$20/100)*(1-$H$21/100)*(1-$I$24/100)*$C68)</f>
        <v>258.1257</v>
      </c>
      <c r="E68" s="108"/>
      <c r="F68" s="109"/>
      <c r="G68" s="109"/>
      <c r="H68" s="109"/>
      <c r="I68" s="109"/>
      <c r="J68" s="109"/>
      <c r="K68" s="109"/>
      <c r="L68" s="109"/>
      <c r="M68" s="109"/>
      <c r="N68" s="110"/>
    </row>
    <row r="69" spans="2:14" ht="19.5" customHeight="1">
      <c r="B69" s="82" t="s">
        <v>101</v>
      </c>
      <c r="C69" s="67">
        <f>300*(1-0.1)</f>
        <v>270</v>
      </c>
      <c r="D69" s="103">
        <f>IF((1-($C$22+$H$24)/100)*(1-$I$19/100)*(1-$H$20/100)*(1-$H$21/100)*(1-$I$24/100)&lt;=0.2,$C69*0.2,(1-($C$22+$H$24)/100)*(1-$I$19/100)*(1-$H$20/100)*(1-$H$21/100)*(1-$I$24/100)*$C69)</f>
        <v>232.31313</v>
      </c>
      <c r="E69" s="111"/>
      <c r="F69" s="112"/>
      <c r="G69" s="112"/>
      <c r="H69" s="112"/>
      <c r="I69" s="112"/>
      <c r="J69" s="112"/>
      <c r="K69" s="112"/>
      <c r="L69" s="112"/>
      <c r="M69" s="112"/>
      <c r="N69" s="113"/>
    </row>
    <row r="70" spans="2:14" ht="19.5" customHeight="1">
      <c r="B70" s="82" t="s">
        <v>102</v>
      </c>
      <c r="C70" s="90">
        <f>300*(1-0.25)</f>
        <v>225</v>
      </c>
      <c r="D70" s="107">
        <f>IF((1-($C$22+$H$24)/100)*(1-$I$19/100)*(1-$H$20/100)*(1-$H$21/100)*(1-$I$24/100)&lt;=0.2,$C70*0.2,(1-($C$22+$H$24)/100)*(1-$I$19/100)*(1-$H$20/100)*(1-$H$21/100)*(1-$I$24/100)*$C70)</f>
        <v>193.594275</v>
      </c>
      <c r="E70" s="111"/>
      <c r="F70" s="112"/>
      <c r="G70" s="112"/>
      <c r="H70" s="112"/>
      <c r="I70" s="112"/>
      <c r="J70" s="112"/>
      <c r="K70" s="112"/>
      <c r="L70" s="112"/>
      <c r="M70" s="112"/>
      <c r="N70" s="113"/>
    </row>
    <row r="71" spans="2:14" ht="19.5" customHeight="1" thickBot="1">
      <c r="B71" s="83" t="s">
        <v>103</v>
      </c>
      <c r="C71" s="104">
        <f>300*(1-0.5)</f>
        <v>150</v>
      </c>
      <c r="D71" s="105">
        <f>IF((1-($C$22+$H$24)/100)*(1-$I$19/100)*(1-$H$20/100)*(1-$H$21/100)*(1-$I$24/100)&lt;=0.2,$C71*0.2,(1-($C$22+$H$24)/100)*(1-$I$19/100)*(1-$H$20/100)*(1-$H$21/100)*(1-$I$24/100)*$C71)</f>
        <v>129.06285</v>
      </c>
      <c r="E71" s="114"/>
      <c r="F71" s="115"/>
      <c r="G71" s="115"/>
      <c r="H71" s="115"/>
      <c r="I71" s="115"/>
      <c r="J71" s="115"/>
      <c r="K71" s="115"/>
      <c r="L71" s="115"/>
      <c r="M71" s="115"/>
      <c r="N71" s="116"/>
    </row>
    <row r="72" spans="2:14" ht="19.5" customHeight="1" thickBot="1">
      <c r="B72" s="54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</row>
    <row r="73" spans="1:15" ht="19.5" customHeight="1">
      <c r="A73" s="1"/>
      <c r="B73" s="65"/>
      <c r="C73" s="36" t="s">
        <v>34</v>
      </c>
      <c r="D73" s="36" t="s">
        <v>23</v>
      </c>
      <c r="E73" s="37" t="s">
        <v>24</v>
      </c>
      <c r="F73" s="37" t="s">
        <v>25</v>
      </c>
      <c r="G73" s="38" t="s">
        <v>26</v>
      </c>
      <c r="H73" s="38" t="s">
        <v>27</v>
      </c>
      <c r="I73" s="39" t="s">
        <v>28</v>
      </c>
      <c r="J73" s="39" t="s">
        <v>29</v>
      </c>
      <c r="K73" s="40" t="s">
        <v>30</v>
      </c>
      <c r="L73" s="40" t="s">
        <v>31</v>
      </c>
      <c r="M73" s="41" t="s">
        <v>32</v>
      </c>
      <c r="N73" s="42" t="s">
        <v>33</v>
      </c>
      <c r="O73" s="1"/>
    </row>
    <row r="74" spans="2:14" ht="19.5" customHeight="1">
      <c r="B74" s="53" t="s">
        <v>82</v>
      </c>
      <c r="C74" s="67">
        <v>16</v>
      </c>
      <c r="D74" s="68">
        <f aca="true" t="shared" si="4" ref="D74:D97">IF((1-$K$19)*(1-D$30/100)&lt;=0.2,$C74*0.2,$C74*(1-$K$19)*(1-D$30/100))</f>
        <v>13.766704</v>
      </c>
      <c r="E74" s="68">
        <f aca="true" t="shared" si="5" ref="E74:N75">IF((1-$K$19)*(1-E$30/100)&lt;=0.2,$C74*0.2,$C74*(1-$K$19)*(1-E$30/100))</f>
        <v>13.49136992</v>
      </c>
      <c r="F74" s="68">
        <f t="shared" si="5"/>
        <v>13.21603584</v>
      </c>
      <c r="G74" s="68">
        <f t="shared" si="5"/>
        <v>12.94070176</v>
      </c>
      <c r="H74" s="68">
        <f t="shared" si="5"/>
        <v>12.665367680000001</v>
      </c>
      <c r="I74" s="68">
        <f t="shared" si="5"/>
        <v>12.3900336</v>
      </c>
      <c r="J74" s="68">
        <f t="shared" si="5"/>
        <v>12.11469952</v>
      </c>
      <c r="K74" s="68">
        <f t="shared" si="5"/>
        <v>11.83936544</v>
      </c>
      <c r="L74" s="68">
        <f t="shared" si="5"/>
        <v>11.56403136</v>
      </c>
      <c r="M74" s="68">
        <f t="shared" si="5"/>
        <v>11.288697280000001</v>
      </c>
      <c r="N74" s="69">
        <f t="shared" si="5"/>
        <v>11.0133632</v>
      </c>
    </row>
    <row r="75" spans="2:14" ht="19.5" customHeight="1">
      <c r="B75" s="53" t="s">
        <v>67</v>
      </c>
      <c r="C75" s="90">
        <f>C74-5</f>
        <v>11</v>
      </c>
      <c r="D75" s="72">
        <f t="shared" si="4"/>
        <v>9.464609000000001</v>
      </c>
      <c r="E75" s="72">
        <f t="shared" si="5"/>
        <v>9.27531682</v>
      </c>
      <c r="F75" s="72">
        <f t="shared" si="5"/>
        <v>9.086024640000002</v>
      </c>
      <c r="G75" s="72">
        <f t="shared" si="5"/>
        <v>8.89673246</v>
      </c>
      <c r="H75" s="72">
        <f t="shared" si="5"/>
        <v>8.707440280000002</v>
      </c>
      <c r="I75" s="72">
        <f t="shared" si="5"/>
        <v>8.518148100000001</v>
      </c>
      <c r="J75" s="72">
        <f t="shared" si="5"/>
        <v>8.32885592</v>
      </c>
      <c r="K75" s="72">
        <f t="shared" si="5"/>
        <v>8.139563740000002</v>
      </c>
      <c r="L75" s="72">
        <f t="shared" si="5"/>
        <v>7.950271560000001</v>
      </c>
      <c r="M75" s="72">
        <f t="shared" si="5"/>
        <v>7.760979380000002</v>
      </c>
      <c r="N75" s="91">
        <f t="shared" si="5"/>
        <v>7.571687200000001</v>
      </c>
    </row>
    <row r="76" spans="2:14" ht="19.5" customHeight="1">
      <c r="B76" s="53" t="s">
        <v>83</v>
      </c>
      <c r="C76" s="67">
        <f>C74-5.5</f>
        <v>10.5</v>
      </c>
      <c r="D76" s="68">
        <f t="shared" si="4"/>
        <v>9.034399500000001</v>
      </c>
      <c r="E76" s="68">
        <f aca="true" t="shared" si="6" ref="E76:N91">IF((1-$K$19)*(1-E$30/100)&lt;=0.2,$C76*0.2,$C76*(1-$K$19)*(1-E$30/100))</f>
        <v>8.85371151</v>
      </c>
      <c r="F76" s="68">
        <f t="shared" si="6"/>
        <v>8.673023520000001</v>
      </c>
      <c r="G76" s="68">
        <f t="shared" si="6"/>
        <v>8.49233553</v>
      </c>
      <c r="H76" s="68">
        <f t="shared" si="6"/>
        <v>8.311647540000001</v>
      </c>
      <c r="I76" s="68">
        <f t="shared" si="6"/>
        <v>8.130959550000002</v>
      </c>
      <c r="J76" s="68">
        <f t="shared" si="6"/>
        <v>7.950271560000001</v>
      </c>
      <c r="K76" s="68">
        <f t="shared" si="6"/>
        <v>7.769583570000001</v>
      </c>
      <c r="L76" s="68">
        <f t="shared" si="6"/>
        <v>7.588895580000001</v>
      </c>
      <c r="M76" s="68">
        <f t="shared" si="6"/>
        <v>7.408207590000002</v>
      </c>
      <c r="N76" s="69">
        <f t="shared" si="6"/>
        <v>7.227519600000001</v>
      </c>
    </row>
    <row r="77" spans="2:14" ht="19.5" customHeight="1">
      <c r="B77" s="53" t="s">
        <v>84</v>
      </c>
      <c r="C77" s="90">
        <f>C74-6</f>
        <v>10</v>
      </c>
      <c r="D77" s="72">
        <f t="shared" si="4"/>
        <v>8.604190000000001</v>
      </c>
      <c r="E77" s="72">
        <f t="shared" si="6"/>
        <v>8.432106200000002</v>
      </c>
      <c r="F77" s="72">
        <f t="shared" si="6"/>
        <v>8.2600224</v>
      </c>
      <c r="G77" s="72">
        <f t="shared" si="6"/>
        <v>8.087938600000001</v>
      </c>
      <c r="H77" s="72">
        <f t="shared" si="6"/>
        <v>7.915854800000001</v>
      </c>
      <c r="I77" s="72">
        <f t="shared" si="6"/>
        <v>7.743771000000001</v>
      </c>
      <c r="J77" s="72">
        <f t="shared" si="6"/>
        <v>7.5716872</v>
      </c>
      <c r="K77" s="72">
        <f t="shared" si="6"/>
        <v>7.399603400000001</v>
      </c>
      <c r="L77" s="72">
        <f t="shared" si="6"/>
        <v>7.227519600000001</v>
      </c>
      <c r="M77" s="72">
        <f t="shared" si="6"/>
        <v>7.0554358000000015</v>
      </c>
      <c r="N77" s="91">
        <f t="shared" si="6"/>
        <v>6.883352000000001</v>
      </c>
    </row>
    <row r="78" spans="2:14" ht="19.5" customHeight="1">
      <c r="B78" s="53" t="s">
        <v>85</v>
      </c>
      <c r="C78" s="67">
        <f>C74-6.5</f>
        <v>9.5</v>
      </c>
      <c r="D78" s="68">
        <f t="shared" si="4"/>
        <v>8.1739805</v>
      </c>
      <c r="E78" s="68">
        <f t="shared" si="6"/>
        <v>8.010500890000001</v>
      </c>
      <c r="F78" s="68">
        <f t="shared" si="6"/>
        <v>7.847021280000001</v>
      </c>
      <c r="G78" s="68">
        <f t="shared" si="6"/>
        <v>7.68354167</v>
      </c>
      <c r="H78" s="68">
        <f t="shared" si="6"/>
        <v>7.520062060000001</v>
      </c>
      <c r="I78" s="68">
        <f t="shared" si="6"/>
        <v>7.356582450000001</v>
      </c>
      <c r="J78" s="68">
        <f t="shared" si="6"/>
        <v>7.193102840000001</v>
      </c>
      <c r="K78" s="68">
        <f t="shared" si="6"/>
        <v>7.02962323</v>
      </c>
      <c r="L78" s="68">
        <f t="shared" si="6"/>
        <v>6.866143620000001</v>
      </c>
      <c r="M78" s="68">
        <f t="shared" si="6"/>
        <v>6.702664010000001</v>
      </c>
      <c r="N78" s="69">
        <f t="shared" si="6"/>
        <v>6.539184400000001</v>
      </c>
    </row>
    <row r="79" spans="2:14" ht="19.5" customHeight="1">
      <c r="B79" s="53" t="s">
        <v>86</v>
      </c>
      <c r="C79" s="90">
        <f>C74-7</f>
        <v>9</v>
      </c>
      <c r="D79" s="72">
        <f t="shared" si="4"/>
        <v>7.743771000000001</v>
      </c>
      <c r="E79" s="72">
        <f t="shared" si="6"/>
        <v>7.588895580000001</v>
      </c>
      <c r="F79" s="72">
        <f t="shared" si="6"/>
        <v>7.43402016</v>
      </c>
      <c r="G79" s="72">
        <f t="shared" si="6"/>
        <v>7.2791447400000004</v>
      </c>
      <c r="H79" s="72">
        <f t="shared" si="6"/>
        <v>7.124269320000001</v>
      </c>
      <c r="I79" s="72">
        <f t="shared" si="6"/>
        <v>6.969393900000001</v>
      </c>
      <c r="J79" s="72">
        <f t="shared" si="6"/>
        <v>6.81451848</v>
      </c>
      <c r="K79" s="72">
        <f t="shared" si="6"/>
        <v>6.6596430600000005</v>
      </c>
      <c r="L79" s="72">
        <f t="shared" si="6"/>
        <v>6.50476764</v>
      </c>
      <c r="M79" s="72">
        <f t="shared" si="6"/>
        <v>6.349892220000001</v>
      </c>
      <c r="N79" s="91">
        <f t="shared" si="6"/>
        <v>6.195016800000001</v>
      </c>
    </row>
    <row r="80" spans="2:14" ht="19.5" customHeight="1">
      <c r="B80" s="53" t="s">
        <v>105</v>
      </c>
      <c r="C80" s="67">
        <v>22</v>
      </c>
      <c r="D80" s="68">
        <f t="shared" si="4"/>
        <v>18.929218000000002</v>
      </c>
      <c r="E80" s="68">
        <f t="shared" si="6"/>
        <v>18.55063364</v>
      </c>
      <c r="F80" s="68">
        <f t="shared" si="6"/>
        <v>18.172049280000003</v>
      </c>
      <c r="G80" s="68">
        <f t="shared" si="6"/>
        <v>17.79346492</v>
      </c>
      <c r="H80" s="68">
        <f t="shared" si="6"/>
        <v>17.414880560000004</v>
      </c>
      <c r="I80" s="68">
        <f t="shared" si="6"/>
        <v>17.036296200000002</v>
      </c>
      <c r="J80" s="68">
        <f t="shared" si="6"/>
        <v>16.65771184</v>
      </c>
      <c r="K80" s="68">
        <f t="shared" si="6"/>
        <v>16.279127480000003</v>
      </c>
      <c r="L80" s="68">
        <f t="shared" si="6"/>
        <v>15.900543120000002</v>
      </c>
      <c r="M80" s="68">
        <f t="shared" si="6"/>
        <v>15.521958760000004</v>
      </c>
      <c r="N80" s="69">
        <f t="shared" si="6"/>
        <v>15.143374400000003</v>
      </c>
    </row>
    <row r="81" spans="2:14" ht="19.5" customHeight="1">
      <c r="B81" s="53" t="s">
        <v>106</v>
      </c>
      <c r="C81" s="90">
        <v>19</v>
      </c>
      <c r="D81" s="72">
        <f t="shared" si="4"/>
        <v>16.347961</v>
      </c>
      <c r="E81" s="72">
        <f t="shared" si="6"/>
        <v>16.021001780000002</v>
      </c>
      <c r="F81" s="72">
        <f t="shared" si="6"/>
        <v>15.694042560000002</v>
      </c>
      <c r="G81" s="72">
        <f t="shared" si="6"/>
        <v>15.36708334</v>
      </c>
      <c r="H81" s="72">
        <f t="shared" si="6"/>
        <v>15.040124120000002</v>
      </c>
      <c r="I81" s="72">
        <f t="shared" si="6"/>
        <v>14.713164900000002</v>
      </c>
      <c r="J81" s="72">
        <f t="shared" si="6"/>
        <v>14.386205680000002</v>
      </c>
      <c r="K81" s="72">
        <f t="shared" si="6"/>
        <v>14.05924646</v>
      </c>
      <c r="L81" s="72">
        <f t="shared" si="6"/>
        <v>13.732287240000002</v>
      </c>
      <c r="M81" s="72">
        <f t="shared" si="6"/>
        <v>13.405328020000002</v>
      </c>
      <c r="N81" s="91">
        <f t="shared" si="6"/>
        <v>13.078368800000002</v>
      </c>
    </row>
    <row r="82" spans="2:14" ht="19.5" customHeight="1">
      <c r="B82" s="53" t="s">
        <v>107</v>
      </c>
      <c r="C82" s="67">
        <v>18</v>
      </c>
      <c r="D82" s="68">
        <f t="shared" si="4"/>
        <v>15.487542000000001</v>
      </c>
      <c r="E82" s="68">
        <f t="shared" si="6"/>
        <v>15.177791160000002</v>
      </c>
      <c r="F82" s="68">
        <f t="shared" si="6"/>
        <v>14.86804032</v>
      </c>
      <c r="G82" s="68">
        <f t="shared" si="6"/>
        <v>14.558289480000001</v>
      </c>
      <c r="H82" s="68">
        <f t="shared" si="6"/>
        <v>14.248538640000001</v>
      </c>
      <c r="I82" s="68">
        <f t="shared" si="6"/>
        <v>13.938787800000002</v>
      </c>
      <c r="J82" s="68">
        <f t="shared" si="6"/>
        <v>13.62903696</v>
      </c>
      <c r="K82" s="68">
        <f t="shared" si="6"/>
        <v>13.319286120000001</v>
      </c>
      <c r="L82" s="68">
        <f t="shared" si="6"/>
        <v>13.00953528</v>
      </c>
      <c r="M82" s="68">
        <f t="shared" si="6"/>
        <v>12.699784440000002</v>
      </c>
      <c r="N82" s="69">
        <f t="shared" si="6"/>
        <v>12.390033600000002</v>
      </c>
    </row>
    <row r="83" spans="2:14" ht="19.5" customHeight="1">
      <c r="B83" s="53" t="s">
        <v>108</v>
      </c>
      <c r="C83" s="90">
        <v>17</v>
      </c>
      <c r="D83" s="72">
        <f t="shared" si="4"/>
        <v>14.627123000000001</v>
      </c>
      <c r="E83" s="72">
        <f t="shared" si="6"/>
        <v>14.334580540000001</v>
      </c>
      <c r="F83" s="72">
        <f t="shared" si="6"/>
        <v>14.042038080000001</v>
      </c>
      <c r="G83" s="72">
        <f t="shared" si="6"/>
        <v>13.74949562</v>
      </c>
      <c r="H83" s="72">
        <f t="shared" si="6"/>
        <v>13.456953160000001</v>
      </c>
      <c r="I83" s="72">
        <f t="shared" si="6"/>
        <v>13.164410700000001</v>
      </c>
      <c r="J83" s="72">
        <f t="shared" si="6"/>
        <v>12.871868240000001</v>
      </c>
      <c r="K83" s="72">
        <f t="shared" si="6"/>
        <v>12.579325780000001</v>
      </c>
      <c r="L83" s="72">
        <f t="shared" si="6"/>
        <v>12.28678332</v>
      </c>
      <c r="M83" s="72">
        <f t="shared" si="6"/>
        <v>11.994240860000001</v>
      </c>
      <c r="N83" s="91">
        <f t="shared" si="6"/>
        <v>11.701698400000001</v>
      </c>
    </row>
    <row r="84" spans="2:14" ht="19.5" customHeight="1">
      <c r="B84" s="53" t="s">
        <v>109</v>
      </c>
      <c r="C84" s="67">
        <v>16</v>
      </c>
      <c r="D84" s="68">
        <f t="shared" si="4"/>
        <v>13.766704</v>
      </c>
      <c r="E84" s="68">
        <f t="shared" si="6"/>
        <v>13.49136992</v>
      </c>
      <c r="F84" s="68">
        <f t="shared" si="6"/>
        <v>13.21603584</v>
      </c>
      <c r="G84" s="68">
        <f t="shared" si="6"/>
        <v>12.94070176</v>
      </c>
      <c r="H84" s="68">
        <f t="shared" si="6"/>
        <v>12.665367680000001</v>
      </c>
      <c r="I84" s="68">
        <f t="shared" si="6"/>
        <v>12.3900336</v>
      </c>
      <c r="J84" s="68">
        <f t="shared" si="6"/>
        <v>12.11469952</v>
      </c>
      <c r="K84" s="68">
        <f t="shared" si="6"/>
        <v>11.83936544</v>
      </c>
      <c r="L84" s="68">
        <f t="shared" si="6"/>
        <v>11.56403136</v>
      </c>
      <c r="M84" s="68">
        <f t="shared" si="6"/>
        <v>11.288697280000001</v>
      </c>
      <c r="N84" s="69">
        <f t="shared" si="6"/>
        <v>11.0133632</v>
      </c>
    </row>
    <row r="85" spans="2:14" ht="19.5" customHeight="1">
      <c r="B85" s="53" t="s">
        <v>110</v>
      </c>
      <c r="C85" s="90">
        <v>15</v>
      </c>
      <c r="D85" s="72">
        <f t="shared" si="4"/>
        <v>12.906285</v>
      </c>
      <c r="E85" s="72">
        <f t="shared" si="6"/>
        <v>12.6481593</v>
      </c>
      <c r="F85" s="72">
        <f t="shared" si="6"/>
        <v>12.3900336</v>
      </c>
      <c r="G85" s="72">
        <f t="shared" si="6"/>
        <v>12.1319079</v>
      </c>
      <c r="H85" s="72">
        <f t="shared" si="6"/>
        <v>11.8737822</v>
      </c>
      <c r="I85" s="72">
        <f t="shared" si="6"/>
        <v>11.6156565</v>
      </c>
      <c r="J85" s="72">
        <f t="shared" si="6"/>
        <v>11.357530800000001</v>
      </c>
      <c r="K85" s="72">
        <f t="shared" si="6"/>
        <v>11.0994051</v>
      </c>
      <c r="L85" s="72">
        <f t="shared" si="6"/>
        <v>10.8412794</v>
      </c>
      <c r="M85" s="72">
        <f t="shared" si="6"/>
        <v>10.5831537</v>
      </c>
      <c r="N85" s="91">
        <f t="shared" si="6"/>
        <v>10.325028000000001</v>
      </c>
    </row>
    <row r="86" spans="2:14" ht="19.5" customHeight="1">
      <c r="B86" s="53" t="s">
        <v>44</v>
      </c>
      <c r="C86" s="67">
        <v>20</v>
      </c>
      <c r="D86" s="68">
        <f t="shared" si="4"/>
        <v>17.208380000000002</v>
      </c>
      <c r="E86" s="68">
        <f t="shared" si="6"/>
        <v>16.864212400000003</v>
      </c>
      <c r="F86" s="68">
        <f t="shared" si="6"/>
        <v>16.5200448</v>
      </c>
      <c r="G86" s="68">
        <f t="shared" si="6"/>
        <v>16.175877200000002</v>
      </c>
      <c r="H86" s="68">
        <f t="shared" si="6"/>
        <v>15.831709600000002</v>
      </c>
      <c r="I86" s="68">
        <f t="shared" si="6"/>
        <v>15.487542000000001</v>
      </c>
      <c r="J86" s="68">
        <f t="shared" si="6"/>
        <v>15.1433744</v>
      </c>
      <c r="K86" s="68">
        <f t="shared" si="6"/>
        <v>14.799206800000002</v>
      </c>
      <c r="L86" s="68">
        <f t="shared" si="6"/>
        <v>14.455039200000002</v>
      </c>
      <c r="M86" s="68">
        <f t="shared" si="6"/>
        <v>14.110871600000003</v>
      </c>
      <c r="N86" s="69">
        <f t="shared" si="6"/>
        <v>13.766704000000002</v>
      </c>
    </row>
    <row r="87" spans="2:14" ht="19.5" customHeight="1">
      <c r="B87" s="53" t="s">
        <v>45</v>
      </c>
      <c r="C87" s="90">
        <f>C86-6</f>
        <v>14</v>
      </c>
      <c r="D87" s="72">
        <f t="shared" si="4"/>
        <v>12.045866</v>
      </c>
      <c r="E87" s="72">
        <f t="shared" si="6"/>
        <v>11.80494868</v>
      </c>
      <c r="F87" s="72">
        <f t="shared" si="6"/>
        <v>11.56403136</v>
      </c>
      <c r="G87" s="72">
        <f t="shared" si="6"/>
        <v>11.32311404</v>
      </c>
      <c r="H87" s="72">
        <f t="shared" si="6"/>
        <v>11.08219672</v>
      </c>
      <c r="I87" s="72">
        <f t="shared" si="6"/>
        <v>10.841279400000001</v>
      </c>
      <c r="J87" s="72">
        <f t="shared" si="6"/>
        <v>10.60036208</v>
      </c>
      <c r="K87" s="72">
        <f t="shared" si="6"/>
        <v>10.35944476</v>
      </c>
      <c r="L87" s="72">
        <f t="shared" si="6"/>
        <v>10.11852744</v>
      </c>
      <c r="M87" s="72">
        <f t="shared" si="6"/>
        <v>9.877610120000002</v>
      </c>
      <c r="N87" s="91">
        <f t="shared" si="6"/>
        <v>9.6366928</v>
      </c>
    </row>
    <row r="88" spans="2:14" ht="19.5" customHeight="1">
      <c r="B88" s="53" t="s">
        <v>46</v>
      </c>
      <c r="C88" s="67">
        <f>C87-0.5</f>
        <v>13.5</v>
      </c>
      <c r="D88" s="68">
        <f t="shared" si="4"/>
        <v>11.6156565</v>
      </c>
      <c r="E88" s="68">
        <f t="shared" si="6"/>
        <v>11.38334337</v>
      </c>
      <c r="F88" s="68">
        <f t="shared" si="6"/>
        <v>11.151030239999999</v>
      </c>
      <c r="G88" s="68">
        <f t="shared" si="6"/>
        <v>10.91871711</v>
      </c>
      <c r="H88" s="68">
        <f t="shared" si="6"/>
        <v>10.68640398</v>
      </c>
      <c r="I88" s="68">
        <f t="shared" si="6"/>
        <v>10.45409085</v>
      </c>
      <c r="J88" s="68">
        <f t="shared" si="6"/>
        <v>10.22177772</v>
      </c>
      <c r="K88" s="68">
        <f t="shared" si="6"/>
        <v>9.98946459</v>
      </c>
      <c r="L88" s="68">
        <f t="shared" si="6"/>
        <v>9.75715146</v>
      </c>
      <c r="M88" s="68">
        <f t="shared" si="6"/>
        <v>9.524838330000001</v>
      </c>
      <c r="N88" s="69">
        <f t="shared" si="6"/>
        <v>9.2925252</v>
      </c>
    </row>
    <row r="89" spans="2:14" ht="19.5" customHeight="1">
      <c r="B89" s="53" t="s">
        <v>47</v>
      </c>
      <c r="C89" s="90">
        <f>C88-0.5</f>
        <v>13</v>
      </c>
      <c r="D89" s="72">
        <f t="shared" si="4"/>
        <v>11.185447</v>
      </c>
      <c r="E89" s="72">
        <f t="shared" si="6"/>
        <v>10.96173806</v>
      </c>
      <c r="F89" s="72">
        <f t="shared" si="6"/>
        <v>10.73802912</v>
      </c>
      <c r="G89" s="72">
        <f t="shared" si="6"/>
        <v>10.514320179999999</v>
      </c>
      <c r="H89" s="72">
        <f t="shared" si="6"/>
        <v>10.29061124</v>
      </c>
      <c r="I89" s="72">
        <f t="shared" si="6"/>
        <v>10.0669023</v>
      </c>
      <c r="J89" s="72">
        <f t="shared" si="6"/>
        <v>9.84319336</v>
      </c>
      <c r="K89" s="72">
        <f t="shared" si="6"/>
        <v>9.61948442</v>
      </c>
      <c r="L89" s="72">
        <f t="shared" si="6"/>
        <v>9.39577548</v>
      </c>
      <c r="M89" s="72">
        <f t="shared" si="6"/>
        <v>9.172066540000001</v>
      </c>
      <c r="N89" s="91">
        <f t="shared" si="6"/>
        <v>8.9483576</v>
      </c>
    </row>
    <row r="90" spans="2:14" ht="19.5" customHeight="1">
      <c r="B90" s="53" t="s">
        <v>48</v>
      </c>
      <c r="C90" s="67">
        <f>C89-0.5</f>
        <v>12.5</v>
      </c>
      <c r="D90" s="68">
        <f t="shared" si="4"/>
        <v>10.7552375</v>
      </c>
      <c r="E90" s="68">
        <f t="shared" si="6"/>
        <v>10.54013275</v>
      </c>
      <c r="F90" s="68">
        <f t="shared" si="6"/>
        <v>10.325028</v>
      </c>
      <c r="G90" s="68">
        <f t="shared" si="6"/>
        <v>10.10992325</v>
      </c>
      <c r="H90" s="68">
        <f t="shared" si="6"/>
        <v>9.8948185</v>
      </c>
      <c r="I90" s="68">
        <f t="shared" si="6"/>
        <v>9.67971375</v>
      </c>
      <c r="J90" s="68">
        <f t="shared" si="6"/>
        <v>9.464609</v>
      </c>
      <c r="K90" s="68">
        <f t="shared" si="6"/>
        <v>9.24950425</v>
      </c>
      <c r="L90" s="68">
        <f t="shared" si="6"/>
        <v>9.0343995</v>
      </c>
      <c r="M90" s="68">
        <f t="shared" si="6"/>
        <v>8.819294750000001</v>
      </c>
      <c r="N90" s="69">
        <f t="shared" si="6"/>
        <v>8.604190000000001</v>
      </c>
    </row>
    <row r="91" spans="2:14" ht="19.5" customHeight="1">
      <c r="B91" s="53" t="s">
        <v>49</v>
      </c>
      <c r="C91" s="90">
        <f>C90-0.5</f>
        <v>12</v>
      </c>
      <c r="D91" s="72">
        <f t="shared" si="4"/>
        <v>10.325028</v>
      </c>
      <c r="E91" s="72">
        <f t="shared" si="6"/>
        <v>10.11852744</v>
      </c>
      <c r="F91" s="72">
        <f t="shared" si="6"/>
        <v>9.912026879999999</v>
      </c>
      <c r="G91" s="72">
        <f t="shared" si="6"/>
        <v>9.705526319999999</v>
      </c>
      <c r="H91" s="72">
        <f t="shared" si="6"/>
        <v>9.49902576</v>
      </c>
      <c r="I91" s="72">
        <f t="shared" si="6"/>
        <v>9.2925252</v>
      </c>
      <c r="J91" s="72">
        <f t="shared" si="6"/>
        <v>9.08602464</v>
      </c>
      <c r="K91" s="72">
        <f t="shared" si="6"/>
        <v>8.87952408</v>
      </c>
      <c r="L91" s="72">
        <f t="shared" si="6"/>
        <v>8.67302352</v>
      </c>
      <c r="M91" s="72">
        <f t="shared" si="6"/>
        <v>8.46652296</v>
      </c>
      <c r="N91" s="91">
        <f t="shared" si="6"/>
        <v>8.2600224</v>
      </c>
    </row>
    <row r="92" spans="2:14" ht="19.5" customHeight="1">
      <c r="B92" s="53" t="s">
        <v>50</v>
      </c>
      <c r="C92" s="67">
        <v>18</v>
      </c>
      <c r="D92" s="68">
        <f t="shared" si="4"/>
        <v>15.487542000000001</v>
      </c>
      <c r="E92" s="68">
        <f aca="true" t="shared" si="7" ref="E92:N97">IF((1-$K$19)*(1-E$30/100)&lt;=0.2,$C92*0.2,$C92*(1-$K$19)*(1-E$30/100))</f>
        <v>15.177791160000002</v>
      </c>
      <c r="F92" s="68">
        <f t="shared" si="7"/>
        <v>14.86804032</v>
      </c>
      <c r="G92" s="68">
        <f t="shared" si="7"/>
        <v>14.558289480000001</v>
      </c>
      <c r="H92" s="68">
        <f t="shared" si="7"/>
        <v>14.248538640000001</v>
      </c>
      <c r="I92" s="68">
        <f t="shared" si="7"/>
        <v>13.938787800000002</v>
      </c>
      <c r="J92" s="68">
        <f t="shared" si="7"/>
        <v>13.62903696</v>
      </c>
      <c r="K92" s="68">
        <f t="shared" si="7"/>
        <v>13.319286120000001</v>
      </c>
      <c r="L92" s="68">
        <f t="shared" si="7"/>
        <v>13.00953528</v>
      </c>
      <c r="M92" s="68">
        <f t="shared" si="7"/>
        <v>12.699784440000002</v>
      </c>
      <c r="N92" s="69">
        <f t="shared" si="7"/>
        <v>12.390033600000002</v>
      </c>
    </row>
    <row r="93" spans="2:14" ht="19.5" customHeight="1">
      <c r="B93" s="53" t="s">
        <v>68</v>
      </c>
      <c r="C93" s="90">
        <f>C92+6</f>
        <v>24</v>
      </c>
      <c r="D93" s="72">
        <f t="shared" si="4"/>
        <v>20.650056</v>
      </c>
      <c r="E93" s="72">
        <f t="shared" si="7"/>
        <v>20.23705488</v>
      </c>
      <c r="F93" s="72">
        <f t="shared" si="7"/>
        <v>19.824053759999998</v>
      </c>
      <c r="G93" s="72">
        <f t="shared" si="7"/>
        <v>19.411052639999998</v>
      </c>
      <c r="H93" s="72">
        <f t="shared" si="7"/>
        <v>18.99805152</v>
      </c>
      <c r="I93" s="72">
        <f t="shared" si="7"/>
        <v>18.5850504</v>
      </c>
      <c r="J93" s="72">
        <f t="shared" si="7"/>
        <v>18.17204928</v>
      </c>
      <c r="K93" s="72">
        <f t="shared" si="7"/>
        <v>17.75904816</v>
      </c>
      <c r="L93" s="72">
        <f t="shared" si="7"/>
        <v>17.34604704</v>
      </c>
      <c r="M93" s="72">
        <f t="shared" si="7"/>
        <v>16.93304592</v>
      </c>
      <c r="N93" s="91">
        <f t="shared" si="7"/>
        <v>16.5200448</v>
      </c>
    </row>
    <row r="94" spans="2:14" ht="19.5" customHeight="1">
      <c r="B94" s="53" t="s">
        <v>69</v>
      </c>
      <c r="C94" s="67">
        <f>C93-0.5</f>
        <v>23.5</v>
      </c>
      <c r="D94" s="68">
        <f t="shared" si="4"/>
        <v>20.219846500000003</v>
      </c>
      <c r="E94" s="68">
        <f t="shared" si="7"/>
        <v>19.815449570000002</v>
      </c>
      <c r="F94" s="68">
        <f t="shared" si="7"/>
        <v>19.41105264</v>
      </c>
      <c r="G94" s="68">
        <f t="shared" si="7"/>
        <v>19.00665571</v>
      </c>
      <c r="H94" s="68">
        <f t="shared" si="7"/>
        <v>18.602258780000003</v>
      </c>
      <c r="I94" s="68">
        <f t="shared" si="7"/>
        <v>18.197861850000002</v>
      </c>
      <c r="J94" s="68">
        <f t="shared" si="7"/>
        <v>17.79346492</v>
      </c>
      <c r="K94" s="68">
        <f t="shared" si="7"/>
        <v>17.38906799</v>
      </c>
      <c r="L94" s="68">
        <f t="shared" si="7"/>
        <v>16.98467106</v>
      </c>
      <c r="M94" s="68">
        <f t="shared" si="7"/>
        <v>16.580274130000003</v>
      </c>
      <c r="N94" s="69">
        <f t="shared" si="7"/>
        <v>16.175877200000002</v>
      </c>
    </row>
    <row r="95" spans="2:14" ht="19.5" customHeight="1">
      <c r="B95" s="53" t="s">
        <v>70</v>
      </c>
      <c r="C95" s="90">
        <f>C94-0.5</f>
        <v>23</v>
      </c>
      <c r="D95" s="72">
        <f t="shared" si="4"/>
        <v>19.789637000000003</v>
      </c>
      <c r="E95" s="72">
        <f t="shared" si="7"/>
        <v>19.39384426</v>
      </c>
      <c r="F95" s="72">
        <f t="shared" si="7"/>
        <v>18.99805152</v>
      </c>
      <c r="G95" s="72">
        <f t="shared" si="7"/>
        <v>18.60225878</v>
      </c>
      <c r="H95" s="72">
        <f t="shared" si="7"/>
        <v>18.206466040000002</v>
      </c>
      <c r="I95" s="72">
        <f t="shared" si="7"/>
        <v>17.8106733</v>
      </c>
      <c r="J95" s="72">
        <f t="shared" si="7"/>
        <v>17.414880560000004</v>
      </c>
      <c r="K95" s="72">
        <f t="shared" si="7"/>
        <v>17.019087820000003</v>
      </c>
      <c r="L95" s="72">
        <f t="shared" si="7"/>
        <v>16.623295080000002</v>
      </c>
      <c r="M95" s="72">
        <f t="shared" si="7"/>
        <v>16.227502340000004</v>
      </c>
      <c r="N95" s="91">
        <f t="shared" si="7"/>
        <v>15.831709600000003</v>
      </c>
    </row>
    <row r="96" spans="2:14" ht="19.5" customHeight="1">
      <c r="B96" s="85" t="s">
        <v>71</v>
      </c>
      <c r="C96" s="98">
        <f>C95-0.5</f>
        <v>22.5</v>
      </c>
      <c r="D96" s="99">
        <f t="shared" si="4"/>
        <v>19.359427500000002</v>
      </c>
      <c r="E96" s="99">
        <f t="shared" si="7"/>
        <v>18.97223895</v>
      </c>
      <c r="F96" s="99">
        <f t="shared" si="7"/>
        <v>18.5850504</v>
      </c>
      <c r="G96" s="99">
        <f t="shared" si="7"/>
        <v>18.197861850000002</v>
      </c>
      <c r="H96" s="99">
        <f t="shared" si="7"/>
        <v>17.8106733</v>
      </c>
      <c r="I96" s="99">
        <f t="shared" si="7"/>
        <v>17.423484750000004</v>
      </c>
      <c r="J96" s="99">
        <f t="shared" si="7"/>
        <v>17.036296200000002</v>
      </c>
      <c r="K96" s="99">
        <f t="shared" si="7"/>
        <v>16.64910765</v>
      </c>
      <c r="L96" s="99">
        <f t="shared" si="7"/>
        <v>16.2619191</v>
      </c>
      <c r="M96" s="99">
        <f t="shared" si="7"/>
        <v>15.874730550000002</v>
      </c>
      <c r="N96" s="100">
        <f t="shared" si="7"/>
        <v>15.487542000000003</v>
      </c>
    </row>
    <row r="97" spans="2:14" ht="19.5" customHeight="1">
      <c r="B97" s="84" t="s">
        <v>72</v>
      </c>
      <c r="C97" s="92">
        <f>C96-0.5</f>
        <v>22</v>
      </c>
      <c r="D97" s="93">
        <f t="shared" si="4"/>
        <v>18.929218000000002</v>
      </c>
      <c r="E97" s="93">
        <f t="shared" si="7"/>
        <v>18.55063364</v>
      </c>
      <c r="F97" s="93">
        <f t="shared" si="7"/>
        <v>18.172049280000003</v>
      </c>
      <c r="G97" s="93">
        <f t="shared" si="7"/>
        <v>17.79346492</v>
      </c>
      <c r="H97" s="93">
        <f t="shared" si="7"/>
        <v>17.414880560000004</v>
      </c>
      <c r="I97" s="93">
        <f t="shared" si="7"/>
        <v>17.036296200000002</v>
      </c>
      <c r="J97" s="93">
        <f t="shared" si="7"/>
        <v>16.65771184</v>
      </c>
      <c r="K97" s="93">
        <f t="shared" si="7"/>
        <v>16.279127480000003</v>
      </c>
      <c r="L97" s="93">
        <f t="shared" si="7"/>
        <v>15.900543120000002</v>
      </c>
      <c r="M97" s="93">
        <f t="shared" si="7"/>
        <v>15.521958760000004</v>
      </c>
      <c r="N97" s="94">
        <f t="shared" si="7"/>
        <v>15.143374400000003</v>
      </c>
    </row>
    <row r="98" spans="2:14" ht="19.5" customHeight="1">
      <c r="B98" s="82" t="s">
        <v>98</v>
      </c>
      <c r="C98" s="79">
        <v>6</v>
      </c>
      <c r="D98" s="101">
        <f aca="true" t="shared" si="8" ref="D98:N99">IF((1-$K$19)*(1-D$30/100)&lt;=0.2,$C98*0.2,$C98*(1-$K$19)*(1-D$30/100))</f>
        <v>5.162514</v>
      </c>
      <c r="E98" s="101">
        <f t="shared" si="8"/>
        <v>5.05926372</v>
      </c>
      <c r="F98" s="101">
        <f t="shared" si="8"/>
        <v>4.9560134399999995</v>
      </c>
      <c r="G98" s="101">
        <f t="shared" si="8"/>
        <v>4.852763159999999</v>
      </c>
      <c r="H98" s="101">
        <f t="shared" si="8"/>
        <v>4.74951288</v>
      </c>
      <c r="I98" s="101">
        <f t="shared" si="8"/>
        <v>4.6462626</v>
      </c>
      <c r="J98" s="101">
        <f t="shared" si="8"/>
        <v>4.54301232</v>
      </c>
      <c r="K98" s="101">
        <f t="shared" si="8"/>
        <v>4.43976204</v>
      </c>
      <c r="L98" s="101">
        <f t="shared" si="8"/>
        <v>4.33651176</v>
      </c>
      <c r="M98" s="101">
        <f t="shared" si="8"/>
        <v>4.23326148</v>
      </c>
      <c r="N98" s="102">
        <f t="shared" si="8"/>
        <v>4.1300112</v>
      </c>
    </row>
    <row r="99" spans="2:14" ht="19.5" customHeight="1" thickBot="1">
      <c r="B99" s="83" t="s">
        <v>97</v>
      </c>
      <c r="C99" s="95">
        <v>16</v>
      </c>
      <c r="D99" s="96">
        <f t="shared" si="8"/>
        <v>13.766704</v>
      </c>
      <c r="E99" s="96">
        <f t="shared" si="8"/>
        <v>13.49136992</v>
      </c>
      <c r="F99" s="96">
        <f t="shared" si="8"/>
        <v>13.21603584</v>
      </c>
      <c r="G99" s="96">
        <f t="shared" si="8"/>
        <v>12.94070176</v>
      </c>
      <c r="H99" s="96">
        <f t="shared" si="8"/>
        <v>12.665367680000001</v>
      </c>
      <c r="I99" s="96">
        <f t="shared" si="8"/>
        <v>12.3900336</v>
      </c>
      <c r="J99" s="96">
        <f t="shared" si="8"/>
        <v>12.11469952</v>
      </c>
      <c r="K99" s="96">
        <f t="shared" si="8"/>
        <v>11.83936544</v>
      </c>
      <c r="L99" s="96">
        <f t="shared" si="8"/>
        <v>11.56403136</v>
      </c>
      <c r="M99" s="96">
        <f t="shared" si="8"/>
        <v>11.288697280000001</v>
      </c>
      <c r="N99" s="97">
        <f t="shared" si="8"/>
        <v>11.0133632</v>
      </c>
    </row>
    <row r="100" spans="2:14" ht="19.5" customHeight="1">
      <c r="B100" s="54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</row>
  </sheetData>
  <sheetProtection/>
  <mergeCells count="7">
    <mergeCell ref="E68:N71"/>
    <mergeCell ref="E47:N50"/>
    <mergeCell ref="L2:N2"/>
    <mergeCell ref="I3:N3"/>
    <mergeCell ref="K18:L18"/>
    <mergeCell ref="K19:L19"/>
    <mergeCell ref="I20:I21"/>
  </mergeCells>
  <dataValidations count="2">
    <dataValidation type="list" allowBlank="1" sqref="G19 G21">
      <formula1>"해제,적용"</formula1>
    </dataValidation>
    <dataValidation type="list" allowBlank="1" sqref="G20">
      <formula1>"해제,4셋적용,레벨2적용(4셋),레벨3적용(4셋),6셋적용,레벨2적용(6셋),레벨3적용(6셋)"</formula1>
    </dataValidation>
  </dataValidations>
  <printOptions/>
  <pageMargins left="0.7" right="0.7" top="0.75" bottom="0.75" header="0.3" footer="0.3"/>
  <pageSetup fitToHeight="0" fitToWidth="1" horizontalDpi="600" verticalDpi="600" orientation="portrait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OnV1A</dc:creator>
  <cp:keywords/>
  <dc:description/>
  <cp:lastModifiedBy>ADMIN</cp:lastModifiedBy>
  <cp:lastPrinted>2023-12-29T16:42:31Z</cp:lastPrinted>
  <dcterms:created xsi:type="dcterms:W3CDTF">2022-04-22T18:12:07Z</dcterms:created>
  <dcterms:modified xsi:type="dcterms:W3CDTF">2024-01-10T15:02:21Z</dcterms:modified>
  <cp:category/>
  <cp:version/>
  <cp:contentType/>
  <cp:contentStatus/>
</cp:coreProperties>
</file>