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roto\OneDrive\바탕 화면\"/>
    </mc:Choice>
  </mc:AlternateContent>
  <xr:revisionPtr revIDLastSave="0" documentId="13_ncr:1_{ED430EF4-7EF7-4F5D-BF0A-F35CF79CA15C}" xr6:coauthVersionLast="47" xr6:coauthVersionMax="47" xr10:uidLastSave="{00000000-0000-0000-0000-000000000000}"/>
  <bookViews>
    <workbookView xWindow="7370" yWindow="1260" windowWidth="25340" windowHeight="17460" xr2:uid="{54C735D4-A9CE-412A-8FD1-FC41A49EFDA0}"/>
  </bookViews>
  <sheets>
    <sheet name="일상개글작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46" i="2" l="1"/>
  <c r="X43" i="2"/>
  <c r="Z46" i="2"/>
  <c r="Z45" i="2"/>
  <c r="Z44" i="2"/>
  <c r="Z43" i="2"/>
  <c r="Z42" i="2"/>
  <c r="Z29" i="2"/>
  <c r="X29" i="2"/>
  <c r="Z36" i="2"/>
  <c r="Z35" i="2"/>
  <c r="Z34" i="2"/>
  <c r="Z33" i="2"/>
  <c r="Z32" i="2"/>
  <c r="Z31" i="2"/>
  <c r="Z30" i="2"/>
  <c r="Z28" i="2"/>
  <c r="Z27" i="2"/>
  <c r="Z26" i="2"/>
  <c r="Z37" i="2"/>
  <c r="Z38" i="2"/>
  <c r="Z40" i="2"/>
  <c r="X40" i="2"/>
  <c r="AA7" i="2"/>
  <c r="AA6" i="2"/>
  <c r="AA5" i="2"/>
  <c r="Q62" i="2"/>
  <c r="Q61" i="2"/>
  <c r="AA4" i="2"/>
  <c r="Q64" i="2"/>
  <c r="L11" i="2" s="1"/>
  <c r="S64" i="2"/>
  <c r="S63" i="2"/>
  <c r="Q63" i="2"/>
  <c r="L10" i="2" s="1"/>
  <c r="R51" i="2"/>
  <c r="N51" i="2"/>
  <c r="R50" i="2"/>
  <c r="N50" i="2"/>
  <c r="R46" i="2"/>
  <c r="N46" i="2"/>
  <c r="R47" i="2"/>
  <c r="N47" i="2"/>
  <c r="R48" i="2"/>
  <c r="N48" i="2"/>
  <c r="R49" i="2"/>
  <c r="N49" i="2"/>
  <c r="X39" i="2"/>
  <c r="Z39" i="2"/>
  <c r="Z41" i="2"/>
  <c r="P27" i="2"/>
  <c r="M96" i="2"/>
  <c r="N95" i="2" s="1"/>
  <c r="M91" i="2"/>
  <c r="M92" i="2"/>
  <c r="M93" i="2"/>
  <c r="M94" i="2"/>
  <c r="M90" i="2"/>
  <c r="M72" i="2"/>
  <c r="M67" i="2"/>
  <c r="M62" i="2"/>
  <c r="C81" i="2"/>
  <c r="C80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M81" i="2"/>
  <c r="M82" i="2"/>
  <c r="M83" i="2"/>
  <c r="M84" i="2"/>
  <c r="M80" i="2"/>
  <c r="J5" i="2"/>
  <c r="I5" i="2"/>
  <c r="C79" i="2"/>
  <c r="C78" i="2"/>
  <c r="Q70" i="2"/>
  <c r="Q69" i="2"/>
  <c r="Q67" i="2"/>
  <c r="Y22" i="2"/>
  <c r="C77" i="2"/>
  <c r="Y21" i="2"/>
  <c r="C76" i="2"/>
  <c r="Y20" i="2"/>
  <c r="C75" i="2"/>
  <c r="Y19" i="2"/>
  <c r="C74" i="2"/>
  <c r="Y18" i="2"/>
  <c r="C73" i="2"/>
  <c r="Y17" i="2"/>
  <c r="C72" i="2"/>
  <c r="Y16" i="2"/>
  <c r="C71" i="2"/>
  <c r="Y15" i="2"/>
  <c r="C70" i="2"/>
  <c r="Y14" i="2"/>
  <c r="C69" i="2"/>
  <c r="Y13" i="2"/>
  <c r="C68" i="2"/>
  <c r="Y12" i="2"/>
  <c r="C67" i="2"/>
  <c r="Y11" i="2"/>
  <c r="C66" i="2"/>
  <c r="Y10" i="2"/>
  <c r="C65" i="2"/>
  <c r="Y9" i="2"/>
  <c r="C64" i="2"/>
  <c r="Y8" i="2"/>
  <c r="C63" i="2"/>
  <c r="Y7" i="2"/>
  <c r="C62" i="2"/>
  <c r="Y6" i="2"/>
  <c r="C61" i="2"/>
  <c r="Y5" i="2"/>
  <c r="M88" i="2"/>
  <c r="C60" i="2"/>
  <c r="Y4" i="2"/>
  <c r="AB4" i="2" s="1"/>
  <c r="M87" i="2"/>
  <c r="C59" i="2"/>
  <c r="M86" i="2"/>
  <c r="C58" i="2"/>
  <c r="C57" i="2"/>
  <c r="C56" i="2"/>
  <c r="C55" i="2"/>
  <c r="C54" i="2"/>
  <c r="C53" i="2"/>
  <c r="C52" i="2"/>
  <c r="C51" i="2"/>
  <c r="M78" i="2"/>
  <c r="N78" i="2" s="1"/>
  <c r="C50" i="2"/>
  <c r="C49" i="2"/>
  <c r="C48" i="2"/>
  <c r="C47" i="2"/>
  <c r="C46" i="2"/>
  <c r="X36" i="2"/>
  <c r="C45" i="2"/>
  <c r="X35" i="2"/>
  <c r="C44" i="2"/>
  <c r="X34" i="2"/>
  <c r="C43" i="2"/>
  <c r="X33" i="2"/>
  <c r="C42" i="2"/>
  <c r="X32" i="2"/>
  <c r="C41" i="2"/>
  <c r="X31" i="2"/>
  <c r="C40" i="2"/>
  <c r="X30" i="2"/>
  <c r="C39" i="2"/>
  <c r="C38" i="2"/>
  <c r="X28" i="2"/>
  <c r="C37" i="2"/>
  <c r="X27" i="2"/>
  <c r="Q66" i="2"/>
  <c r="C36" i="2"/>
  <c r="X26" i="2"/>
  <c r="Q65" i="2"/>
  <c r="C35" i="2"/>
  <c r="C34" i="2"/>
  <c r="C33" i="2"/>
  <c r="C32" i="2"/>
  <c r="C31" i="2"/>
  <c r="R38" i="2"/>
  <c r="N38" i="2"/>
  <c r="C30" i="2"/>
  <c r="R37" i="2"/>
  <c r="N37" i="2"/>
  <c r="C29" i="2"/>
  <c r="R36" i="2"/>
  <c r="N36" i="2"/>
  <c r="C28" i="2"/>
  <c r="R35" i="2"/>
  <c r="N35" i="2"/>
  <c r="C27" i="2"/>
  <c r="R34" i="2"/>
  <c r="N34" i="2"/>
  <c r="C26" i="2"/>
  <c r="R33" i="2"/>
  <c r="N33" i="2"/>
  <c r="C25" i="2"/>
  <c r="R32" i="2"/>
  <c r="N32" i="2"/>
  <c r="C24" i="2"/>
  <c r="R31" i="2"/>
  <c r="N31" i="2"/>
  <c r="C23" i="2"/>
  <c r="R30" i="2"/>
  <c r="N30" i="2"/>
  <c r="C22" i="2"/>
  <c r="R29" i="2"/>
  <c r="C21" i="2"/>
  <c r="N28" i="2"/>
  <c r="C20" i="2"/>
  <c r="R27" i="2"/>
  <c r="N27" i="2"/>
  <c r="C19" i="2"/>
  <c r="R26" i="2"/>
  <c r="N26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AA9" i="2" l="1"/>
  <c r="AB8" i="2"/>
  <c r="AB6" i="2"/>
  <c r="AB7" i="2"/>
  <c r="AB5" i="2"/>
  <c r="AB9" i="2"/>
  <c r="M70" i="2"/>
  <c r="R39" i="2"/>
  <c r="R40" i="2" s="1"/>
  <c r="R41" i="2" s="1"/>
  <c r="AA8" i="2"/>
  <c r="N39" i="2"/>
  <c r="M59" i="2"/>
  <c r="X47" i="2"/>
  <c r="Z47" i="2"/>
  <c r="N52" i="2"/>
  <c r="R52" i="2"/>
  <c r="R53" i="2" s="1"/>
  <c r="R54" i="2" s="1"/>
  <c r="N85" i="2"/>
  <c r="N89" i="2"/>
  <c r="N79" i="2"/>
  <c r="N40" i="2" l="1"/>
  <c r="N41" i="2" s="1"/>
  <c r="W53" i="2"/>
  <c r="W54" i="2" s="1"/>
  <c r="W55" i="2" s="1"/>
  <c r="W56" i="2" s="1"/>
  <c r="N53" i="2"/>
  <c r="N54" i="2" s="1"/>
  <c r="Z48" i="2"/>
  <c r="Z49" i="2" s="1"/>
  <c r="Z50" i="2" s="1"/>
  <c r="X53" i="2"/>
  <c r="X54" i="2" s="1"/>
  <c r="X55" i="2" s="1"/>
  <c r="X56" i="2" s="1"/>
  <c r="X48" i="2"/>
  <c r="X49" i="2" s="1"/>
  <c r="X50" i="2" s="1"/>
  <c r="Z53" i="2"/>
  <c r="Z54" i="2" s="1"/>
  <c r="Z55" i="2" s="1"/>
  <c r="Z56" i="2" s="1"/>
  <c r="Y53" i="2"/>
  <c r="Y54" i="2" s="1"/>
  <c r="Y55" i="2" s="1"/>
  <c r="Y56" i="2" s="1"/>
  <c r="AB53" i="2"/>
  <c r="AB54" i="2" s="1"/>
  <c r="AB55" i="2" s="1"/>
  <c r="AB56" i="2" s="1"/>
  <c r="AA53" i="2"/>
  <c r="AA54" i="2" s="1"/>
  <c r="AA55" i="2" s="1"/>
  <c r="AA56" i="2" s="1"/>
  <c r="M68" i="2"/>
  <c r="P78" i="2"/>
  <c r="M64" i="2"/>
  <c r="S70" i="2" s="1"/>
  <c r="Q68" i="2"/>
  <c r="S67" i="2"/>
  <c r="S68" i="2" l="1"/>
  <c r="M60" i="2"/>
  <c r="M61" i="2" s="1"/>
  <c r="S62" i="2"/>
  <c r="M69" i="2"/>
  <c r="M73" i="2"/>
  <c r="S61" i="2" s="1"/>
  <c r="M65" i="2" l="1"/>
  <c r="M71" i="2"/>
  <c r="M66" i="2"/>
  <c r="M63" i="2" l="1"/>
  <c r="S69" i="2" s="1"/>
  <c r="S66" i="2"/>
  <c r="S65" i="2"/>
  <c r="S60" i="2"/>
  <c r="Q60" i="2"/>
</calcChain>
</file>

<file path=xl/sharedStrings.xml><?xml version="1.0" encoding="utf-8"?>
<sst xmlns="http://schemas.openxmlformats.org/spreadsheetml/2006/main" count="654" uniqueCount="230">
  <si>
    <t>제물배</t>
    <phoneticPr fontId="1" type="noConversion"/>
  </si>
  <si>
    <t>배목록</t>
    <phoneticPr fontId="1" type="noConversion"/>
  </si>
  <si>
    <t>소모</t>
    <phoneticPr fontId="1" type="noConversion"/>
  </si>
  <si>
    <t>누적</t>
    <phoneticPr fontId="1" type="noConversion"/>
  </si>
  <si>
    <t>스킬1</t>
    <phoneticPr fontId="1" type="noConversion"/>
  </si>
  <si>
    <t>스킬2</t>
    <phoneticPr fontId="1" type="noConversion"/>
  </si>
  <si>
    <t>스킬3</t>
    <phoneticPr fontId="1" type="noConversion"/>
  </si>
  <si>
    <t>스킬정리</t>
    <phoneticPr fontId="1" type="noConversion"/>
  </si>
  <si>
    <t>일상개1</t>
    <phoneticPr fontId="1" type="noConversion"/>
  </si>
  <si>
    <t>승계</t>
    <phoneticPr fontId="1" type="noConversion"/>
  </si>
  <si>
    <t>포실</t>
    <phoneticPr fontId="1" type="noConversion"/>
  </si>
  <si>
    <t>스킬</t>
    <phoneticPr fontId="1" type="noConversion"/>
  </si>
  <si>
    <t>스승통</t>
    <phoneticPr fontId="1" type="noConversion"/>
  </si>
  <si>
    <t>일상개2</t>
  </si>
  <si>
    <t>선실</t>
    <phoneticPr fontId="1" type="noConversion"/>
  </si>
  <si>
    <t>일상개3</t>
  </si>
  <si>
    <t>내파</t>
    <phoneticPr fontId="1" type="noConversion"/>
  </si>
  <si>
    <t>승통통</t>
    <phoneticPr fontId="1" type="noConversion"/>
  </si>
  <si>
    <t>일상개4</t>
  </si>
  <si>
    <t>가로</t>
    <phoneticPr fontId="1" type="noConversion"/>
  </si>
  <si>
    <t>가속</t>
    <phoneticPr fontId="1" type="noConversion"/>
  </si>
  <si>
    <t>가승통</t>
    <phoneticPr fontId="1" type="noConversion"/>
  </si>
  <si>
    <t>일상개5</t>
  </si>
  <si>
    <t>장갑</t>
    <phoneticPr fontId="1" type="noConversion"/>
  </si>
  <si>
    <t>일상개6</t>
  </si>
  <si>
    <t>내구</t>
    <phoneticPr fontId="1" type="noConversion"/>
  </si>
  <si>
    <t>평균</t>
    <phoneticPr fontId="1" type="noConversion"/>
  </si>
  <si>
    <t>일상개7</t>
  </si>
  <si>
    <t>창고</t>
    <phoneticPr fontId="1" type="noConversion"/>
  </si>
  <si>
    <t>일상개8</t>
  </si>
  <si>
    <t>세로</t>
    <phoneticPr fontId="1" type="noConversion"/>
  </si>
  <si>
    <t>정보</t>
    <phoneticPr fontId="1" type="noConversion"/>
  </si>
  <si>
    <t>일반</t>
    <phoneticPr fontId="1" type="noConversion"/>
  </si>
  <si>
    <t>깐식비</t>
    <phoneticPr fontId="1" type="noConversion"/>
  </si>
  <si>
    <t>일상개9</t>
  </si>
  <si>
    <t>가가통</t>
    <phoneticPr fontId="1" type="noConversion"/>
  </si>
  <si>
    <t>버린 보물선</t>
    <phoneticPr fontId="1" type="noConversion"/>
  </si>
  <si>
    <t>소모재료</t>
    <phoneticPr fontId="1" type="noConversion"/>
  </si>
  <si>
    <t>개수</t>
    <phoneticPr fontId="1" type="noConversion"/>
  </si>
  <si>
    <t>가치</t>
    <phoneticPr fontId="1" type="noConversion"/>
  </si>
  <si>
    <t>일상개10</t>
  </si>
  <si>
    <t>버린 스통</t>
    <phoneticPr fontId="1" type="noConversion"/>
  </si>
  <si>
    <t>급가속</t>
    <phoneticPr fontId="1" type="noConversion"/>
  </si>
  <si>
    <t>일상개11</t>
  </si>
  <si>
    <t>버린 가통</t>
    <phoneticPr fontId="1" type="noConversion"/>
  </si>
  <si>
    <t>상급선실</t>
    <phoneticPr fontId="1" type="noConversion"/>
  </si>
  <si>
    <t>일상개12</t>
  </si>
  <si>
    <t>버린 승통</t>
    <phoneticPr fontId="1" type="noConversion"/>
  </si>
  <si>
    <t>고감</t>
    <phoneticPr fontId="1" type="noConversion"/>
  </si>
  <si>
    <t>일상개13</t>
  </si>
  <si>
    <t>3g-&gt;4g 실패</t>
    <phoneticPr fontId="1" type="noConversion"/>
  </si>
  <si>
    <t>양호실</t>
    <phoneticPr fontId="1" type="noConversion"/>
  </si>
  <si>
    <t>일상개14</t>
  </si>
  <si>
    <t>4g-&gt;5g 실패</t>
    <phoneticPr fontId="1" type="noConversion"/>
  </si>
  <si>
    <t>긴조</t>
    <phoneticPr fontId="1" type="noConversion"/>
  </si>
  <si>
    <t>일상개15</t>
  </si>
  <si>
    <t>가가가</t>
    <phoneticPr fontId="1" type="noConversion"/>
  </si>
  <si>
    <t>4g-&gt;5g 대실패</t>
    <phoneticPr fontId="1" type="noConversion"/>
  </si>
  <si>
    <t>대카4g</t>
    <phoneticPr fontId="1" type="noConversion"/>
  </si>
  <si>
    <t>일상개16</t>
  </si>
  <si>
    <t>대카5g</t>
    <phoneticPr fontId="1" type="noConversion"/>
  </si>
  <si>
    <t>일상개17</t>
  </si>
  <si>
    <t>스스통</t>
    <phoneticPr fontId="1" type="noConversion"/>
  </si>
  <si>
    <t>망작</t>
    <phoneticPr fontId="1" type="noConversion"/>
  </si>
  <si>
    <t>합계</t>
    <phoneticPr fontId="1" type="noConversion"/>
  </si>
  <si>
    <t>함재기</t>
    <phoneticPr fontId="1" type="noConversion"/>
  </si>
  <si>
    <t>일상개18</t>
  </si>
  <si>
    <t>30퍼</t>
    <phoneticPr fontId="1" type="noConversion"/>
  </si>
  <si>
    <t>일상개19</t>
  </si>
  <si>
    <t>50퍼</t>
    <phoneticPr fontId="1" type="noConversion"/>
  </si>
  <si>
    <t>일상개20</t>
  </si>
  <si>
    <t>보물선</t>
    <phoneticPr fontId="1" type="noConversion"/>
  </si>
  <si>
    <t>일상개21</t>
  </si>
  <si>
    <t>대전설</t>
    <phoneticPr fontId="1" type="noConversion"/>
  </si>
  <si>
    <t>일상개22</t>
  </si>
  <si>
    <t>두캇</t>
    <phoneticPr fontId="1" type="noConversion"/>
  </si>
  <si>
    <t>일상개23</t>
  </si>
  <si>
    <t>총합</t>
    <phoneticPr fontId="1" type="noConversion"/>
  </si>
  <si>
    <t>일상개24</t>
  </si>
  <si>
    <t>가스통</t>
    <phoneticPr fontId="1" type="noConversion"/>
  </si>
  <si>
    <t>일상개25</t>
  </si>
  <si>
    <t>무통</t>
    <phoneticPr fontId="1" type="noConversion"/>
  </si>
  <si>
    <t>일상개26</t>
  </si>
  <si>
    <t>가스승</t>
    <phoneticPr fontId="1" type="noConversion"/>
  </si>
  <si>
    <t>일상개27</t>
  </si>
  <si>
    <t>가가스</t>
    <phoneticPr fontId="1" type="noConversion"/>
  </si>
  <si>
    <t>일상개28</t>
  </si>
  <si>
    <t>선회</t>
    <phoneticPr fontId="1" type="noConversion"/>
  </si>
  <si>
    <t>특해기</t>
    <phoneticPr fontId="1" type="noConversion"/>
  </si>
  <si>
    <t>일상개29</t>
  </si>
  <si>
    <t>강증</t>
    <phoneticPr fontId="1" type="noConversion"/>
  </si>
  <si>
    <t>일상개30</t>
  </si>
  <si>
    <t>환측포</t>
    <phoneticPr fontId="1" type="noConversion"/>
  </si>
  <si>
    <t>일상개31</t>
  </si>
  <si>
    <t>일상개32</t>
  </si>
  <si>
    <t>일상개33</t>
  </si>
  <si>
    <t>전용함</t>
    <phoneticPr fontId="1" type="noConversion"/>
  </si>
  <si>
    <t>일상개34</t>
  </si>
  <si>
    <t>베네목</t>
    <phoneticPr fontId="1" type="noConversion"/>
  </si>
  <si>
    <t>일상개35</t>
  </si>
  <si>
    <t>일상개 글드 확률</t>
    <phoneticPr fontId="1" type="noConversion"/>
  </si>
  <si>
    <t>비고</t>
    <phoneticPr fontId="1" type="noConversion"/>
  </si>
  <si>
    <t>회계실</t>
    <phoneticPr fontId="1" type="noConversion"/>
  </si>
  <si>
    <t>일상개36</t>
  </si>
  <si>
    <t>0g-&gt;1g</t>
    <phoneticPr fontId="1" type="noConversion"/>
  </si>
  <si>
    <t>일상개37</t>
  </si>
  <si>
    <t>1g-&gt;2g</t>
    <phoneticPr fontId="1" type="noConversion"/>
  </si>
  <si>
    <t>식비창</t>
    <phoneticPr fontId="1" type="noConversion"/>
  </si>
  <si>
    <t>일상개38</t>
  </si>
  <si>
    <t>2g-&gt;3g</t>
    <phoneticPr fontId="1" type="noConversion"/>
  </si>
  <si>
    <t>조리실</t>
    <phoneticPr fontId="1" type="noConversion"/>
  </si>
  <si>
    <t>일상개39</t>
  </si>
  <si>
    <t>3g-&gt;4g</t>
    <phoneticPr fontId="1" type="noConversion"/>
  </si>
  <si>
    <t>3g에 4g조합</t>
    <phoneticPr fontId="1" type="noConversion"/>
  </si>
  <si>
    <t>일상개40</t>
  </si>
  <si>
    <t>4g-&gt;5g</t>
    <phoneticPr fontId="1" type="noConversion"/>
  </si>
  <si>
    <t>일상개</t>
    <phoneticPr fontId="1" type="noConversion"/>
  </si>
  <si>
    <t>일상개41</t>
  </si>
  <si>
    <t>5g-&gt;6g</t>
    <phoneticPr fontId="1" type="noConversion"/>
  </si>
  <si>
    <t>일상개42</t>
  </si>
  <si>
    <t>제물배 글드 확률</t>
    <phoneticPr fontId="1" type="noConversion"/>
  </si>
  <si>
    <t>일상개43</t>
  </si>
  <si>
    <t>일상개44</t>
  </si>
  <si>
    <t>1g에 0g조합</t>
    <phoneticPr fontId="1" type="noConversion"/>
  </si>
  <si>
    <t>일상개45</t>
  </si>
  <si>
    <t>일상개46</t>
  </si>
  <si>
    <t>일상개47</t>
  </si>
  <si>
    <t>일상개48</t>
  </si>
  <si>
    <t>일상개49</t>
  </si>
  <si>
    <t>일상개50</t>
  </si>
  <si>
    <t>일상개51</t>
  </si>
  <si>
    <t>일상개52</t>
  </si>
  <si>
    <t>일상개53</t>
  </si>
  <si>
    <t>일상개54</t>
  </si>
  <si>
    <t>일상개55</t>
  </si>
  <si>
    <t>일상개56</t>
  </si>
  <si>
    <t>일상개57</t>
  </si>
  <si>
    <t>일상개58</t>
  </si>
  <si>
    <t>일상개59</t>
  </si>
  <si>
    <t>일상개60</t>
  </si>
  <si>
    <t>일상개61</t>
  </si>
  <si>
    <t>일상개62</t>
  </si>
  <si>
    <t>일상개63</t>
  </si>
  <si>
    <t>일상개64</t>
  </si>
  <si>
    <t>깐식비일상개65</t>
    <phoneticPr fontId="1" type="noConversion"/>
  </si>
  <si>
    <t>확률계산</t>
    <phoneticPr fontId="1" type="noConversion"/>
  </si>
  <si>
    <t>예상확률</t>
    <phoneticPr fontId="1" type="noConversion"/>
  </si>
  <si>
    <t>실제확률</t>
    <phoneticPr fontId="1" type="noConversion"/>
  </si>
  <si>
    <t>리스트</t>
    <phoneticPr fontId="1" type="noConversion"/>
  </si>
  <si>
    <t>제물배 글작 확률</t>
    <phoneticPr fontId="1" type="noConversion"/>
  </si>
  <si>
    <t>1g 승계 횟수</t>
    <phoneticPr fontId="1" type="noConversion"/>
  </si>
  <si>
    <t>1g 가속 횟수</t>
    <phoneticPr fontId="1" type="noConversion"/>
  </si>
  <si>
    <t>1g 스킬 횟수</t>
    <phoneticPr fontId="1" type="noConversion"/>
  </si>
  <si>
    <t>가속1</t>
    <phoneticPr fontId="1" type="noConversion"/>
  </si>
  <si>
    <t>가속2</t>
    <phoneticPr fontId="1" type="noConversion"/>
  </si>
  <si>
    <t>가속3</t>
    <phoneticPr fontId="1" type="noConversion"/>
  </si>
  <si>
    <t>3g 무통 횟수</t>
    <phoneticPr fontId="1" type="noConversion"/>
  </si>
  <si>
    <t>조합 경우의 수</t>
    <phoneticPr fontId="1" type="noConversion"/>
  </si>
  <si>
    <t>가가승</t>
    <phoneticPr fontId="1" type="noConversion"/>
  </si>
  <si>
    <t>가스스</t>
    <phoneticPr fontId="1" type="noConversion"/>
  </si>
  <si>
    <t>스스승</t>
    <phoneticPr fontId="1" type="noConversion"/>
  </si>
  <si>
    <t>조합정리</t>
    <phoneticPr fontId="1" type="noConversion"/>
  </si>
  <si>
    <t>최종정리</t>
    <phoneticPr fontId="1" type="noConversion"/>
  </si>
  <si>
    <t>6g 무통 횟수</t>
    <phoneticPr fontId="1" type="noConversion"/>
  </si>
  <si>
    <t>0g-&gt;1g 무통 평균 확률</t>
    <phoneticPr fontId="1" type="noConversion"/>
  </si>
  <si>
    <t>2g-&gt;3g 무통 평균 확률</t>
    <phoneticPr fontId="1" type="noConversion"/>
  </si>
  <si>
    <t>5g-&gt;6g 무통 평균 확률</t>
    <phoneticPr fontId="1" type="noConversion"/>
  </si>
  <si>
    <t>1g 무통 횟수</t>
    <phoneticPr fontId="1" type="noConversion"/>
  </si>
  <si>
    <t>최종합계</t>
    <phoneticPr fontId="1" type="noConversion"/>
  </si>
  <si>
    <t>수치</t>
    <phoneticPr fontId="1" type="noConversion"/>
  </si>
  <si>
    <t>1g 통 횟수</t>
    <phoneticPr fontId="1" type="noConversion"/>
  </si>
  <si>
    <t>깐식비 무통</t>
    <phoneticPr fontId="1" type="noConversion"/>
  </si>
  <si>
    <t>3g 무통 평균 소비 제물배</t>
    <phoneticPr fontId="1" type="noConversion"/>
  </si>
  <si>
    <t>전체 평균 소비 제물배</t>
    <phoneticPr fontId="1" type="noConversion"/>
  </si>
  <si>
    <t>6g 무통 평균 소비 제물배</t>
    <phoneticPr fontId="1" type="noConversion"/>
  </si>
  <si>
    <t>3g 가속2 확률</t>
    <phoneticPr fontId="1" type="noConversion"/>
  </si>
  <si>
    <t>3g 스킬2 확률</t>
    <phoneticPr fontId="1" type="noConversion"/>
  </si>
  <si>
    <t>깐식비일상개66</t>
    <phoneticPr fontId="1" type="noConversion"/>
  </si>
  <si>
    <t>일상개67</t>
  </si>
  <si>
    <t>승통통구매</t>
    <phoneticPr fontId="1" type="noConversion"/>
  </si>
  <si>
    <t>평타</t>
    <phoneticPr fontId="1" type="noConversion"/>
  </si>
  <si>
    <t>깐식비 평타</t>
    <phoneticPr fontId="1" type="noConversion"/>
  </si>
  <si>
    <t>3g-&gt;4g 글작 확률</t>
    <phoneticPr fontId="1" type="noConversion"/>
  </si>
  <si>
    <t>4g-&gt;5g 글작 확률</t>
    <phoneticPr fontId="1" type="noConversion"/>
  </si>
  <si>
    <t>산타돛</t>
    <phoneticPr fontId="1" type="noConversion"/>
  </si>
  <si>
    <t>전체 무통 확률</t>
    <phoneticPr fontId="1" type="noConversion"/>
  </si>
  <si>
    <t>특강목</t>
    <phoneticPr fontId="1" type="noConversion"/>
  </si>
  <si>
    <t>x</t>
    <phoneticPr fontId="1" type="noConversion"/>
  </si>
  <si>
    <t>o</t>
    <phoneticPr fontId="1" type="noConversion"/>
  </si>
  <si>
    <t>확률</t>
    <phoneticPr fontId="1" type="noConversion"/>
  </si>
  <si>
    <t>상태</t>
    <phoneticPr fontId="1" type="noConversion"/>
  </si>
  <si>
    <t>함선 개장 비법서</t>
    <phoneticPr fontId="1" type="noConversion"/>
  </si>
  <si>
    <t>개장 특별대우 지시서</t>
    <phoneticPr fontId="1" type="noConversion"/>
  </si>
  <si>
    <t>6g-&gt;7g 글작 확률</t>
    <phoneticPr fontId="1" type="noConversion"/>
  </si>
  <si>
    <t>7g-&gt;8g 글작 확률</t>
    <phoneticPr fontId="1" type="noConversion"/>
  </si>
  <si>
    <t>캐시제물</t>
    <phoneticPr fontId="1" type="noConversion"/>
  </si>
  <si>
    <t>100% (보물선2,50%)</t>
    <phoneticPr fontId="1" type="noConversion"/>
  </si>
  <si>
    <t>95% (보물선2,30%)</t>
    <phoneticPr fontId="1" type="noConversion"/>
  </si>
  <si>
    <t>85% (보물선1)</t>
    <phoneticPr fontId="1" type="noConversion"/>
  </si>
  <si>
    <t>6g-&gt;7g</t>
    <phoneticPr fontId="1" type="noConversion"/>
  </si>
  <si>
    <t>7g-&gt;8g</t>
    <phoneticPr fontId="1" type="noConversion"/>
  </si>
  <si>
    <t>56% (보물선1)</t>
    <phoneticPr fontId="1" type="noConversion"/>
  </si>
  <si>
    <t>65% (대전설5)</t>
    <phoneticPr fontId="1" type="noConversion"/>
  </si>
  <si>
    <t>6g-&gt;8g 보물선</t>
    <phoneticPr fontId="1" type="noConversion"/>
  </si>
  <si>
    <t>6g-&gt;8g 50퍼</t>
    <phoneticPr fontId="1" type="noConversion"/>
  </si>
  <si>
    <t>6g-&gt;8g 글드</t>
    <phoneticPr fontId="1" type="noConversion"/>
  </si>
  <si>
    <t>6g캐시제물배</t>
    <phoneticPr fontId="1" type="noConversion"/>
  </si>
  <si>
    <t>7g캐시제물배</t>
    <phoneticPr fontId="1" type="noConversion"/>
  </si>
  <si>
    <t>총 합계금액</t>
    <phoneticPr fontId="1" type="noConversion"/>
  </si>
  <si>
    <t>환산금액</t>
    <phoneticPr fontId="1" type="noConversion"/>
  </si>
  <si>
    <t>평균금액</t>
    <phoneticPr fontId="1" type="noConversion"/>
  </si>
  <si>
    <t>대스톰</t>
    <phoneticPr fontId="1" type="noConversion"/>
  </si>
  <si>
    <t>특확창</t>
    <phoneticPr fontId="1" type="noConversion"/>
  </si>
  <si>
    <t>특확병</t>
    <phoneticPr fontId="1" type="noConversion"/>
  </si>
  <si>
    <t>특선미</t>
    <phoneticPr fontId="1" type="noConversion"/>
  </si>
  <si>
    <t>델핀스톰</t>
    <phoneticPr fontId="1" type="noConversion"/>
  </si>
  <si>
    <t>깐식비 글작(2대)</t>
    <phoneticPr fontId="1" type="noConversion"/>
  </si>
  <si>
    <t>이동,창고맥 강화(60대)</t>
    <phoneticPr fontId="1" type="noConversion"/>
  </si>
  <si>
    <t>풀강 강화(7대)</t>
    <phoneticPr fontId="1" type="noConversion"/>
  </si>
  <si>
    <t>6g-&gt;8g 글작</t>
    <phoneticPr fontId="1" type="noConversion"/>
  </si>
  <si>
    <t>글작(5대)</t>
    <phoneticPr fontId="1" type="noConversion"/>
  </si>
  <si>
    <t>총합계</t>
    <phoneticPr fontId="1" type="noConversion"/>
  </si>
  <si>
    <t>글작(64대)</t>
    <phoneticPr fontId="1" type="noConversion"/>
  </si>
  <si>
    <t>이동,창고맥(60대)</t>
    <phoneticPr fontId="1" type="noConversion"/>
  </si>
  <si>
    <t>무통6g기준(5대)</t>
    <phoneticPr fontId="1" type="noConversion"/>
  </si>
  <si>
    <t>깐식비6g기준(2대)</t>
    <phoneticPr fontId="1" type="noConversion"/>
  </si>
  <si>
    <t>무통8g기준(5대)</t>
    <phoneticPr fontId="1" type="noConversion"/>
  </si>
  <si>
    <t>깐식비8g기준(2대)</t>
    <phoneticPr fontId="1" type="noConversion"/>
  </si>
  <si>
    <t>일상개 제외</t>
    <phoneticPr fontId="1" type="noConversion"/>
  </si>
  <si>
    <t>환산 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</si>
</sst>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176" formatCode="0.0_ "/>
    <numFmt numFmtId="177" formatCode="0_);[Red]\(0\)"/>
    <numFmt numFmtId="178" formatCode="mm&quot;월&quot;\ dd&quot;일&quot;"/>
    <numFmt numFmtId="179" formatCode="0.000%"/>
    <numFmt numFmtId="180" formatCode="0.00000000%"/>
  </numFmts>
  <fonts count="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right" vertical="center"/>
    </xf>
    <xf numFmtId="177" fontId="0" fillId="0" borderId="5" xfId="0" applyNumberFormat="1" applyBorder="1" applyAlignment="1">
      <alignment horizontal="right" vertical="center"/>
    </xf>
    <xf numFmtId="177" fontId="0" fillId="0" borderId="7" xfId="0" applyNumberForma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5" xfId="0" applyBorder="1">
      <alignment vertical="center"/>
    </xf>
    <xf numFmtId="177" fontId="0" fillId="0" borderId="5" xfId="0" applyNumberFormat="1" applyBorder="1">
      <alignment vertical="center"/>
    </xf>
    <xf numFmtId="177" fontId="0" fillId="0" borderId="7" xfId="0" applyNumberFormat="1" applyBorder="1">
      <alignment vertical="center"/>
    </xf>
    <xf numFmtId="178" fontId="0" fillId="0" borderId="6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9" fontId="0" fillId="0" borderId="6" xfId="0" applyNumberFormat="1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0" fillId="0" borderId="7" xfId="0" applyBorder="1">
      <alignment vertical="center"/>
    </xf>
    <xf numFmtId="0" fontId="0" fillId="0" borderId="3" xfId="0" applyBorder="1">
      <alignment vertical="center"/>
    </xf>
    <xf numFmtId="9" fontId="0" fillId="0" borderId="8" xfId="0" applyNumberFormat="1" applyBorder="1" applyAlignment="1">
      <alignment horizontal="right" vertical="center"/>
    </xf>
    <xf numFmtId="0" fontId="0" fillId="2" borderId="5" xfId="0" applyFill="1" applyBorder="1" applyAlignment="1">
      <alignment horizontal="right" vertical="center"/>
    </xf>
    <xf numFmtId="0" fontId="0" fillId="3" borderId="5" xfId="0" applyFill="1" applyBorder="1" applyAlignment="1">
      <alignment horizontal="right" vertical="center"/>
    </xf>
    <xf numFmtId="0" fontId="0" fillId="4" borderId="5" xfId="0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" xfId="0" applyBorder="1">
      <alignment vertical="center"/>
    </xf>
    <xf numFmtId="10" fontId="0" fillId="0" borderId="0" xfId="0" applyNumberFormat="1">
      <alignment vertical="center"/>
    </xf>
    <xf numFmtId="179" fontId="0" fillId="0" borderId="0" xfId="0" applyNumberFormat="1">
      <alignment vertical="center"/>
    </xf>
    <xf numFmtId="180" fontId="0" fillId="0" borderId="0" xfId="0" applyNumberFormat="1" applyAlignment="1">
      <alignment horizontal="right" vertical="center"/>
    </xf>
    <xf numFmtId="180" fontId="0" fillId="0" borderId="0" xfId="0" applyNumberFormat="1">
      <alignment vertical="center"/>
    </xf>
    <xf numFmtId="179" fontId="0" fillId="0" borderId="5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6" fontId="0" fillId="0" borderId="7" xfId="0" applyNumberForma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77" fontId="0" fillId="0" borderId="0" xfId="0" applyNumberFormat="1">
      <alignment vertical="center"/>
    </xf>
    <xf numFmtId="177" fontId="0" fillId="0" borderId="0" xfId="0" applyNumberFormat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77" fontId="0" fillId="0" borderId="10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6" borderId="7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5" borderId="8" xfId="0" applyFill="1" applyBorder="1" applyAlignment="1">
      <alignment horizontal="right" vertical="center"/>
    </xf>
    <xf numFmtId="0" fontId="0" fillId="2" borderId="9" xfId="0" applyFill="1" applyBorder="1" applyAlignment="1">
      <alignment horizontal="right" vertical="center"/>
    </xf>
    <xf numFmtId="10" fontId="0" fillId="0" borderId="25" xfId="0" applyNumberFormat="1" applyBorder="1" applyAlignment="1">
      <alignment horizontal="center" vertical="center"/>
    </xf>
    <xf numFmtId="10" fontId="0" fillId="0" borderId="27" xfId="0" applyNumberFormat="1" applyBorder="1" applyAlignment="1">
      <alignment horizontal="center" vertical="center"/>
    </xf>
    <xf numFmtId="0" fontId="0" fillId="0" borderId="29" xfId="0" applyBorder="1" applyAlignment="1">
      <alignment horizontal="right" vertical="center"/>
    </xf>
    <xf numFmtId="10" fontId="0" fillId="0" borderId="6" xfId="0" applyNumberFormat="1" applyBorder="1" applyAlignment="1">
      <alignment horizontal="right" vertical="center"/>
    </xf>
    <xf numFmtId="178" fontId="0" fillId="0" borderId="5" xfId="0" applyNumberFormat="1" applyBorder="1" applyAlignment="1">
      <alignment horizontal="center" vertical="center"/>
    </xf>
    <xf numFmtId="9" fontId="0" fillId="0" borderId="5" xfId="0" applyNumberFormat="1" applyBorder="1" applyAlignment="1">
      <alignment horizontal="center" vertical="center"/>
    </xf>
    <xf numFmtId="9" fontId="0" fillId="0" borderId="6" xfId="0" applyNumberFormat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9" xfId="0" applyNumberFormat="1" applyBorder="1" applyAlignment="1">
      <alignment horizontal="center" vertical="center"/>
    </xf>
    <xf numFmtId="0" fontId="0" fillId="4" borderId="8" xfId="0" applyFill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7" fontId="0" fillId="4" borderId="5" xfId="0" applyNumberFormat="1" applyFill="1" applyBorder="1">
      <alignment vertical="center"/>
    </xf>
    <xf numFmtId="177" fontId="0" fillId="4" borderId="5" xfId="0" applyNumberFormat="1" applyFill="1" applyBorder="1" applyAlignment="1">
      <alignment horizontal="center" vertical="center"/>
    </xf>
    <xf numFmtId="177" fontId="0" fillId="4" borderId="5" xfId="0" applyNumberFormat="1" applyFill="1" applyBorder="1" applyAlignment="1">
      <alignment horizontal="right" vertical="center"/>
    </xf>
    <xf numFmtId="42" fontId="0" fillId="0" borderId="5" xfId="0" applyNumberFormat="1" applyBorder="1">
      <alignment vertical="center"/>
    </xf>
    <xf numFmtId="42" fontId="0" fillId="0" borderId="7" xfId="0" applyNumberFormat="1" applyBorder="1">
      <alignment vertical="center"/>
    </xf>
    <xf numFmtId="42" fontId="0" fillId="0" borderId="9" xfId="0" applyNumberFormat="1" applyBorder="1">
      <alignment vertical="center"/>
    </xf>
    <xf numFmtId="42" fontId="0" fillId="0" borderId="10" xfId="0" applyNumberFormat="1" applyBorder="1">
      <alignment vertical="center"/>
    </xf>
    <xf numFmtId="0" fontId="0" fillId="4" borderId="6" xfId="0" applyFill="1" applyBorder="1" applyAlignment="1">
      <alignment horizontal="right" vertical="center"/>
    </xf>
    <xf numFmtId="0" fontId="0" fillId="4" borderId="9" xfId="0" applyFill="1" applyBorder="1">
      <alignment vertical="center"/>
    </xf>
    <xf numFmtId="42" fontId="0" fillId="4" borderId="9" xfId="0" applyNumberFormat="1" applyFill="1" applyBorder="1">
      <alignment vertical="center"/>
    </xf>
    <xf numFmtId="42" fontId="0" fillId="4" borderId="10" xfId="0" applyNumberFormat="1" applyFill="1" applyBorder="1">
      <alignment vertical="center"/>
    </xf>
    <xf numFmtId="177" fontId="0" fillId="4" borderId="7" xfId="0" applyNumberFormat="1" applyFill="1" applyBorder="1" applyAlignment="1">
      <alignment horizontal="right" vertical="center"/>
    </xf>
    <xf numFmtId="0" fontId="0" fillId="4" borderId="5" xfId="0" applyFill="1" applyBorder="1">
      <alignment vertical="center"/>
    </xf>
    <xf numFmtId="42" fontId="0" fillId="4" borderId="5" xfId="0" applyNumberFormat="1" applyFill="1" applyBorder="1" applyAlignment="1">
      <alignment horizontal="right" vertical="center"/>
    </xf>
    <xf numFmtId="42" fontId="0" fillId="4" borderId="7" xfId="0" applyNumberFormat="1" applyFill="1" applyBorder="1" applyAlignment="1">
      <alignment horizontal="right" vertical="center"/>
    </xf>
    <xf numFmtId="42" fontId="0" fillId="4" borderId="9" xfId="0" applyNumberFormat="1" applyFill="1" applyBorder="1" applyAlignment="1">
      <alignment horizontal="right" vertical="center"/>
    </xf>
    <xf numFmtId="42" fontId="0" fillId="4" borderId="10" xfId="0" applyNumberFormat="1" applyFill="1" applyBorder="1" applyAlignment="1">
      <alignment horizontal="right" vertical="center"/>
    </xf>
    <xf numFmtId="0" fontId="0" fillId="4" borderId="8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177" fontId="0" fillId="4" borderId="5" xfId="0" applyNumberFormat="1" applyFill="1" applyBorder="1" applyAlignment="1">
      <alignment horizontal="right" vertical="center"/>
    </xf>
    <xf numFmtId="177" fontId="0" fillId="4" borderId="7" xfId="0" applyNumberFormat="1" applyFill="1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4" borderId="9" xfId="0" applyFill="1" applyBorder="1" applyAlignment="1">
      <alignment horizontal="right" vertical="center"/>
    </xf>
    <xf numFmtId="0" fontId="0" fillId="4" borderId="6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10" fontId="0" fillId="0" borderId="25" xfId="0" applyNumberFormat="1" applyBorder="1" applyAlignment="1">
      <alignment horizontal="center" vertical="center"/>
    </xf>
    <xf numFmtId="10" fontId="0" fillId="0" borderId="27" xfId="0" applyNumberFormat="1" applyBorder="1" applyAlignment="1">
      <alignment horizontal="center" vertical="center"/>
    </xf>
    <xf numFmtId="10" fontId="0" fillId="0" borderId="4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7" fontId="0" fillId="0" borderId="5" xfId="0" applyNumberFormat="1" applyBorder="1" applyAlignment="1">
      <alignment horizontal="right" vertical="center"/>
    </xf>
    <xf numFmtId="177" fontId="0" fillId="0" borderId="7" xfId="0" applyNumberFormat="1" applyBorder="1" applyAlignment="1">
      <alignment horizontal="right" vertical="center"/>
    </xf>
    <xf numFmtId="0" fontId="0" fillId="0" borderId="29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22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10" fontId="0" fillId="0" borderId="5" xfId="0" applyNumberFormat="1" applyBorder="1" applyAlignment="1">
      <alignment horizontal="center" vertical="center"/>
    </xf>
    <xf numFmtId="10" fontId="0" fillId="0" borderId="7" xfId="0" applyNumberFormat="1" applyBorder="1" applyAlignment="1">
      <alignment horizontal="center" vertical="center"/>
    </xf>
    <xf numFmtId="10" fontId="0" fillId="0" borderId="9" xfId="0" applyNumberFormat="1" applyBorder="1" applyAlignment="1">
      <alignment horizontal="center" vertical="center"/>
    </xf>
    <xf numFmtId="10" fontId="0" fillId="0" borderId="10" xfId="0" applyNumberFormat="1" applyBorder="1" applyAlignment="1">
      <alignment horizontal="center" vertical="center"/>
    </xf>
    <xf numFmtId="0" fontId="0" fillId="0" borderId="6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0" fillId="0" borderId="41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5" borderId="37" xfId="0" applyFill="1" applyBorder="1" applyAlignment="1">
      <alignment horizontal="center" vertical="center"/>
    </xf>
    <xf numFmtId="0" fontId="0" fillId="5" borderId="38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037CD-53F4-45DC-8214-C482C45FBA5E}">
  <dimension ref="B2:AN123"/>
  <sheetViews>
    <sheetView tabSelected="1" topLeftCell="A30" zoomScale="70" zoomScaleNormal="70" workbookViewId="0">
      <selection activeCell="AA63" sqref="AA63"/>
    </sheetView>
  </sheetViews>
  <sheetFormatPr defaultRowHeight="17" x14ac:dyDescent="0.45"/>
  <cols>
    <col min="2" max="2" width="14.5" bestFit="1" customWidth="1"/>
    <col min="3" max="3" width="4.83203125" bestFit="1" customWidth="1"/>
    <col min="4" max="4" width="5.1640625" bestFit="1" customWidth="1"/>
    <col min="5" max="6" width="5.83203125" bestFit="1" customWidth="1"/>
    <col min="7" max="7" width="5.83203125" customWidth="1"/>
    <col min="8" max="8" width="8.5" style="1" bestFit="1" customWidth="1"/>
    <col min="9" max="9" width="6.33203125" hidden="1" customWidth="1"/>
    <col min="10" max="10" width="10.58203125" hidden="1" customWidth="1"/>
    <col min="11" max="11" width="3.08203125" customWidth="1"/>
    <col min="12" max="12" width="23.33203125" bestFit="1" customWidth="1"/>
    <col min="13" max="13" width="7.33203125" bestFit="1" customWidth="1"/>
    <col min="14" max="14" width="0.83203125" customWidth="1"/>
    <col min="15" max="15" width="21.08203125" bestFit="1" customWidth="1"/>
    <col min="16" max="16" width="0.83203125" customWidth="1"/>
    <col min="17" max="17" width="6.9140625" customWidth="1"/>
    <col min="18" max="18" width="0.83203125" customWidth="1"/>
    <col min="19" max="19" width="8.6640625" bestFit="1" customWidth="1"/>
    <col min="20" max="21" width="0.83203125" customWidth="1"/>
    <col min="22" max="22" width="10.1640625" customWidth="1"/>
    <col min="23" max="23" width="16.25" bestFit="1" customWidth="1"/>
    <col min="24" max="25" width="15.08203125" bestFit="1" customWidth="1"/>
    <col min="26" max="27" width="17" bestFit="1" customWidth="1"/>
    <col min="28" max="28" width="14.08203125" bestFit="1" customWidth="1"/>
    <col min="29" max="29" width="2.1640625" bestFit="1" customWidth="1"/>
    <col min="30" max="30" width="16.4140625" style="2" bestFit="1" customWidth="1"/>
    <col min="38" max="39" width="12.25" bestFit="1" customWidth="1"/>
  </cols>
  <sheetData>
    <row r="2" spans="2:31" ht="17.5" thickBot="1" x14ac:dyDescent="0.5"/>
    <row r="3" spans="2:31" x14ac:dyDescent="0.45">
      <c r="B3" s="49"/>
      <c r="C3" s="94" t="s">
        <v>0</v>
      </c>
      <c r="D3" s="94"/>
      <c r="E3" s="118"/>
      <c r="F3" s="96"/>
      <c r="G3" s="96"/>
      <c r="H3" s="97"/>
      <c r="L3" s="93" t="s">
        <v>100</v>
      </c>
      <c r="M3" s="94"/>
      <c r="N3" s="94" t="s">
        <v>101</v>
      </c>
      <c r="O3" s="106"/>
      <c r="P3" s="1"/>
      <c r="Q3" s="29" t="s">
        <v>148</v>
      </c>
      <c r="S3" s="93" t="s">
        <v>157</v>
      </c>
      <c r="T3" s="94"/>
      <c r="U3" s="94"/>
      <c r="V3" s="94"/>
      <c r="W3" s="94"/>
      <c r="X3" s="6" t="s">
        <v>161</v>
      </c>
      <c r="Y3" s="30" t="s">
        <v>146</v>
      </c>
      <c r="Z3" s="94" t="s">
        <v>162</v>
      </c>
      <c r="AA3" s="94"/>
      <c r="AB3" s="23" t="s">
        <v>146</v>
      </c>
    </row>
    <row r="4" spans="2:31" x14ac:dyDescent="0.45">
      <c r="B4" s="8" t="s">
        <v>1</v>
      </c>
      <c r="C4" s="11" t="s">
        <v>2</v>
      </c>
      <c r="D4" s="11" t="s">
        <v>3</v>
      </c>
      <c r="E4" s="11" t="s">
        <v>4</v>
      </c>
      <c r="F4" s="11" t="s">
        <v>5</v>
      </c>
      <c r="G4" s="11" t="s">
        <v>6</v>
      </c>
      <c r="H4" s="39" t="s">
        <v>7</v>
      </c>
      <c r="I4" s="2"/>
      <c r="J4" s="2"/>
      <c r="K4" s="2"/>
      <c r="L4" s="8" t="s">
        <v>202</v>
      </c>
      <c r="M4" s="7" t="s">
        <v>104</v>
      </c>
      <c r="N4" s="92"/>
      <c r="O4" s="107"/>
      <c r="P4" s="2"/>
      <c r="Q4" s="46" t="s">
        <v>25</v>
      </c>
      <c r="S4" s="8" t="s">
        <v>153</v>
      </c>
      <c r="T4" s="131" t="s">
        <v>154</v>
      </c>
      <c r="U4" s="131"/>
      <c r="V4" s="131"/>
      <c r="W4" s="11" t="s">
        <v>155</v>
      </c>
      <c r="X4" s="11" t="s">
        <v>56</v>
      </c>
      <c r="Y4" s="35">
        <f t="shared" ref="Y4:Y9" si="0">(1/12)*(1/12)*(1/12)</f>
        <v>5.7870370370370367E-4</v>
      </c>
      <c r="Z4" s="7" t="s">
        <v>56</v>
      </c>
      <c r="AA4" s="7">
        <f>COUNTIF($X$4:X22,Z4)</f>
        <v>1</v>
      </c>
      <c r="AB4" s="36">
        <f t="shared" ref="AB4:AB9" si="1">SUMIF($X$4:$X$22, Z4, $Y$4:$Y$22)</f>
        <v>5.7870370370370367E-4</v>
      </c>
    </row>
    <row r="5" spans="2:31" x14ac:dyDescent="0.45">
      <c r="B5" s="8" t="s">
        <v>8</v>
      </c>
      <c r="C5" s="11">
        <v>9</v>
      </c>
      <c r="D5" s="11">
        <v>9</v>
      </c>
      <c r="E5" s="25" t="s">
        <v>9</v>
      </c>
      <c r="F5" s="11" t="s">
        <v>10</v>
      </c>
      <c r="G5" s="26" t="s">
        <v>11</v>
      </c>
      <c r="H5" s="39" t="s">
        <v>12</v>
      </c>
      <c r="I5" s="2">
        <f>IF(AND(E5="가속", F5="가속"), 1, 0)</f>
        <v>0</v>
      </c>
      <c r="J5" s="2">
        <f>IF(AND(E5="스킬", F5="스킬"), 1, 0)</f>
        <v>0</v>
      </c>
      <c r="L5" s="20">
        <v>0.37</v>
      </c>
      <c r="M5" s="7" t="s">
        <v>106</v>
      </c>
      <c r="N5" s="92"/>
      <c r="O5" s="107"/>
      <c r="P5" s="2"/>
      <c r="Q5" s="46" t="s">
        <v>30</v>
      </c>
      <c r="S5" s="8"/>
      <c r="T5" s="131"/>
      <c r="U5" s="131"/>
      <c r="V5" s="131"/>
      <c r="W5" s="11" t="s">
        <v>4</v>
      </c>
      <c r="X5" s="11" t="s">
        <v>85</v>
      </c>
      <c r="Y5" s="35">
        <f t="shared" si="0"/>
        <v>5.7870370370370367E-4</v>
      </c>
      <c r="Z5" s="7" t="s">
        <v>160</v>
      </c>
      <c r="AA5" s="7">
        <f>COUNTIF($X$4:X23,Z5)</f>
        <v>2</v>
      </c>
      <c r="AB5" s="36">
        <f t="shared" si="1"/>
        <v>1.2626262626262625E-3</v>
      </c>
    </row>
    <row r="6" spans="2:31" x14ac:dyDescent="0.45">
      <c r="B6" s="8" t="s">
        <v>13</v>
      </c>
      <c r="C6" s="11">
        <f t="shared" ref="C6:C60" si="2">D6-D5</f>
        <v>35</v>
      </c>
      <c r="D6" s="11">
        <v>44</v>
      </c>
      <c r="E6" s="25" t="s">
        <v>9</v>
      </c>
      <c r="F6" s="26" t="s">
        <v>11</v>
      </c>
      <c r="G6" s="11" t="s">
        <v>14</v>
      </c>
      <c r="H6" s="39" t="s">
        <v>12</v>
      </c>
      <c r="I6" s="2">
        <f t="shared" ref="I6:I69" si="3">IF(AND(E6="가속", F6="가속"), 1, 0)</f>
        <v>0</v>
      </c>
      <c r="J6" s="2">
        <f t="shared" ref="J6:J69" si="4">IF(AND(E6="스킬", F6="스킬"), 1, 0)</f>
        <v>0</v>
      </c>
      <c r="L6" s="8" t="s">
        <v>201</v>
      </c>
      <c r="M6" s="7" t="s">
        <v>109</v>
      </c>
      <c r="N6" s="92"/>
      <c r="O6" s="107"/>
      <c r="P6" s="2"/>
      <c r="Q6" s="46" t="s">
        <v>19</v>
      </c>
      <c r="S6" s="8"/>
      <c r="T6" s="131"/>
      <c r="U6" s="131"/>
      <c r="V6" s="131"/>
      <c r="W6" s="11" t="s">
        <v>9</v>
      </c>
      <c r="X6" s="11" t="s">
        <v>158</v>
      </c>
      <c r="Y6" s="35">
        <f t="shared" si="0"/>
        <v>5.7870370370370367E-4</v>
      </c>
      <c r="Z6" s="7" t="s">
        <v>85</v>
      </c>
      <c r="AA6" s="7">
        <f>COUNTIF($X$4:X24,Z6)</f>
        <v>3</v>
      </c>
      <c r="AB6" s="36">
        <f t="shared" si="1"/>
        <v>1.736111111111111E-3</v>
      </c>
      <c r="AE6" s="2"/>
    </row>
    <row r="7" spans="2:31" x14ac:dyDescent="0.45">
      <c r="B7" s="8" t="s">
        <v>15</v>
      </c>
      <c r="C7" s="11">
        <f t="shared" si="2"/>
        <v>12</v>
      </c>
      <c r="D7" s="11">
        <v>56</v>
      </c>
      <c r="E7" s="25" t="s">
        <v>9</v>
      </c>
      <c r="F7" s="11" t="s">
        <v>10</v>
      </c>
      <c r="G7" s="11" t="s">
        <v>16</v>
      </c>
      <c r="H7" s="39" t="s">
        <v>17</v>
      </c>
      <c r="I7" s="2">
        <f t="shared" si="3"/>
        <v>0</v>
      </c>
      <c r="J7" s="2">
        <f t="shared" si="4"/>
        <v>0</v>
      </c>
      <c r="L7" s="8" t="s">
        <v>198</v>
      </c>
      <c r="M7" s="58" t="s">
        <v>112</v>
      </c>
      <c r="N7" s="92" t="s">
        <v>113</v>
      </c>
      <c r="O7" s="107"/>
      <c r="P7" s="2"/>
      <c r="Q7" s="46" t="s">
        <v>87</v>
      </c>
      <c r="S7" s="8"/>
      <c r="T7" s="131" t="s">
        <v>4</v>
      </c>
      <c r="U7" s="131"/>
      <c r="V7" s="131"/>
      <c r="W7" s="11" t="s">
        <v>154</v>
      </c>
      <c r="X7" s="11" t="s">
        <v>85</v>
      </c>
      <c r="Y7" s="35">
        <f t="shared" si="0"/>
        <v>5.7870370370370367E-4</v>
      </c>
      <c r="Z7" s="7" t="s">
        <v>158</v>
      </c>
      <c r="AA7" s="7">
        <f>COUNTIF($X$4:X25,Z7)</f>
        <v>3</v>
      </c>
      <c r="AB7" s="36">
        <f t="shared" si="1"/>
        <v>1.8987220691766146E-3</v>
      </c>
      <c r="AD7" s="64"/>
    </row>
    <row r="8" spans="2:31" x14ac:dyDescent="0.45">
      <c r="B8" s="8" t="s">
        <v>18</v>
      </c>
      <c r="C8" s="11">
        <f t="shared" si="2"/>
        <v>24</v>
      </c>
      <c r="D8" s="11">
        <v>80</v>
      </c>
      <c r="E8" s="25" t="s">
        <v>9</v>
      </c>
      <c r="F8" s="11" t="s">
        <v>19</v>
      </c>
      <c r="G8" s="27" t="s">
        <v>20</v>
      </c>
      <c r="H8" s="39" t="s">
        <v>21</v>
      </c>
      <c r="I8" s="2">
        <f t="shared" si="3"/>
        <v>0</v>
      </c>
      <c r="J8" s="2">
        <f t="shared" si="4"/>
        <v>0</v>
      </c>
      <c r="L8" s="8" t="s">
        <v>197</v>
      </c>
      <c r="M8" s="7" t="s">
        <v>115</v>
      </c>
      <c r="N8" s="92"/>
      <c r="O8" s="107"/>
      <c r="P8" s="2"/>
      <c r="Q8" s="46" t="s">
        <v>16</v>
      </c>
      <c r="S8" s="8"/>
      <c r="T8" s="131"/>
      <c r="U8" s="131"/>
      <c r="V8" s="131"/>
      <c r="W8" s="11" t="s">
        <v>5</v>
      </c>
      <c r="X8" s="11" t="s">
        <v>159</v>
      </c>
      <c r="Y8" s="35">
        <f t="shared" si="0"/>
        <v>5.7870370370370367E-4</v>
      </c>
      <c r="Z8" s="7" t="s">
        <v>159</v>
      </c>
      <c r="AA8" s="7">
        <f>COUNTIF($X$4:X26,Z8)</f>
        <v>4</v>
      </c>
      <c r="AB8" s="36">
        <f t="shared" si="1"/>
        <v>2.477425772880318E-3</v>
      </c>
    </row>
    <row r="9" spans="2:31" x14ac:dyDescent="0.45">
      <c r="B9" s="8" t="s">
        <v>22</v>
      </c>
      <c r="C9" s="11">
        <f t="shared" si="2"/>
        <v>24</v>
      </c>
      <c r="D9" s="11">
        <v>104</v>
      </c>
      <c r="E9" s="25" t="s">
        <v>9</v>
      </c>
      <c r="F9" s="11" t="s">
        <v>23</v>
      </c>
      <c r="G9" s="26" t="s">
        <v>11</v>
      </c>
      <c r="H9" s="39" t="s">
        <v>12</v>
      </c>
      <c r="I9" s="2">
        <f t="shared" si="3"/>
        <v>0</v>
      </c>
      <c r="J9" s="2">
        <f t="shared" si="4"/>
        <v>0</v>
      </c>
      <c r="L9" s="8" t="s">
        <v>196</v>
      </c>
      <c r="M9" s="7" t="s">
        <v>118</v>
      </c>
      <c r="N9" s="92"/>
      <c r="O9" s="107"/>
      <c r="P9" s="2"/>
      <c r="Q9" s="46" t="s">
        <v>23</v>
      </c>
      <c r="S9" s="8"/>
      <c r="T9" s="131"/>
      <c r="U9" s="131"/>
      <c r="V9" s="131"/>
      <c r="W9" s="11" t="s">
        <v>9</v>
      </c>
      <c r="X9" s="11" t="s">
        <v>83</v>
      </c>
      <c r="Y9" s="35">
        <f t="shared" si="0"/>
        <v>5.7870370370370367E-4</v>
      </c>
      <c r="Z9" s="7" t="s">
        <v>83</v>
      </c>
      <c r="AA9" s="7">
        <f>COUNTIF($X$4:X27,Z9)</f>
        <v>6</v>
      </c>
      <c r="AB9" s="36">
        <f t="shared" si="1"/>
        <v>3.7974441383532291E-3</v>
      </c>
      <c r="AD9" s="64"/>
    </row>
    <row r="10" spans="2:31" x14ac:dyDescent="0.45">
      <c r="B10" s="8" t="s">
        <v>24</v>
      </c>
      <c r="C10" s="11">
        <f t="shared" si="2"/>
        <v>4</v>
      </c>
      <c r="D10" s="11">
        <v>108</v>
      </c>
      <c r="E10" s="25" t="s">
        <v>9</v>
      </c>
      <c r="F10" s="11" t="s">
        <v>23</v>
      </c>
      <c r="G10" s="11" t="s">
        <v>25</v>
      </c>
      <c r="H10" s="39" t="s">
        <v>17</v>
      </c>
      <c r="I10" s="2">
        <f t="shared" si="3"/>
        <v>0</v>
      </c>
      <c r="J10" s="2">
        <f t="shared" si="4"/>
        <v>0</v>
      </c>
      <c r="L10" s="57" t="str">
        <f>TEXT(Q63, "0.00%") &amp; " (보물선2,50%)"</f>
        <v>56.11% (보물선2,50%)</v>
      </c>
      <c r="M10" s="7" t="s">
        <v>199</v>
      </c>
      <c r="N10" s="92" t="s">
        <v>195</v>
      </c>
      <c r="O10" s="107"/>
      <c r="P10" s="2"/>
      <c r="Q10" s="46" t="s">
        <v>14</v>
      </c>
      <c r="S10" s="8"/>
      <c r="T10" s="131" t="s">
        <v>9</v>
      </c>
      <c r="U10" s="131"/>
      <c r="V10" s="131"/>
      <c r="W10" s="11" t="s">
        <v>154</v>
      </c>
      <c r="X10" s="11" t="s">
        <v>158</v>
      </c>
      <c r="Y10" s="35">
        <f>(1/12)*(1/12)*(1/11)</f>
        <v>6.3131313131313126E-4</v>
      </c>
      <c r="Z10" s="11"/>
      <c r="AA10" s="11"/>
      <c r="AB10" s="22"/>
    </row>
    <row r="11" spans="2:31" ht="17.5" thickBot="1" x14ac:dyDescent="0.5">
      <c r="B11" s="8" t="s">
        <v>27</v>
      </c>
      <c r="C11" s="11">
        <f t="shared" si="2"/>
        <v>8</v>
      </c>
      <c r="D11" s="11">
        <v>116</v>
      </c>
      <c r="E11" s="25" t="s">
        <v>9</v>
      </c>
      <c r="F11" s="11" t="s">
        <v>28</v>
      </c>
      <c r="G11" s="11" t="s">
        <v>23</v>
      </c>
      <c r="H11" s="39" t="s">
        <v>17</v>
      </c>
      <c r="I11" s="2">
        <f t="shared" si="3"/>
        <v>0</v>
      </c>
      <c r="J11" s="2">
        <f t="shared" si="4"/>
        <v>0</v>
      </c>
      <c r="L11" s="17" t="str">
        <f>TEXT(Q64, "0.00%") &amp; " (보물선2,50%)"</f>
        <v>53.50% (보물선2,50%)</v>
      </c>
      <c r="M11" s="41" t="s">
        <v>200</v>
      </c>
      <c r="N11" s="87" t="s">
        <v>195</v>
      </c>
      <c r="O11" s="138"/>
      <c r="P11" s="2"/>
      <c r="Q11" s="46" t="s">
        <v>10</v>
      </c>
      <c r="S11" s="8"/>
      <c r="T11" s="131"/>
      <c r="U11" s="131"/>
      <c r="V11" s="131"/>
      <c r="W11" s="11" t="s">
        <v>4</v>
      </c>
      <c r="X11" s="11" t="s">
        <v>83</v>
      </c>
      <c r="Y11" s="35">
        <f>(1/12)*(1/12)*(1/11)</f>
        <v>6.3131313131313126E-4</v>
      </c>
      <c r="Z11" s="11"/>
      <c r="AA11" s="11"/>
      <c r="AB11" s="22"/>
      <c r="AD11" s="64"/>
    </row>
    <row r="12" spans="2:31" x14ac:dyDescent="0.45">
      <c r="B12" s="8" t="s">
        <v>29</v>
      </c>
      <c r="C12" s="11">
        <f t="shared" si="2"/>
        <v>11</v>
      </c>
      <c r="D12" s="11">
        <v>127</v>
      </c>
      <c r="E12" s="25" t="s">
        <v>9</v>
      </c>
      <c r="F12" s="26" t="s">
        <v>11</v>
      </c>
      <c r="G12" s="11" t="s">
        <v>30</v>
      </c>
      <c r="H12" s="39" t="s">
        <v>12</v>
      </c>
      <c r="I12" s="2">
        <f t="shared" si="3"/>
        <v>0</v>
      </c>
      <c r="J12" s="2">
        <f t="shared" si="4"/>
        <v>0</v>
      </c>
      <c r="L12" s="135" t="s">
        <v>120</v>
      </c>
      <c r="M12" s="125"/>
      <c r="N12" s="124"/>
      <c r="O12" s="134"/>
      <c r="P12" s="2"/>
      <c r="Q12" s="46" t="s">
        <v>28</v>
      </c>
      <c r="S12" s="8" t="s">
        <v>4</v>
      </c>
      <c r="T12" s="131" t="s">
        <v>153</v>
      </c>
      <c r="U12" s="131"/>
      <c r="V12" s="131"/>
      <c r="W12" s="11" t="s">
        <v>154</v>
      </c>
      <c r="X12" s="11" t="s">
        <v>85</v>
      </c>
      <c r="Y12" s="35">
        <f>(1/12)*(1/12)*(1/12)</f>
        <v>5.7870370370370367E-4</v>
      </c>
      <c r="Z12" s="7"/>
      <c r="AA12" s="7"/>
      <c r="AB12" s="36"/>
    </row>
    <row r="13" spans="2:31" x14ac:dyDescent="0.45">
      <c r="B13" s="8" t="s">
        <v>34</v>
      </c>
      <c r="C13" s="11">
        <f t="shared" si="2"/>
        <v>11</v>
      </c>
      <c r="D13" s="11">
        <v>138</v>
      </c>
      <c r="E13" s="27" t="s">
        <v>20</v>
      </c>
      <c r="F13" s="27" t="s">
        <v>20</v>
      </c>
      <c r="G13" s="11" t="s">
        <v>10</v>
      </c>
      <c r="H13" s="39" t="s">
        <v>35</v>
      </c>
      <c r="I13" s="2">
        <f t="shared" si="3"/>
        <v>1</v>
      </c>
      <c r="J13" s="2">
        <f t="shared" si="4"/>
        <v>0</v>
      </c>
      <c r="L13" s="20">
        <v>0.49</v>
      </c>
      <c r="M13" s="11" t="s">
        <v>104</v>
      </c>
      <c r="N13" s="100"/>
      <c r="O13" s="101"/>
      <c r="P13" s="2"/>
      <c r="Q13" s="46" t="s">
        <v>20</v>
      </c>
      <c r="S13" s="8"/>
      <c r="T13" s="131"/>
      <c r="U13" s="131"/>
      <c r="V13" s="131"/>
      <c r="W13" s="11" t="s">
        <v>5</v>
      </c>
      <c r="X13" s="11" t="s">
        <v>159</v>
      </c>
      <c r="Y13" s="35">
        <f>(1/12)*(1/12)*(1/12)</f>
        <v>5.7870370370370367E-4</v>
      </c>
      <c r="Z13" s="7"/>
      <c r="AA13" s="7"/>
      <c r="AB13" s="36"/>
    </row>
    <row r="14" spans="2:31" ht="17.5" thickBot="1" x14ac:dyDescent="0.5">
      <c r="B14" s="8" t="s">
        <v>40</v>
      </c>
      <c r="C14" s="11">
        <f>D14-D13</f>
        <v>20</v>
      </c>
      <c r="D14" s="11">
        <v>158</v>
      </c>
      <c r="E14" s="25" t="s">
        <v>9</v>
      </c>
      <c r="F14" s="11" t="s">
        <v>14</v>
      </c>
      <c r="G14" s="11" t="s">
        <v>19</v>
      </c>
      <c r="H14" s="39" t="s">
        <v>17</v>
      </c>
      <c r="I14" s="2">
        <f t="shared" si="3"/>
        <v>0</v>
      </c>
      <c r="J14" s="2">
        <f t="shared" si="4"/>
        <v>0</v>
      </c>
      <c r="K14" s="2"/>
      <c r="L14" s="24">
        <v>0.28999999999999998</v>
      </c>
      <c r="M14" s="21" t="s">
        <v>106</v>
      </c>
      <c r="N14" s="136" t="s">
        <v>123</v>
      </c>
      <c r="O14" s="137"/>
      <c r="P14" s="1"/>
      <c r="Q14" s="46" t="s">
        <v>11</v>
      </c>
      <c r="S14" s="8"/>
      <c r="T14" s="131"/>
      <c r="U14" s="131"/>
      <c r="V14" s="131"/>
      <c r="W14" s="11" t="s">
        <v>9</v>
      </c>
      <c r="X14" s="11" t="s">
        <v>83</v>
      </c>
      <c r="Y14" s="35">
        <f>(1/12)*(1/12)*(1/12)</f>
        <v>5.7870370370370367E-4</v>
      </c>
      <c r="Z14" s="7"/>
      <c r="AA14" s="7"/>
      <c r="AB14" s="36"/>
    </row>
    <row r="15" spans="2:31" ht="17.5" thickBot="1" x14ac:dyDescent="0.5">
      <c r="B15" s="8" t="s">
        <v>43</v>
      </c>
      <c r="C15" s="11">
        <f t="shared" si="2"/>
        <v>36</v>
      </c>
      <c r="D15" s="11">
        <v>194</v>
      </c>
      <c r="E15" s="25" t="s">
        <v>9</v>
      </c>
      <c r="F15" s="26" t="s">
        <v>11</v>
      </c>
      <c r="G15" s="11" t="s">
        <v>28</v>
      </c>
      <c r="H15" s="39" t="s">
        <v>12</v>
      </c>
      <c r="I15" s="2">
        <f t="shared" si="3"/>
        <v>0</v>
      </c>
      <c r="J15" s="2">
        <f t="shared" si="4"/>
        <v>0</v>
      </c>
      <c r="K15" s="2"/>
      <c r="O15" s="4"/>
      <c r="P15" s="4"/>
      <c r="Q15" s="47" t="s">
        <v>9</v>
      </c>
      <c r="S15" s="8"/>
      <c r="T15" s="131" t="s">
        <v>5</v>
      </c>
      <c r="U15" s="131"/>
      <c r="V15" s="131"/>
      <c r="W15" s="11" t="s">
        <v>153</v>
      </c>
      <c r="X15" s="11" t="s">
        <v>159</v>
      </c>
      <c r="Y15" s="35">
        <f>(1/12)*(1/12)*(1/11)</f>
        <v>6.3131313131313126E-4</v>
      </c>
      <c r="Z15" s="7"/>
      <c r="AA15" s="7"/>
      <c r="AB15" s="36"/>
    </row>
    <row r="16" spans="2:31" x14ac:dyDescent="0.45">
      <c r="B16" s="8" t="s">
        <v>46</v>
      </c>
      <c r="C16" s="11">
        <f t="shared" si="2"/>
        <v>37</v>
      </c>
      <c r="D16" s="11">
        <v>231</v>
      </c>
      <c r="E16" s="25" t="s">
        <v>9</v>
      </c>
      <c r="F16" s="27" t="s">
        <v>20</v>
      </c>
      <c r="G16" s="11" t="s">
        <v>10</v>
      </c>
      <c r="H16" s="39" t="s">
        <v>21</v>
      </c>
      <c r="I16" s="2">
        <f t="shared" si="3"/>
        <v>0</v>
      </c>
      <c r="J16" s="2">
        <f t="shared" si="4"/>
        <v>0</v>
      </c>
      <c r="K16" s="2"/>
      <c r="S16" s="8"/>
      <c r="T16" s="131"/>
      <c r="U16" s="131"/>
      <c r="V16" s="131"/>
      <c r="W16" s="11" t="s">
        <v>9</v>
      </c>
      <c r="X16" s="11" t="s">
        <v>160</v>
      </c>
      <c r="Y16" s="35">
        <f>(1/12)*(1/12)*(1/11)</f>
        <v>6.3131313131313126E-4</v>
      </c>
      <c r="Z16" s="7"/>
      <c r="AA16" s="7"/>
      <c r="AB16" s="36"/>
    </row>
    <row r="17" spans="2:40" x14ac:dyDescent="0.45">
      <c r="B17" s="8" t="s">
        <v>49</v>
      </c>
      <c r="C17" s="11">
        <f t="shared" si="2"/>
        <v>4</v>
      </c>
      <c r="D17" s="11">
        <v>235</v>
      </c>
      <c r="E17" s="25" t="s">
        <v>9</v>
      </c>
      <c r="F17" s="11" t="s">
        <v>23</v>
      </c>
      <c r="G17" s="11" t="s">
        <v>28</v>
      </c>
      <c r="H17" s="39" t="s">
        <v>17</v>
      </c>
      <c r="I17" s="2">
        <f t="shared" si="3"/>
        <v>0</v>
      </c>
      <c r="J17" s="2">
        <f t="shared" si="4"/>
        <v>0</v>
      </c>
      <c r="K17" s="2"/>
      <c r="S17" s="8"/>
      <c r="T17" s="131" t="s">
        <v>9</v>
      </c>
      <c r="U17" s="131"/>
      <c r="V17" s="131"/>
      <c r="W17" s="11" t="s">
        <v>153</v>
      </c>
      <c r="X17" s="11" t="s">
        <v>83</v>
      </c>
      <c r="Y17" s="35">
        <f>(1/12)*(1/12)*(1/11)</f>
        <v>6.3131313131313126E-4</v>
      </c>
      <c r="Z17" s="11"/>
      <c r="AA17" s="11"/>
      <c r="AB17" s="22"/>
    </row>
    <row r="18" spans="2:40" x14ac:dyDescent="0.45">
      <c r="B18" s="8" t="s">
        <v>52</v>
      </c>
      <c r="C18" s="11">
        <f t="shared" si="2"/>
        <v>2</v>
      </c>
      <c r="D18" s="11">
        <v>237</v>
      </c>
      <c r="E18" s="25" t="s">
        <v>9</v>
      </c>
      <c r="F18" s="27" t="s">
        <v>20</v>
      </c>
      <c r="G18" s="11" t="s">
        <v>28</v>
      </c>
      <c r="H18" s="39" t="s">
        <v>21</v>
      </c>
      <c r="I18" s="2">
        <f t="shared" si="3"/>
        <v>0</v>
      </c>
      <c r="J18" s="2">
        <f t="shared" si="4"/>
        <v>0</v>
      </c>
      <c r="K18" s="2"/>
      <c r="S18" s="8"/>
      <c r="T18" s="131"/>
      <c r="U18" s="131"/>
      <c r="V18" s="131"/>
      <c r="W18" s="11" t="s">
        <v>5</v>
      </c>
      <c r="X18" s="11" t="s">
        <v>160</v>
      </c>
      <c r="Y18" s="35">
        <f>(1/12)*(1/12)*(1/11)</f>
        <v>6.3131313131313126E-4</v>
      </c>
      <c r="Z18" s="11"/>
      <c r="AA18" s="11"/>
      <c r="AB18" s="22"/>
    </row>
    <row r="19" spans="2:40" x14ac:dyDescent="0.45">
      <c r="B19" s="8" t="s">
        <v>55</v>
      </c>
      <c r="C19" s="11">
        <f t="shared" si="2"/>
        <v>10</v>
      </c>
      <c r="D19" s="11">
        <v>247</v>
      </c>
      <c r="E19" s="27" t="s">
        <v>20</v>
      </c>
      <c r="F19" s="27" t="s">
        <v>20</v>
      </c>
      <c r="G19" s="27" t="s">
        <v>20</v>
      </c>
      <c r="H19" s="50" t="s">
        <v>56</v>
      </c>
      <c r="I19" s="2">
        <f t="shared" si="3"/>
        <v>1</v>
      </c>
      <c r="J19" s="2">
        <f t="shared" si="4"/>
        <v>0</v>
      </c>
      <c r="K19" s="2"/>
      <c r="S19" s="8" t="s">
        <v>9</v>
      </c>
      <c r="T19" s="131" t="s">
        <v>153</v>
      </c>
      <c r="U19" s="131"/>
      <c r="V19" s="131"/>
      <c r="W19" s="11" t="s">
        <v>154</v>
      </c>
      <c r="X19" s="11" t="s">
        <v>158</v>
      </c>
      <c r="Y19" s="35">
        <f>(1/12)*(1/11)*(1/11)</f>
        <v>6.8870523415977963E-4</v>
      </c>
      <c r="Z19" s="11"/>
      <c r="AA19" s="11"/>
      <c r="AB19" s="22"/>
    </row>
    <row r="20" spans="2:40" x14ac:dyDescent="0.45">
      <c r="B20" s="8" t="s">
        <v>59</v>
      </c>
      <c r="C20" s="11">
        <f>D20-D19</f>
        <v>32</v>
      </c>
      <c r="D20" s="11">
        <v>279</v>
      </c>
      <c r="E20" s="25" t="s">
        <v>9</v>
      </c>
      <c r="F20" s="11" t="s">
        <v>30</v>
      </c>
      <c r="G20" s="11" t="s">
        <v>25</v>
      </c>
      <c r="H20" s="39" t="s">
        <v>17</v>
      </c>
      <c r="I20" s="2">
        <f t="shared" si="3"/>
        <v>0</v>
      </c>
      <c r="J20" s="2">
        <f t="shared" si="4"/>
        <v>0</v>
      </c>
      <c r="K20" s="2"/>
      <c r="S20" s="8"/>
      <c r="T20" s="131"/>
      <c r="U20" s="131"/>
      <c r="V20" s="131"/>
      <c r="W20" s="11" t="s">
        <v>4</v>
      </c>
      <c r="X20" s="11" t="s">
        <v>83</v>
      </c>
      <c r="Y20" s="35">
        <f>(1/12)*(1/11)*(1/11)</f>
        <v>6.8870523415977963E-4</v>
      </c>
      <c r="Z20" s="11"/>
      <c r="AA20" s="11"/>
      <c r="AB20" s="22"/>
    </row>
    <row r="21" spans="2:40" x14ac:dyDescent="0.45">
      <c r="B21" s="8" t="s">
        <v>61</v>
      </c>
      <c r="C21" s="11">
        <f t="shared" si="2"/>
        <v>23</v>
      </c>
      <c r="D21" s="11">
        <v>302</v>
      </c>
      <c r="E21" s="26" t="s">
        <v>11</v>
      </c>
      <c r="F21" s="26" t="s">
        <v>11</v>
      </c>
      <c r="G21" s="11" t="s">
        <v>30</v>
      </c>
      <c r="H21" s="39" t="s">
        <v>62</v>
      </c>
      <c r="I21" s="2">
        <f t="shared" si="3"/>
        <v>0</v>
      </c>
      <c r="J21" s="2">
        <f t="shared" si="4"/>
        <v>1</v>
      </c>
      <c r="K21" s="2"/>
      <c r="S21" s="8"/>
      <c r="T21" s="131" t="s">
        <v>4</v>
      </c>
      <c r="U21" s="131"/>
      <c r="V21" s="131"/>
      <c r="W21" s="11" t="s">
        <v>153</v>
      </c>
      <c r="X21" s="11" t="s">
        <v>83</v>
      </c>
      <c r="Y21" s="35">
        <f>(1/12)*(1/11)*(1/11)</f>
        <v>6.8870523415977963E-4</v>
      </c>
      <c r="Z21" s="11"/>
      <c r="AA21" s="11"/>
      <c r="AB21" s="22"/>
      <c r="AN21" s="142"/>
    </row>
    <row r="22" spans="2:40" ht="17.5" thickBot="1" x14ac:dyDescent="0.5">
      <c r="B22" s="8" t="s">
        <v>66</v>
      </c>
      <c r="C22" s="11">
        <f t="shared" si="2"/>
        <v>32</v>
      </c>
      <c r="D22" s="11">
        <v>334</v>
      </c>
      <c r="E22" s="27" t="s">
        <v>20</v>
      </c>
      <c r="F22" s="27" t="s">
        <v>20</v>
      </c>
      <c r="G22" s="11" t="s">
        <v>23</v>
      </c>
      <c r="H22" s="39" t="s">
        <v>35</v>
      </c>
      <c r="I22" s="2">
        <f t="shared" si="3"/>
        <v>1</v>
      </c>
      <c r="J22" s="2">
        <f t="shared" si="4"/>
        <v>0</v>
      </c>
      <c r="K22" s="2"/>
      <c r="S22" s="17"/>
      <c r="T22" s="133"/>
      <c r="U22" s="133"/>
      <c r="V22" s="133"/>
      <c r="W22" s="21" t="s">
        <v>5</v>
      </c>
      <c r="X22" s="21" t="s">
        <v>159</v>
      </c>
      <c r="Y22" s="37">
        <f>(1/12)*(1/11)*(1/11)</f>
        <v>6.8870523415977963E-4</v>
      </c>
      <c r="Z22" s="21"/>
      <c r="AA22" s="21"/>
      <c r="AB22" s="19"/>
      <c r="AN22" s="142"/>
    </row>
    <row r="23" spans="2:40" ht="17.5" thickBot="1" x14ac:dyDescent="0.5">
      <c r="B23" s="8" t="s">
        <v>68</v>
      </c>
      <c r="C23" s="11">
        <f>D23-D22</f>
        <v>5</v>
      </c>
      <c r="D23" s="11">
        <v>339</v>
      </c>
      <c r="E23" s="25" t="s">
        <v>9</v>
      </c>
      <c r="F23" s="11" t="s">
        <v>28</v>
      </c>
      <c r="G23" s="11" t="s">
        <v>14</v>
      </c>
      <c r="H23" s="39" t="s">
        <v>17</v>
      </c>
      <c r="I23" s="2">
        <f t="shared" si="3"/>
        <v>0</v>
      </c>
      <c r="J23" s="2">
        <f t="shared" si="4"/>
        <v>0</v>
      </c>
      <c r="K23" s="2"/>
      <c r="O23" s="43"/>
      <c r="P23" s="43"/>
      <c r="Q23" s="43"/>
      <c r="S23" s="2"/>
      <c r="AN23" s="142"/>
    </row>
    <row r="24" spans="2:40" x14ac:dyDescent="0.45">
      <c r="B24" s="8" t="s">
        <v>70</v>
      </c>
      <c r="C24" s="11">
        <f t="shared" si="2"/>
        <v>16</v>
      </c>
      <c r="D24" s="11">
        <v>355</v>
      </c>
      <c r="E24" s="25" t="s">
        <v>9</v>
      </c>
      <c r="F24" s="11" t="s">
        <v>16</v>
      </c>
      <c r="G24" s="27" t="s">
        <v>20</v>
      </c>
      <c r="H24" s="39" t="s">
        <v>21</v>
      </c>
      <c r="I24" s="2">
        <f t="shared" si="3"/>
        <v>0</v>
      </c>
      <c r="J24" s="2">
        <f t="shared" si="4"/>
        <v>0</v>
      </c>
      <c r="K24" s="2"/>
      <c r="L24" s="93" t="s">
        <v>222</v>
      </c>
      <c r="M24" s="94"/>
      <c r="N24" s="94"/>
      <c r="O24" s="94"/>
      <c r="P24" s="94" t="s">
        <v>216</v>
      </c>
      <c r="Q24" s="94"/>
      <c r="R24" s="94"/>
      <c r="S24" s="106"/>
      <c r="U24" s="93" t="s">
        <v>217</v>
      </c>
      <c r="V24" s="94"/>
      <c r="W24" s="94"/>
      <c r="X24" s="94"/>
      <c r="Y24" s="94" t="s">
        <v>218</v>
      </c>
      <c r="Z24" s="106"/>
      <c r="AN24" s="142"/>
    </row>
    <row r="25" spans="2:40" x14ac:dyDescent="0.45">
      <c r="B25" s="8" t="s">
        <v>72</v>
      </c>
      <c r="C25" s="11">
        <f t="shared" si="2"/>
        <v>9</v>
      </c>
      <c r="D25" s="11">
        <v>364</v>
      </c>
      <c r="E25" s="25" t="s">
        <v>9</v>
      </c>
      <c r="F25" s="27" t="s">
        <v>20</v>
      </c>
      <c r="G25" s="11" t="s">
        <v>23</v>
      </c>
      <c r="H25" s="39" t="s">
        <v>21</v>
      </c>
      <c r="I25" s="2">
        <f t="shared" si="3"/>
        <v>0</v>
      </c>
      <c r="J25" s="2">
        <f t="shared" si="4"/>
        <v>0</v>
      </c>
      <c r="K25" s="2"/>
      <c r="L25" s="40" t="s">
        <v>37</v>
      </c>
      <c r="M25" s="7" t="s">
        <v>38</v>
      </c>
      <c r="N25" s="92" t="s">
        <v>39</v>
      </c>
      <c r="O25" s="92"/>
      <c r="P25" s="92" t="s">
        <v>38</v>
      </c>
      <c r="Q25" s="92"/>
      <c r="R25" s="92" t="s">
        <v>39</v>
      </c>
      <c r="S25" s="107"/>
      <c r="U25" s="91" t="s">
        <v>37</v>
      </c>
      <c r="V25" s="92"/>
      <c r="W25" s="7" t="s">
        <v>38</v>
      </c>
      <c r="X25" s="7" t="s">
        <v>39</v>
      </c>
      <c r="Y25" s="7" t="s">
        <v>38</v>
      </c>
      <c r="Z25" s="39" t="s">
        <v>39</v>
      </c>
      <c r="AN25" s="142"/>
    </row>
    <row r="26" spans="2:40" x14ac:dyDescent="0.45">
      <c r="B26" s="8" t="s">
        <v>74</v>
      </c>
      <c r="C26" s="11">
        <f t="shared" si="2"/>
        <v>32</v>
      </c>
      <c r="D26" s="11">
        <v>396</v>
      </c>
      <c r="E26" s="27" t="s">
        <v>20</v>
      </c>
      <c r="F26" s="25" t="s">
        <v>9</v>
      </c>
      <c r="G26" s="11" t="s">
        <v>19</v>
      </c>
      <c r="H26" s="39" t="s">
        <v>21</v>
      </c>
      <c r="I26" s="2">
        <f t="shared" si="3"/>
        <v>0</v>
      </c>
      <c r="J26" s="2">
        <f t="shared" si="4"/>
        <v>0</v>
      </c>
      <c r="K26" s="2"/>
      <c r="L26" s="8" t="s">
        <v>42</v>
      </c>
      <c r="M26" s="9">
        <v>1022</v>
      </c>
      <c r="N26" s="108">
        <f>M26*0.3</f>
        <v>306.59999999999997</v>
      </c>
      <c r="O26" s="108"/>
      <c r="P26" s="108">
        <v>139</v>
      </c>
      <c r="Q26" s="108"/>
      <c r="R26" s="108">
        <f>P26*0.3</f>
        <v>41.699999999999996</v>
      </c>
      <c r="S26" s="109"/>
      <c r="U26" s="91" t="s">
        <v>65</v>
      </c>
      <c r="V26" s="92"/>
      <c r="W26" s="14">
        <v>59</v>
      </c>
      <c r="X26" s="9">
        <f>W26*10</f>
        <v>590</v>
      </c>
      <c r="Y26" s="14">
        <v>7</v>
      </c>
      <c r="Z26" s="10">
        <f>Y26*10</f>
        <v>70</v>
      </c>
      <c r="AN26" s="142"/>
    </row>
    <row r="27" spans="2:40" x14ac:dyDescent="0.45">
      <c r="B27" s="8" t="s">
        <v>76</v>
      </c>
      <c r="C27" s="11">
        <f>D27-D26</f>
        <v>9</v>
      </c>
      <c r="D27" s="11">
        <v>405</v>
      </c>
      <c r="E27" s="25" t="s">
        <v>9</v>
      </c>
      <c r="F27" s="11" t="s">
        <v>10</v>
      </c>
      <c r="G27" s="27" t="s">
        <v>20</v>
      </c>
      <c r="H27" s="39" t="s">
        <v>21</v>
      </c>
      <c r="I27" s="2">
        <f t="shared" si="3"/>
        <v>0</v>
      </c>
      <c r="J27" s="2">
        <f t="shared" si="4"/>
        <v>0</v>
      </c>
      <c r="K27" s="2"/>
      <c r="L27" s="8" t="s">
        <v>45</v>
      </c>
      <c r="M27" s="9">
        <v>57</v>
      </c>
      <c r="N27" s="108">
        <f>M27*0.4</f>
        <v>22.8</v>
      </c>
      <c r="O27" s="108"/>
      <c r="P27" s="108">
        <f>3+3</f>
        <v>6</v>
      </c>
      <c r="Q27" s="108"/>
      <c r="R27" s="108">
        <f>P27*0.4</f>
        <v>2.4000000000000004</v>
      </c>
      <c r="S27" s="109"/>
      <c r="U27" s="91" t="s">
        <v>88</v>
      </c>
      <c r="V27" s="92"/>
      <c r="W27" s="9">
        <v>117</v>
      </c>
      <c r="X27" s="9">
        <f>W27*0.01</f>
        <v>1.17</v>
      </c>
      <c r="Y27" s="14">
        <v>19</v>
      </c>
      <c r="Z27" s="10">
        <f>Y27*0.01</f>
        <v>0.19</v>
      </c>
    </row>
    <row r="28" spans="2:40" x14ac:dyDescent="0.45">
      <c r="B28" s="8" t="s">
        <v>78</v>
      </c>
      <c r="C28" s="11">
        <f t="shared" si="2"/>
        <v>13</v>
      </c>
      <c r="D28" s="11">
        <v>418</v>
      </c>
      <c r="E28" s="25" t="s">
        <v>9</v>
      </c>
      <c r="F28" s="11" t="s">
        <v>25</v>
      </c>
      <c r="G28" s="11" t="s">
        <v>14</v>
      </c>
      <c r="H28" s="39" t="s">
        <v>17</v>
      </c>
      <c r="I28" s="2">
        <f t="shared" si="3"/>
        <v>0</v>
      </c>
      <c r="J28" s="2">
        <f t="shared" si="4"/>
        <v>0</v>
      </c>
      <c r="K28" s="2"/>
      <c r="L28" s="8" t="s">
        <v>48</v>
      </c>
      <c r="M28" s="14">
        <v>3</v>
      </c>
      <c r="N28" s="108">
        <f>M28*0.4</f>
        <v>1.2000000000000002</v>
      </c>
      <c r="O28" s="108"/>
      <c r="P28" s="108"/>
      <c r="Q28" s="108"/>
      <c r="R28" s="108"/>
      <c r="S28" s="109"/>
      <c r="U28" s="91" t="s">
        <v>90</v>
      </c>
      <c r="V28" s="92"/>
      <c r="W28" s="9">
        <v>4997</v>
      </c>
      <c r="X28" s="9">
        <f>W28*0.2</f>
        <v>999.40000000000009</v>
      </c>
      <c r="Y28" s="14">
        <v>1300</v>
      </c>
      <c r="Z28" s="10">
        <f>Y28*0.2</f>
        <v>260</v>
      </c>
    </row>
    <row r="29" spans="2:40" x14ac:dyDescent="0.45">
      <c r="B29" s="8" t="s">
        <v>80</v>
      </c>
      <c r="C29" s="11">
        <f t="shared" si="2"/>
        <v>7</v>
      </c>
      <c r="D29" s="11">
        <v>425</v>
      </c>
      <c r="E29" s="25" t="s">
        <v>9</v>
      </c>
      <c r="F29" s="11" t="s">
        <v>30</v>
      </c>
      <c r="G29" s="27" t="s">
        <v>20</v>
      </c>
      <c r="H29" s="39" t="s">
        <v>21</v>
      </c>
      <c r="I29" s="2">
        <f t="shared" si="3"/>
        <v>0</v>
      </c>
      <c r="J29" s="2">
        <f t="shared" si="4"/>
        <v>0</v>
      </c>
      <c r="K29" s="2"/>
      <c r="L29" s="8" t="s">
        <v>51</v>
      </c>
      <c r="M29" s="14"/>
      <c r="N29" s="108"/>
      <c r="O29" s="108"/>
      <c r="P29" s="108">
        <v>11</v>
      </c>
      <c r="Q29" s="108"/>
      <c r="R29" s="108">
        <f>P29*0.65</f>
        <v>7.15</v>
      </c>
      <c r="S29" s="109"/>
      <c r="U29" s="91" t="s">
        <v>92</v>
      </c>
      <c r="V29" s="92"/>
      <c r="W29" s="14">
        <v>55</v>
      </c>
      <c r="X29" s="9">
        <f>W29*8</f>
        <v>440</v>
      </c>
      <c r="Y29" s="14">
        <v>7</v>
      </c>
      <c r="Z29" s="10">
        <f>Y29*8</f>
        <v>56</v>
      </c>
    </row>
    <row r="30" spans="2:40" x14ac:dyDescent="0.45">
      <c r="B30" s="8" t="s">
        <v>82</v>
      </c>
      <c r="C30" s="11">
        <f t="shared" si="2"/>
        <v>18</v>
      </c>
      <c r="D30" s="11">
        <v>443</v>
      </c>
      <c r="E30" s="25" t="s">
        <v>9</v>
      </c>
      <c r="F30" s="11" t="s">
        <v>23</v>
      </c>
      <c r="G30" s="11" t="s">
        <v>30</v>
      </c>
      <c r="H30" s="39" t="s">
        <v>17</v>
      </c>
      <c r="I30" s="2">
        <f t="shared" si="3"/>
        <v>0</v>
      </c>
      <c r="J30" s="2">
        <f t="shared" si="4"/>
        <v>0</v>
      </c>
      <c r="K30" s="2"/>
      <c r="L30" s="8" t="s">
        <v>54</v>
      </c>
      <c r="M30" s="9">
        <v>1085</v>
      </c>
      <c r="N30" s="108">
        <f>M30*0.1</f>
        <v>108.5</v>
      </c>
      <c r="O30" s="108"/>
      <c r="P30" s="108">
        <v>153</v>
      </c>
      <c r="Q30" s="108"/>
      <c r="R30" s="108">
        <f>P30*0.1</f>
        <v>15.3</v>
      </c>
      <c r="S30" s="109"/>
      <c r="U30" s="91" t="s">
        <v>184</v>
      </c>
      <c r="V30" s="92"/>
      <c r="W30" s="14">
        <v>60</v>
      </c>
      <c r="X30" s="9">
        <f>W30*0.1</f>
        <v>6</v>
      </c>
      <c r="Y30" s="14">
        <v>5</v>
      </c>
      <c r="Z30" s="10">
        <f>Y30*0.1</f>
        <v>0.5</v>
      </c>
    </row>
    <row r="31" spans="2:40" x14ac:dyDescent="0.45">
      <c r="B31" s="8" t="s">
        <v>84</v>
      </c>
      <c r="C31" s="11">
        <f t="shared" si="2"/>
        <v>14</v>
      </c>
      <c r="D31" s="11">
        <v>457</v>
      </c>
      <c r="E31" s="25" t="s">
        <v>9</v>
      </c>
      <c r="F31" s="26" t="s">
        <v>11</v>
      </c>
      <c r="G31" s="11" t="s">
        <v>19</v>
      </c>
      <c r="H31" s="39" t="s">
        <v>12</v>
      </c>
      <c r="I31" s="2">
        <f t="shared" si="3"/>
        <v>0</v>
      </c>
      <c r="J31" s="2">
        <f t="shared" si="4"/>
        <v>0</v>
      </c>
      <c r="K31" s="2"/>
      <c r="L31" s="8" t="s">
        <v>58</v>
      </c>
      <c r="M31" s="9">
        <v>144</v>
      </c>
      <c r="N31" s="108">
        <f>M31*10</f>
        <v>1440</v>
      </c>
      <c r="O31" s="108"/>
      <c r="P31" s="108">
        <v>21</v>
      </c>
      <c r="Q31" s="108"/>
      <c r="R31" s="108">
        <f>P31*10</f>
        <v>210</v>
      </c>
      <c r="S31" s="109"/>
      <c r="U31" s="91" t="s">
        <v>54</v>
      </c>
      <c r="V31" s="92"/>
      <c r="W31" s="9">
        <v>916</v>
      </c>
      <c r="X31" s="9">
        <f>W31*0.1</f>
        <v>91.600000000000009</v>
      </c>
      <c r="Y31" s="14">
        <v>139</v>
      </c>
      <c r="Z31" s="10">
        <f>Y31*0.1</f>
        <v>13.9</v>
      </c>
    </row>
    <row r="32" spans="2:40" x14ac:dyDescent="0.45">
      <c r="B32" s="8" t="s">
        <v>86</v>
      </c>
      <c r="C32" s="11">
        <f t="shared" si="2"/>
        <v>31</v>
      </c>
      <c r="D32" s="11">
        <v>488</v>
      </c>
      <c r="E32" s="25" t="s">
        <v>9</v>
      </c>
      <c r="F32" s="26" t="s">
        <v>11</v>
      </c>
      <c r="G32" s="11" t="s">
        <v>87</v>
      </c>
      <c r="H32" s="39" t="s">
        <v>12</v>
      </c>
      <c r="I32" s="2">
        <f t="shared" si="3"/>
        <v>0</v>
      </c>
      <c r="J32" s="2">
        <f t="shared" si="4"/>
        <v>0</v>
      </c>
      <c r="K32" s="2"/>
      <c r="L32" s="8" t="s">
        <v>60</v>
      </c>
      <c r="M32" s="9">
        <v>64</v>
      </c>
      <c r="N32" s="108">
        <f>M32*40</f>
        <v>2560</v>
      </c>
      <c r="O32" s="108"/>
      <c r="P32" s="108">
        <v>10</v>
      </c>
      <c r="Q32" s="108"/>
      <c r="R32" s="108">
        <f>P32*40</f>
        <v>400</v>
      </c>
      <c r="S32" s="109"/>
      <c r="U32" s="91" t="s">
        <v>96</v>
      </c>
      <c r="V32" s="92"/>
      <c r="W32" s="14">
        <v>57</v>
      </c>
      <c r="X32" s="9">
        <f>W32*0.3</f>
        <v>17.099999999999998</v>
      </c>
      <c r="Y32" s="14">
        <v>5</v>
      </c>
      <c r="Z32" s="10">
        <f>Y32*0.3</f>
        <v>1.5</v>
      </c>
      <c r="AL32" s="31"/>
    </row>
    <row r="33" spans="2:26" x14ac:dyDescent="0.45">
      <c r="B33" s="8" t="s">
        <v>89</v>
      </c>
      <c r="C33" s="11">
        <f t="shared" si="2"/>
        <v>9</v>
      </c>
      <c r="D33" s="11">
        <v>497</v>
      </c>
      <c r="E33" s="25" t="s">
        <v>9</v>
      </c>
      <c r="F33" s="11" t="s">
        <v>14</v>
      </c>
      <c r="G33" s="11" t="s">
        <v>16</v>
      </c>
      <c r="H33" s="39" t="s">
        <v>17</v>
      </c>
      <c r="I33" s="2">
        <f t="shared" si="3"/>
        <v>0</v>
      </c>
      <c r="J33" s="2">
        <f t="shared" si="4"/>
        <v>0</v>
      </c>
      <c r="K33" s="2"/>
      <c r="L33" s="8" t="s">
        <v>65</v>
      </c>
      <c r="M33" s="9">
        <v>483</v>
      </c>
      <c r="N33" s="108">
        <f>M33*10</f>
        <v>4830</v>
      </c>
      <c r="O33" s="108"/>
      <c r="P33" s="108">
        <v>76</v>
      </c>
      <c r="Q33" s="108"/>
      <c r="R33" s="108">
        <f>P33*10</f>
        <v>760</v>
      </c>
      <c r="S33" s="109"/>
      <c r="U33" s="91" t="s">
        <v>98</v>
      </c>
      <c r="V33" s="92"/>
      <c r="W33" s="14">
        <v>60</v>
      </c>
      <c r="X33" s="9">
        <f>W33*4</f>
        <v>240</v>
      </c>
      <c r="Y33" s="14">
        <v>5</v>
      </c>
      <c r="Z33" s="10">
        <f>Y33*4</f>
        <v>20</v>
      </c>
    </row>
    <row r="34" spans="2:26" x14ac:dyDescent="0.45">
      <c r="B34" s="8" t="s">
        <v>91</v>
      </c>
      <c r="C34" s="11">
        <f t="shared" si="2"/>
        <v>2</v>
      </c>
      <c r="D34" s="11">
        <v>499</v>
      </c>
      <c r="E34" s="25" t="s">
        <v>9</v>
      </c>
      <c r="F34" s="11" t="s">
        <v>19</v>
      </c>
      <c r="G34" s="11" t="s">
        <v>87</v>
      </c>
      <c r="H34" s="39" t="s">
        <v>17</v>
      </c>
      <c r="I34" s="2">
        <f t="shared" si="3"/>
        <v>0</v>
      </c>
      <c r="J34" s="2">
        <f t="shared" si="4"/>
        <v>0</v>
      </c>
      <c r="K34" s="2"/>
      <c r="L34" s="8" t="s">
        <v>67</v>
      </c>
      <c r="M34" s="9">
        <v>66</v>
      </c>
      <c r="N34" s="108">
        <f>M34*10</f>
        <v>660</v>
      </c>
      <c r="O34" s="108"/>
      <c r="P34" s="108">
        <v>10</v>
      </c>
      <c r="Q34" s="108"/>
      <c r="R34" s="108">
        <f>P34*10</f>
        <v>100</v>
      </c>
      <c r="S34" s="109"/>
      <c r="U34" s="91" t="s">
        <v>102</v>
      </c>
      <c r="V34" s="92"/>
      <c r="W34" s="14">
        <v>60</v>
      </c>
      <c r="X34" s="9">
        <f>W34*0.3</f>
        <v>18</v>
      </c>
      <c r="Y34" s="14">
        <v>12</v>
      </c>
      <c r="Z34" s="10">
        <f>Y34*0.3</f>
        <v>3.5999999999999996</v>
      </c>
    </row>
    <row r="35" spans="2:26" x14ac:dyDescent="0.45">
      <c r="B35" s="8" t="s">
        <v>93</v>
      </c>
      <c r="C35" s="11">
        <f t="shared" si="2"/>
        <v>7</v>
      </c>
      <c r="D35" s="11">
        <v>506</v>
      </c>
      <c r="E35" s="27" t="s">
        <v>20</v>
      </c>
      <c r="F35" s="25" t="s">
        <v>9</v>
      </c>
      <c r="G35" s="11" t="s">
        <v>16</v>
      </c>
      <c r="H35" s="39" t="s">
        <v>21</v>
      </c>
      <c r="I35" s="2">
        <f t="shared" si="3"/>
        <v>0</v>
      </c>
      <c r="J35" s="2">
        <f t="shared" si="4"/>
        <v>0</v>
      </c>
      <c r="K35" s="2"/>
      <c r="L35" s="8" t="s">
        <v>69</v>
      </c>
      <c r="M35" s="9">
        <v>64</v>
      </c>
      <c r="N35" s="108">
        <f>M35*50</f>
        <v>3200</v>
      </c>
      <c r="O35" s="108"/>
      <c r="P35" s="108">
        <v>10</v>
      </c>
      <c r="Q35" s="108"/>
      <c r="R35" s="108">
        <f>P35*50</f>
        <v>500</v>
      </c>
      <c r="S35" s="109"/>
      <c r="U35" s="91" t="s">
        <v>51</v>
      </c>
      <c r="V35" s="92"/>
      <c r="W35" s="14">
        <v>60</v>
      </c>
      <c r="X35" s="9">
        <f>W35*0.65</f>
        <v>39</v>
      </c>
      <c r="Y35" s="14">
        <v>12</v>
      </c>
      <c r="Z35" s="10">
        <f>Y35*0.65</f>
        <v>7.8000000000000007</v>
      </c>
    </row>
    <row r="36" spans="2:26" x14ac:dyDescent="0.45">
      <c r="B36" s="8" t="s">
        <v>94</v>
      </c>
      <c r="C36" s="11">
        <f>D36-D35</f>
        <v>8</v>
      </c>
      <c r="D36" s="11">
        <v>514</v>
      </c>
      <c r="E36" s="25" t="s">
        <v>9</v>
      </c>
      <c r="F36" s="11" t="s">
        <v>30</v>
      </c>
      <c r="G36" s="11" t="s">
        <v>19</v>
      </c>
      <c r="H36" s="39" t="s">
        <v>17</v>
      </c>
      <c r="I36" s="2">
        <f t="shared" si="3"/>
        <v>0</v>
      </c>
      <c r="J36" s="2">
        <f t="shared" si="4"/>
        <v>0</v>
      </c>
      <c r="K36" s="2"/>
      <c r="L36" s="20" t="s">
        <v>71</v>
      </c>
      <c r="M36" s="9">
        <v>473</v>
      </c>
      <c r="N36" s="108">
        <f>M36*5</f>
        <v>2365</v>
      </c>
      <c r="O36" s="108"/>
      <c r="P36" s="108">
        <v>73</v>
      </c>
      <c r="Q36" s="108"/>
      <c r="R36" s="108">
        <f>P36*5</f>
        <v>365</v>
      </c>
      <c r="S36" s="109"/>
      <c r="U36" s="91" t="s">
        <v>107</v>
      </c>
      <c r="V36" s="92"/>
      <c r="W36" s="14">
        <v>57</v>
      </c>
      <c r="X36" s="9">
        <f>W36*0.65</f>
        <v>37.050000000000004</v>
      </c>
      <c r="Y36" s="14">
        <v>5</v>
      </c>
      <c r="Z36" s="10">
        <f>Y36*0.65</f>
        <v>3.25</v>
      </c>
    </row>
    <row r="37" spans="2:26" x14ac:dyDescent="0.45">
      <c r="B37" s="8" t="s">
        <v>95</v>
      </c>
      <c r="C37" s="11">
        <f t="shared" si="2"/>
        <v>3</v>
      </c>
      <c r="D37" s="11">
        <v>517</v>
      </c>
      <c r="E37" s="26" t="s">
        <v>11</v>
      </c>
      <c r="F37" s="25" t="s">
        <v>9</v>
      </c>
      <c r="G37" s="27" t="s">
        <v>20</v>
      </c>
      <c r="H37" s="50" t="s">
        <v>83</v>
      </c>
      <c r="I37" s="2">
        <f t="shared" si="3"/>
        <v>0</v>
      </c>
      <c r="J37" s="2">
        <f t="shared" si="4"/>
        <v>0</v>
      </c>
      <c r="K37" s="2"/>
      <c r="L37" s="8" t="s">
        <v>73</v>
      </c>
      <c r="M37" s="9">
        <v>2735</v>
      </c>
      <c r="N37" s="108">
        <f>M37*0.5</f>
        <v>1367.5</v>
      </c>
      <c r="O37" s="108"/>
      <c r="P37" s="108">
        <v>390</v>
      </c>
      <c r="Q37" s="108"/>
      <c r="R37" s="108">
        <f>P37*0.5</f>
        <v>195</v>
      </c>
      <c r="S37" s="109"/>
      <c r="U37" s="91" t="s">
        <v>110</v>
      </c>
      <c r="V37" s="92"/>
      <c r="W37" s="14"/>
      <c r="X37" s="9"/>
      <c r="Y37" s="14">
        <v>2</v>
      </c>
      <c r="Z37" s="15">
        <f>Y37*0.15</f>
        <v>0.3</v>
      </c>
    </row>
    <row r="38" spans="2:26" x14ac:dyDescent="0.45">
      <c r="B38" s="8" t="s">
        <v>97</v>
      </c>
      <c r="C38" s="11">
        <f>D38-D37</f>
        <v>12</v>
      </c>
      <c r="D38" s="11">
        <v>529</v>
      </c>
      <c r="E38" s="25" t="s">
        <v>9</v>
      </c>
      <c r="F38" s="11" t="s">
        <v>30</v>
      </c>
      <c r="G38" s="11" t="s">
        <v>10</v>
      </c>
      <c r="H38" s="39" t="s">
        <v>17</v>
      </c>
      <c r="I38" s="2">
        <f t="shared" si="3"/>
        <v>0</v>
      </c>
      <c r="J38" s="2">
        <f t="shared" si="4"/>
        <v>0</v>
      </c>
      <c r="K38" s="2"/>
      <c r="L38" s="8" t="s">
        <v>75</v>
      </c>
      <c r="M38" s="9">
        <v>320</v>
      </c>
      <c r="N38" s="108">
        <f>M38</f>
        <v>320</v>
      </c>
      <c r="O38" s="108"/>
      <c r="P38" s="108">
        <v>40</v>
      </c>
      <c r="Q38" s="108"/>
      <c r="R38" s="108">
        <f>P38</f>
        <v>40</v>
      </c>
      <c r="S38" s="109"/>
      <c r="U38" s="91" t="s">
        <v>45</v>
      </c>
      <c r="V38" s="92"/>
      <c r="W38" s="14"/>
      <c r="X38" s="14"/>
      <c r="Y38" s="14">
        <v>4</v>
      </c>
      <c r="Z38" s="15">
        <f>Y38*0.4</f>
        <v>1.6</v>
      </c>
    </row>
    <row r="39" spans="2:26" x14ac:dyDescent="0.45">
      <c r="B39" s="8" t="s">
        <v>99</v>
      </c>
      <c r="C39" s="11">
        <f t="shared" si="2"/>
        <v>8</v>
      </c>
      <c r="D39" s="11">
        <v>537</v>
      </c>
      <c r="E39" s="25" t="s">
        <v>9</v>
      </c>
      <c r="F39" s="11" t="s">
        <v>10</v>
      </c>
      <c r="G39" s="11" t="s">
        <v>19</v>
      </c>
      <c r="H39" s="39" t="s">
        <v>17</v>
      </c>
      <c r="I39" s="2">
        <f t="shared" si="3"/>
        <v>0</v>
      </c>
      <c r="J39" s="2">
        <f t="shared" si="4"/>
        <v>0</v>
      </c>
      <c r="K39" s="2"/>
      <c r="L39" s="72" t="s">
        <v>77</v>
      </c>
      <c r="M39" s="67"/>
      <c r="N39" s="84">
        <f>SUM(N26:O38)</f>
        <v>17181.599999999999</v>
      </c>
      <c r="O39" s="84"/>
      <c r="P39" s="84"/>
      <c r="Q39" s="84"/>
      <c r="R39" s="84">
        <f>SUM(R26:S38)</f>
        <v>2636.55</v>
      </c>
      <c r="S39" s="85"/>
      <c r="U39" s="91" t="s">
        <v>75</v>
      </c>
      <c r="V39" s="92"/>
      <c r="W39" s="14">
        <v>240</v>
      </c>
      <c r="X39" s="9">
        <f>W39</f>
        <v>240</v>
      </c>
      <c r="Y39" s="14">
        <v>100</v>
      </c>
      <c r="Z39" s="15">
        <f>Y39</f>
        <v>100</v>
      </c>
    </row>
    <row r="40" spans="2:26" x14ac:dyDescent="0.45">
      <c r="B40" s="8" t="s">
        <v>103</v>
      </c>
      <c r="C40" s="11">
        <f t="shared" si="2"/>
        <v>11</v>
      </c>
      <c r="D40" s="11">
        <v>548</v>
      </c>
      <c r="E40" s="27" t="s">
        <v>20</v>
      </c>
      <c r="F40" s="25" t="s">
        <v>9</v>
      </c>
      <c r="G40" s="11" t="s">
        <v>23</v>
      </c>
      <c r="H40" s="39" t="s">
        <v>21</v>
      </c>
      <c r="I40" s="2">
        <f t="shared" si="3"/>
        <v>0</v>
      </c>
      <c r="J40" s="2">
        <f t="shared" si="4"/>
        <v>0</v>
      </c>
      <c r="K40" s="2"/>
      <c r="L40" s="72" t="s">
        <v>26</v>
      </c>
      <c r="M40" s="65"/>
      <c r="N40" s="84">
        <f>N39/SUM(N78:O88)</f>
        <v>268.46249999999998</v>
      </c>
      <c r="O40" s="84"/>
      <c r="P40" s="84"/>
      <c r="Q40" s="84"/>
      <c r="R40" s="84">
        <f>R39/N95</f>
        <v>1318.2750000000001</v>
      </c>
      <c r="S40" s="85"/>
      <c r="U40" s="91" t="s">
        <v>116</v>
      </c>
      <c r="V40" s="92"/>
      <c r="W40" s="9">
        <v>60</v>
      </c>
      <c r="X40" s="9">
        <f>W40*200</f>
        <v>12000</v>
      </c>
      <c r="Y40" s="14">
        <v>7</v>
      </c>
      <c r="Z40" s="15">
        <f>Y40*200</f>
        <v>1400</v>
      </c>
    </row>
    <row r="41" spans="2:26" ht="17.5" thickBot="1" x14ac:dyDescent="0.5">
      <c r="B41" s="8" t="s">
        <v>105</v>
      </c>
      <c r="C41" s="11">
        <f t="shared" si="2"/>
        <v>6</v>
      </c>
      <c r="D41" s="11">
        <v>554</v>
      </c>
      <c r="E41" s="27" t="s">
        <v>20</v>
      </c>
      <c r="F41" s="26" t="s">
        <v>11</v>
      </c>
      <c r="G41" s="25" t="s">
        <v>9</v>
      </c>
      <c r="H41" s="50" t="s">
        <v>83</v>
      </c>
      <c r="I41" s="2">
        <f t="shared" si="3"/>
        <v>0</v>
      </c>
      <c r="J41" s="2">
        <f t="shared" si="4"/>
        <v>0</v>
      </c>
      <c r="K41" s="2"/>
      <c r="L41" s="63" t="s">
        <v>229</v>
      </c>
      <c r="M41" s="73"/>
      <c r="N41" s="80">
        <f>N40*0.65*100</f>
        <v>17450.0625</v>
      </c>
      <c r="O41" s="80"/>
      <c r="P41" s="88"/>
      <c r="Q41" s="88"/>
      <c r="R41" s="80">
        <f>R40*0.65*100</f>
        <v>85687.875000000015</v>
      </c>
      <c r="S41" s="81"/>
      <c r="U41" s="91" t="s">
        <v>186</v>
      </c>
      <c r="V41" s="92"/>
      <c r="W41" s="14"/>
      <c r="X41" s="14"/>
      <c r="Y41" s="14">
        <v>7</v>
      </c>
      <c r="Z41" s="15">
        <f>Y41*200</f>
        <v>1400</v>
      </c>
    </row>
    <row r="42" spans="2:26" ht="17.5" thickBot="1" x14ac:dyDescent="0.5">
      <c r="B42" s="8" t="s">
        <v>108</v>
      </c>
      <c r="C42" s="11">
        <f>D42-D41</f>
        <v>15</v>
      </c>
      <c r="D42" s="11">
        <v>569</v>
      </c>
      <c r="E42" s="25" t="s">
        <v>9</v>
      </c>
      <c r="F42" s="11" t="s">
        <v>25</v>
      </c>
      <c r="G42" s="11" t="s">
        <v>23</v>
      </c>
      <c r="H42" s="39" t="s">
        <v>17</v>
      </c>
      <c r="I42" s="2">
        <f t="shared" si="3"/>
        <v>0</v>
      </c>
      <c r="J42" s="2">
        <f t="shared" si="4"/>
        <v>0</v>
      </c>
      <c r="K42" s="2"/>
      <c r="U42" s="91" t="s">
        <v>211</v>
      </c>
      <c r="V42" s="92"/>
      <c r="W42" s="9"/>
      <c r="X42" s="9"/>
      <c r="Y42" s="14">
        <v>2</v>
      </c>
      <c r="Z42" s="15">
        <f>Y42*4</f>
        <v>8</v>
      </c>
    </row>
    <row r="43" spans="2:26" x14ac:dyDescent="0.45">
      <c r="B43" s="8" t="s">
        <v>111</v>
      </c>
      <c r="C43" s="11">
        <f t="shared" si="2"/>
        <v>2</v>
      </c>
      <c r="D43" s="11">
        <v>571</v>
      </c>
      <c r="E43" s="25" t="s">
        <v>9</v>
      </c>
      <c r="F43" s="11" t="s">
        <v>19</v>
      </c>
      <c r="G43" s="11" t="s">
        <v>25</v>
      </c>
      <c r="H43" s="39" t="s">
        <v>17</v>
      </c>
      <c r="I43" s="2">
        <f t="shared" si="3"/>
        <v>0</v>
      </c>
      <c r="J43" s="2">
        <f t="shared" si="4"/>
        <v>0</v>
      </c>
      <c r="K43" s="2"/>
      <c r="L43" s="93" t="s">
        <v>219</v>
      </c>
      <c r="M43" s="94"/>
      <c r="N43" s="94"/>
      <c r="O43" s="94"/>
      <c r="P43" s="94"/>
      <c r="Q43" s="94"/>
      <c r="R43" s="94"/>
      <c r="S43" s="106"/>
      <c r="U43" s="91" t="s">
        <v>212</v>
      </c>
      <c r="V43" s="92"/>
      <c r="W43" s="9">
        <v>23</v>
      </c>
      <c r="X43" s="9">
        <f>W43*10</f>
        <v>230</v>
      </c>
      <c r="Y43" s="14">
        <v>12</v>
      </c>
      <c r="Z43" s="15">
        <f>Y43*10</f>
        <v>120</v>
      </c>
    </row>
    <row r="44" spans="2:26" x14ac:dyDescent="0.45">
      <c r="B44" s="8" t="s">
        <v>114</v>
      </c>
      <c r="C44" s="11">
        <f t="shared" si="2"/>
        <v>10</v>
      </c>
      <c r="D44" s="11">
        <v>581</v>
      </c>
      <c r="E44" s="25" t="s">
        <v>9</v>
      </c>
      <c r="F44" s="11" t="s">
        <v>30</v>
      </c>
      <c r="G44" s="11" t="s">
        <v>16</v>
      </c>
      <c r="H44" s="39" t="s">
        <v>17</v>
      </c>
      <c r="I44" s="2">
        <f t="shared" si="3"/>
        <v>0</v>
      </c>
      <c r="J44" s="2">
        <f t="shared" si="4"/>
        <v>0</v>
      </c>
      <c r="K44" s="2"/>
      <c r="L44" s="91" t="s">
        <v>220</v>
      </c>
      <c r="M44" s="92"/>
      <c r="N44" s="92"/>
      <c r="O44" s="92"/>
      <c r="P44" s="92" t="s">
        <v>216</v>
      </c>
      <c r="Q44" s="92"/>
      <c r="R44" s="92"/>
      <c r="S44" s="107"/>
      <c r="U44" s="91" t="s">
        <v>213</v>
      </c>
      <c r="V44" s="92"/>
      <c r="W44" s="9"/>
      <c r="X44" s="9"/>
      <c r="Y44" s="14">
        <v>42</v>
      </c>
      <c r="Z44" s="15">
        <f>Y44*12</f>
        <v>504</v>
      </c>
    </row>
    <row r="45" spans="2:26" x14ac:dyDescent="0.45">
      <c r="B45" s="8" t="s">
        <v>117</v>
      </c>
      <c r="C45" s="11">
        <f t="shared" si="2"/>
        <v>7</v>
      </c>
      <c r="D45" s="11">
        <v>588</v>
      </c>
      <c r="E45" s="27" t="s">
        <v>20</v>
      </c>
      <c r="F45" s="26" t="s">
        <v>11</v>
      </c>
      <c r="G45" s="27" t="s">
        <v>20</v>
      </c>
      <c r="H45" s="50" t="s">
        <v>85</v>
      </c>
      <c r="I45" s="2">
        <f t="shared" si="3"/>
        <v>0</v>
      </c>
      <c r="J45" s="2">
        <f t="shared" si="4"/>
        <v>0</v>
      </c>
      <c r="K45" s="2"/>
      <c r="L45" s="40" t="s">
        <v>37</v>
      </c>
      <c r="M45" s="7" t="s">
        <v>38</v>
      </c>
      <c r="N45" s="92" t="s">
        <v>39</v>
      </c>
      <c r="O45" s="92"/>
      <c r="P45" s="92" t="s">
        <v>38</v>
      </c>
      <c r="Q45" s="92"/>
      <c r="R45" s="92" t="s">
        <v>39</v>
      </c>
      <c r="S45" s="107"/>
      <c r="U45" s="91" t="s">
        <v>214</v>
      </c>
      <c r="V45" s="92"/>
      <c r="W45" s="9"/>
      <c r="X45" s="9"/>
      <c r="Y45" s="14">
        <v>7</v>
      </c>
      <c r="Z45" s="15">
        <f>Y45*9</f>
        <v>63</v>
      </c>
    </row>
    <row r="46" spans="2:26" x14ac:dyDescent="0.45">
      <c r="B46" s="8" t="s">
        <v>119</v>
      </c>
      <c r="C46" s="11">
        <f>D46-D45</f>
        <v>68</v>
      </c>
      <c r="D46" s="11">
        <v>656</v>
      </c>
      <c r="E46" s="25" t="s">
        <v>9</v>
      </c>
      <c r="F46" s="26" t="s">
        <v>11</v>
      </c>
      <c r="G46" s="11" t="s">
        <v>25</v>
      </c>
      <c r="H46" s="39" t="s">
        <v>12</v>
      </c>
      <c r="I46" s="2">
        <f t="shared" si="3"/>
        <v>0</v>
      </c>
      <c r="J46" s="2">
        <f t="shared" si="4"/>
        <v>0</v>
      </c>
      <c r="K46" s="2"/>
      <c r="L46" s="8" t="s">
        <v>206</v>
      </c>
      <c r="M46" s="9">
        <v>16</v>
      </c>
      <c r="N46" s="108">
        <f>M46*150</f>
        <v>2400</v>
      </c>
      <c r="O46" s="108"/>
      <c r="P46" s="108">
        <v>2</v>
      </c>
      <c r="Q46" s="108"/>
      <c r="R46" s="108">
        <f>P46*150</f>
        <v>300</v>
      </c>
      <c r="S46" s="109"/>
      <c r="U46" s="91" t="s">
        <v>215</v>
      </c>
      <c r="V46" s="92"/>
      <c r="W46" s="9">
        <v>313</v>
      </c>
      <c r="X46" s="9">
        <f>W46*5</f>
        <v>1565</v>
      </c>
      <c r="Y46" s="14">
        <v>33</v>
      </c>
      <c r="Z46" s="15">
        <f>Y46*5</f>
        <v>165</v>
      </c>
    </row>
    <row r="47" spans="2:26" x14ac:dyDescent="0.45">
      <c r="B47" s="8" t="s">
        <v>121</v>
      </c>
      <c r="C47" s="11">
        <f t="shared" si="2"/>
        <v>12</v>
      </c>
      <c r="D47" s="11">
        <v>668</v>
      </c>
      <c r="E47" s="26" t="s">
        <v>11</v>
      </c>
      <c r="F47" s="27" t="s">
        <v>20</v>
      </c>
      <c r="G47" s="27" t="s">
        <v>20</v>
      </c>
      <c r="H47" s="50" t="s">
        <v>85</v>
      </c>
      <c r="I47" s="2">
        <f t="shared" si="3"/>
        <v>0</v>
      </c>
      <c r="J47" s="2">
        <f t="shared" si="4"/>
        <v>0</v>
      </c>
      <c r="K47" s="2"/>
      <c r="L47" s="8" t="s">
        <v>207</v>
      </c>
      <c r="M47" s="9">
        <v>9</v>
      </c>
      <c r="N47" s="108">
        <f>M47*530</f>
        <v>4770</v>
      </c>
      <c r="O47" s="108"/>
      <c r="P47" s="108">
        <v>3</v>
      </c>
      <c r="Q47" s="108"/>
      <c r="R47" s="108">
        <f>P47*530</f>
        <v>1590</v>
      </c>
      <c r="S47" s="109"/>
      <c r="U47" s="89" t="s">
        <v>77</v>
      </c>
      <c r="V47" s="90"/>
      <c r="W47" s="66"/>
      <c r="X47" s="67">
        <f>SUM(X26:X46)</f>
        <v>16514.32</v>
      </c>
      <c r="Y47" s="67"/>
      <c r="Z47" s="76">
        <f>SUM(Z26:Z46)</f>
        <v>4198.6400000000003</v>
      </c>
    </row>
    <row r="48" spans="2:26" x14ac:dyDescent="0.45">
      <c r="B48" s="8" t="s">
        <v>122</v>
      </c>
      <c r="C48" s="11">
        <f>D48-D47</f>
        <v>6</v>
      </c>
      <c r="D48" s="11">
        <v>674</v>
      </c>
      <c r="E48" s="25" t="s">
        <v>9</v>
      </c>
      <c r="F48" s="11" t="s">
        <v>28</v>
      </c>
      <c r="G48" s="11" t="s">
        <v>87</v>
      </c>
      <c r="H48" s="39" t="s">
        <v>17</v>
      </c>
      <c r="I48" s="2">
        <f t="shared" si="3"/>
        <v>0</v>
      </c>
      <c r="J48" s="2">
        <f t="shared" si="4"/>
        <v>0</v>
      </c>
      <c r="K48" s="2"/>
      <c r="L48" s="8" t="s">
        <v>192</v>
      </c>
      <c r="M48" s="9">
        <v>25</v>
      </c>
      <c r="N48" s="108">
        <f>M48*2</f>
        <v>50</v>
      </c>
      <c r="O48" s="108"/>
      <c r="P48" s="108">
        <v>5</v>
      </c>
      <c r="Q48" s="108"/>
      <c r="R48" s="108">
        <f>P48*2</f>
        <v>10</v>
      </c>
      <c r="S48" s="109"/>
      <c r="U48" s="89" t="s">
        <v>26</v>
      </c>
      <c r="V48" s="90"/>
      <c r="W48" s="66"/>
      <c r="X48" s="67">
        <f>X47/(SUM(N78:O84)+1)</f>
        <v>275.23866666666669</v>
      </c>
      <c r="Y48" s="67"/>
      <c r="Z48" s="76">
        <f>Z47/SUM(N85,N95)</f>
        <v>599.80571428571432</v>
      </c>
    </row>
    <row r="49" spans="2:39" x14ac:dyDescent="0.45">
      <c r="B49" s="8" t="s">
        <v>124</v>
      </c>
      <c r="C49" s="11">
        <f t="shared" si="2"/>
        <v>2</v>
      </c>
      <c r="D49" s="11">
        <v>676</v>
      </c>
      <c r="E49" s="25" t="s">
        <v>9</v>
      </c>
      <c r="F49" s="27" t="s">
        <v>20</v>
      </c>
      <c r="G49" s="11" t="s">
        <v>30</v>
      </c>
      <c r="H49" s="39" t="s">
        <v>21</v>
      </c>
      <c r="I49" s="2">
        <f t="shared" si="3"/>
        <v>0</v>
      </c>
      <c r="J49" s="2">
        <f t="shared" si="4"/>
        <v>0</v>
      </c>
      <c r="K49" s="2"/>
      <c r="L49" s="8" t="s">
        <v>191</v>
      </c>
      <c r="M49" s="9">
        <v>25</v>
      </c>
      <c r="N49" s="108">
        <f>M49*8.5</f>
        <v>212.5</v>
      </c>
      <c r="O49" s="108"/>
      <c r="P49" s="108">
        <v>5</v>
      </c>
      <c r="Q49" s="108"/>
      <c r="R49" s="108">
        <f>P49*8.5</f>
        <v>42.5</v>
      </c>
      <c r="S49" s="109"/>
      <c r="U49" s="89" t="s">
        <v>229</v>
      </c>
      <c r="V49" s="90"/>
      <c r="W49" s="77"/>
      <c r="X49" s="78">
        <f>X48*0.65*100</f>
        <v>17890.513333333336</v>
      </c>
      <c r="Y49" s="27"/>
      <c r="Z49" s="79">
        <f>Z48*0.65*100</f>
        <v>38987.37142857143</v>
      </c>
    </row>
    <row r="50" spans="2:39" ht="17.5" thickBot="1" x14ac:dyDescent="0.5">
      <c r="B50" s="8" t="s">
        <v>125</v>
      </c>
      <c r="C50" s="11">
        <f t="shared" si="2"/>
        <v>6</v>
      </c>
      <c r="D50" s="11">
        <v>682</v>
      </c>
      <c r="E50" s="27" t="s">
        <v>20</v>
      </c>
      <c r="F50" s="25" t="s">
        <v>9</v>
      </c>
      <c r="G50" s="11" t="s">
        <v>19</v>
      </c>
      <c r="H50" s="39" t="s">
        <v>21</v>
      </c>
      <c r="I50" s="2">
        <f t="shared" si="3"/>
        <v>0</v>
      </c>
      <c r="J50" s="2">
        <f t="shared" si="4"/>
        <v>0</v>
      </c>
      <c r="K50" s="2"/>
      <c r="L50" s="8" t="s">
        <v>203</v>
      </c>
      <c r="M50" s="9">
        <v>19</v>
      </c>
      <c r="N50" s="108">
        <f>M50*5</f>
        <v>95</v>
      </c>
      <c r="O50" s="108"/>
      <c r="P50" s="108">
        <v>7</v>
      </c>
      <c r="Q50" s="108"/>
      <c r="R50" s="108">
        <f>P50*5</f>
        <v>35</v>
      </c>
      <c r="S50" s="109"/>
      <c r="U50" s="82" t="s">
        <v>228</v>
      </c>
      <c r="V50" s="83"/>
      <c r="W50" s="73"/>
      <c r="X50" s="74">
        <f>X49-13000</f>
        <v>4890.513333333336</v>
      </c>
      <c r="Y50" s="73"/>
      <c r="Z50" s="75">
        <f>Z49-13000</f>
        <v>25987.37142857143</v>
      </c>
    </row>
    <row r="51" spans="2:39" ht="17.5" thickBot="1" x14ac:dyDescent="0.5">
      <c r="B51" s="8" t="s">
        <v>126</v>
      </c>
      <c r="C51" s="11">
        <f t="shared" si="2"/>
        <v>4</v>
      </c>
      <c r="D51" s="11">
        <v>686</v>
      </c>
      <c r="E51" s="26" t="s">
        <v>11</v>
      </c>
      <c r="F51" s="26" t="s">
        <v>11</v>
      </c>
      <c r="G51" s="11" t="s">
        <v>19</v>
      </c>
      <c r="H51" s="39" t="s">
        <v>62</v>
      </c>
      <c r="I51" s="2">
        <f t="shared" si="3"/>
        <v>0</v>
      </c>
      <c r="J51" s="2">
        <f t="shared" si="4"/>
        <v>1</v>
      </c>
      <c r="K51" s="2"/>
      <c r="L51" s="8" t="s">
        <v>204</v>
      </c>
      <c r="M51" s="9">
        <v>25</v>
      </c>
      <c r="N51" s="108">
        <f>M51*50</f>
        <v>1250</v>
      </c>
      <c r="O51" s="108"/>
      <c r="P51" s="108">
        <v>5</v>
      </c>
      <c r="Q51" s="108"/>
      <c r="R51" s="108">
        <f>P51*50</f>
        <v>250</v>
      </c>
      <c r="S51" s="109"/>
    </row>
    <row r="52" spans="2:39" x14ac:dyDescent="0.45">
      <c r="B52" s="8" t="s">
        <v>127</v>
      </c>
      <c r="C52" s="11">
        <f t="shared" si="2"/>
        <v>2</v>
      </c>
      <c r="D52" s="11">
        <v>688</v>
      </c>
      <c r="E52" s="27" t="s">
        <v>20</v>
      </c>
      <c r="F52" s="26" t="s">
        <v>11</v>
      </c>
      <c r="G52" s="11" t="s">
        <v>30</v>
      </c>
      <c r="H52" s="39" t="s">
        <v>79</v>
      </c>
      <c r="I52" s="2">
        <f t="shared" si="3"/>
        <v>0</v>
      </c>
      <c r="J52" s="2">
        <f t="shared" si="4"/>
        <v>0</v>
      </c>
      <c r="K52" s="2"/>
      <c r="L52" s="72" t="s">
        <v>77</v>
      </c>
      <c r="M52" s="67"/>
      <c r="N52" s="84">
        <f>SUM(N46:O51)</f>
        <v>8777.5</v>
      </c>
      <c r="O52" s="84"/>
      <c r="P52" s="84"/>
      <c r="Q52" s="84"/>
      <c r="R52" s="84">
        <f>SUM(R46:S51)</f>
        <v>2227.5</v>
      </c>
      <c r="S52" s="85"/>
      <c r="U52" s="93"/>
      <c r="V52" s="94"/>
      <c r="W52" s="6" t="s">
        <v>223</v>
      </c>
      <c r="X52" s="6" t="s">
        <v>224</v>
      </c>
      <c r="Y52" s="6" t="s">
        <v>226</v>
      </c>
      <c r="Z52" s="6" t="s">
        <v>225</v>
      </c>
      <c r="AA52" s="6" t="s">
        <v>227</v>
      </c>
      <c r="AB52" s="28" t="s">
        <v>221</v>
      </c>
    </row>
    <row r="53" spans="2:39" x14ac:dyDescent="0.45">
      <c r="B53" s="8" t="s">
        <v>128</v>
      </c>
      <c r="C53" s="11">
        <f>D53-D52</f>
        <v>4</v>
      </c>
      <c r="D53" s="11">
        <v>692</v>
      </c>
      <c r="E53" s="25" t="s">
        <v>9</v>
      </c>
      <c r="F53" s="11" t="s">
        <v>19</v>
      </c>
      <c r="G53" s="11" t="s">
        <v>28</v>
      </c>
      <c r="H53" s="39" t="s">
        <v>17</v>
      </c>
      <c r="I53" s="2">
        <f t="shared" si="3"/>
        <v>0</v>
      </c>
      <c r="J53" s="2">
        <f t="shared" si="4"/>
        <v>0</v>
      </c>
      <c r="K53" s="2"/>
      <c r="L53" s="72" t="s">
        <v>26</v>
      </c>
      <c r="M53" s="65"/>
      <c r="N53" s="84">
        <f>N52/N85</f>
        <v>1755.5</v>
      </c>
      <c r="O53" s="84"/>
      <c r="P53" s="84"/>
      <c r="Q53" s="84"/>
      <c r="R53" s="84">
        <f>R52/N95</f>
        <v>1113.75</v>
      </c>
      <c r="S53" s="85"/>
      <c r="U53" s="91" t="s">
        <v>208</v>
      </c>
      <c r="V53" s="92"/>
      <c r="W53" s="14">
        <f>N39*SUM(N78:O84)/SUM(N78:O88)+X47</f>
        <v>32353.607499999998</v>
      </c>
      <c r="X53" s="14">
        <f>N39*N85/SUM(N78:O88)+Z47*N85/SUM(N85,N95)</f>
        <v>4341.341071428571</v>
      </c>
      <c r="Y53" s="14">
        <f>N39*N85/SUM(N78:O88)+N52+Z47*N85/SUM(N85,N95)</f>
        <v>13118.841071428571</v>
      </c>
      <c r="Z53" s="14">
        <f>R39+Z47*N95/SUM(N85,N95)</f>
        <v>3836.1614285714286</v>
      </c>
      <c r="AA53" s="14">
        <f>R39+R52+Z47*N95/SUM(N85,N95)</f>
        <v>6063.6614285714286</v>
      </c>
      <c r="AB53" s="15">
        <f>SUM(N39,R39,N52,R52,X47,Z47)</f>
        <v>51536.11</v>
      </c>
    </row>
    <row r="54" spans="2:39" ht="17.5" thickBot="1" x14ac:dyDescent="0.5">
      <c r="B54" s="8" t="s">
        <v>129</v>
      </c>
      <c r="C54" s="11">
        <f t="shared" si="2"/>
        <v>36</v>
      </c>
      <c r="D54" s="11">
        <v>728</v>
      </c>
      <c r="E54" s="26" t="s">
        <v>11</v>
      </c>
      <c r="F54" s="25" t="s">
        <v>9</v>
      </c>
      <c r="G54" s="11" t="s">
        <v>28</v>
      </c>
      <c r="H54" s="39" t="s">
        <v>12</v>
      </c>
      <c r="I54" s="2">
        <f t="shared" si="3"/>
        <v>0</v>
      </c>
      <c r="J54" s="2">
        <f t="shared" si="4"/>
        <v>0</v>
      </c>
      <c r="K54" s="2"/>
      <c r="L54" s="63" t="s">
        <v>229</v>
      </c>
      <c r="M54" s="73"/>
      <c r="N54" s="80">
        <f>N53*0.65*100</f>
        <v>114107.5</v>
      </c>
      <c r="O54" s="80"/>
      <c r="P54" s="88"/>
      <c r="Q54" s="88"/>
      <c r="R54" s="80">
        <f>R53*0.65*100</f>
        <v>72393.75</v>
      </c>
      <c r="S54" s="81"/>
      <c r="U54" s="91" t="s">
        <v>209</v>
      </c>
      <c r="V54" s="92"/>
      <c r="W54" s="68">
        <f t="shared" ref="W54:AB54" si="5">W53*0.65*100</f>
        <v>2102984.4874999998</v>
      </c>
      <c r="X54" s="68">
        <f t="shared" si="5"/>
        <v>282187.16964285716</v>
      </c>
      <c r="Y54" s="68">
        <f t="shared" si="5"/>
        <v>852724.66964285728</v>
      </c>
      <c r="Z54" s="68">
        <f t="shared" si="5"/>
        <v>249350.49285714285</v>
      </c>
      <c r="AA54" s="68">
        <f t="shared" si="5"/>
        <v>394137.99285714288</v>
      </c>
      <c r="AB54" s="69">
        <f t="shared" si="5"/>
        <v>3349847.15</v>
      </c>
    </row>
    <row r="55" spans="2:39" x14ac:dyDescent="0.45">
      <c r="B55" s="8" t="s">
        <v>130</v>
      </c>
      <c r="C55" s="11">
        <f t="shared" si="2"/>
        <v>47</v>
      </c>
      <c r="D55" s="11">
        <v>775</v>
      </c>
      <c r="E55" s="26" t="s">
        <v>11</v>
      </c>
      <c r="F55" s="26" t="s">
        <v>11</v>
      </c>
      <c r="G55" s="11" t="s">
        <v>10</v>
      </c>
      <c r="H55" s="39" t="s">
        <v>62</v>
      </c>
      <c r="I55" s="2">
        <f t="shared" si="3"/>
        <v>0</v>
      </c>
      <c r="J55" s="2">
        <f t="shared" si="4"/>
        <v>1</v>
      </c>
      <c r="K55" s="2"/>
      <c r="U55" s="91" t="s">
        <v>210</v>
      </c>
      <c r="V55" s="92"/>
      <c r="W55" s="68">
        <f>W54/(SUM(N78:O84)+1)</f>
        <v>35049.74145833333</v>
      </c>
      <c r="X55" s="68">
        <f>X54/N85</f>
        <v>56437.43392857143</v>
      </c>
      <c r="Y55" s="68">
        <f>Y54/N85</f>
        <v>170544.93392857147</v>
      </c>
      <c r="Z55" s="68">
        <f>Z54/N95</f>
        <v>124675.24642857142</v>
      </c>
      <c r="AA55" s="68">
        <f>AA54/N95</f>
        <v>197068.99642857144</v>
      </c>
      <c r="AB55" s="69">
        <f>AB54/(SUM(N78:O88,N95)+1)</f>
        <v>49997.718656716417</v>
      </c>
    </row>
    <row r="56" spans="2:39" ht="17.5" thickBot="1" x14ac:dyDescent="0.5">
      <c r="B56" s="8" t="s">
        <v>131</v>
      </c>
      <c r="C56" s="11">
        <f>D56-D55</f>
        <v>27</v>
      </c>
      <c r="D56" s="11">
        <v>802</v>
      </c>
      <c r="E56" s="25" t="s">
        <v>9</v>
      </c>
      <c r="F56" s="11" t="s">
        <v>10</v>
      </c>
      <c r="G56" s="11" t="s">
        <v>25</v>
      </c>
      <c r="H56" s="39" t="s">
        <v>17</v>
      </c>
      <c r="I56" s="2">
        <f t="shared" si="3"/>
        <v>0</v>
      </c>
      <c r="J56" s="2">
        <f t="shared" si="4"/>
        <v>0</v>
      </c>
      <c r="K56" s="2"/>
      <c r="U56" s="86" t="s">
        <v>228</v>
      </c>
      <c r="V56" s="87"/>
      <c r="W56" s="70">
        <f t="shared" ref="W56:AB56" si="6">W55-13000</f>
        <v>22049.74145833333</v>
      </c>
      <c r="X56" s="70">
        <f t="shared" si="6"/>
        <v>43437.43392857143</v>
      </c>
      <c r="Y56" s="70">
        <f t="shared" si="6"/>
        <v>157544.93392857147</v>
      </c>
      <c r="Z56" s="70">
        <f t="shared" si="6"/>
        <v>111675.24642857142</v>
      </c>
      <c r="AA56" s="70">
        <f t="shared" si="6"/>
        <v>184068.99642857144</v>
      </c>
      <c r="AB56" s="71">
        <f t="shared" si="6"/>
        <v>36997.718656716417</v>
      </c>
    </row>
    <row r="57" spans="2:39" ht="17.5" thickBot="1" x14ac:dyDescent="0.5">
      <c r="B57" s="8" t="s">
        <v>132</v>
      </c>
      <c r="C57" s="11">
        <f t="shared" si="2"/>
        <v>43</v>
      </c>
      <c r="D57" s="11">
        <v>845</v>
      </c>
      <c r="E57" s="25" t="s">
        <v>9</v>
      </c>
      <c r="F57" s="27" t="s">
        <v>20</v>
      </c>
      <c r="G57" s="11" t="s">
        <v>10</v>
      </c>
      <c r="H57" s="39" t="s">
        <v>21</v>
      </c>
      <c r="I57" s="2">
        <f t="shared" si="3"/>
        <v>0</v>
      </c>
      <c r="J57" s="2">
        <f t="shared" si="4"/>
        <v>0</v>
      </c>
      <c r="K57" s="2"/>
    </row>
    <row r="58" spans="2:39" x14ac:dyDescent="0.45">
      <c r="B58" s="8" t="s">
        <v>133</v>
      </c>
      <c r="C58" s="11">
        <f t="shared" si="2"/>
        <v>1</v>
      </c>
      <c r="D58" s="11">
        <v>846</v>
      </c>
      <c r="E58" s="25" t="s">
        <v>9</v>
      </c>
      <c r="F58" s="11" t="s">
        <v>16</v>
      </c>
      <c r="G58" s="11" t="s">
        <v>19</v>
      </c>
      <c r="H58" s="39" t="s">
        <v>17</v>
      </c>
      <c r="I58" s="2">
        <f t="shared" si="3"/>
        <v>0</v>
      </c>
      <c r="J58" s="2">
        <f t="shared" si="4"/>
        <v>0</v>
      </c>
      <c r="K58" s="2"/>
      <c r="L58" s="5" t="s">
        <v>31</v>
      </c>
      <c r="M58" s="28" t="s">
        <v>169</v>
      </c>
      <c r="N58" s="1"/>
      <c r="O58" s="95" t="s">
        <v>145</v>
      </c>
      <c r="P58" s="96"/>
      <c r="Q58" s="96"/>
      <c r="R58" s="96"/>
      <c r="S58" s="96"/>
      <c r="T58" s="97"/>
      <c r="U58" s="1"/>
      <c r="V58" s="95" t="s">
        <v>205</v>
      </c>
      <c r="W58" s="96"/>
      <c r="X58" s="96"/>
      <c r="Y58" s="97"/>
    </row>
    <row r="59" spans="2:39" x14ac:dyDescent="0.45">
      <c r="B59" s="8" t="s">
        <v>134</v>
      </c>
      <c r="C59" s="11">
        <f t="shared" si="2"/>
        <v>7</v>
      </c>
      <c r="D59" s="11">
        <v>853</v>
      </c>
      <c r="E59" s="25" t="s">
        <v>9</v>
      </c>
      <c r="F59" s="11" t="s">
        <v>16</v>
      </c>
      <c r="G59" s="26" t="s">
        <v>11</v>
      </c>
      <c r="H59" s="39" t="s">
        <v>12</v>
      </c>
      <c r="I59" s="2">
        <f t="shared" si="3"/>
        <v>0</v>
      </c>
      <c r="J59" s="2">
        <f t="shared" si="4"/>
        <v>0</v>
      </c>
      <c r="K59" s="2"/>
      <c r="L59" s="8" t="s">
        <v>173</v>
      </c>
      <c r="M59" s="38">
        <f>AVERAGE(C5:C81)</f>
        <v>15.077922077922079</v>
      </c>
      <c r="N59" s="4"/>
      <c r="O59" s="98" t="s">
        <v>148</v>
      </c>
      <c r="P59" s="99"/>
      <c r="Q59" s="100" t="s">
        <v>146</v>
      </c>
      <c r="R59" s="99"/>
      <c r="S59" s="100" t="s">
        <v>147</v>
      </c>
      <c r="T59" s="101"/>
      <c r="U59" s="1"/>
      <c r="V59" s="98" t="s">
        <v>199</v>
      </c>
      <c r="W59" s="99"/>
      <c r="X59" s="100" t="s">
        <v>200</v>
      </c>
      <c r="Y59" s="101"/>
      <c r="AL59" s="33"/>
      <c r="AM59" s="34"/>
    </row>
    <row r="60" spans="2:39" x14ac:dyDescent="0.45">
      <c r="B60" s="8" t="s">
        <v>135</v>
      </c>
      <c r="C60" s="11">
        <f t="shared" si="2"/>
        <v>3</v>
      </c>
      <c r="D60" s="11">
        <v>856</v>
      </c>
      <c r="E60" s="26" t="s">
        <v>11</v>
      </c>
      <c r="F60" s="25" t="s">
        <v>9</v>
      </c>
      <c r="G60" s="11" t="s">
        <v>14</v>
      </c>
      <c r="H60" s="39" t="s">
        <v>12</v>
      </c>
      <c r="I60" s="2">
        <f t="shared" si="3"/>
        <v>0</v>
      </c>
      <c r="J60" s="2">
        <f t="shared" si="4"/>
        <v>0</v>
      </c>
      <c r="K60" s="2"/>
      <c r="L60" s="8" t="s">
        <v>172</v>
      </c>
      <c r="M60" s="38">
        <f>M59*(P78+M72)/M67</f>
        <v>27.642857142857142</v>
      </c>
      <c r="N60" s="4"/>
      <c r="O60" s="110" t="s">
        <v>149</v>
      </c>
      <c r="P60" s="111"/>
      <c r="Q60" s="103">
        <f>(65*(P78+M72)+56*(M70+M71))/((P78+M72)+(M70+M71))/100</f>
        <v>0.60005780346820803</v>
      </c>
      <c r="R60" s="105"/>
      <c r="S60" s="103">
        <f>(M65+M70+M71)/(M26+P26-(P78*2))</f>
        <v>0.54886475814412639</v>
      </c>
      <c r="T60" s="104"/>
      <c r="U60" s="42"/>
      <c r="V60" s="98" t="s">
        <v>32</v>
      </c>
      <c r="W60" s="102"/>
      <c r="X60" s="102"/>
      <c r="Y60" s="101"/>
    </row>
    <row r="61" spans="2:39" x14ac:dyDescent="0.45">
      <c r="B61" s="8" t="s">
        <v>136</v>
      </c>
      <c r="C61" s="11">
        <f t="shared" ref="C61:C81" si="7">D61-D60</f>
        <v>3</v>
      </c>
      <c r="D61" s="11">
        <v>859</v>
      </c>
      <c r="E61" s="25" t="s">
        <v>9</v>
      </c>
      <c r="F61" s="27" t="s">
        <v>20</v>
      </c>
      <c r="G61" s="11" t="s">
        <v>87</v>
      </c>
      <c r="H61" s="51" t="s">
        <v>21</v>
      </c>
      <c r="I61" s="2">
        <f t="shared" si="3"/>
        <v>0</v>
      </c>
      <c r="J61" s="2">
        <f t="shared" si="4"/>
        <v>0</v>
      </c>
      <c r="K61" s="2"/>
      <c r="L61" s="8" t="s">
        <v>174</v>
      </c>
      <c r="M61" s="38">
        <f>M60*M67/M68</f>
        <v>165.85714285714286</v>
      </c>
      <c r="N61" s="4"/>
      <c r="O61" s="110" t="s">
        <v>182</v>
      </c>
      <c r="P61" s="111"/>
      <c r="Q61" s="103" t="str">
        <f>TEXT(LEFT(L7,3),"0.00%")</f>
        <v>85.00%</v>
      </c>
      <c r="R61" s="105"/>
      <c r="S61" s="103">
        <f>(P78-M73)/P78</f>
        <v>0.81081081081081086</v>
      </c>
      <c r="T61" s="104"/>
      <c r="U61" s="42"/>
      <c r="V61" s="40" t="s">
        <v>189</v>
      </c>
      <c r="W61" s="7" t="s">
        <v>190</v>
      </c>
      <c r="X61" s="7" t="s">
        <v>189</v>
      </c>
      <c r="Y61" s="39" t="s">
        <v>190</v>
      </c>
    </row>
    <row r="62" spans="2:39" x14ac:dyDescent="0.45">
      <c r="B62" s="8" t="s">
        <v>137</v>
      </c>
      <c r="C62" s="11">
        <f t="shared" si="7"/>
        <v>14</v>
      </c>
      <c r="D62" s="11">
        <v>873</v>
      </c>
      <c r="E62" s="25" t="s">
        <v>9</v>
      </c>
      <c r="F62" s="11" t="s">
        <v>87</v>
      </c>
      <c r="G62" s="27" t="s">
        <v>20</v>
      </c>
      <c r="H62" s="39" t="s">
        <v>21</v>
      </c>
      <c r="I62" s="2">
        <f t="shared" si="3"/>
        <v>0</v>
      </c>
      <c r="J62" s="2">
        <f t="shared" si="4"/>
        <v>0</v>
      </c>
      <c r="K62" s="2"/>
      <c r="L62" s="8" t="s">
        <v>150</v>
      </c>
      <c r="M62" s="15">
        <f>COUNTIF(E5:E81, "승계")</f>
        <v>53</v>
      </c>
      <c r="N62" s="43"/>
      <c r="O62" s="110" t="s">
        <v>183</v>
      </c>
      <c r="P62" s="111"/>
      <c r="Q62" s="103" t="str">
        <f>TEXT(LEFT(L8,3),"0.00%")</f>
        <v>95.00%</v>
      </c>
      <c r="R62" s="105"/>
      <c r="S62" s="103">
        <f>(P78-M74-M75)/P78</f>
        <v>0.97297297297297303</v>
      </c>
      <c r="T62" s="104"/>
      <c r="U62" s="42"/>
      <c r="V62" s="60">
        <v>0.55000000000000004</v>
      </c>
      <c r="W62" s="7" t="s">
        <v>187</v>
      </c>
      <c r="X62" s="59">
        <v>0.52</v>
      </c>
      <c r="Y62" s="39" t="s">
        <v>188</v>
      </c>
    </row>
    <row r="63" spans="2:39" x14ac:dyDescent="0.45">
      <c r="B63" s="8" t="s">
        <v>138</v>
      </c>
      <c r="C63" s="11">
        <f t="shared" si="7"/>
        <v>38</v>
      </c>
      <c r="D63" s="11">
        <v>911</v>
      </c>
      <c r="E63" s="25" t="s">
        <v>9</v>
      </c>
      <c r="F63" s="11" t="s">
        <v>19</v>
      </c>
      <c r="G63" s="11" t="s">
        <v>30</v>
      </c>
      <c r="H63" s="39" t="s">
        <v>17</v>
      </c>
      <c r="I63" s="2">
        <f t="shared" si="3"/>
        <v>0</v>
      </c>
      <c r="J63" s="2">
        <f t="shared" si="4"/>
        <v>0</v>
      </c>
      <c r="K63" s="2"/>
      <c r="L63" s="8" t="s">
        <v>151</v>
      </c>
      <c r="M63" s="10">
        <f>COUNTIF(E5:E81, "가속")+M71</f>
        <v>69</v>
      </c>
      <c r="N63" s="44"/>
      <c r="O63" s="110" t="s">
        <v>193</v>
      </c>
      <c r="P63" s="111"/>
      <c r="Q63" s="103">
        <f>AVERAGE(V62:V77,V79:V80)</f>
        <v>0.56111111111111123</v>
      </c>
      <c r="R63" s="105"/>
      <c r="S63" s="103">
        <f>(COUNTIF(W62:W77, "o")+COUNTIF(W79:W80, "o"))/COUNTA(W62:W77,W79:W80)</f>
        <v>0.3888888888888889</v>
      </c>
      <c r="T63" s="104"/>
      <c r="U63" s="42"/>
      <c r="V63" s="60">
        <v>0.56999999999999995</v>
      </c>
      <c r="W63" s="7" t="s">
        <v>187</v>
      </c>
      <c r="X63" s="59">
        <v>0.55000000000000004</v>
      </c>
      <c r="Y63" s="39" t="s">
        <v>187</v>
      </c>
    </row>
    <row r="64" spans="2:39" x14ac:dyDescent="0.45">
      <c r="B64" s="8" t="s">
        <v>139</v>
      </c>
      <c r="C64" s="11">
        <f t="shared" si="7"/>
        <v>8</v>
      </c>
      <c r="D64" s="11">
        <v>919</v>
      </c>
      <c r="E64" s="27" t="s">
        <v>20</v>
      </c>
      <c r="F64" s="27" t="s">
        <v>20</v>
      </c>
      <c r="G64" s="11" t="s">
        <v>14</v>
      </c>
      <c r="H64" s="39" t="s">
        <v>35</v>
      </c>
      <c r="I64" s="2">
        <f t="shared" si="3"/>
        <v>1</v>
      </c>
      <c r="J64" s="2">
        <f t="shared" si="4"/>
        <v>0</v>
      </c>
      <c r="K64" s="2"/>
      <c r="L64" s="8" t="s">
        <v>152</v>
      </c>
      <c r="M64" s="15">
        <f>COUNTIF(E5:E81, "스킬")+M70</f>
        <v>51</v>
      </c>
      <c r="N64" s="43"/>
      <c r="O64" s="110" t="s">
        <v>194</v>
      </c>
      <c r="P64" s="111"/>
      <c r="Q64" s="103">
        <f>AVERAGE(X62:X77,X79:X81)</f>
        <v>0.53500000000000003</v>
      </c>
      <c r="R64" s="105"/>
      <c r="S64" s="103">
        <f>(COUNTIF(Y62:Y77, "o")+COUNTIF(Y79:Y81, "o"))/COUNTA(Y62:Y77,Y79:Y81)</f>
        <v>0.58333333333333337</v>
      </c>
      <c r="T64" s="104"/>
      <c r="U64" s="42"/>
      <c r="V64" s="60">
        <v>0.56000000000000005</v>
      </c>
      <c r="W64" s="7" t="s">
        <v>187</v>
      </c>
      <c r="X64" s="59">
        <v>0.52</v>
      </c>
      <c r="Y64" s="39" t="s">
        <v>188</v>
      </c>
    </row>
    <row r="65" spans="2:39" x14ac:dyDescent="0.45">
      <c r="B65" s="8" t="s">
        <v>140</v>
      </c>
      <c r="C65" s="11">
        <f t="shared" si="7"/>
        <v>32</v>
      </c>
      <c r="D65" s="11">
        <v>951</v>
      </c>
      <c r="E65" s="25" t="s">
        <v>9</v>
      </c>
      <c r="F65" s="11" t="s">
        <v>87</v>
      </c>
      <c r="G65" s="11" t="s">
        <v>23</v>
      </c>
      <c r="H65" s="39" t="s">
        <v>17</v>
      </c>
      <c r="I65" s="2">
        <f t="shared" si="3"/>
        <v>0</v>
      </c>
      <c r="J65" s="2">
        <f t="shared" si="4"/>
        <v>0</v>
      </c>
      <c r="K65" s="2"/>
      <c r="L65" s="8" t="s">
        <v>170</v>
      </c>
      <c r="M65" s="15">
        <f>(M33+P33)-M69</f>
        <v>460</v>
      </c>
      <c r="N65" s="43"/>
      <c r="O65" s="56" t="s">
        <v>164</v>
      </c>
      <c r="P65" s="12"/>
      <c r="Q65" s="103">
        <f>3/12</f>
        <v>0.25</v>
      </c>
      <c r="R65" s="105"/>
      <c r="S65" s="54">
        <f>(M66)/(M66+M65)</f>
        <v>0.27330173775671407</v>
      </c>
      <c r="T65" s="55"/>
      <c r="U65" s="42"/>
      <c r="V65" s="60">
        <v>0.56000000000000005</v>
      </c>
      <c r="W65" s="7" t="s">
        <v>188</v>
      </c>
      <c r="X65" s="59">
        <v>0.5</v>
      </c>
      <c r="Y65" s="39" t="s">
        <v>188</v>
      </c>
    </row>
    <row r="66" spans="2:39" x14ac:dyDescent="0.45">
      <c r="B66" s="8" t="s">
        <v>141</v>
      </c>
      <c r="C66" s="11">
        <f t="shared" si="7"/>
        <v>37</v>
      </c>
      <c r="D66" s="11">
        <v>988</v>
      </c>
      <c r="E66" s="25" t="s">
        <v>9</v>
      </c>
      <c r="F66" s="26" t="s">
        <v>11</v>
      </c>
      <c r="G66" s="11" t="s">
        <v>14</v>
      </c>
      <c r="H66" s="39" t="s">
        <v>12</v>
      </c>
      <c r="I66" s="2">
        <f t="shared" si="3"/>
        <v>0</v>
      </c>
      <c r="J66" s="2">
        <f t="shared" si="4"/>
        <v>0</v>
      </c>
      <c r="K66" s="2"/>
      <c r="L66" s="8" t="s">
        <v>167</v>
      </c>
      <c r="M66" s="15">
        <f>P78+M69</f>
        <v>173</v>
      </c>
      <c r="N66" s="43"/>
      <c r="O66" s="110" t="s">
        <v>165</v>
      </c>
      <c r="P66" s="111"/>
      <c r="Q66" s="103">
        <f>((3/12)+(3/12)+(2/11))/3</f>
        <v>0.22727272727272729</v>
      </c>
      <c r="R66" s="105"/>
      <c r="S66" s="103">
        <f>M67/M66</f>
        <v>0.24277456647398843</v>
      </c>
      <c r="T66" s="104"/>
      <c r="U66" s="42"/>
      <c r="V66" s="60">
        <v>0.55000000000000004</v>
      </c>
      <c r="W66" s="7" t="s">
        <v>187</v>
      </c>
      <c r="X66" s="59">
        <v>0.55000000000000004</v>
      </c>
      <c r="Y66" s="39" t="s">
        <v>187</v>
      </c>
      <c r="AJ66" s="3"/>
    </row>
    <row r="67" spans="2:39" x14ac:dyDescent="0.45">
      <c r="B67" s="8" t="s">
        <v>142</v>
      </c>
      <c r="C67" s="11">
        <f t="shared" si="7"/>
        <v>18</v>
      </c>
      <c r="D67" s="11">
        <v>1006</v>
      </c>
      <c r="E67" s="25" t="s">
        <v>9</v>
      </c>
      <c r="F67" s="11" t="s">
        <v>25</v>
      </c>
      <c r="G67" s="11" t="s">
        <v>23</v>
      </c>
      <c r="H67" s="39" t="s">
        <v>17</v>
      </c>
      <c r="I67" s="2">
        <f t="shared" si="3"/>
        <v>0</v>
      </c>
      <c r="J67" s="2">
        <f t="shared" si="4"/>
        <v>0</v>
      </c>
      <c r="K67" s="2"/>
      <c r="L67" s="8" t="s">
        <v>156</v>
      </c>
      <c r="M67" s="15">
        <f>COUNTIF(F5:F81, "가속")+COUNTIF(F5:F81, "스킬")+COUNTIF(F5:F81, "승계")</f>
        <v>42</v>
      </c>
      <c r="N67" s="43"/>
      <c r="O67" s="130" t="s">
        <v>166</v>
      </c>
      <c r="P67" s="131"/>
      <c r="Q67" s="126">
        <f>((3/12)+(3/12)+(2/11)+(3/12)+(2/11)+(2/11)+(2/11)+(2/11))/8</f>
        <v>0.20738636363636367</v>
      </c>
      <c r="R67" s="126"/>
      <c r="S67" s="126">
        <f>M68/M67</f>
        <v>0.16666666666666666</v>
      </c>
      <c r="T67" s="127"/>
      <c r="U67" s="42"/>
      <c r="V67" s="60">
        <v>0.56999999999999995</v>
      </c>
      <c r="W67" s="7" t="s">
        <v>187</v>
      </c>
      <c r="X67" s="59">
        <v>0.55000000000000004</v>
      </c>
      <c r="Y67" s="39" t="s">
        <v>188</v>
      </c>
    </row>
    <row r="68" spans="2:39" x14ac:dyDescent="0.45">
      <c r="B68" s="8" t="s">
        <v>143</v>
      </c>
      <c r="C68" s="11">
        <f t="shared" si="7"/>
        <v>16</v>
      </c>
      <c r="D68" s="11">
        <v>1022</v>
      </c>
      <c r="E68" s="26" t="s">
        <v>11</v>
      </c>
      <c r="F68" s="27" t="s">
        <v>20</v>
      </c>
      <c r="G68" s="11" t="s">
        <v>25</v>
      </c>
      <c r="H68" s="39" t="s">
        <v>79</v>
      </c>
      <c r="I68" s="2">
        <f t="shared" si="3"/>
        <v>0</v>
      </c>
      <c r="J68" s="2">
        <f t="shared" si="4"/>
        <v>0</v>
      </c>
      <c r="K68" s="2"/>
      <c r="L68" s="8" t="s">
        <v>163</v>
      </c>
      <c r="M68" s="15">
        <f>N85+N95</f>
        <v>7</v>
      </c>
      <c r="N68" s="43"/>
      <c r="O68" s="130" t="s">
        <v>185</v>
      </c>
      <c r="P68" s="131"/>
      <c r="Q68" s="126">
        <f>SUM(AB4:AB9)</f>
        <v>1.1751033057851239E-2</v>
      </c>
      <c r="R68" s="126"/>
      <c r="S68" s="126">
        <f>M68/((M33+P33)+P78)</f>
        <v>1.1058451816745656E-2</v>
      </c>
      <c r="T68" s="127"/>
      <c r="U68" s="42"/>
      <c r="V68" s="60">
        <v>0.56000000000000005</v>
      </c>
      <c r="W68" s="7" t="s">
        <v>188</v>
      </c>
      <c r="X68" s="59">
        <v>0.55000000000000004</v>
      </c>
      <c r="Y68" s="39" t="s">
        <v>187</v>
      </c>
    </row>
    <row r="69" spans="2:39" x14ac:dyDescent="0.45">
      <c r="B69" s="139" t="s">
        <v>144</v>
      </c>
      <c r="C69" s="11">
        <f t="shared" si="7"/>
        <v>1</v>
      </c>
      <c r="D69" s="11">
        <v>1023</v>
      </c>
      <c r="E69" s="25" t="s">
        <v>9</v>
      </c>
      <c r="F69" s="11" t="s">
        <v>10</v>
      </c>
      <c r="G69" s="11"/>
      <c r="H69" s="39"/>
      <c r="I69" s="2">
        <f t="shared" si="3"/>
        <v>0</v>
      </c>
      <c r="J69" s="2">
        <f t="shared" si="4"/>
        <v>0</v>
      </c>
      <c r="K69" s="2"/>
      <c r="L69" s="8" t="s">
        <v>36</v>
      </c>
      <c r="M69" s="10">
        <f>(M36+P36)-(6*P78)-M74-(M75*2)</f>
        <v>99</v>
      </c>
      <c r="N69" s="44"/>
      <c r="O69" s="130" t="s">
        <v>175</v>
      </c>
      <c r="P69" s="131"/>
      <c r="Q69" s="126">
        <f>(1/12)</f>
        <v>8.3333333333333329E-2</v>
      </c>
      <c r="R69" s="126"/>
      <c r="S69" s="126">
        <f>SUM(I5:I81)/M63</f>
        <v>7.2463768115942032E-2</v>
      </c>
      <c r="T69" s="127"/>
      <c r="U69" s="42"/>
      <c r="V69" s="60">
        <v>0.56000000000000005</v>
      </c>
      <c r="W69" s="7" t="s">
        <v>187</v>
      </c>
      <c r="X69" s="59">
        <v>0.53</v>
      </c>
      <c r="Y69" s="39" t="s">
        <v>187</v>
      </c>
    </row>
    <row r="70" spans="2:39" ht="17.5" thickBot="1" x14ac:dyDescent="0.5">
      <c r="B70" s="140"/>
      <c r="C70" s="11">
        <f t="shared" si="7"/>
        <v>5</v>
      </c>
      <c r="D70" s="11">
        <v>1028</v>
      </c>
      <c r="E70" s="25" t="s">
        <v>9</v>
      </c>
      <c r="F70" s="11" t="s">
        <v>10</v>
      </c>
      <c r="G70" s="11"/>
      <c r="H70" s="39"/>
      <c r="I70" s="2">
        <f t="shared" ref="I70:I81" si="8">IF(AND(E70="가속", F70="가속"), 1, 0)</f>
        <v>0</v>
      </c>
      <c r="J70" s="2">
        <f t="shared" ref="J70:J81" si="9">IF(AND(E70="스킬", F70="스킬"), 1, 0)</f>
        <v>0</v>
      </c>
      <c r="K70" s="2"/>
      <c r="L70" s="8" t="s">
        <v>41</v>
      </c>
      <c r="M70" s="10">
        <f>(M27+P29)-(SUMIF(L78, "*스*", M78)+SUMIF(L80:L84, "*스*", M80:M84)+SUMIF(L86:L88, "*스*", M86:M88)+SUMIF(L90:L94, "*스*", M90:M94)+SUMIF(L96, "*스*", M96))</f>
        <v>41</v>
      </c>
      <c r="N70" s="44"/>
      <c r="O70" s="132" t="s">
        <v>176</v>
      </c>
      <c r="P70" s="133"/>
      <c r="Q70" s="128">
        <f>(1/12)</f>
        <v>8.3333333333333329E-2</v>
      </c>
      <c r="R70" s="128"/>
      <c r="S70" s="128">
        <f>SUM(J5:J81)/M64</f>
        <v>7.8431372549019607E-2</v>
      </c>
      <c r="T70" s="129"/>
      <c r="U70" s="42"/>
      <c r="V70" s="60">
        <v>0.56000000000000005</v>
      </c>
      <c r="W70" s="7" t="s">
        <v>188</v>
      </c>
      <c r="X70" s="59">
        <v>0.55000000000000004</v>
      </c>
      <c r="Y70" s="39" t="s">
        <v>188</v>
      </c>
    </row>
    <row r="71" spans="2:39" x14ac:dyDescent="0.45">
      <c r="B71" s="140"/>
      <c r="C71" s="11">
        <f t="shared" si="7"/>
        <v>7</v>
      </c>
      <c r="D71" s="11">
        <v>1035</v>
      </c>
      <c r="E71" s="25" t="s">
        <v>9</v>
      </c>
      <c r="F71" s="27" t="s">
        <v>20</v>
      </c>
      <c r="G71" s="11" t="s">
        <v>14</v>
      </c>
      <c r="H71" s="39" t="s">
        <v>21</v>
      </c>
      <c r="I71" s="2">
        <f t="shared" si="8"/>
        <v>0</v>
      </c>
      <c r="J71" s="2">
        <f t="shared" si="9"/>
        <v>0</v>
      </c>
      <c r="K71" s="2"/>
      <c r="L71" s="8" t="s">
        <v>44</v>
      </c>
      <c r="M71" s="10">
        <f>M69-M70-M72</f>
        <v>55</v>
      </c>
      <c r="N71" s="44"/>
      <c r="V71" s="60">
        <v>0.55000000000000004</v>
      </c>
      <c r="W71" s="7" t="s">
        <v>187</v>
      </c>
      <c r="X71" s="13"/>
      <c r="Y71" s="22"/>
    </row>
    <row r="72" spans="2:39" x14ac:dyDescent="0.45">
      <c r="B72" s="140"/>
      <c r="C72" s="11">
        <f t="shared" si="7"/>
        <v>2</v>
      </c>
      <c r="D72" s="11">
        <v>1037</v>
      </c>
      <c r="E72" s="27" t="s">
        <v>20</v>
      </c>
      <c r="F72" s="26" t="s">
        <v>11</v>
      </c>
      <c r="G72" s="11" t="s">
        <v>19</v>
      </c>
      <c r="H72" s="39" t="s">
        <v>79</v>
      </c>
      <c r="I72" s="2">
        <f t="shared" si="8"/>
        <v>0</v>
      </c>
      <c r="J72" s="2">
        <f t="shared" si="9"/>
        <v>0</v>
      </c>
      <c r="K72" s="2"/>
      <c r="L72" s="8" t="s">
        <v>47</v>
      </c>
      <c r="M72" s="10">
        <f>COUNTA(F69:F81)-(COUNTIF(F69:F81,"가속")+COUNTIF(F69:F81,"스킬")+COUNTIF(F69:F81,"승계"))</f>
        <v>3</v>
      </c>
      <c r="N72" s="44"/>
      <c r="V72" s="60">
        <v>0.61</v>
      </c>
      <c r="W72" s="7" t="s">
        <v>187</v>
      </c>
      <c r="X72" s="13"/>
      <c r="Y72" s="22"/>
    </row>
    <row r="73" spans="2:39" x14ac:dyDescent="0.45">
      <c r="B73" s="140"/>
      <c r="C73" s="11">
        <f t="shared" si="7"/>
        <v>22</v>
      </c>
      <c r="D73" s="11">
        <v>1059</v>
      </c>
      <c r="E73" s="25" t="s">
        <v>9</v>
      </c>
      <c r="F73" s="11" t="s">
        <v>10</v>
      </c>
      <c r="G73" s="11"/>
      <c r="H73" s="39"/>
      <c r="I73" s="2">
        <f t="shared" si="8"/>
        <v>0</v>
      </c>
      <c r="J73" s="2">
        <f t="shared" si="9"/>
        <v>0</v>
      </c>
      <c r="K73" s="2"/>
      <c r="L73" s="16" t="s">
        <v>50</v>
      </c>
      <c r="M73" s="10">
        <f>(M31+P31)-(P78*2)-M74-(M75*2)</f>
        <v>14</v>
      </c>
      <c r="V73" s="60">
        <v>0.56999999999999995</v>
      </c>
      <c r="W73" s="7" t="s">
        <v>188</v>
      </c>
      <c r="X73" s="13"/>
      <c r="Y73" s="22"/>
    </row>
    <row r="74" spans="2:39" x14ac:dyDescent="0.45">
      <c r="B74" s="140"/>
      <c r="C74" s="11">
        <f t="shared" si="7"/>
        <v>11</v>
      </c>
      <c r="D74" s="11">
        <v>1070</v>
      </c>
      <c r="E74" s="25" t="s">
        <v>9</v>
      </c>
      <c r="F74" s="26" t="s">
        <v>11</v>
      </c>
      <c r="G74" s="11" t="s">
        <v>10</v>
      </c>
      <c r="H74" s="39" t="s">
        <v>12</v>
      </c>
      <c r="I74" s="2">
        <f t="shared" si="8"/>
        <v>0</v>
      </c>
      <c r="J74" s="2">
        <f t="shared" si="9"/>
        <v>0</v>
      </c>
      <c r="K74" s="2"/>
      <c r="L74" s="8" t="s">
        <v>53</v>
      </c>
      <c r="M74" s="10">
        <v>1</v>
      </c>
      <c r="N74" s="44"/>
      <c r="V74" s="60">
        <v>0.56999999999999995</v>
      </c>
      <c r="W74" s="7" t="s">
        <v>187</v>
      </c>
      <c r="X74" s="13"/>
      <c r="Y74" s="22"/>
    </row>
    <row r="75" spans="2:39" ht="17.5" thickBot="1" x14ac:dyDescent="0.5">
      <c r="B75" s="140"/>
      <c r="C75" s="11">
        <f t="shared" si="7"/>
        <v>8</v>
      </c>
      <c r="D75" s="11">
        <v>1078</v>
      </c>
      <c r="E75" s="26" t="s">
        <v>11</v>
      </c>
      <c r="F75" s="26" t="s">
        <v>11</v>
      </c>
      <c r="G75" s="11" t="s">
        <v>23</v>
      </c>
      <c r="H75" s="39" t="s">
        <v>62</v>
      </c>
      <c r="I75" s="2">
        <f t="shared" si="8"/>
        <v>0</v>
      </c>
      <c r="J75" s="2">
        <f t="shared" si="9"/>
        <v>1</v>
      </c>
      <c r="K75" s="2"/>
      <c r="L75" s="17" t="s">
        <v>57</v>
      </c>
      <c r="M75" s="48">
        <v>1</v>
      </c>
      <c r="N75" s="44"/>
      <c r="V75" s="60">
        <v>0.54</v>
      </c>
      <c r="W75" s="7" t="s">
        <v>187</v>
      </c>
      <c r="X75" s="13"/>
      <c r="Y75" s="22"/>
    </row>
    <row r="76" spans="2:39" ht="17.5" thickBot="1" x14ac:dyDescent="0.5">
      <c r="B76" s="140"/>
      <c r="C76" s="11">
        <f t="shared" si="7"/>
        <v>28</v>
      </c>
      <c r="D76" s="11">
        <v>1106</v>
      </c>
      <c r="E76" s="25" t="s">
        <v>9</v>
      </c>
      <c r="F76" s="27" t="s">
        <v>20</v>
      </c>
      <c r="G76" s="11" t="s">
        <v>87</v>
      </c>
      <c r="H76" s="39" t="s">
        <v>21</v>
      </c>
      <c r="I76" s="2">
        <f t="shared" si="8"/>
        <v>0</v>
      </c>
      <c r="J76" s="2">
        <f t="shared" si="9"/>
        <v>0</v>
      </c>
      <c r="K76" s="2"/>
      <c r="N76" s="44"/>
      <c r="V76" s="60">
        <v>0.55000000000000004</v>
      </c>
      <c r="W76" s="7" t="s">
        <v>187</v>
      </c>
      <c r="X76" s="13"/>
      <c r="Y76" s="22"/>
      <c r="AK76" s="1"/>
    </row>
    <row r="77" spans="2:39" x14ac:dyDescent="0.45">
      <c r="B77" s="140"/>
      <c r="C77" s="11">
        <f t="shared" si="7"/>
        <v>21</v>
      </c>
      <c r="D77" s="11">
        <v>1127</v>
      </c>
      <c r="E77" s="27" t="s">
        <v>20</v>
      </c>
      <c r="F77" s="27" t="s">
        <v>20</v>
      </c>
      <c r="G77" s="11" t="s">
        <v>19</v>
      </c>
      <c r="H77" s="39" t="s">
        <v>35</v>
      </c>
      <c r="I77" s="2">
        <f t="shared" si="8"/>
        <v>1</v>
      </c>
      <c r="J77" s="2">
        <f t="shared" si="9"/>
        <v>0</v>
      </c>
      <c r="K77" s="2"/>
      <c r="L77" s="95" t="s">
        <v>63</v>
      </c>
      <c r="M77" s="122"/>
      <c r="N77" s="118" t="s">
        <v>64</v>
      </c>
      <c r="O77" s="122"/>
      <c r="P77" s="118" t="s">
        <v>168</v>
      </c>
      <c r="Q77" s="97"/>
      <c r="V77" s="60">
        <v>0.56000000000000005</v>
      </c>
      <c r="W77" s="7" t="s">
        <v>188</v>
      </c>
      <c r="X77" s="13"/>
      <c r="Y77" s="22"/>
      <c r="AK77" s="1"/>
      <c r="AM77" s="1"/>
    </row>
    <row r="78" spans="2:39" x14ac:dyDescent="0.45">
      <c r="B78" s="141"/>
      <c r="C78" s="11">
        <f t="shared" si="7"/>
        <v>19</v>
      </c>
      <c r="D78" s="11">
        <v>1146</v>
      </c>
      <c r="E78" s="26" t="s">
        <v>11</v>
      </c>
      <c r="F78" s="27" t="s">
        <v>20</v>
      </c>
      <c r="G78" s="26" t="s">
        <v>11</v>
      </c>
      <c r="H78" s="50" t="s">
        <v>159</v>
      </c>
      <c r="I78" s="2">
        <f t="shared" si="8"/>
        <v>0</v>
      </c>
      <c r="J78" s="2">
        <f t="shared" si="9"/>
        <v>0</v>
      </c>
      <c r="L78" s="8" t="s">
        <v>17</v>
      </c>
      <c r="M78" s="13">
        <f>COUNTIF($H$5:$H$68,L78)</f>
        <v>24</v>
      </c>
      <c r="N78" s="100">
        <f>M78</f>
        <v>24</v>
      </c>
      <c r="O78" s="99"/>
      <c r="P78" s="112">
        <f>SUM(N78:O96)</f>
        <v>74</v>
      </c>
      <c r="Q78" s="113"/>
      <c r="V78" s="98" t="s">
        <v>33</v>
      </c>
      <c r="W78" s="102"/>
      <c r="X78" s="102"/>
      <c r="Y78" s="101"/>
      <c r="AK78" s="1"/>
      <c r="AM78" s="1"/>
    </row>
    <row r="79" spans="2:39" x14ac:dyDescent="0.45">
      <c r="B79" s="121" t="s">
        <v>177</v>
      </c>
      <c r="C79" s="11">
        <f t="shared" si="7"/>
        <v>10</v>
      </c>
      <c r="D79" s="11">
        <v>1156</v>
      </c>
      <c r="E79" s="25" t="s">
        <v>9</v>
      </c>
      <c r="F79" s="26" t="s">
        <v>11</v>
      </c>
      <c r="G79" s="11" t="s">
        <v>87</v>
      </c>
      <c r="H79" s="39" t="s">
        <v>12</v>
      </c>
      <c r="I79" s="2">
        <f t="shared" si="8"/>
        <v>0</v>
      </c>
      <c r="J79" s="2">
        <f t="shared" si="9"/>
        <v>0</v>
      </c>
      <c r="L79" s="98" t="s">
        <v>180</v>
      </c>
      <c r="M79" s="99"/>
      <c r="N79" s="112">
        <f>SUM(M80:M84)</f>
        <v>35</v>
      </c>
      <c r="O79" s="119"/>
      <c r="P79" s="114"/>
      <c r="Q79" s="115"/>
      <c r="V79" s="60">
        <v>0.56999999999999995</v>
      </c>
      <c r="W79" s="7" t="s">
        <v>188</v>
      </c>
      <c r="X79" s="59">
        <v>0.53</v>
      </c>
      <c r="Y79" s="39" t="s">
        <v>187</v>
      </c>
      <c r="AK79" s="1"/>
      <c r="AM79" s="1"/>
    </row>
    <row r="80" spans="2:39" x14ac:dyDescent="0.45">
      <c r="B80" s="121"/>
      <c r="C80" s="11">
        <f t="shared" si="7"/>
        <v>3</v>
      </c>
      <c r="D80" s="11">
        <v>1159</v>
      </c>
      <c r="E80" s="25" t="s">
        <v>9</v>
      </c>
      <c r="F80" s="27" t="s">
        <v>20</v>
      </c>
      <c r="G80" s="11" t="s">
        <v>23</v>
      </c>
      <c r="H80" s="39" t="s">
        <v>21</v>
      </c>
      <c r="I80" s="2">
        <f t="shared" si="8"/>
        <v>0</v>
      </c>
      <c r="J80" s="2">
        <f t="shared" si="9"/>
        <v>0</v>
      </c>
      <c r="L80" s="8" t="s">
        <v>21</v>
      </c>
      <c r="M80" s="13">
        <f>COUNTIF($H$5:$H$68,L80)</f>
        <v>15</v>
      </c>
      <c r="N80" s="114"/>
      <c r="O80" s="123"/>
      <c r="P80" s="114"/>
      <c r="Q80" s="115"/>
      <c r="V80" s="60">
        <v>0.54</v>
      </c>
      <c r="W80" s="7" t="s">
        <v>188</v>
      </c>
      <c r="X80" s="59">
        <v>0.55000000000000004</v>
      </c>
      <c r="Y80" s="39" t="s">
        <v>188</v>
      </c>
      <c r="AK80" s="1"/>
      <c r="AM80" s="1"/>
    </row>
    <row r="81" spans="2:39" ht="17.5" thickBot="1" x14ac:dyDescent="0.5">
      <c r="B81" s="121"/>
      <c r="C81" s="11">
        <f t="shared" si="7"/>
        <v>2</v>
      </c>
      <c r="D81" s="11">
        <v>1161</v>
      </c>
      <c r="E81" s="27" t="s">
        <v>20</v>
      </c>
      <c r="F81" s="26" t="s">
        <v>11</v>
      </c>
      <c r="G81" s="26" t="s">
        <v>11</v>
      </c>
      <c r="H81" s="50" t="s">
        <v>159</v>
      </c>
      <c r="I81" s="2">
        <f t="shared" si="8"/>
        <v>0</v>
      </c>
      <c r="J81" s="2">
        <f t="shared" si="9"/>
        <v>0</v>
      </c>
      <c r="L81" s="8" t="s">
        <v>12</v>
      </c>
      <c r="M81" s="13">
        <f>COUNTIF($H$5:$H$68,L81)</f>
        <v>12</v>
      </c>
      <c r="N81" s="114"/>
      <c r="O81" s="123"/>
      <c r="P81" s="114"/>
      <c r="Q81" s="115"/>
      <c r="V81" s="61"/>
      <c r="W81" s="18"/>
      <c r="X81" s="62">
        <v>0.52</v>
      </c>
      <c r="Y81" s="45" t="s">
        <v>188</v>
      </c>
      <c r="AK81" s="1"/>
      <c r="AM81" s="1"/>
    </row>
    <row r="82" spans="2:39" ht="17.5" thickBot="1" x14ac:dyDescent="0.5">
      <c r="B82" s="52" t="s">
        <v>178</v>
      </c>
      <c r="C82" s="133" t="s">
        <v>179</v>
      </c>
      <c r="D82" s="133"/>
      <c r="E82" s="53" t="s">
        <v>9</v>
      </c>
      <c r="F82" s="21" t="s">
        <v>25</v>
      </c>
      <c r="G82" s="21" t="s">
        <v>30</v>
      </c>
      <c r="H82" s="45" t="s">
        <v>17</v>
      </c>
      <c r="I82" s="2"/>
      <c r="J82" s="2"/>
      <c r="L82" s="8" t="s">
        <v>35</v>
      </c>
      <c r="M82" s="13">
        <f>COUNTIF($H$5:$H$68,L82)</f>
        <v>3</v>
      </c>
      <c r="N82" s="114"/>
      <c r="O82" s="123"/>
      <c r="P82" s="114"/>
      <c r="Q82" s="115"/>
      <c r="AK82" s="1"/>
      <c r="AM82" s="1"/>
    </row>
    <row r="83" spans="2:39" x14ac:dyDescent="0.45">
      <c r="I83" s="2"/>
      <c r="J83" s="2"/>
      <c r="L83" s="8" t="s">
        <v>62</v>
      </c>
      <c r="M83" s="13">
        <f>COUNTIF($H$5:$H$68,L83)</f>
        <v>3</v>
      </c>
      <c r="N83" s="114"/>
      <c r="O83" s="123"/>
      <c r="P83" s="114"/>
      <c r="Q83" s="115"/>
      <c r="AK83" s="1"/>
      <c r="AM83" s="1"/>
    </row>
    <row r="84" spans="2:39" x14ac:dyDescent="0.45">
      <c r="I84" s="2"/>
      <c r="J84" s="2"/>
      <c r="L84" s="8" t="s">
        <v>79</v>
      </c>
      <c r="M84" s="13">
        <f>COUNTIF($H$5:$H$68,L84)</f>
        <v>2</v>
      </c>
      <c r="N84" s="124"/>
      <c r="O84" s="125"/>
      <c r="P84" s="114"/>
      <c r="Q84" s="115"/>
      <c r="AK84" s="1"/>
      <c r="AM84" s="1"/>
    </row>
    <row r="85" spans="2:39" x14ac:dyDescent="0.45">
      <c r="I85" s="2"/>
      <c r="J85" s="2"/>
      <c r="L85" s="98" t="s">
        <v>81</v>
      </c>
      <c r="M85" s="99"/>
      <c r="N85" s="112">
        <f>SUM(M86:M88)</f>
        <v>5</v>
      </c>
      <c r="O85" s="119"/>
      <c r="P85" s="114"/>
      <c r="Q85" s="115"/>
      <c r="AK85" s="1"/>
      <c r="AM85" s="1"/>
    </row>
    <row r="86" spans="2:39" x14ac:dyDescent="0.45">
      <c r="I86" s="2"/>
      <c r="J86" s="2"/>
      <c r="L86" s="8" t="s">
        <v>83</v>
      </c>
      <c r="M86" s="13">
        <f>COUNTIF($H$5:$H$68,L86)</f>
        <v>2</v>
      </c>
      <c r="N86" s="114"/>
      <c r="O86" s="123"/>
      <c r="P86" s="114"/>
      <c r="Q86" s="115"/>
      <c r="AK86" s="1"/>
      <c r="AM86" s="1"/>
    </row>
    <row r="87" spans="2:39" x14ac:dyDescent="0.45">
      <c r="I87" s="2"/>
      <c r="J87" s="2"/>
      <c r="L87" s="8" t="s">
        <v>85</v>
      </c>
      <c r="M87" s="13">
        <f>COUNTIF($H$5:$H$68,L87)</f>
        <v>2</v>
      </c>
      <c r="N87" s="114"/>
      <c r="O87" s="123"/>
      <c r="P87" s="114"/>
      <c r="Q87" s="115"/>
      <c r="AK87" s="1"/>
      <c r="AM87" s="1"/>
    </row>
    <row r="88" spans="2:39" x14ac:dyDescent="0.45">
      <c r="I88" s="2"/>
      <c r="J88" s="2"/>
      <c r="L88" s="8" t="s">
        <v>56</v>
      </c>
      <c r="M88" s="13">
        <f>COUNTIF($H$5:$H$68,L88)</f>
        <v>1</v>
      </c>
      <c r="N88" s="124"/>
      <c r="O88" s="125"/>
      <c r="P88" s="114"/>
      <c r="Q88" s="115"/>
      <c r="AK88" s="1"/>
      <c r="AM88" s="1"/>
    </row>
    <row r="89" spans="2:39" x14ac:dyDescent="0.45">
      <c r="I89" s="2"/>
      <c r="J89" s="2"/>
      <c r="L89" s="98" t="s">
        <v>181</v>
      </c>
      <c r="M89" s="99"/>
      <c r="N89" s="112">
        <f>SUM(M90:M94)</f>
        <v>8</v>
      </c>
      <c r="O89" s="119"/>
      <c r="P89" s="114"/>
      <c r="Q89" s="115"/>
      <c r="AK89" s="1"/>
      <c r="AM89" s="1"/>
    </row>
    <row r="90" spans="2:39" x14ac:dyDescent="0.45">
      <c r="I90" s="2"/>
      <c r="J90" s="2"/>
      <c r="L90" s="8" t="s">
        <v>21</v>
      </c>
      <c r="M90" s="13">
        <f>COUNTIF($H$69:$H$81,L90)</f>
        <v>3</v>
      </c>
      <c r="N90" s="114"/>
      <c r="O90" s="123"/>
      <c r="P90" s="114"/>
      <c r="Q90" s="115"/>
      <c r="AK90" s="1"/>
      <c r="AM90" s="1"/>
    </row>
    <row r="91" spans="2:39" x14ac:dyDescent="0.45">
      <c r="I91" s="2"/>
      <c r="J91" s="2"/>
      <c r="L91" s="8" t="s">
        <v>79</v>
      </c>
      <c r="M91" s="13">
        <f t="shared" ref="M91:M94" si="10">COUNTIF($H$69:$H$81,L91)</f>
        <v>1</v>
      </c>
      <c r="N91" s="114"/>
      <c r="O91" s="123"/>
      <c r="P91" s="114"/>
      <c r="Q91" s="115"/>
      <c r="AK91" s="1"/>
      <c r="AM91" s="1"/>
    </row>
    <row r="92" spans="2:39" x14ac:dyDescent="0.45">
      <c r="I92" s="2"/>
      <c r="J92" s="2"/>
      <c r="L92" s="8" t="s">
        <v>12</v>
      </c>
      <c r="M92" s="13">
        <f t="shared" si="10"/>
        <v>2</v>
      </c>
      <c r="N92" s="114"/>
      <c r="O92" s="123"/>
      <c r="P92" s="114"/>
      <c r="Q92" s="115"/>
      <c r="AK92" s="1"/>
      <c r="AM92" s="1"/>
    </row>
    <row r="93" spans="2:39" x14ac:dyDescent="0.45">
      <c r="I93" s="2"/>
      <c r="J93" s="2"/>
      <c r="L93" s="8" t="s">
        <v>62</v>
      </c>
      <c r="M93" s="13">
        <f t="shared" si="10"/>
        <v>1</v>
      </c>
      <c r="N93" s="114"/>
      <c r="O93" s="123"/>
      <c r="P93" s="114"/>
      <c r="Q93" s="115"/>
      <c r="AK93" s="1"/>
      <c r="AM93" s="1"/>
    </row>
    <row r="94" spans="2:39" x14ac:dyDescent="0.45">
      <c r="I94" s="2"/>
      <c r="J94" s="2"/>
      <c r="L94" s="8" t="s">
        <v>35</v>
      </c>
      <c r="M94" s="13">
        <f t="shared" si="10"/>
        <v>1</v>
      </c>
      <c r="N94" s="124"/>
      <c r="O94" s="125"/>
      <c r="P94" s="114"/>
      <c r="Q94" s="115"/>
      <c r="T94" s="2"/>
      <c r="U94" s="2"/>
      <c r="AK94" s="1"/>
      <c r="AM94" s="1"/>
    </row>
    <row r="95" spans="2:39" x14ac:dyDescent="0.45">
      <c r="I95" s="2"/>
      <c r="J95" s="2"/>
      <c r="L95" s="98" t="s">
        <v>171</v>
      </c>
      <c r="M95" s="99"/>
      <c r="N95" s="112">
        <f>SUM(M96)</f>
        <v>2</v>
      </c>
      <c r="O95" s="119"/>
      <c r="P95" s="114"/>
      <c r="Q95" s="115"/>
      <c r="T95" s="2"/>
      <c r="U95" s="2"/>
      <c r="AK95" s="1"/>
      <c r="AM95" s="1"/>
    </row>
    <row r="96" spans="2:39" ht="17.5" thickBot="1" x14ac:dyDescent="0.5">
      <c r="I96" s="2"/>
      <c r="J96" s="2"/>
      <c r="L96" s="17" t="s">
        <v>159</v>
      </c>
      <c r="M96" s="18">
        <f>COUNTIF($H$69:$H$81,L96)</f>
        <v>2</v>
      </c>
      <c r="N96" s="116"/>
      <c r="O96" s="120"/>
      <c r="P96" s="116"/>
      <c r="Q96" s="117"/>
      <c r="T96" s="2"/>
      <c r="U96" s="2"/>
    </row>
    <row r="97" spans="9:10" x14ac:dyDescent="0.45">
      <c r="I97" s="2"/>
      <c r="J97" s="2"/>
    </row>
    <row r="98" spans="9:10" x14ac:dyDescent="0.45">
      <c r="I98" s="2"/>
      <c r="J98" s="2"/>
    </row>
    <row r="99" spans="9:10" x14ac:dyDescent="0.45">
      <c r="I99" s="2"/>
      <c r="J99" s="2"/>
    </row>
    <row r="115" spans="27:27" x14ac:dyDescent="0.45">
      <c r="AA115" s="32"/>
    </row>
    <row r="116" spans="27:27" x14ac:dyDescent="0.45">
      <c r="AA116" s="32"/>
    </row>
    <row r="117" spans="27:27" x14ac:dyDescent="0.45">
      <c r="AA117" s="32"/>
    </row>
    <row r="118" spans="27:27" x14ac:dyDescent="0.45">
      <c r="AA118" s="32"/>
    </row>
    <row r="119" spans="27:27" x14ac:dyDescent="0.45">
      <c r="AA119" s="32"/>
    </row>
    <row r="120" spans="27:27" x14ac:dyDescent="0.45">
      <c r="AA120" s="32"/>
    </row>
    <row r="121" spans="27:27" x14ac:dyDescent="0.45">
      <c r="AA121" s="32"/>
    </row>
    <row r="122" spans="27:27" x14ac:dyDescent="0.45">
      <c r="AA122" s="32"/>
    </row>
    <row r="123" spans="27:27" x14ac:dyDescent="0.45">
      <c r="AA123" s="32"/>
    </row>
  </sheetData>
  <mergeCells count="213">
    <mergeCell ref="P25:Q25"/>
    <mergeCell ref="P26:Q26"/>
    <mergeCell ref="P27:Q27"/>
    <mergeCell ref="AN21:AN26"/>
    <mergeCell ref="L24:O24"/>
    <mergeCell ref="S3:W3"/>
    <mergeCell ref="U25:V25"/>
    <mergeCell ref="U26:V26"/>
    <mergeCell ref="C3:D3"/>
    <mergeCell ref="L3:M3"/>
    <mergeCell ref="L12:M12"/>
    <mergeCell ref="Y24:Z24"/>
    <mergeCell ref="T18:V18"/>
    <mergeCell ref="T19:V19"/>
    <mergeCell ref="T20:V20"/>
    <mergeCell ref="T21:V21"/>
    <mergeCell ref="T22:V22"/>
    <mergeCell ref="E3:H3"/>
    <mergeCell ref="N14:O14"/>
    <mergeCell ref="N10:O10"/>
    <mergeCell ref="N11:O11"/>
    <mergeCell ref="U24:X24"/>
    <mergeCell ref="Z3:AA3"/>
    <mergeCell ref="R37:S37"/>
    <mergeCell ref="R38:S38"/>
    <mergeCell ref="P33:Q33"/>
    <mergeCell ref="P34:Q34"/>
    <mergeCell ref="P35:Q35"/>
    <mergeCell ref="P36:Q36"/>
    <mergeCell ref="P37:Q37"/>
    <mergeCell ref="P28:Q28"/>
    <mergeCell ref="P29:Q29"/>
    <mergeCell ref="P30:Q30"/>
    <mergeCell ref="P31:Q31"/>
    <mergeCell ref="P32:Q32"/>
    <mergeCell ref="R28:S28"/>
    <mergeCell ref="R29:S29"/>
    <mergeCell ref="R30:S30"/>
    <mergeCell ref="R31:S31"/>
    <mergeCell ref="R32:S32"/>
    <mergeCell ref="R33:S33"/>
    <mergeCell ref="R34:S34"/>
    <mergeCell ref="R35:S35"/>
    <mergeCell ref="R36:S36"/>
    <mergeCell ref="N25:O25"/>
    <mergeCell ref="N26:O26"/>
    <mergeCell ref="N27:O27"/>
    <mergeCell ref="N28:O28"/>
    <mergeCell ref="R51:S51"/>
    <mergeCell ref="P24:S24"/>
    <mergeCell ref="T4:V4"/>
    <mergeCell ref="T7:V7"/>
    <mergeCell ref="T5:V5"/>
    <mergeCell ref="T6:V6"/>
    <mergeCell ref="T8:V8"/>
    <mergeCell ref="T9:V9"/>
    <mergeCell ref="T10:V10"/>
    <mergeCell ref="T11:V11"/>
    <mergeCell ref="T12:V12"/>
    <mergeCell ref="T13:V13"/>
    <mergeCell ref="T14:V14"/>
    <mergeCell ref="T15:V15"/>
    <mergeCell ref="T16:V16"/>
    <mergeCell ref="T17:V17"/>
    <mergeCell ref="P38:Q38"/>
    <mergeCell ref="R25:S25"/>
    <mergeCell ref="R26:S26"/>
    <mergeCell ref="R27:S27"/>
    <mergeCell ref="N3:O3"/>
    <mergeCell ref="N4:O4"/>
    <mergeCell ref="N5:O5"/>
    <mergeCell ref="N6:O6"/>
    <mergeCell ref="N7:O7"/>
    <mergeCell ref="N8:O8"/>
    <mergeCell ref="N9:O9"/>
    <mergeCell ref="N12:O12"/>
    <mergeCell ref="N13:O13"/>
    <mergeCell ref="N34:O34"/>
    <mergeCell ref="N35:O35"/>
    <mergeCell ref="N36:O36"/>
    <mergeCell ref="N37:O37"/>
    <mergeCell ref="N38:O38"/>
    <mergeCell ref="N29:O29"/>
    <mergeCell ref="N30:O30"/>
    <mergeCell ref="N31:O31"/>
    <mergeCell ref="N32:O32"/>
    <mergeCell ref="N33:O33"/>
    <mergeCell ref="S67:T67"/>
    <mergeCell ref="S68:T68"/>
    <mergeCell ref="S69:T69"/>
    <mergeCell ref="S70:T70"/>
    <mergeCell ref="Q67:R67"/>
    <mergeCell ref="Q68:R68"/>
    <mergeCell ref="Q69:R69"/>
    <mergeCell ref="Q70:R70"/>
    <mergeCell ref="P54:Q54"/>
    <mergeCell ref="O67:P67"/>
    <mergeCell ref="O68:P68"/>
    <mergeCell ref="O69:P69"/>
    <mergeCell ref="O70:P70"/>
    <mergeCell ref="N54:O54"/>
    <mergeCell ref="P78:Q96"/>
    <mergeCell ref="P77:Q77"/>
    <mergeCell ref="N95:O96"/>
    <mergeCell ref="B79:B81"/>
    <mergeCell ref="N77:O77"/>
    <mergeCell ref="N78:O78"/>
    <mergeCell ref="N79:O84"/>
    <mergeCell ref="N85:O88"/>
    <mergeCell ref="N89:O94"/>
    <mergeCell ref="C82:D82"/>
    <mergeCell ref="L89:M89"/>
    <mergeCell ref="L95:M95"/>
    <mergeCell ref="L77:M77"/>
    <mergeCell ref="L79:M79"/>
    <mergeCell ref="L85:M85"/>
    <mergeCell ref="B69:B78"/>
    <mergeCell ref="O66:P66"/>
    <mergeCell ref="O63:P63"/>
    <mergeCell ref="O64:P64"/>
    <mergeCell ref="R45:S45"/>
    <mergeCell ref="N53:O53"/>
    <mergeCell ref="O58:T58"/>
    <mergeCell ref="O62:P62"/>
    <mergeCell ref="O61:P61"/>
    <mergeCell ref="O60:P60"/>
    <mergeCell ref="O59:P59"/>
    <mergeCell ref="Q59:R59"/>
    <mergeCell ref="S59:T59"/>
    <mergeCell ref="Q60:R60"/>
    <mergeCell ref="Q61:R61"/>
    <mergeCell ref="Q62:R62"/>
    <mergeCell ref="S60:T60"/>
    <mergeCell ref="S61:T61"/>
    <mergeCell ref="S62:T62"/>
    <mergeCell ref="N51:O51"/>
    <mergeCell ref="P46:Q46"/>
    <mergeCell ref="P40:Q40"/>
    <mergeCell ref="P47:Q47"/>
    <mergeCell ref="P48:Q48"/>
    <mergeCell ref="R46:S46"/>
    <mergeCell ref="R40:S40"/>
    <mergeCell ref="R47:S47"/>
    <mergeCell ref="R48:S48"/>
    <mergeCell ref="P49:Q49"/>
    <mergeCell ref="R49:S49"/>
    <mergeCell ref="V58:Y58"/>
    <mergeCell ref="V59:W59"/>
    <mergeCell ref="X59:Y59"/>
    <mergeCell ref="V60:Y60"/>
    <mergeCell ref="V78:Y78"/>
    <mergeCell ref="R39:S39"/>
    <mergeCell ref="S66:T66"/>
    <mergeCell ref="Q66:R66"/>
    <mergeCell ref="Q63:R63"/>
    <mergeCell ref="S63:T63"/>
    <mergeCell ref="Q64:R64"/>
    <mergeCell ref="S64:T64"/>
    <mergeCell ref="Q65:R65"/>
    <mergeCell ref="L43:S43"/>
    <mergeCell ref="L44:O44"/>
    <mergeCell ref="P44:S44"/>
    <mergeCell ref="N45:O45"/>
    <mergeCell ref="P45:Q45"/>
    <mergeCell ref="N47:O47"/>
    <mergeCell ref="N48:O48"/>
    <mergeCell ref="N49:O49"/>
    <mergeCell ref="N39:O39"/>
    <mergeCell ref="P39:Q39"/>
    <mergeCell ref="N40:O40"/>
    <mergeCell ref="U32:V32"/>
    <mergeCell ref="U33:V33"/>
    <mergeCell ref="U34:V34"/>
    <mergeCell ref="U35:V35"/>
    <mergeCell ref="U36:V36"/>
    <mergeCell ref="U27:V27"/>
    <mergeCell ref="U28:V28"/>
    <mergeCell ref="U29:V29"/>
    <mergeCell ref="U30:V30"/>
    <mergeCell ref="U31:V31"/>
    <mergeCell ref="U40:V40"/>
    <mergeCell ref="U46:V46"/>
    <mergeCell ref="U52:V52"/>
    <mergeCell ref="U48:V48"/>
    <mergeCell ref="U37:V37"/>
    <mergeCell ref="U38:V38"/>
    <mergeCell ref="U39:V39"/>
    <mergeCell ref="U41:V41"/>
    <mergeCell ref="U42:V42"/>
    <mergeCell ref="R54:S54"/>
    <mergeCell ref="U50:V50"/>
    <mergeCell ref="R53:S53"/>
    <mergeCell ref="P53:Q53"/>
    <mergeCell ref="U56:V56"/>
    <mergeCell ref="N41:O41"/>
    <mergeCell ref="R41:S41"/>
    <mergeCell ref="P41:Q41"/>
    <mergeCell ref="U49:V49"/>
    <mergeCell ref="U47:V47"/>
    <mergeCell ref="U53:V53"/>
    <mergeCell ref="U54:V54"/>
    <mergeCell ref="U55:V55"/>
    <mergeCell ref="U43:V43"/>
    <mergeCell ref="U44:V44"/>
    <mergeCell ref="U45:V45"/>
    <mergeCell ref="N50:O50"/>
    <mergeCell ref="P50:Q50"/>
    <mergeCell ref="R50:S50"/>
    <mergeCell ref="N52:O52"/>
    <mergeCell ref="P52:Q52"/>
    <mergeCell ref="R52:S52"/>
    <mergeCell ref="P51:Q51"/>
    <mergeCell ref="N46:O46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일상개글작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Knight</dc:creator>
  <cp:lastModifiedBy>Steven Knight</cp:lastModifiedBy>
  <dcterms:created xsi:type="dcterms:W3CDTF">2024-02-08T11:02:42Z</dcterms:created>
  <dcterms:modified xsi:type="dcterms:W3CDTF">2024-02-20T11:06:27Z</dcterms:modified>
</cp:coreProperties>
</file>