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8800" windowHeight="12165"/>
  </bookViews>
  <sheets>
    <sheet name="시전시간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5" i="1" l="1"/>
  <c r="S35" i="1"/>
  <c r="R35" i="1"/>
  <c r="Q35" i="1"/>
  <c r="P35" i="1"/>
  <c r="N35" i="1"/>
  <c r="O35" i="1" s="1"/>
  <c r="E35" i="1"/>
  <c r="Y34" i="1"/>
  <c r="W34" i="1"/>
  <c r="T34" i="1"/>
  <c r="S34" i="1"/>
  <c r="R34" i="1"/>
  <c r="Q34" i="1"/>
  <c r="P34" i="1"/>
  <c r="N34" i="1"/>
  <c r="O34" i="1" s="1"/>
  <c r="E34" i="1"/>
  <c r="Y33" i="1"/>
  <c r="W33" i="1"/>
  <c r="T33" i="1"/>
  <c r="S33" i="1"/>
  <c r="R33" i="1"/>
  <c r="Q33" i="1"/>
  <c r="P33" i="1"/>
  <c r="N33" i="1"/>
  <c r="O33" i="1" s="1"/>
  <c r="E33" i="1"/>
  <c r="W32" i="1"/>
  <c r="V32" i="1"/>
  <c r="R32" i="1"/>
  <c r="E32" i="1"/>
  <c r="Y31" i="1"/>
  <c r="W31" i="1"/>
  <c r="T31" i="1"/>
  <c r="S31" i="1"/>
  <c r="R31" i="1"/>
  <c r="Q31" i="1"/>
  <c r="P31" i="1"/>
  <c r="N31" i="1"/>
  <c r="O31" i="1" s="1"/>
  <c r="E31" i="1"/>
  <c r="AB30" i="1"/>
  <c r="W30" i="1"/>
  <c r="R30" i="1"/>
  <c r="E30" i="1"/>
  <c r="Y29" i="1"/>
  <c r="W29" i="1"/>
  <c r="T29" i="1"/>
  <c r="S29" i="1"/>
  <c r="R29" i="1"/>
  <c r="Q29" i="1"/>
  <c r="P29" i="1"/>
  <c r="N29" i="1"/>
  <c r="O29" i="1" s="1"/>
  <c r="E29" i="1"/>
  <c r="W28" i="1"/>
  <c r="R28" i="1"/>
  <c r="E28" i="1"/>
  <c r="Y27" i="1"/>
  <c r="W27" i="1"/>
  <c r="T27" i="1"/>
  <c r="S27" i="1"/>
  <c r="R27" i="1"/>
  <c r="Q27" i="1"/>
  <c r="P27" i="1"/>
  <c r="N27" i="1"/>
  <c r="O27" i="1" s="1"/>
  <c r="E27" i="1"/>
  <c r="W26" i="1"/>
  <c r="R26" i="1"/>
  <c r="E26" i="1"/>
  <c r="W25" i="1"/>
  <c r="R25" i="1"/>
  <c r="E25" i="1"/>
  <c r="W24" i="1"/>
  <c r="R24" i="1"/>
  <c r="E24" i="1"/>
  <c r="W23" i="1"/>
  <c r="R23" i="1"/>
  <c r="E23" i="1"/>
  <c r="W22" i="1"/>
  <c r="R22" i="1"/>
  <c r="E22" i="1"/>
  <c r="Y21" i="1"/>
  <c r="W21" i="1"/>
  <c r="T21" i="1"/>
  <c r="S21" i="1"/>
  <c r="R21" i="1"/>
  <c r="Q21" i="1"/>
  <c r="P21" i="1"/>
  <c r="N21" i="1"/>
  <c r="O21" i="1" s="1"/>
  <c r="E21" i="1"/>
  <c r="I21" i="1" s="1"/>
  <c r="W20" i="1"/>
  <c r="R20" i="1"/>
  <c r="E20" i="1"/>
  <c r="N10" i="1"/>
  <c r="N8" i="1"/>
  <c r="AB24" i="1" s="1"/>
  <c r="N7" i="1"/>
  <c r="E7" i="1"/>
  <c r="L20" i="1" s="1"/>
  <c r="M20" i="1" s="1"/>
  <c r="N6" i="1"/>
  <c r="C5" i="1"/>
  <c r="V4" i="1"/>
  <c r="F4" i="1"/>
  <c r="F5" i="1" s="1"/>
  <c r="E5" i="1" s="1"/>
  <c r="E6" i="1" s="1"/>
  <c r="H27" i="1" s="1"/>
  <c r="C4" i="1"/>
  <c r="C3" i="1"/>
  <c r="C2" i="1"/>
  <c r="I25" i="1" l="1"/>
  <c r="I28" i="1"/>
  <c r="I31" i="1"/>
  <c r="I26" i="1"/>
  <c r="I35" i="1"/>
  <c r="W4" i="1" s="1"/>
  <c r="I22" i="1"/>
  <c r="I20" i="1"/>
  <c r="I29" i="1"/>
  <c r="I32" i="1"/>
  <c r="I30" i="1"/>
  <c r="H34" i="1"/>
  <c r="I33" i="1"/>
  <c r="I27" i="1"/>
  <c r="I23" i="1"/>
  <c r="I24" i="1"/>
  <c r="H35" i="1"/>
  <c r="H29" i="1"/>
  <c r="H30" i="1"/>
  <c r="H31" i="1"/>
  <c r="H32" i="1"/>
  <c r="H33" i="1"/>
  <c r="I34" i="1"/>
  <c r="H28" i="1"/>
  <c r="L34" i="1"/>
  <c r="M34" i="1" s="1"/>
  <c r="L28" i="1"/>
  <c r="M28" i="1" s="1"/>
  <c r="L31" i="1"/>
  <c r="M31" i="1" s="1"/>
  <c r="L32" i="1"/>
  <c r="M32" i="1" s="1"/>
  <c r="H23" i="1"/>
  <c r="L25" i="1"/>
  <c r="M25" i="1" s="1"/>
  <c r="L30" i="1"/>
  <c r="M30" i="1" s="1"/>
  <c r="L33" i="1"/>
  <c r="M33" i="1" s="1"/>
  <c r="H24" i="1"/>
  <c r="L27" i="1"/>
  <c r="M27" i="1" s="1"/>
  <c r="L29" i="1"/>
  <c r="M29" i="1" s="1"/>
  <c r="H26" i="1"/>
  <c r="H22" i="1"/>
  <c r="L26" i="1"/>
  <c r="M26" i="1" s="1"/>
  <c r="H21" i="1"/>
  <c r="L23" i="1"/>
  <c r="M23" i="1" s="1"/>
  <c r="L24" i="1"/>
  <c r="M24" i="1" s="1"/>
  <c r="H20" i="1"/>
  <c r="L22" i="1"/>
  <c r="M22" i="1" s="1"/>
  <c r="L21" i="1"/>
  <c r="M21" i="1" s="1"/>
  <c r="Q32" i="1" l="1"/>
  <c r="U30" i="1"/>
  <c r="Q22" i="1"/>
  <c r="Q30" i="1"/>
  <c r="Q28" i="1"/>
  <c r="U29" i="1"/>
  <c r="Q24" i="1"/>
  <c r="Q20" i="1"/>
  <c r="W3" i="1"/>
  <c r="V6" i="1"/>
  <c r="Q25" i="1"/>
  <c r="V7" i="1"/>
  <c r="Q23" i="1"/>
  <c r="Q26" i="1"/>
  <c r="V3" i="1" l="1"/>
  <c r="N25" i="1" l="1"/>
  <c r="O25" i="1" s="1"/>
  <c r="N32" i="1"/>
  <c r="O32" i="1" s="1"/>
  <c r="P25" i="1"/>
  <c r="S25" i="1"/>
  <c r="N20" i="1"/>
  <c r="O20" i="1" s="1"/>
  <c r="N22" i="1"/>
  <c r="O22" i="1" s="1"/>
  <c r="N23" i="1"/>
  <c r="O23" i="1" s="1"/>
  <c r="N24" i="1"/>
  <c r="O24" i="1" s="1"/>
  <c r="N28" i="1"/>
  <c r="O28" i="1" s="1"/>
  <c r="N30" i="1"/>
  <c r="O30" i="1" s="1"/>
  <c r="N26" i="1"/>
  <c r="O26" i="1" s="1"/>
  <c r="P32" i="1" l="1"/>
  <c r="T32" i="1" s="1"/>
  <c r="Y32" i="1" s="1"/>
  <c r="S32" i="1"/>
  <c r="T25" i="1"/>
  <c r="S24" i="1"/>
  <c r="P24" i="1"/>
  <c r="T24" i="1" s="1"/>
  <c r="S26" i="1"/>
  <c r="P26" i="1"/>
  <c r="P23" i="1"/>
  <c r="S23" i="1"/>
  <c r="S28" i="1"/>
  <c r="P28" i="1"/>
  <c r="P22" i="1"/>
  <c r="S22" i="1"/>
  <c r="S30" i="1"/>
  <c r="P30" i="1"/>
  <c r="S20" i="1"/>
  <c r="P20" i="1"/>
  <c r="T28" i="1" l="1"/>
  <c r="Y28" i="1" s="1"/>
  <c r="T26" i="1"/>
  <c r="Y26" i="1" s="1"/>
  <c r="M4" i="1"/>
  <c r="M3" i="1"/>
  <c r="Y25" i="1"/>
  <c r="M2" i="1"/>
  <c r="U25" i="1"/>
  <c r="T30" i="1"/>
  <c r="Y30" i="1" s="1"/>
  <c r="T20" i="1"/>
  <c r="Y20" i="1" s="1"/>
  <c r="T23" i="1"/>
  <c r="Y23" i="1" s="1"/>
  <c r="AB29" i="1"/>
  <c r="AB31" i="1" s="1"/>
  <c r="AB25" i="1"/>
  <c r="Y24" i="1"/>
  <c r="AB23" i="1"/>
  <c r="T22" i="1"/>
  <c r="Y22" i="1" s="1"/>
  <c r="M9" i="1" l="1"/>
  <c r="E8" i="1"/>
  <c r="Y36" i="1"/>
  <c r="J3" i="1" s="1"/>
  <c r="M10" i="1" s="1"/>
  <c r="M12" i="1" s="1"/>
  <c r="J4" i="1" s="1"/>
  <c r="U33" i="1" l="1"/>
  <c r="U31" i="1"/>
  <c r="U27" i="1"/>
  <c r="U20" i="1"/>
  <c r="U34" i="1"/>
  <c r="U21" i="1"/>
  <c r="U28" i="1"/>
  <c r="U22" i="1"/>
  <c r="U23" i="1"/>
  <c r="U35" i="1"/>
  <c r="U32" i="1"/>
  <c r="U26" i="1"/>
  <c r="U24" i="1"/>
  <c r="U36" i="1" l="1"/>
  <c r="J2" i="1" s="1"/>
</calcChain>
</file>

<file path=xl/sharedStrings.xml><?xml version="1.0" encoding="utf-8"?>
<sst xmlns="http://schemas.openxmlformats.org/spreadsheetml/2006/main" count="121" uniqueCount="113">
  <si>
    <t>신속최대치</t>
    <phoneticPr fontId="3" type="noConversion"/>
  </si>
  <si>
    <t>특화</t>
    <phoneticPr fontId="4" type="noConversion"/>
  </si>
  <si>
    <t>시전시간비중</t>
    <phoneticPr fontId="4" type="noConversion"/>
  </si>
  <si>
    <t>천상O</t>
    <phoneticPr fontId="4" type="noConversion"/>
  </si>
  <si>
    <t>쿨타임</t>
    <phoneticPr fontId="4" type="noConversion"/>
  </si>
  <si>
    <t>시전시간</t>
    <phoneticPr fontId="4" type="noConversion"/>
  </si>
  <si>
    <t>효과</t>
    <phoneticPr fontId="4" type="noConversion"/>
  </si>
  <si>
    <t>발동확률</t>
    <phoneticPr fontId="4" type="noConversion"/>
  </si>
  <si>
    <t>특화최대치</t>
    <phoneticPr fontId="3" type="noConversion"/>
  </si>
  <si>
    <t>신속</t>
    <phoneticPr fontId="4" type="noConversion"/>
  </si>
  <si>
    <t>이론적 3버블 채우는 시간(초)</t>
    <phoneticPr fontId="4" type="noConversion"/>
  </si>
  <si>
    <t>음진</t>
    <phoneticPr fontId="4" type="noConversion"/>
  </si>
  <si>
    <t>전설속행</t>
    <phoneticPr fontId="4" type="noConversion"/>
  </si>
  <si>
    <t>극신특화최대치</t>
    <phoneticPr fontId="3" type="noConversion"/>
  </si>
  <si>
    <t>정흡레벨</t>
    <phoneticPr fontId="4" type="noConversion"/>
  </si>
  <si>
    <t>이론적 조력자</t>
    <phoneticPr fontId="4" type="noConversion"/>
  </si>
  <si>
    <t>공버프X</t>
    <phoneticPr fontId="4" type="noConversion"/>
  </si>
  <si>
    <t>영웅속행</t>
    <phoneticPr fontId="4" type="noConversion"/>
  </si>
  <si>
    <t>속행x</t>
  </si>
  <si>
    <t>극특신속최대치</t>
    <phoneticPr fontId="3" type="noConversion"/>
  </si>
  <si>
    <t>기본공속</t>
    <phoneticPr fontId="4" type="noConversion"/>
  </si>
  <si>
    <t>공격력증가지원</t>
    <phoneticPr fontId="3" type="noConversion"/>
  </si>
  <si>
    <t>(반드시 맨 아래표의 사용스킬(ㅁ표시) 또는 속행x를 선택해야함)</t>
    <phoneticPr fontId="4" type="noConversion"/>
  </si>
  <si>
    <t>천상공속</t>
    <phoneticPr fontId="4" type="noConversion"/>
  </si>
  <si>
    <t>피해량증가지원</t>
    <phoneticPr fontId="3" type="noConversion"/>
  </si>
  <si>
    <t>단심 천상 쿨</t>
    <phoneticPr fontId="4" type="noConversion"/>
  </si>
  <si>
    <t>스킬쿨감</t>
    <phoneticPr fontId="4" type="noConversion"/>
  </si>
  <si>
    <t>낙인력</t>
    <phoneticPr fontId="3" type="noConversion"/>
  </si>
  <si>
    <t>단심유지 기대천상쿨</t>
    <phoneticPr fontId="4" type="noConversion"/>
  </si>
  <si>
    <t>천상업타임</t>
    <phoneticPr fontId="4" type="noConversion"/>
  </si>
  <si>
    <t>세레나데획득량</t>
    <phoneticPr fontId="3" type="noConversion"/>
  </si>
  <si>
    <t>(다른 스킬 쿨타임은 단심 반영x, 천상의 연주만 단심 반영)</t>
    <phoneticPr fontId="4" type="noConversion"/>
  </si>
  <si>
    <t>단심유지율</t>
    <phoneticPr fontId="4" type="noConversion"/>
  </si>
  <si>
    <t>기본공증</t>
    <phoneticPr fontId="4" type="noConversion"/>
  </si>
  <si>
    <t>(정흡 - 유물 : 4, 전설 : 3, 영웅 : 2, 기본 1)</t>
    <phoneticPr fontId="4" type="noConversion"/>
  </si>
  <si>
    <t>용맹*가동비율</t>
    <phoneticPr fontId="4" type="noConversion"/>
  </si>
  <si>
    <t>유지시간설정</t>
    <phoneticPr fontId="3" type="noConversion"/>
  </si>
  <si>
    <t>버프유지최소최대시간</t>
    <phoneticPr fontId="3" type="noConversion"/>
  </si>
  <si>
    <t>(보석은 3T기준, T4 9레벨 -&gt; 보석레벨 11, T4 10레벨 -&gt; 보석레벨 12)</t>
    <phoneticPr fontId="4" type="noConversion"/>
  </si>
  <si>
    <t>음진밟는비율</t>
    <phoneticPr fontId="4" type="noConversion"/>
  </si>
  <si>
    <t>천상유지</t>
    <phoneticPr fontId="3" type="noConversion"/>
  </si>
  <si>
    <t>8~8.5</t>
    <phoneticPr fontId="3" type="noConversion"/>
  </si>
  <si>
    <t>(천상 두번중 한번은 단심이 적용된다 가정시 성공할 확률이 x%)</t>
    <phoneticPr fontId="4" type="noConversion"/>
  </si>
  <si>
    <t>최종버프</t>
    <phoneticPr fontId="4" type="noConversion"/>
  </si>
  <si>
    <t>음진유지</t>
    <phoneticPr fontId="3" type="noConversion"/>
  </si>
  <si>
    <t>5.5~6.5</t>
    <phoneticPr fontId="3" type="noConversion"/>
  </si>
  <si>
    <t>(질풍룬, 트포 공속, 픙요룬 직접입력 필요, 1+수치%로 입력)</t>
    <phoneticPr fontId="4" type="noConversion"/>
  </si>
  <si>
    <t>(공격력/피해량증가 지원은</t>
    <phoneticPr fontId="3" type="noConversion"/>
  </si>
  <si>
    <t>용맹유지</t>
    <phoneticPr fontId="3" type="noConversion"/>
  </si>
  <si>
    <t>16~16.5</t>
    <phoneticPr fontId="3" type="noConversion"/>
  </si>
  <si>
    <t>(벅샷 선율증가-날렵한시전 반영, 광시곡 시전시간은 1타만)</t>
    <phoneticPr fontId="4" type="noConversion"/>
  </si>
  <si>
    <t>보석 지원효과 + 4t 악세 합으로 넣을것, 엘릭서/초월 기본반영, 피해량증가는 특화와 곱연산-버그수정 되었다 가정)</t>
    <phoneticPr fontId="3" type="noConversion"/>
  </si>
  <si>
    <t>(세라나데 획득은 깨달음(팔찌), 목걸이 연마를 합으로 넣을것, 아크패시브 기본 반영, 신념(엘릭서)는 쿨감계산이 바껴야 하므로 넣지말것)</t>
    <phoneticPr fontId="3" type="noConversion"/>
  </si>
  <si>
    <t>(낙인력은 악세만 넣을것, 아크패시브/초월 기본 반영)</t>
    <phoneticPr fontId="3" type="noConversion"/>
  </si>
  <si>
    <t>스킬 1회</t>
    <phoneticPr fontId="4" type="noConversion"/>
  </si>
  <si>
    <t>사용 스킬</t>
    <phoneticPr fontId="4" type="noConversion"/>
  </si>
  <si>
    <t>신속0시전시간(스킬1회)</t>
    <phoneticPr fontId="4" type="noConversion"/>
  </si>
  <si>
    <t>사용스킬만</t>
    <phoneticPr fontId="4" type="noConversion"/>
  </si>
  <si>
    <t>질풍/비전룬</t>
    <phoneticPr fontId="4" type="noConversion"/>
  </si>
  <si>
    <t>트포공속</t>
    <phoneticPr fontId="4" type="noConversion"/>
  </si>
  <si>
    <t>천상O시전시간</t>
    <phoneticPr fontId="4" type="noConversion"/>
  </si>
  <si>
    <t>천상X시전시간</t>
    <phoneticPr fontId="4" type="noConversion"/>
  </si>
  <si>
    <t>기본 쿨</t>
    <phoneticPr fontId="4" type="noConversion"/>
  </si>
  <si>
    <t>보석 레벨</t>
    <phoneticPr fontId="4" type="noConversion"/>
  </si>
  <si>
    <t>신속 쿨</t>
    <phoneticPr fontId="4" type="noConversion"/>
  </si>
  <si>
    <t>마흐+선각 쿨</t>
    <phoneticPr fontId="3" type="noConversion"/>
  </si>
  <si>
    <t>전설속행 발동확률</t>
    <phoneticPr fontId="4" type="noConversion"/>
  </si>
  <si>
    <t>전설속행 쿨감</t>
    <phoneticPr fontId="4" type="noConversion"/>
  </si>
  <si>
    <t>영웅속행 발동확률</t>
    <phoneticPr fontId="4" type="noConversion"/>
  </si>
  <si>
    <t>영웅속행 쿨감</t>
    <phoneticPr fontId="4" type="noConversion"/>
  </si>
  <si>
    <t>(속행)기대쿨타임</t>
    <phoneticPr fontId="4" type="noConversion"/>
  </si>
  <si>
    <t>시전시간비중</t>
    <phoneticPr fontId="4" type="noConversion"/>
  </si>
  <si>
    <t>1회아덴(특화0)</t>
    <phoneticPr fontId="4" type="noConversion"/>
  </si>
  <si>
    <t>풍요룬</t>
    <phoneticPr fontId="4" type="noConversion"/>
  </si>
  <si>
    <t>아덴dps</t>
    <phoneticPr fontId="4" type="noConversion"/>
  </si>
  <si>
    <t>ㅁ</t>
    <phoneticPr fontId="3" type="noConversion"/>
  </si>
  <si>
    <t>초각성스킬</t>
    <phoneticPr fontId="3" type="noConversion"/>
  </si>
  <si>
    <t>X</t>
    <phoneticPr fontId="3" type="noConversion"/>
  </si>
  <si>
    <t>소나티네</t>
    <phoneticPr fontId="3" type="noConversion"/>
  </si>
  <si>
    <t>스티그마(지속력/선율5)</t>
    <phoneticPr fontId="3" type="noConversion"/>
  </si>
  <si>
    <t>ㅁ</t>
    <phoneticPr fontId="4" type="noConversion"/>
  </si>
  <si>
    <t>윈드오브뮤직</t>
    <phoneticPr fontId="3" type="noConversion"/>
  </si>
  <si>
    <t>하프 쿨타임 14.899</t>
    <phoneticPr fontId="3" type="noConversion"/>
  </si>
  <si>
    <t>ㅁ</t>
    <phoneticPr fontId="4" type="noConversion"/>
  </si>
  <si>
    <t>음파진동</t>
    <phoneticPr fontId="3" type="noConversion"/>
  </si>
  <si>
    <t>이상</t>
    <phoneticPr fontId="3" type="noConversion"/>
  </si>
  <si>
    <t>율동의하프</t>
    <phoneticPr fontId="3" type="noConversion"/>
  </si>
  <si>
    <t>(하프의 '평타'는 특화 영향을 받음, 지속력강화 트포를 안찍을때 DPS보려면 AA~AB 숨김 해제후 수식 복사해서 넣기)</t>
    <phoneticPr fontId="3" type="noConversion"/>
  </si>
  <si>
    <t>이하</t>
    <phoneticPr fontId="3" type="noConversion"/>
  </si>
  <si>
    <t>ㅁ</t>
    <phoneticPr fontId="4" type="noConversion"/>
  </si>
  <si>
    <t>천상의연주</t>
    <phoneticPr fontId="3" type="noConversion"/>
  </si>
  <si>
    <t>복사수식</t>
    <phoneticPr fontId="3" type="noConversion"/>
  </si>
  <si>
    <t>수호의연주</t>
    <phoneticPr fontId="3" type="noConversion"/>
  </si>
  <si>
    <t>수호날수</t>
    <phoneticPr fontId="3" type="noConversion"/>
  </si>
  <si>
    <t>폭풍의서곡</t>
    <phoneticPr fontId="3" type="noConversion"/>
  </si>
  <si>
    <t>지속력 강화 트포x &amp; 하프쿨타임이 10.499</t>
    <phoneticPr fontId="3" type="noConversion"/>
  </si>
  <si>
    <t>사홀집포</t>
    <phoneticPr fontId="3" type="noConversion"/>
  </si>
  <si>
    <t>이상</t>
    <phoneticPr fontId="3" type="noConversion"/>
  </si>
  <si>
    <t>사홀선율</t>
    <phoneticPr fontId="3" type="noConversion"/>
  </si>
  <si>
    <t>이하</t>
    <phoneticPr fontId="3" type="noConversion"/>
  </si>
  <si>
    <t>사운드쇼크</t>
    <phoneticPr fontId="3" type="noConversion"/>
  </si>
  <si>
    <t>광시곡</t>
    <phoneticPr fontId="3" type="noConversion"/>
  </si>
  <si>
    <t>벅샷</t>
    <phoneticPr fontId="3" type="noConversion"/>
  </si>
  <si>
    <t>불협화음</t>
    <phoneticPr fontId="3" type="noConversion"/>
  </si>
  <si>
    <t>속행x</t>
    <phoneticPr fontId="4" type="noConversion"/>
  </si>
  <si>
    <t>(초당 아덴 차는 양을 뜻함, 100 = 1버블)</t>
    <phoneticPr fontId="3" type="noConversion"/>
  </si>
  <si>
    <t>(숨겨진셀 속행 발동확률 읽을시 주의)</t>
    <phoneticPr fontId="3" type="noConversion"/>
  </si>
  <si>
    <t>(계산이 어려운 관계로</t>
    <phoneticPr fontId="3" type="noConversion"/>
  </si>
  <si>
    <t>발동시간이 짧은 스킬에 속행이 들어갈 경우</t>
    <phoneticPr fontId="3" type="noConversion"/>
  </si>
  <si>
    <t>발동확률을 근사치로 계산함</t>
    <phoneticPr fontId="3" type="noConversion"/>
  </si>
  <si>
    <t>20%가 넘는 발동확률이 보이면 근사치로 이해할것)</t>
    <phoneticPr fontId="3" type="noConversion"/>
  </si>
  <si>
    <t>(실수치로 반영해도 기대쿨타임 오차는 +0.0x내외)</t>
    <phoneticPr fontId="3" type="noConversion"/>
  </si>
  <si>
    <t>ㅁ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</si>
</sst>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00_ "/>
    <numFmt numFmtId="177" formatCode="0.000"/>
    <numFmt numFmtId="178" formatCode="0.0000"/>
    <numFmt numFmtId="179" formatCode="0.0000_ "/>
    <numFmt numFmtId="180" formatCode="0.000%"/>
    <numFmt numFmtId="181" formatCode="0.000000_ "/>
    <numFmt numFmtId="182" formatCode="0.000000000000000%"/>
    <numFmt numFmtId="183" formatCode="0.0000%"/>
    <numFmt numFmtId="184" formatCode="0_ "/>
  </numFmts>
  <fonts count="1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11"/>
      <color rgb="FFFF0000"/>
      <name val="맑은 고딕"/>
      <family val="2"/>
      <scheme val="minor"/>
    </font>
    <font>
      <sz val="11"/>
      <color theme="8" tint="-0.249977111117893"/>
      <name val="맑은 고딕"/>
      <family val="2"/>
      <scheme val="minor"/>
    </font>
    <font>
      <sz val="11"/>
      <color theme="8" tint="-0.249977111117893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/>
    <xf numFmtId="9" fontId="2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2" fillId="0" borderId="0" xfId="2"/>
    <xf numFmtId="176" fontId="2" fillId="0" borderId="0" xfId="2" applyNumberFormat="1"/>
    <xf numFmtId="0" fontId="2" fillId="2" borderId="1" xfId="2" applyFill="1" applyBorder="1"/>
    <xf numFmtId="10" fontId="2" fillId="3" borderId="4" xfId="2" applyNumberFormat="1" applyFill="1" applyBorder="1"/>
    <xf numFmtId="10" fontId="2" fillId="0" borderId="0" xfId="2" applyNumberFormat="1"/>
    <xf numFmtId="0" fontId="2" fillId="2" borderId="5" xfId="2" applyFill="1" applyBorder="1"/>
    <xf numFmtId="176" fontId="2" fillId="0" borderId="6" xfId="2" applyNumberFormat="1" applyBorder="1" applyAlignment="1">
      <alignment horizontal="left"/>
    </xf>
    <xf numFmtId="176" fontId="2" fillId="0" borderId="7" xfId="2" applyNumberFormat="1" applyBorder="1" applyAlignment="1">
      <alignment horizontal="left"/>
    </xf>
    <xf numFmtId="2" fontId="2" fillId="3" borderId="8" xfId="2" applyNumberFormat="1" applyFill="1" applyBorder="1"/>
    <xf numFmtId="0" fontId="2" fillId="2" borderId="1" xfId="2" applyFill="1" applyBorder="1" applyAlignment="1">
      <alignment horizontal="center"/>
    </xf>
    <xf numFmtId="177" fontId="2" fillId="0" borderId="0" xfId="2" applyNumberFormat="1"/>
    <xf numFmtId="10" fontId="2" fillId="2" borderId="1" xfId="1" applyNumberFormat="1" applyFont="1" applyFill="1" applyBorder="1" applyAlignment="1">
      <alignment horizontal="right"/>
    </xf>
    <xf numFmtId="0" fontId="2" fillId="2" borderId="9" xfId="2" applyFill="1" applyBorder="1"/>
    <xf numFmtId="10" fontId="2" fillId="3" borderId="12" xfId="2" applyNumberFormat="1" applyFill="1" applyBorder="1"/>
    <xf numFmtId="0" fontId="2" fillId="2" borderId="9" xfId="2" applyFill="1" applyBorder="1" applyAlignment="1">
      <alignment horizontal="center"/>
    </xf>
    <xf numFmtId="10" fontId="2" fillId="2" borderId="9" xfId="1" applyNumberFormat="1" applyFont="1" applyFill="1" applyBorder="1" applyAlignment="1">
      <alignment horizontal="right"/>
    </xf>
    <xf numFmtId="10" fontId="2" fillId="0" borderId="0" xfId="1" applyNumberFormat="1" applyFont="1" applyAlignment="1"/>
    <xf numFmtId="0" fontId="2" fillId="0" borderId="0" xfId="1" applyNumberFormat="1" applyFont="1" applyAlignment="1"/>
    <xf numFmtId="0" fontId="5" fillId="0" borderId="0" xfId="2" applyFont="1"/>
    <xf numFmtId="10" fontId="2" fillId="2" borderId="5" xfId="1" applyNumberFormat="1" applyFont="1" applyFill="1" applyBorder="1" applyAlignment="1">
      <alignment horizontal="right"/>
    </xf>
    <xf numFmtId="178" fontId="2" fillId="0" borderId="0" xfId="2" applyNumberFormat="1"/>
    <xf numFmtId="179" fontId="2" fillId="0" borderId="0" xfId="2" applyNumberFormat="1" applyAlignment="1"/>
    <xf numFmtId="10" fontId="2" fillId="2" borderId="9" xfId="1" applyNumberFormat="1" applyFont="1" applyFill="1" applyBorder="1" applyAlignment="1"/>
    <xf numFmtId="178" fontId="2" fillId="0" borderId="0" xfId="1" applyNumberFormat="1" applyFont="1" applyAlignment="1"/>
    <xf numFmtId="9" fontId="2" fillId="2" borderId="13" xfId="1" applyFont="1" applyFill="1" applyBorder="1" applyAlignment="1"/>
    <xf numFmtId="180" fontId="2" fillId="0" borderId="0" xfId="2" applyNumberFormat="1"/>
    <xf numFmtId="0" fontId="2" fillId="0" borderId="0" xfId="2" applyBorder="1"/>
    <xf numFmtId="0" fontId="2" fillId="0" borderId="0" xfId="2" applyAlignment="1">
      <alignment horizontal="center"/>
    </xf>
    <xf numFmtId="0" fontId="2" fillId="2" borderId="1" xfId="2" applyFill="1" applyBorder="1" applyAlignment="1">
      <alignment horizontal="right"/>
    </xf>
    <xf numFmtId="0" fontId="6" fillId="0" borderId="0" xfId="2" applyFont="1" applyAlignment="1">
      <alignment horizontal="center"/>
    </xf>
    <xf numFmtId="181" fontId="2" fillId="0" borderId="0" xfId="2" applyNumberFormat="1"/>
    <xf numFmtId="182" fontId="2" fillId="0" borderId="0" xfId="2" applyNumberFormat="1"/>
    <xf numFmtId="0" fontId="2" fillId="2" borderId="5" xfId="2" applyFill="1" applyBorder="1" applyAlignment="1">
      <alignment horizontal="right"/>
    </xf>
    <xf numFmtId="0" fontId="7" fillId="0" borderId="0" xfId="2" applyFont="1" applyAlignment="1">
      <alignment horizontal="center"/>
    </xf>
    <xf numFmtId="0" fontId="2" fillId="2" borderId="9" xfId="2" applyFill="1" applyBorder="1" applyAlignment="1">
      <alignment horizontal="right"/>
    </xf>
    <xf numFmtId="0" fontId="8" fillId="0" borderId="0" xfId="2" applyFont="1"/>
    <xf numFmtId="183" fontId="2" fillId="0" borderId="0" xfId="2" applyNumberFormat="1"/>
    <xf numFmtId="0" fontId="9" fillId="0" borderId="0" xfId="2" applyFont="1" applyAlignment="1">
      <alignment horizontal="center"/>
    </xf>
    <xf numFmtId="176" fontId="2" fillId="0" borderId="0" xfId="2" applyNumberForma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9" fillId="2" borderId="1" xfId="2" applyFont="1" applyFill="1" applyBorder="1" applyAlignment="1">
      <alignment horizontal="center"/>
    </xf>
    <xf numFmtId="0" fontId="2" fillId="2" borderId="14" xfId="2" applyFill="1" applyBorder="1"/>
    <xf numFmtId="0" fontId="2" fillId="2" borderId="4" xfId="2" applyFill="1" applyBorder="1"/>
    <xf numFmtId="0" fontId="9" fillId="2" borderId="5" xfId="2" applyFont="1" applyFill="1" applyBorder="1" applyAlignment="1">
      <alignment horizontal="center"/>
    </xf>
    <xf numFmtId="0" fontId="2" fillId="2" borderId="15" xfId="2" applyFill="1" applyBorder="1"/>
    <xf numFmtId="0" fontId="2" fillId="2" borderId="8" xfId="2" applyFill="1" applyBorder="1"/>
    <xf numFmtId="10" fontId="0" fillId="0" borderId="0" xfId="1" applyNumberFormat="1" applyFont="1" applyAlignment="1"/>
    <xf numFmtId="177" fontId="10" fillId="0" borderId="0" xfId="0" applyNumberFormat="1" applyFont="1" applyAlignment="1"/>
    <xf numFmtId="10" fontId="0" fillId="0" borderId="0" xfId="3" applyNumberFormat="1" applyFont="1" applyAlignment="1"/>
    <xf numFmtId="0" fontId="9" fillId="2" borderId="9" xfId="2" applyFont="1" applyFill="1" applyBorder="1" applyAlignment="1">
      <alignment horizontal="center"/>
    </xf>
    <xf numFmtId="0" fontId="2" fillId="2" borderId="16" xfId="2" applyFill="1" applyBorder="1"/>
    <xf numFmtId="0" fontId="2" fillId="2" borderId="12" xfId="2" applyFill="1" applyBorder="1"/>
    <xf numFmtId="0" fontId="2" fillId="2" borderId="5" xfId="2" applyFill="1" applyBorder="1" applyAlignment="1">
      <alignment horizontal="center"/>
    </xf>
    <xf numFmtId="0" fontId="0" fillId="0" borderId="0" xfId="0" applyAlignment="1"/>
    <xf numFmtId="177" fontId="0" fillId="0" borderId="0" xfId="0" applyNumberFormat="1" applyAlignment="1"/>
    <xf numFmtId="184" fontId="2" fillId="0" borderId="0" xfId="2" applyNumberFormat="1"/>
    <xf numFmtId="10" fontId="9" fillId="0" borderId="0" xfId="2" applyNumberFormat="1" applyFont="1"/>
    <xf numFmtId="177" fontId="9" fillId="0" borderId="0" xfId="2" applyNumberFormat="1" applyFont="1"/>
    <xf numFmtId="1" fontId="2" fillId="0" borderId="0" xfId="2" applyNumberFormat="1"/>
    <xf numFmtId="0" fontId="2" fillId="0" borderId="0" xfId="2" applyFill="1" applyBorder="1"/>
    <xf numFmtId="1" fontId="0" fillId="0" borderId="0" xfId="0" applyNumberFormat="1">
      <alignment vertical="center"/>
    </xf>
    <xf numFmtId="177" fontId="0" fillId="0" borderId="0" xfId="0" applyNumberFormat="1">
      <alignment vertical="center"/>
    </xf>
    <xf numFmtId="180" fontId="0" fillId="0" borderId="0" xfId="1" applyNumberFormat="1" applyFont="1">
      <alignment vertical="center"/>
    </xf>
    <xf numFmtId="176" fontId="2" fillId="0" borderId="2" xfId="2" applyNumberFormat="1" applyBorder="1" applyAlignment="1">
      <alignment horizontal="left"/>
    </xf>
    <xf numFmtId="176" fontId="2" fillId="0" borderId="3" xfId="2" applyNumberFormat="1" applyBorder="1" applyAlignment="1">
      <alignment horizontal="left"/>
    </xf>
    <xf numFmtId="176" fontId="2" fillId="0" borderId="10" xfId="2" applyNumberFormat="1" applyBorder="1" applyAlignment="1">
      <alignment horizontal="left"/>
    </xf>
    <xf numFmtId="176" fontId="2" fillId="0" borderId="11" xfId="2" applyNumberFormat="1" applyBorder="1" applyAlignment="1">
      <alignment horizontal="left"/>
    </xf>
  </cellXfs>
  <cellStyles count="4">
    <cellStyle name="백분율" xfId="1" builtinId="5"/>
    <cellStyle name="백분율 2" xfId="3"/>
    <cellStyle name="표준" xfId="0" builtinId="0"/>
    <cellStyle name="표준 2" xfId="2"/>
  </cellStyles>
  <dxfs count="19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57"/>
  <sheetViews>
    <sheetView tabSelected="1" workbookViewId="0">
      <selection activeCell="Y20" sqref="Y20"/>
    </sheetView>
  </sheetViews>
  <sheetFormatPr defaultRowHeight="16.5" x14ac:dyDescent="0.3"/>
  <cols>
    <col min="1" max="1" width="5.625" style="1" customWidth="1"/>
    <col min="2" max="2" width="11.625" style="1" customWidth="1"/>
    <col min="3" max="3" width="10.375" style="1" bestFit="1" customWidth="1"/>
    <col min="4" max="4" width="12.5" style="1" bestFit="1" customWidth="1"/>
    <col min="5" max="5" width="10.375" style="1" bestFit="1" customWidth="1"/>
    <col min="6" max="7" width="9" style="1" customWidth="1"/>
    <col min="8" max="9" width="12.125" style="2" customWidth="1"/>
    <col min="10" max="10" width="9" style="1" customWidth="1"/>
    <col min="11" max="11" width="9" style="1"/>
    <col min="12" max="13" width="11.875" style="1" customWidth="1"/>
    <col min="14" max="14" width="11.875" style="1" hidden="1" customWidth="1"/>
    <col min="15" max="15" width="13.125" style="1" hidden="1" customWidth="1"/>
    <col min="16" max="16" width="11.125" style="1" customWidth="1"/>
    <col min="17" max="17" width="9" style="1" hidden="1" customWidth="1"/>
    <col min="18" max="18" width="13.125" style="1" hidden="1" customWidth="1"/>
    <col min="19" max="19" width="11.125" style="1" customWidth="1"/>
    <col min="20" max="20" width="14.75" style="1" customWidth="1"/>
    <col min="21" max="21" width="13" style="1" bestFit="1" customWidth="1"/>
    <col min="22" max="23" width="9" style="1" customWidth="1"/>
    <col min="24" max="24" width="9" style="1"/>
    <col min="25" max="25" width="11" style="1" bestFit="1" customWidth="1"/>
    <col min="26" max="26" width="9" style="1"/>
    <col min="27" max="28" width="9" style="1" hidden="1" customWidth="1"/>
    <col min="29" max="29" width="9" style="1" customWidth="1"/>
    <col min="30" max="16384" width="9" style="1"/>
  </cols>
  <sheetData>
    <row r="1" spans="2:25" ht="5.0999999999999996" customHeight="1" thickBot="1" x14ac:dyDescent="0.35"/>
    <row r="2" spans="2:25" ht="17.25" thickBot="1" x14ac:dyDescent="0.35">
      <c r="B2" s="1" t="s">
        <v>0</v>
      </c>
      <c r="C2" s="1">
        <f>1500+120+160+70</f>
        <v>1850</v>
      </c>
      <c r="D2" s="1" t="s">
        <v>1</v>
      </c>
      <c r="E2" s="3">
        <v>600</v>
      </c>
      <c r="H2" s="65" t="s">
        <v>2</v>
      </c>
      <c r="I2" s="66"/>
      <c r="J2" s="4">
        <f>U36</f>
        <v>0.8696717328429967</v>
      </c>
      <c r="L2" s="1" t="s">
        <v>3</v>
      </c>
      <c r="M2" s="5">
        <f>U11/T25</f>
        <v>0.81915180092812501</v>
      </c>
      <c r="V2" s="1" t="s">
        <v>4</v>
      </c>
      <c r="W2" s="1" t="s">
        <v>5</v>
      </c>
      <c r="X2" s="1" t="s">
        <v>6</v>
      </c>
      <c r="Y2" s="1" t="s">
        <v>7</v>
      </c>
    </row>
    <row r="3" spans="2:25" x14ac:dyDescent="0.3">
      <c r="B3" s="1" t="s">
        <v>8</v>
      </c>
      <c r="C3" s="1">
        <f>1500+160+120+72</f>
        <v>1852</v>
      </c>
      <c r="D3" s="1" t="s">
        <v>9</v>
      </c>
      <c r="E3" s="6">
        <v>1800</v>
      </c>
      <c r="H3" s="7" t="s">
        <v>10</v>
      </c>
      <c r="I3" s="8"/>
      <c r="J3" s="9">
        <f>300/Y36</f>
        <v>26.294655586348082</v>
      </c>
      <c r="L3" s="1" t="s">
        <v>11</v>
      </c>
      <c r="M3" s="5">
        <f>IF(T25&gt;(U11+U12),U12,T25-U11)/T25</f>
        <v>0.18084819907187499</v>
      </c>
      <c r="T3" s="1" t="s">
        <v>12</v>
      </c>
      <c r="U3" s="10" t="s">
        <v>18</v>
      </c>
      <c r="V3" s="11">
        <f>IF($U$3="속행x",0,IF(U3="천상의연주",$V$7,VLOOKUP(U3,$C$20:$M$35,11,FALSE)))</f>
        <v>0</v>
      </c>
      <c r="W3" s="11">
        <f>IF(U3="천상의연주",$I$25,VLOOKUP(U3,$C$20:$L$35,7,FALSE))</f>
        <v>0</v>
      </c>
      <c r="X3" s="1">
        <v>0.16</v>
      </c>
      <c r="Y3" s="12">
        <v>0.1</v>
      </c>
    </row>
    <row r="4" spans="2:25" ht="17.25" thickBot="1" x14ac:dyDescent="0.35">
      <c r="B4" s="1" t="s">
        <v>13</v>
      </c>
      <c r="C4" s="1">
        <f>500+120+72</f>
        <v>692</v>
      </c>
      <c r="D4" s="1" t="s">
        <v>14</v>
      </c>
      <c r="E4" s="13">
        <v>0</v>
      </c>
      <c r="F4" s="1">
        <f>IF(E4=4,0.16,IF(E4=3,0.13,IF(E4=2,0.1,IF(E4=1,0.07,0))))+0.09</f>
        <v>0.09</v>
      </c>
      <c r="H4" s="67" t="s">
        <v>15</v>
      </c>
      <c r="I4" s="68"/>
      <c r="J4" s="14">
        <f>(M12-1)/M12</f>
        <v>0.45153166011518742</v>
      </c>
      <c r="L4" s="1" t="s">
        <v>16</v>
      </c>
      <c r="M4" s="5">
        <f>IF(T25&gt;(U11+U12),T25-(U11+U12),0)/T25</f>
        <v>0</v>
      </c>
      <c r="N4" s="5"/>
      <c r="O4" s="5"/>
      <c r="T4" s="1" t="s">
        <v>17</v>
      </c>
      <c r="U4" s="15" t="s">
        <v>18</v>
      </c>
      <c r="V4" s="11">
        <f>IF($U$4="속행x",0,IF(U4="천상의연주",$V$7,VLOOKUP(U4,$C$20:$M$35,11,FALSE)))</f>
        <v>0</v>
      </c>
      <c r="W4" s="11">
        <f>IF(U4="천상의연주",$I$25,VLOOKUP(U4,$C$20:$L$35,7,FALSE))</f>
        <v>0</v>
      </c>
      <c r="X4" s="1">
        <v>0.12</v>
      </c>
      <c r="Y4" s="16">
        <v>0.1</v>
      </c>
    </row>
    <row r="5" spans="2:25" x14ac:dyDescent="0.3">
      <c r="B5" s="1" t="s">
        <v>19</v>
      </c>
      <c r="C5" s="1">
        <f>500+120+70</f>
        <v>690</v>
      </c>
      <c r="D5" s="1" t="s">
        <v>20</v>
      </c>
      <c r="E5" s="17">
        <f>IF(F5&gt;=1.4,1.4,F5)</f>
        <v>1.3990399331100234</v>
      </c>
      <c r="F5" s="18">
        <f>E3/58.2449/100+1+F4</f>
        <v>1.3990399331100234</v>
      </c>
      <c r="L5" s="1" t="s">
        <v>21</v>
      </c>
      <c r="M5" s="12">
        <v>0.08</v>
      </c>
      <c r="T5" s="19" t="s">
        <v>22</v>
      </c>
      <c r="V5" s="11"/>
      <c r="W5" s="11"/>
    </row>
    <row r="6" spans="2:25" x14ac:dyDescent="0.3">
      <c r="D6" s="1" t="s">
        <v>23</v>
      </c>
      <c r="E6" s="17">
        <f>IF(E5+0.16&gt;=1.4,1.4,E5+0.16)</f>
        <v>1.4</v>
      </c>
      <c r="L6" s="1" t="s">
        <v>24</v>
      </c>
      <c r="M6" s="20">
        <v>0.08</v>
      </c>
      <c r="N6" s="21">
        <f>1+15*(1+E2*(0.01/19.9725))/100*(1+$M$6)</f>
        <v>1.2106669170108899</v>
      </c>
      <c r="O6" s="21"/>
      <c r="R6" s="5"/>
      <c r="T6" s="1" t="s">
        <v>25</v>
      </c>
      <c r="V6" s="11">
        <f>M25*0.85</f>
        <v>8.5606843469728258</v>
      </c>
      <c r="W6" s="11"/>
    </row>
    <row r="7" spans="2:25" x14ac:dyDescent="0.3">
      <c r="D7" s="1" t="s">
        <v>26</v>
      </c>
      <c r="E7" s="22">
        <f>1-E3/46.5731/100</f>
        <v>0.61351080344662479</v>
      </c>
      <c r="L7" s="1" t="s">
        <v>27</v>
      </c>
      <c r="M7" s="20">
        <v>0</v>
      </c>
      <c r="N7" s="21">
        <f>1+0.1*(1+$M$7+0.08+0.2)</f>
        <v>1.1280000000000001</v>
      </c>
      <c r="R7" s="5"/>
      <c r="T7" s="1" t="s">
        <v>28</v>
      </c>
      <c r="V7" s="11">
        <f>M25*0.5+(V6*0.5*E9+M25*0.5*(1-E9))</f>
        <v>10.071393349379795</v>
      </c>
    </row>
    <row r="8" spans="2:25" ht="17.25" thickBot="1" x14ac:dyDescent="0.35">
      <c r="D8" s="1" t="s">
        <v>29</v>
      </c>
      <c r="E8" s="5">
        <f>M2</f>
        <v>0.81915180092812501</v>
      </c>
      <c r="L8" s="1" t="s">
        <v>30</v>
      </c>
      <c r="M8" s="23">
        <v>0</v>
      </c>
      <c r="N8" s="24">
        <f>1+1*(M8+0.2)</f>
        <v>1.2</v>
      </c>
      <c r="T8" s="19" t="s">
        <v>31</v>
      </c>
    </row>
    <row r="9" spans="2:25" ht="17.25" thickBot="1" x14ac:dyDescent="0.35">
      <c r="D9" s="1" t="s">
        <v>32</v>
      </c>
      <c r="E9" s="25">
        <v>0</v>
      </c>
      <c r="L9" s="1" t="s">
        <v>33</v>
      </c>
      <c r="M9" s="2">
        <f>(M2*(1+1*0.15*(1.4304+$M$5))*1.06)+(M3*M11*(1+1*0.15*(1.4304+$M$5))*1.06)+M3*(1-M11)+M4</f>
        <v>1.3001536000000002</v>
      </c>
      <c r="O9" s="5"/>
      <c r="R9" s="5"/>
    </row>
    <row r="10" spans="2:25" ht="17.25" thickBot="1" x14ac:dyDescent="0.35">
      <c r="D10" s="19" t="s">
        <v>34</v>
      </c>
      <c r="L10" s="1" t="s">
        <v>35</v>
      </c>
      <c r="M10" s="2">
        <f>U13/J3*N6+(J3-U13)/J3</f>
        <v>1.1301913763496612</v>
      </c>
      <c r="N10" s="26">
        <f>1+0.1*(1+$M$7+0.2)</f>
        <v>1.1200000000000001</v>
      </c>
      <c r="O10" s="5"/>
      <c r="P10" s="5"/>
      <c r="R10" s="17"/>
      <c r="U10" s="1" t="s">
        <v>36</v>
      </c>
      <c r="V10" s="1" t="s">
        <v>37</v>
      </c>
    </row>
    <row r="11" spans="2:25" ht="17.25" thickBot="1" x14ac:dyDescent="0.35">
      <c r="D11" s="19" t="s">
        <v>38</v>
      </c>
      <c r="L11" s="27" t="s">
        <v>39</v>
      </c>
      <c r="M11" s="25">
        <v>1</v>
      </c>
      <c r="O11" s="5"/>
      <c r="P11" s="5"/>
      <c r="T11" s="28" t="s">
        <v>40</v>
      </c>
      <c r="U11" s="29">
        <v>8.25</v>
      </c>
      <c r="V11" s="30" t="s">
        <v>41</v>
      </c>
    </row>
    <row r="12" spans="2:25" x14ac:dyDescent="0.3">
      <c r="D12" s="19" t="s">
        <v>42</v>
      </c>
      <c r="L12" s="1" t="s">
        <v>43</v>
      </c>
      <c r="M12" s="11">
        <f>1.1*M9*M10*N7</f>
        <v>1.8232592973552795</v>
      </c>
      <c r="O12" s="31"/>
      <c r="P12" s="32"/>
      <c r="R12" s="17"/>
      <c r="T12" s="28" t="s">
        <v>44</v>
      </c>
      <c r="U12" s="33">
        <v>6</v>
      </c>
      <c r="V12" s="34" t="s">
        <v>45</v>
      </c>
    </row>
    <row r="13" spans="2:25" ht="17.25" thickBot="1" x14ac:dyDescent="0.35">
      <c r="D13" s="19" t="s">
        <v>46</v>
      </c>
      <c r="L13" s="19" t="s">
        <v>47</v>
      </c>
      <c r="T13" s="28" t="s">
        <v>48</v>
      </c>
      <c r="U13" s="35">
        <v>16.25</v>
      </c>
      <c r="V13" s="34" t="s">
        <v>49</v>
      </c>
    </row>
    <row r="14" spans="2:25" x14ac:dyDescent="0.3">
      <c r="D14" s="19" t="s">
        <v>50</v>
      </c>
      <c r="L14" s="36" t="s">
        <v>51</v>
      </c>
      <c r="O14" s="37"/>
    </row>
    <row r="15" spans="2:25" x14ac:dyDescent="0.3">
      <c r="D15" s="19"/>
      <c r="L15" s="36" t="s">
        <v>52</v>
      </c>
      <c r="O15" s="37"/>
    </row>
    <row r="16" spans="2:25" x14ac:dyDescent="0.3">
      <c r="L16" s="19" t="s">
        <v>53</v>
      </c>
    </row>
    <row r="17" spans="2:28" x14ac:dyDescent="0.3">
      <c r="H17" s="2" t="s">
        <v>54</v>
      </c>
      <c r="I17" s="2" t="s">
        <v>54</v>
      </c>
    </row>
    <row r="18" spans="2:28" x14ac:dyDescent="0.3">
      <c r="B18" s="38" t="s">
        <v>55</v>
      </c>
      <c r="D18" s="1" t="s">
        <v>56</v>
      </c>
      <c r="E18" s="28" t="s">
        <v>57</v>
      </c>
      <c r="F18" s="28" t="s">
        <v>58</v>
      </c>
      <c r="G18" s="28" t="s">
        <v>59</v>
      </c>
      <c r="H18" s="39" t="s">
        <v>60</v>
      </c>
      <c r="I18" s="39" t="s">
        <v>61</v>
      </c>
      <c r="J18" s="28" t="s">
        <v>62</v>
      </c>
      <c r="K18" s="28" t="s">
        <v>63</v>
      </c>
      <c r="L18" s="28" t="s">
        <v>64</v>
      </c>
      <c r="M18" s="28" t="s">
        <v>65</v>
      </c>
      <c r="N18" s="28"/>
      <c r="O18" s="40" t="s">
        <v>66</v>
      </c>
      <c r="P18" s="40" t="s">
        <v>67</v>
      </c>
      <c r="Q18" s="28"/>
      <c r="R18" s="40" t="s">
        <v>68</v>
      </c>
      <c r="S18" s="40" t="s">
        <v>69</v>
      </c>
      <c r="T18" s="41" t="s">
        <v>70</v>
      </c>
      <c r="U18" s="28" t="s">
        <v>71</v>
      </c>
      <c r="V18" s="28" t="s">
        <v>72</v>
      </c>
      <c r="W18" s="28" t="s">
        <v>57</v>
      </c>
      <c r="X18" s="28" t="s">
        <v>73</v>
      </c>
      <c r="Y18" s="28" t="s">
        <v>74</v>
      </c>
    </row>
    <row r="19" spans="2:28" hidden="1" x14ac:dyDescent="0.3">
      <c r="B19" s="42" t="s">
        <v>75</v>
      </c>
      <c r="C19" s="1" t="s">
        <v>76</v>
      </c>
      <c r="F19" s="43"/>
      <c r="G19" s="44"/>
      <c r="K19" s="29" t="s">
        <v>77</v>
      </c>
      <c r="X19" s="3"/>
    </row>
    <row r="20" spans="2:28" x14ac:dyDescent="0.3">
      <c r="B20" s="45" t="s">
        <v>75</v>
      </c>
      <c r="C20" s="1" t="s">
        <v>78</v>
      </c>
      <c r="D20" s="1">
        <v>1.169</v>
      </c>
      <c r="E20" s="1">
        <f t="shared" ref="E20:E35" si="0">IF(B20="",0,D20)</f>
        <v>1.169</v>
      </c>
      <c r="F20" s="46">
        <v>1</v>
      </c>
      <c r="G20" s="47">
        <v>1</v>
      </c>
      <c r="H20" s="2">
        <f>E20/F20/G20/$E$6</f>
        <v>0.83500000000000008</v>
      </c>
      <c r="I20" s="2">
        <f>E20/F20/G20/$E$5</f>
        <v>0.83557300426825443</v>
      </c>
      <c r="J20" s="1">
        <v>14</v>
      </c>
      <c r="K20" s="6">
        <v>10</v>
      </c>
      <c r="L20" s="2">
        <f>J20*$E$7*(1-K20*0.02)</f>
        <v>6.8713209986021981</v>
      </c>
      <c r="M20" s="2">
        <f>L20*0.95*0.9</f>
        <v>5.8749794538048796</v>
      </c>
      <c r="N20" s="1" t="e">
        <f t="shared" ref="N20:N35" si="1">IF(B20="",0,IF(C20=$U$3,$Y$3,(M20-I20)/$V$3*$Y$3))</f>
        <v>#DIV/0!</v>
      </c>
      <c r="O20" s="48">
        <f t="shared" ref="O20:O34" si="2">IF($U$3="속행x",0,IF(N20&lt;$Y$3,N20,ROUNDDOWN(N20,1)))</f>
        <v>0</v>
      </c>
      <c r="P20" s="48">
        <f>IF(B20="",0,1-(M20-IF(C20=$U$3,O20*$X$3*(M20-I20),O20*$X$3*(M20-I20-$W$3)/2))/M20)</f>
        <v>0</v>
      </c>
      <c r="Q20" s="17" t="e">
        <f t="shared" ref="Q20:Q33" si="3">IF(B20="",0,IF(C20=$U$4,$Y$4,(M20-I20)/$V$4*$Y$4))</f>
        <v>#DIV/0!</v>
      </c>
      <c r="R20" s="48">
        <f t="shared" ref="R20:R34" si="4">IF($U$4="속행x",0,IF(Q20&lt;$Y$4,Q20,ROUNDDOWN(Q20,1)))</f>
        <v>0</v>
      </c>
      <c r="S20" s="48">
        <f>IF(B20="",0,1-(M20-IF(C20=$U$4,O20*$X$4*(M20-I20),O20*$X$4*(M20-I20-$W$4)/2))/M20)</f>
        <v>0</v>
      </c>
      <c r="T20" s="49">
        <f>IF(B20="",0,M20*(1-P20)*(1-S20))</f>
        <v>5.8749794538048796</v>
      </c>
      <c r="U20" s="50">
        <f>H20/L20*$E$8+I20/L20*(1-$E$8)</f>
        <v>0.12153465497534693</v>
      </c>
      <c r="V20" s="1">
        <v>7.14</v>
      </c>
      <c r="W20" s="1">
        <f t="shared" ref="W20:W35" si="5">IF(B20="",0,V20)</f>
        <v>7.14</v>
      </c>
      <c r="X20" s="6">
        <v>1.3</v>
      </c>
      <c r="Y20" s="11">
        <f>IF(B20="",0,(W20*(1+($E$2*0.04006-0.001)/100)*X20*$N$8)/T20)</f>
        <v>2.3515851499791203</v>
      </c>
      <c r="AB20" s="11"/>
    </row>
    <row r="21" spans="2:28" x14ac:dyDescent="0.3">
      <c r="B21" s="45"/>
      <c r="C21" s="1" t="s">
        <v>79</v>
      </c>
      <c r="D21" s="1">
        <v>1</v>
      </c>
      <c r="E21" s="1">
        <f t="shared" si="0"/>
        <v>0</v>
      </c>
      <c r="F21" s="46">
        <v>1</v>
      </c>
      <c r="G21" s="47">
        <v>1</v>
      </c>
      <c r="H21" s="2">
        <f>_xlfn.CEILING.MATH(E21/F21/G21/$E$6,0.05)</f>
        <v>0</v>
      </c>
      <c r="I21" s="2">
        <f>_xlfn.CEILING.MATH(E21/F21/G21/$E$5,0.05)</f>
        <v>0</v>
      </c>
      <c r="J21" s="1">
        <v>16</v>
      </c>
      <c r="K21" s="6">
        <v>10</v>
      </c>
      <c r="L21" s="2">
        <f t="shared" ref="L21:L34" si="6">J21*$E$7*(1-K21*0.02)</f>
        <v>7.8529382841167976</v>
      </c>
      <c r="M21" s="2">
        <f t="shared" ref="M21:M34" si="7">L21*0.95*0.9</f>
        <v>6.7142622329198618</v>
      </c>
      <c r="N21" s="1">
        <f t="shared" si="1"/>
        <v>0</v>
      </c>
      <c r="O21" s="48">
        <f t="shared" si="2"/>
        <v>0</v>
      </c>
      <c r="P21" s="48">
        <f t="shared" ref="P21:P34" si="8">IF(B21="",0,1-(M21-IF(C21=$U$3,O21*$X$3*(M21-I21),O21*$X$3*(M21-I21-$W$3)/2))/M21)</f>
        <v>0</v>
      </c>
      <c r="Q21" s="17">
        <f t="shared" si="3"/>
        <v>0</v>
      </c>
      <c r="R21" s="48">
        <f t="shared" si="4"/>
        <v>0</v>
      </c>
      <c r="S21" s="48">
        <f t="shared" ref="S21:S34" si="9">IF(B21="",0,1-(M21-IF(C21=$U$4,O21*$X$4*(M21-I21),O21*$X$4*(M21-I21-$W$4)/2))/M21)</f>
        <v>0</v>
      </c>
      <c r="T21" s="49">
        <f t="shared" ref="T21:T24" si="10">IF(B21="",0,M21*(1-P21)*(1-S21))</f>
        <v>0</v>
      </c>
      <c r="U21" s="50">
        <f>H21/L21*$E$8+I21/L21*(1-$E$8)</f>
        <v>0</v>
      </c>
      <c r="V21" s="1">
        <v>11.984</v>
      </c>
      <c r="W21" s="1">
        <f t="shared" si="5"/>
        <v>0</v>
      </c>
      <c r="X21" s="6">
        <v>1.2</v>
      </c>
      <c r="Y21" s="11">
        <f t="shared" ref="Y21:Y34" si="11">IF(B21="",0,(W21*(1+($E$2*0.04006-0.001)/100)*X21*$N$8)/T21)</f>
        <v>0</v>
      </c>
    </row>
    <row r="22" spans="2:28" x14ac:dyDescent="0.3">
      <c r="B22" s="45" t="s">
        <v>80</v>
      </c>
      <c r="C22" s="1" t="s">
        <v>81</v>
      </c>
      <c r="D22" s="1">
        <v>1.5640000000000001</v>
      </c>
      <c r="E22" s="1">
        <f t="shared" si="0"/>
        <v>1.5640000000000001</v>
      </c>
      <c r="F22" s="46">
        <v>1</v>
      </c>
      <c r="G22" s="47">
        <v>1</v>
      </c>
      <c r="H22" s="2">
        <f>E22/F22/G22/$E$6</f>
        <v>1.1171428571428572</v>
      </c>
      <c r="I22" s="2">
        <f t="shared" ref="I22:I28" si="12">E22/F22/G22/$E$5</f>
        <v>1.1179094770535072</v>
      </c>
      <c r="J22" s="1">
        <v>14</v>
      </c>
      <c r="K22" s="6">
        <v>10</v>
      </c>
      <c r="L22" s="2">
        <f t="shared" si="6"/>
        <v>6.8713209986021981</v>
      </c>
      <c r="M22" s="2">
        <f t="shared" si="7"/>
        <v>5.8749794538048796</v>
      </c>
      <c r="N22" s="1" t="e">
        <f t="shared" si="1"/>
        <v>#DIV/0!</v>
      </c>
      <c r="O22" s="48">
        <f t="shared" si="2"/>
        <v>0</v>
      </c>
      <c r="P22" s="48">
        <f t="shared" si="8"/>
        <v>0</v>
      </c>
      <c r="Q22" s="17" t="e">
        <f t="shared" si="3"/>
        <v>#DIV/0!</v>
      </c>
      <c r="R22" s="48">
        <f t="shared" si="4"/>
        <v>0</v>
      </c>
      <c r="S22" s="48">
        <f t="shared" si="9"/>
        <v>0</v>
      </c>
      <c r="T22" s="49">
        <f t="shared" si="10"/>
        <v>5.8749794538048796</v>
      </c>
      <c r="U22" s="50">
        <f>H22/L22*$E$8+I22/L22*(1-$E$8)</f>
        <v>0.1626006846718927</v>
      </c>
      <c r="V22" s="1">
        <v>7.0359999999999996</v>
      </c>
      <c r="W22" s="1">
        <f t="shared" si="5"/>
        <v>7.0359999999999996</v>
      </c>
      <c r="X22" s="6">
        <v>1.3</v>
      </c>
      <c r="Y22" s="11">
        <f t="shared" si="11"/>
        <v>2.3173323690830658</v>
      </c>
      <c r="AB22" s="1" t="s">
        <v>82</v>
      </c>
    </row>
    <row r="23" spans="2:28" x14ac:dyDescent="0.3">
      <c r="B23" s="45" t="s">
        <v>83</v>
      </c>
      <c r="C23" s="1" t="s">
        <v>84</v>
      </c>
      <c r="D23" s="1">
        <v>2.1320000000000001</v>
      </c>
      <c r="E23" s="1">
        <f t="shared" si="0"/>
        <v>2.1320000000000001</v>
      </c>
      <c r="F23" s="46">
        <v>1</v>
      </c>
      <c r="G23" s="47">
        <v>1</v>
      </c>
      <c r="H23" s="2">
        <f>E23/F23/G23/$E$6</f>
        <v>1.5228571428571431</v>
      </c>
      <c r="I23" s="2">
        <f t="shared" si="12"/>
        <v>1.5239021771598962</v>
      </c>
      <c r="J23" s="1">
        <v>24</v>
      </c>
      <c r="K23" s="6">
        <v>10</v>
      </c>
      <c r="L23" s="2">
        <f t="shared" si="6"/>
        <v>11.779407426175197</v>
      </c>
      <c r="M23" s="2">
        <f t="shared" si="7"/>
        <v>10.071393349379795</v>
      </c>
      <c r="N23" s="1" t="e">
        <f t="shared" si="1"/>
        <v>#DIV/0!</v>
      </c>
      <c r="O23" s="48">
        <f t="shared" si="2"/>
        <v>0</v>
      </c>
      <c r="P23" s="48">
        <f t="shared" si="8"/>
        <v>0</v>
      </c>
      <c r="Q23" s="17" t="e">
        <f t="shared" si="3"/>
        <v>#DIV/0!</v>
      </c>
      <c r="R23" s="48">
        <f t="shared" si="4"/>
        <v>0</v>
      </c>
      <c r="S23" s="48">
        <f t="shared" si="9"/>
        <v>0</v>
      </c>
      <c r="T23" s="49">
        <f t="shared" si="10"/>
        <v>10.071393349379795</v>
      </c>
      <c r="U23" s="50">
        <f>H23/L23*$E$8+I23/L23*(1-$E$8)</f>
        <v>0.12929734750870239</v>
      </c>
      <c r="V23" s="1">
        <v>2.88</v>
      </c>
      <c r="W23" s="1">
        <f t="shared" si="5"/>
        <v>2.88</v>
      </c>
      <c r="X23" s="6">
        <v>1</v>
      </c>
      <c r="Y23" s="11">
        <f t="shared" si="11"/>
        <v>0.42562627148943344</v>
      </c>
      <c r="AA23" s="1" t="s">
        <v>85</v>
      </c>
      <c r="AB23" s="1">
        <f>((0.032*9)*((1+($E$2*0.04006-0.001)/100)*X24*$N$8)/T24+14/ROUNDDOWN(T24,0))</f>
        <v>1.4425626271489433</v>
      </c>
    </row>
    <row r="24" spans="2:28" x14ac:dyDescent="0.3">
      <c r="B24" s="45" t="s">
        <v>83</v>
      </c>
      <c r="C24" s="1" t="s">
        <v>86</v>
      </c>
      <c r="D24" s="1">
        <v>1.3</v>
      </c>
      <c r="E24" s="1">
        <f t="shared" si="0"/>
        <v>1.3</v>
      </c>
      <c r="F24" s="46">
        <v>1</v>
      </c>
      <c r="G24" s="47">
        <v>1</v>
      </c>
      <c r="H24" s="2">
        <f>E24/F24/G24/$E$6</f>
        <v>0.92857142857142871</v>
      </c>
      <c r="I24" s="2">
        <f t="shared" si="12"/>
        <v>0.92920864460969277</v>
      </c>
      <c r="J24" s="1">
        <v>24</v>
      </c>
      <c r="K24" s="6">
        <v>10</v>
      </c>
      <c r="L24" s="2">
        <f t="shared" si="6"/>
        <v>11.779407426175197</v>
      </c>
      <c r="M24" s="2">
        <f t="shared" si="7"/>
        <v>10.071393349379795</v>
      </c>
      <c r="N24" s="1" t="e">
        <f t="shared" si="1"/>
        <v>#DIV/0!</v>
      </c>
      <c r="O24" s="48">
        <f t="shared" si="2"/>
        <v>0</v>
      </c>
      <c r="P24" s="48">
        <f t="shared" si="8"/>
        <v>0</v>
      </c>
      <c r="Q24" s="17" t="e">
        <f t="shared" si="3"/>
        <v>#DIV/0!</v>
      </c>
      <c r="R24" s="48">
        <f t="shared" si="4"/>
        <v>0</v>
      </c>
      <c r="S24" s="48">
        <f t="shared" si="9"/>
        <v>0</v>
      </c>
      <c r="T24" s="49">
        <f t="shared" si="10"/>
        <v>10.071393349379795</v>
      </c>
      <c r="U24" s="50">
        <f>H24/L24*$E$8+I24/L24*(1-$E$8)</f>
        <v>7.8839846041891717E-2</v>
      </c>
      <c r="V24" s="1">
        <v>14.288</v>
      </c>
      <c r="W24" s="1">
        <f t="shared" si="5"/>
        <v>14.288</v>
      </c>
      <c r="X24" s="6">
        <v>1</v>
      </c>
      <c r="Y24" s="11">
        <f>IF(B24="",0,IF(T24&gt;14.899,AB23,AB24))</f>
        <v>1.0287713913685481</v>
      </c>
      <c r="Z24" s="19" t="s">
        <v>87</v>
      </c>
      <c r="AA24" s="1" t="s">
        <v>88</v>
      </c>
      <c r="AB24" s="1">
        <f>((0.032*9)*((1+($E$2*0.04006-0.001)/100)*X24*$N$8)/14.899+14/14)</f>
        <v>1.0287713913685481</v>
      </c>
    </row>
    <row r="25" spans="2:28" x14ac:dyDescent="0.3">
      <c r="B25" s="45" t="s">
        <v>89</v>
      </c>
      <c r="C25" s="1" t="s">
        <v>90</v>
      </c>
      <c r="D25" s="1">
        <v>1.4319999999999999</v>
      </c>
      <c r="E25" s="1">
        <f t="shared" si="0"/>
        <v>1.4319999999999999</v>
      </c>
      <c r="F25" s="46">
        <v>1</v>
      </c>
      <c r="G25" s="47">
        <v>1</v>
      </c>
      <c r="I25" s="2">
        <f t="shared" si="12"/>
        <v>1.0235590608315999</v>
      </c>
      <c r="J25" s="1">
        <v>24</v>
      </c>
      <c r="K25" s="6">
        <v>10</v>
      </c>
      <c r="L25" s="2">
        <f t="shared" si="6"/>
        <v>11.779407426175197</v>
      </c>
      <c r="M25" s="2">
        <f t="shared" si="7"/>
        <v>10.071393349379795</v>
      </c>
      <c r="N25" s="1" t="e">
        <f t="shared" si="1"/>
        <v>#DIV/0!</v>
      </c>
      <c r="O25" s="48">
        <f t="shared" si="2"/>
        <v>0</v>
      </c>
      <c r="P25" s="48">
        <f t="shared" si="8"/>
        <v>0</v>
      </c>
      <c r="Q25" s="17" t="e">
        <f t="shared" si="3"/>
        <v>#DIV/0!</v>
      </c>
      <c r="R25" s="48">
        <f t="shared" si="4"/>
        <v>0</v>
      </c>
      <c r="S25" s="48">
        <f t="shared" si="9"/>
        <v>0</v>
      </c>
      <c r="T25" s="49">
        <f>IF(B25="",0,V7*(1-P25)*(1-S25))</f>
        <v>10.071393349379795</v>
      </c>
      <c r="U25" s="50">
        <f>I25/T25</f>
        <v>0.10163033309533398</v>
      </c>
      <c r="V25" s="1">
        <v>2.4849999999999999</v>
      </c>
      <c r="W25" s="1">
        <f t="shared" si="5"/>
        <v>2.4849999999999999</v>
      </c>
      <c r="X25" s="6">
        <v>1</v>
      </c>
      <c r="Y25" s="11">
        <f t="shared" si="11"/>
        <v>0.36725044605945911</v>
      </c>
      <c r="AA25" s="1" t="s">
        <v>91</v>
      </c>
      <c r="AB25" s="1">
        <f>IF(B24="",0,IF(T24&gt;14.899,AB23,AB24))</f>
        <v>1.0287713913685481</v>
      </c>
    </row>
    <row r="26" spans="2:28" x14ac:dyDescent="0.3">
      <c r="B26" s="45" t="s">
        <v>89</v>
      </c>
      <c r="C26" s="1" t="s">
        <v>92</v>
      </c>
      <c r="D26" s="1">
        <v>1.4319999999999999</v>
      </c>
      <c r="E26" s="1">
        <f t="shared" si="0"/>
        <v>1.4319999999999999</v>
      </c>
      <c r="F26" s="46">
        <v>1</v>
      </c>
      <c r="G26" s="47">
        <v>1</v>
      </c>
      <c r="H26" s="2">
        <f t="shared" ref="H26:H35" si="13">E26/F26/G26/$E$6</f>
        <v>1.0228571428571429</v>
      </c>
      <c r="I26" s="2">
        <f t="shared" si="12"/>
        <v>1.0235590608315999</v>
      </c>
      <c r="J26" s="1">
        <v>30</v>
      </c>
      <c r="K26" s="6">
        <v>10</v>
      </c>
      <c r="L26" s="2">
        <f t="shared" si="6"/>
        <v>14.724259282718997</v>
      </c>
      <c r="M26" s="2">
        <f t="shared" si="7"/>
        <v>12.589241686724742</v>
      </c>
      <c r="N26" s="1" t="e">
        <f t="shared" si="1"/>
        <v>#DIV/0!</v>
      </c>
      <c r="O26" s="48">
        <f t="shared" si="2"/>
        <v>0</v>
      </c>
      <c r="P26" s="48">
        <f t="shared" si="8"/>
        <v>0</v>
      </c>
      <c r="Q26" s="17" t="e">
        <f t="shared" si="3"/>
        <v>#DIV/0!</v>
      </c>
      <c r="R26" s="48">
        <f t="shared" si="4"/>
        <v>0</v>
      </c>
      <c r="S26" s="48">
        <f t="shared" si="9"/>
        <v>0</v>
      </c>
      <c r="T26" s="49">
        <f>IF(B26="",0,M26*(1-P26)*(1-S26))</f>
        <v>12.589241686724742</v>
      </c>
      <c r="U26" s="50">
        <f>H26/L26*$E$8+I26/L26*(1-$E$8)</f>
        <v>6.9476098173531647E-2</v>
      </c>
      <c r="V26" s="1">
        <v>0</v>
      </c>
      <c r="W26" s="1">
        <f t="shared" si="5"/>
        <v>0</v>
      </c>
      <c r="X26" s="6">
        <v>1</v>
      </c>
      <c r="Y26" s="11">
        <f t="shared" si="11"/>
        <v>0</v>
      </c>
    </row>
    <row r="27" spans="2:28" x14ac:dyDescent="0.3">
      <c r="B27" s="45"/>
      <c r="C27" s="1" t="s">
        <v>93</v>
      </c>
      <c r="D27" s="1">
        <v>1.4319999999999999</v>
      </c>
      <c r="E27" s="1">
        <f t="shared" si="0"/>
        <v>0</v>
      </c>
      <c r="F27" s="46">
        <v>1</v>
      </c>
      <c r="G27" s="47">
        <v>1</v>
      </c>
      <c r="H27" s="2">
        <f t="shared" si="13"/>
        <v>0</v>
      </c>
      <c r="I27" s="2">
        <f t="shared" si="12"/>
        <v>0</v>
      </c>
      <c r="J27" s="1">
        <v>15</v>
      </c>
      <c r="K27" s="6">
        <v>10</v>
      </c>
      <c r="L27" s="2">
        <f t="shared" si="6"/>
        <v>7.3621296413594983</v>
      </c>
      <c r="M27" s="2">
        <f t="shared" si="7"/>
        <v>6.2946208433623712</v>
      </c>
      <c r="N27" s="1">
        <f t="shared" si="1"/>
        <v>0</v>
      </c>
      <c r="O27" s="48">
        <f t="shared" si="2"/>
        <v>0</v>
      </c>
      <c r="P27" s="48">
        <f t="shared" si="8"/>
        <v>0</v>
      </c>
      <c r="Q27" s="17">
        <f t="shared" si="3"/>
        <v>0</v>
      </c>
      <c r="R27" s="48">
        <f t="shared" si="4"/>
        <v>0</v>
      </c>
      <c r="S27" s="48">
        <f t="shared" si="9"/>
        <v>0</v>
      </c>
      <c r="T27" s="49">
        <f t="shared" ref="T27:T34" si="14">IF(B27="",0,M27*(1-P27)*(1-S27))</f>
        <v>0</v>
      </c>
      <c r="U27" s="50">
        <f>H27/L27*$E$8+I27/L27*(1-$E$8)</f>
        <v>0</v>
      </c>
      <c r="V27" s="1">
        <v>0</v>
      </c>
      <c r="W27" s="1">
        <f t="shared" si="5"/>
        <v>0</v>
      </c>
      <c r="X27" s="6">
        <v>1</v>
      </c>
      <c r="Y27" s="11">
        <f t="shared" si="11"/>
        <v>0</v>
      </c>
    </row>
    <row r="28" spans="2:28" x14ac:dyDescent="0.3">
      <c r="B28" s="45" t="s">
        <v>89</v>
      </c>
      <c r="C28" s="1" t="s">
        <v>94</v>
      </c>
      <c r="D28" s="1">
        <v>1.4319999999999999</v>
      </c>
      <c r="E28" s="1">
        <f t="shared" si="0"/>
        <v>1.4319999999999999</v>
      </c>
      <c r="F28" s="46">
        <v>1</v>
      </c>
      <c r="G28" s="47">
        <v>1</v>
      </c>
      <c r="H28" s="2">
        <f t="shared" si="13"/>
        <v>1.0228571428571429</v>
      </c>
      <c r="I28" s="2">
        <f t="shared" si="12"/>
        <v>1.0235590608315999</v>
      </c>
      <c r="J28" s="1">
        <v>13</v>
      </c>
      <c r="K28" s="6">
        <v>10</v>
      </c>
      <c r="L28" s="2">
        <f t="shared" si="6"/>
        <v>6.380512355844898</v>
      </c>
      <c r="M28" s="2">
        <f t="shared" si="7"/>
        <v>5.4553380642473881</v>
      </c>
      <c r="N28" s="1" t="e">
        <f t="shared" si="1"/>
        <v>#DIV/0!</v>
      </c>
      <c r="O28" s="48">
        <f t="shared" si="2"/>
        <v>0</v>
      </c>
      <c r="P28" s="48">
        <f t="shared" si="8"/>
        <v>0</v>
      </c>
      <c r="Q28" s="17" t="e">
        <f t="shared" si="3"/>
        <v>#DIV/0!</v>
      </c>
      <c r="R28" s="48">
        <f t="shared" si="4"/>
        <v>0</v>
      </c>
      <c r="S28" s="48">
        <f t="shared" si="9"/>
        <v>0</v>
      </c>
      <c r="T28" s="49">
        <f t="shared" si="14"/>
        <v>5.4553380642473881</v>
      </c>
      <c r="U28" s="50">
        <f>H28/L28*$E$8+I28/L28*(1-$E$8)</f>
        <v>0.16032945732353457</v>
      </c>
      <c r="V28" s="1">
        <v>12.414999999999999</v>
      </c>
      <c r="W28" s="1">
        <f t="shared" si="5"/>
        <v>12.414999999999999</v>
      </c>
      <c r="X28" s="6">
        <v>1.4</v>
      </c>
      <c r="Y28" s="11">
        <f t="shared" si="11"/>
        <v>4.7421860415114381</v>
      </c>
      <c r="AB28" s="1" t="s">
        <v>95</v>
      </c>
    </row>
    <row r="29" spans="2:28" x14ac:dyDescent="0.3">
      <c r="B29" s="45"/>
      <c r="C29" s="1" t="s">
        <v>96</v>
      </c>
      <c r="D29" s="1">
        <v>2.25</v>
      </c>
      <c r="E29" s="1">
        <f t="shared" si="0"/>
        <v>0</v>
      </c>
      <c r="F29" s="46">
        <v>1</v>
      </c>
      <c r="G29" s="47">
        <v>1</v>
      </c>
      <c r="H29" s="2">
        <f t="shared" si="13"/>
        <v>0</v>
      </c>
      <c r="I29" s="2">
        <f>_xlfn.CEILING.MATH(E29/F29/G29/$E$6,0.05)</f>
        <v>0</v>
      </c>
      <c r="J29" s="1">
        <v>24</v>
      </c>
      <c r="K29" s="6">
        <v>10</v>
      </c>
      <c r="L29" s="2">
        <f t="shared" si="6"/>
        <v>11.779407426175197</v>
      </c>
      <c r="M29" s="2">
        <f t="shared" si="7"/>
        <v>10.071393349379795</v>
      </c>
      <c r="N29" s="1">
        <f t="shared" si="1"/>
        <v>0</v>
      </c>
      <c r="O29" s="48">
        <f t="shared" si="2"/>
        <v>0</v>
      </c>
      <c r="P29" s="48">
        <f t="shared" si="8"/>
        <v>0</v>
      </c>
      <c r="Q29" s="17">
        <f t="shared" si="3"/>
        <v>0</v>
      </c>
      <c r="R29" s="48">
        <f t="shared" si="4"/>
        <v>0</v>
      </c>
      <c r="S29" s="48">
        <f t="shared" si="9"/>
        <v>0</v>
      </c>
      <c r="T29" s="49">
        <f t="shared" si="14"/>
        <v>0</v>
      </c>
      <c r="U29" s="50">
        <f>I29/L29</f>
        <v>0</v>
      </c>
      <c r="V29" s="1">
        <v>6.72</v>
      </c>
      <c r="W29" s="1">
        <f t="shared" si="5"/>
        <v>0</v>
      </c>
      <c r="X29" s="6">
        <v>1</v>
      </c>
      <c r="Y29" s="11">
        <f t="shared" si="11"/>
        <v>0</v>
      </c>
      <c r="AA29" s="1" t="s">
        <v>97</v>
      </c>
      <c r="AB29" s="1">
        <f>((0.032*6)*((1+($E$2*0.04006-0.001)/100)*X24*$N$8)/T24+10/ROUNDDOWN(T24,0))</f>
        <v>1.0283750847659623</v>
      </c>
    </row>
    <row r="30" spans="2:28" x14ac:dyDescent="0.3">
      <c r="B30" s="45"/>
      <c r="C30" s="1" t="s">
        <v>98</v>
      </c>
      <c r="D30" s="1">
        <v>4.5</v>
      </c>
      <c r="E30" s="1">
        <f t="shared" si="0"/>
        <v>0</v>
      </c>
      <c r="F30" s="46">
        <v>1</v>
      </c>
      <c r="G30" s="47">
        <v>1</v>
      </c>
      <c r="H30" s="2">
        <f t="shared" si="13"/>
        <v>0</v>
      </c>
      <c r="I30" s="2">
        <f>_xlfn.CEILING.MATH(E30/F30/G30/$E$6,0.05)</f>
        <v>0</v>
      </c>
      <c r="J30" s="1">
        <v>24</v>
      </c>
      <c r="K30" s="6">
        <v>10</v>
      </c>
      <c r="L30" s="2">
        <f t="shared" si="6"/>
        <v>11.779407426175197</v>
      </c>
      <c r="M30" s="2">
        <f t="shared" si="7"/>
        <v>10.071393349379795</v>
      </c>
      <c r="N30" s="1">
        <f t="shared" si="1"/>
        <v>0</v>
      </c>
      <c r="O30" s="48">
        <f t="shared" si="2"/>
        <v>0</v>
      </c>
      <c r="P30" s="48">
        <f t="shared" si="8"/>
        <v>0</v>
      </c>
      <c r="Q30" s="17">
        <f t="shared" si="3"/>
        <v>0</v>
      </c>
      <c r="R30" s="48">
        <f t="shared" si="4"/>
        <v>0</v>
      </c>
      <c r="S30" s="48">
        <f t="shared" si="9"/>
        <v>0</v>
      </c>
      <c r="T30" s="49">
        <f>IF(B30="",0,M30*(1-P30)*(1-S30))</f>
        <v>0</v>
      </c>
      <c r="U30" s="50">
        <f>I30/L30</f>
        <v>0</v>
      </c>
      <c r="V30" s="1">
        <v>14.91</v>
      </c>
      <c r="W30" s="1">
        <f t="shared" si="5"/>
        <v>0</v>
      </c>
      <c r="X30" s="6">
        <v>1</v>
      </c>
      <c r="Y30" s="11">
        <f t="shared" si="11"/>
        <v>0</v>
      </c>
      <c r="AA30" s="1" t="s">
        <v>99</v>
      </c>
      <c r="AB30" s="1">
        <f>((0.032*9)*((1+($E$2*0.04006-0.001)/100)*X24*$N$8)/10.499+10/10)</f>
        <v>1.0408291227735975</v>
      </c>
    </row>
    <row r="31" spans="2:28" x14ac:dyDescent="0.3">
      <c r="B31" s="45"/>
      <c r="C31" s="1" t="s">
        <v>100</v>
      </c>
      <c r="D31" s="1">
        <v>1.0660000000000001</v>
      </c>
      <c r="E31" s="1">
        <f t="shared" si="0"/>
        <v>0</v>
      </c>
      <c r="F31" s="46">
        <v>1</v>
      </c>
      <c r="G31" s="47">
        <v>1</v>
      </c>
      <c r="H31" s="2">
        <f t="shared" si="13"/>
        <v>0</v>
      </c>
      <c r="I31" s="2">
        <f>E31/F31/G31/$E$5</f>
        <v>0</v>
      </c>
      <c r="J31" s="1">
        <v>6</v>
      </c>
      <c r="K31" s="6">
        <v>0</v>
      </c>
      <c r="L31" s="2">
        <f t="shared" si="6"/>
        <v>3.6810648206797487</v>
      </c>
      <c r="M31" s="2">
        <f t="shared" si="7"/>
        <v>3.1473104216811851</v>
      </c>
      <c r="N31" s="1">
        <f t="shared" si="1"/>
        <v>0</v>
      </c>
      <c r="O31" s="48">
        <f t="shared" si="2"/>
        <v>0</v>
      </c>
      <c r="P31" s="48">
        <f t="shared" si="8"/>
        <v>0</v>
      </c>
      <c r="Q31" s="17">
        <f t="shared" si="3"/>
        <v>0</v>
      </c>
      <c r="R31" s="48">
        <f t="shared" si="4"/>
        <v>0</v>
      </c>
      <c r="S31" s="48">
        <f t="shared" si="9"/>
        <v>0</v>
      </c>
      <c r="T31" s="49">
        <f t="shared" si="14"/>
        <v>0</v>
      </c>
      <c r="U31" s="50">
        <f>H31/L31*$E$8+I31/L31*(1-$E$8)</f>
        <v>0</v>
      </c>
      <c r="V31" s="1">
        <v>2.19</v>
      </c>
      <c r="W31" s="1">
        <f t="shared" si="5"/>
        <v>0</v>
      </c>
      <c r="X31" s="6">
        <v>1</v>
      </c>
      <c r="Y31" s="11">
        <f t="shared" si="11"/>
        <v>0</v>
      </c>
      <c r="AA31" s="1" t="s">
        <v>91</v>
      </c>
      <c r="AB31" s="1">
        <f>IF(B24="",0,IF(T24&gt;10.499,AB29,AB30))</f>
        <v>1.0408291227735975</v>
      </c>
    </row>
    <row r="32" spans="2:28" x14ac:dyDescent="0.3">
      <c r="B32" s="45" t="s">
        <v>112</v>
      </c>
      <c r="C32" s="1" t="s">
        <v>101</v>
      </c>
      <c r="D32" s="1">
        <v>0.6</v>
      </c>
      <c r="E32" s="1">
        <f t="shared" si="0"/>
        <v>0.6</v>
      </c>
      <c r="F32" s="46">
        <v>1</v>
      </c>
      <c r="G32" s="47">
        <v>1</v>
      </c>
      <c r="H32" s="2">
        <f t="shared" si="13"/>
        <v>0.4285714285714286</v>
      </c>
      <c r="I32" s="2">
        <f>E32/F32/G32/$E$5</f>
        <v>0.42886552828139662</v>
      </c>
      <c r="J32" s="1">
        <v>19</v>
      </c>
      <c r="K32" s="6">
        <v>10</v>
      </c>
      <c r="L32" s="2">
        <f t="shared" si="6"/>
        <v>9.3253642123886973</v>
      </c>
      <c r="M32" s="2">
        <f t="shared" si="7"/>
        <v>7.9731864015923355</v>
      </c>
      <c r="N32" s="1" t="e">
        <f t="shared" si="1"/>
        <v>#DIV/0!</v>
      </c>
      <c r="O32" s="48">
        <f t="shared" si="2"/>
        <v>0</v>
      </c>
      <c r="P32" s="48">
        <f t="shared" si="8"/>
        <v>0</v>
      </c>
      <c r="Q32" s="17" t="e">
        <f t="shared" si="3"/>
        <v>#DIV/0!</v>
      </c>
      <c r="R32" s="48">
        <f t="shared" si="4"/>
        <v>0</v>
      </c>
      <c r="S32" s="48">
        <f t="shared" si="9"/>
        <v>0</v>
      </c>
      <c r="T32" s="49">
        <f t="shared" si="14"/>
        <v>7.9731864015923355</v>
      </c>
      <c r="U32" s="50">
        <f>H32/L32*$E$8+I32/L32*(1-$E$8)</f>
        <v>4.596331105276278E-2</v>
      </c>
      <c r="V32" s="1">
        <f>2.835/3</f>
        <v>0.94499999999999995</v>
      </c>
      <c r="W32" s="1">
        <f t="shared" si="5"/>
        <v>0.94499999999999995</v>
      </c>
      <c r="X32" s="6">
        <v>1</v>
      </c>
      <c r="Y32" s="11">
        <f t="shared" si="11"/>
        <v>0.17641088884101525</v>
      </c>
    </row>
    <row r="33" spans="2:26" x14ac:dyDescent="0.3">
      <c r="B33" s="45"/>
      <c r="C33" s="1" t="s">
        <v>102</v>
      </c>
      <c r="D33" s="1">
        <v>1.23</v>
      </c>
      <c r="E33" s="1">
        <f t="shared" si="0"/>
        <v>0</v>
      </c>
      <c r="F33" s="46">
        <v>1</v>
      </c>
      <c r="G33" s="47">
        <v>1.2</v>
      </c>
      <c r="H33" s="2">
        <f t="shared" si="13"/>
        <v>0</v>
      </c>
      <c r="I33" s="2">
        <f>E33/F33/G33/$E$5</f>
        <v>0</v>
      </c>
      <c r="J33" s="1">
        <v>16</v>
      </c>
      <c r="K33" s="6">
        <v>0</v>
      </c>
      <c r="L33" s="2">
        <f t="shared" si="6"/>
        <v>9.8161728551459966</v>
      </c>
      <c r="M33" s="2">
        <f t="shared" si="7"/>
        <v>8.392827791149827</v>
      </c>
      <c r="N33" s="1">
        <f t="shared" si="1"/>
        <v>0</v>
      </c>
      <c r="O33" s="48">
        <f t="shared" si="2"/>
        <v>0</v>
      </c>
      <c r="P33" s="48">
        <f t="shared" si="8"/>
        <v>0</v>
      </c>
      <c r="Q33" s="17">
        <f t="shared" si="3"/>
        <v>0</v>
      </c>
      <c r="R33" s="48">
        <f t="shared" si="4"/>
        <v>0</v>
      </c>
      <c r="S33" s="48">
        <f t="shared" si="9"/>
        <v>0</v>
      </c>
      <c r="T33" s="49">
        <f t="shared" si="14"/>
        <v>0</v>
      </c>
      <c r="U33" s="50">
        <f>H33/L33*$E$8+I33/L33*(1-$E$8)</f>
        <v>0</v>
      </c>
      <c r="V33" s="1">
        <v>2.0230000000000001</v>
      </c>
      <c r="W33" s="1">
        <f t="shared" si="5"/>
        <v>0</v>
      </c>
      <c r="X33" s="6">
        <v>1</v>
      </c>
      <c r="Y33" s="11">
        <f t="shared" si="11"/>
        <v>0</v>
      </c>
    </row>
    <row r="34" spans="2:26" ht="17.25" thickBot="1" x14ac:dyDescent="0.35">
      <c r="B34" s="51"/>
      <c r="C34" s="1" t="s">
        <v>103</v>
      </c>
      <c r="D34" s="1">
        <v>1.466</v>
      </c>
      <c r="E34" s="1">
        <f t="shared" si="0"/>
        <v>0</v>
      </c>
      <c r="F34" s="52">
        <v>1</v>
      </c>
      <c r="G34" s="53">
        <v>1</v>
      </c>
      <c r="H34" s="2">
        <f t="shared" si="13"/>
        <v>0</v>
      </c>
      <c r="I34" s="2">
        <f>E34/F34/G34/$E$5</f>
        <v>0</v>
      </c>
      <c r="J34" s="1">
        <v>10</v>
      </c>
      <c r="K34" s="13">
        <v>0</v>
      </c>
      <c r="L34" s="2">
        <f t="shared" si="6"/>
        <v>6.1351080344662474</v>
      </c>
      <c r="M34" s="2">
        <f t="shared" si="7"/>
        <v>5.2455173694686419</v>
      </c>
      <c r="N34" s="1">
        <f t="shared" si="1"/>
        <v>0</v>
      </c>
      <c r="O34" s="48">
        <f t="shared" si="2"/>
        <v>0</v>
      </c>
      <c r="P34" s="48">
        <f t="shared" si="8"/>
        <v>0</v>
      </c>
      <c r="Q34" s="17">
        <f>IF(B34="",0,IF(C34=$U$4,$Y$4,(L34-I34)/$V$4*$Y$4))</f>
        <v>0</v>
      </c>
      <c r="R34" s="48">
        <f t="shared" si="4"/>
        <v>0</v>
      </c>
      <c r="S34" s="48">
        <f t="shared" si="9"/>
        <v>0</v>
      </c>
      <c r="T34" s="49">
        <f t="shared" si="14"/>
        <v>0</v>
      </c>
      <c r="U34" s="50">
        <f>H34/L34*$E$8+I34/L34*(1-$E$8)</f>
        <v>0</v>
      </c>
      <c r="V34" s="1">
        <v>2.61</v>
      </c>
      <c r="W34" s="1">
        <f t="shared" si="5"/>
        <v>0</v>
      </c>
      <c r="X34" s="13">
        <v>1</v>
      </c>
      <c r="Y34" s="11">
        <f t="shared" si="11"/>
        <v>0</v>
      </c>
    </row>
    <row r="35" spans="2:26" hidden="1" x14ac:dyDescent="0.3">
      <c r="B35" s="54"/>
      <c r="C35" s="1" t="s">
        <v>104</v>
      </c>
      <c r="D35" s="1">
        <v>1</v>
      </c>
      <c r="E35" s="1">
        <f t="shared" si="0"/>
        <v>0</v>
      </c>
      <c r="F35" s="46">
        <v>1</v>
      </c>
      <c r="G35" s="47">
        <v>1</v>
      </c>
      <c r="H35" s="2">
        <f t="shared" si="13"/>
        <v>0</v>
      </c>
      <c r="I35" s="2">
        <f>E35/F35/G35/$E$5</f>
        <v>0</v>
      </c>
      <c r="J35" s="1">
        <v>0</v>
      </c>
      <c r="K35" s="6">
        <v>10</v>
      </c>
      <c r="L35" s="2">
        <v>1</v>
      </c>
      <c r="M35" s="2">
        <v>1</v>
      </c>
      <c r="N35" s="1">
        <f t="shared" si="1"/>
        <v>0</v>
      </c>
      <c r="O35" s="48">
        <f>IF($U$3="속행x",0,IF(N35&lt;0.1,N35,ROUNDDOWN(N35,1)))</f>
        <v>0</v>
      </c>
      <c r="P35" s="55">
        <f t="shared" ref="P35" si="15">IF(B35="",1,(M35-IF(C35=$U$3,O35*$X$3*(M35-I35),O35*$X$3*(M35-I35-$W$3)/2))/M35)</f>
        <v>1</v>
      </c>
      <c r="Q35" s="1">
        <f>IF(B35="",0,IF(C35=$U$4,$Y$4,(M35-I35)/$V$4*$Y$4))</f>
        <v>0</v>
      </c>
      <c r="R35" s="48">
        <f>IF($U$4="속행x",0,IF(Q35&lt;0.1,Q35,ROUNDDOWN(Q35,1)))</f>
        <v>0</v>
      </c>
      <c r="S35" s="55">
        <f t="shared" ref="S35" si="16">IF(B35="",1,(M35-IF(C35=$U$4,O35*$X$4*(M35-I35),O35*$X$4*(M35-I35-$W$4)/2))/M35)</f>
        <v>1</v>
      </c>
      <c r="T35" s="56">
        <v>0</v>
      </c>
      <c r="U35" s="50">
        <f>H35/L35*$E$8+I35/L35*(1-$E$8)</f>
        <v>0</v>
      </c>
      <c r="V35" s="1">
        <v>0</v>
      </c>
      <c r="W35" s="1">
        <f t="shared" si="5"/>
        <v>0</v>
      </c>
      <c r="X35" s="6">
        <v>0</v>
      </c>
      <c r="Y35" s="11">
        <v>0</v>
      </c>
      <c r="Z35" s="19" t="s">
        <v>105</v>
      </c>
    </row>
    <row r="36" spans="2:26" x14ac:dyDescent="0.3">
      <c r="D36" s="57"/>
      <c r="E36" s="57"/>
      <c r="F36"/>
      <c r="M36" s="19" t="s">
        <v>106</v>
      </c>
      <c r="U36" s="58">
        <f>SUM(U20:U34)</f>
        <v>0.8696717328429967</v>
      </c>
      <c r="Y36" s="59">
        <f>SUM(Y20:Y34)</f>
        <v>11.409162558332079</v>
      </c>
      <c r="Z36" s="36"/>
    </row>
    <row r="37" spans="2:26" x14ac:dyDescent="0.3">
      <c r="B37"/>
      <c r="C37"/>
      <c r="D37"/>
      <c r="E37"/>
      <c r="F37"/>
      <c r="I37" s="57"/>
      <c r="M37" s="36" t="s">
        <v>107</v>
      </c>
    </row>
    <row r="38" spans="2:26" x14ac:dyDescent="0.3">
      <c r="B38"/>
      <c r="C38"/>
      <c r="D38"/>
      <c r="E38"/>
      <c r="F38"/>
      <c r="M38" s="36" t="s">
        <v>108</v>
      </c>
    </row>
    <row r="39" spans="2:26" x14ac:dyDescent="0.3">
      <c r="B39"/>
      <c r="M39" s="36" t="s">
        <v>109</v>
      </c>
    </row>
    <row r="40" spans="2:26" x14ac:dyDescent="0.3">
      <c r="M40" s="36" t="s">
        <v>110</v>
      </c>
    </row>
    <row r="41" spans="2:26" x14ac:dyDescent="0.3">
      <c r="M41" s="36" t="s">
        <v>111</v>
      </c>
    </row>
    <row r="44" spans="2:26" x14ac:dyDescent="0.3">
      <c r="C44" s="57"/>
      <c r="D44" s="60"/>
      <c r="E44" s="60"/>
    </row>
    <row r="45" spans="2:26" x14ac:dyDescent="0.3">
      <c r="C45" s="57"/>
      <c r="D45" s="60"/>
      <c r="E45" s="60"/>
    </row>
    <row r="46" spans="2:26" x14ac:dyDescent="0.3">
      <c r="L46" s="2"/>
    </row>
    <row r="47" spans="2:26" x14ac:dyDescent="0.3">
      <c r="G47" s="2"/>
      <c r="L47" s="2"/>
    </row>
    <row r="48" spans="2:26" x14ac:dyDescent="0.3">
      <c r="L48" s="2"/>
    </row>
    <row r="49" spans="2:12" x14ac:dyDescent="0.3">
      <c r="B49"/>
      <c r="C49" s="61"/>
      <c r="F49"/>
      <c r="H49" s="1"/>
      <c r="J49" s="2"/>
    </row>
    <row r="50" spans="2:12" x14ac:dyDescent="0.3">
      <c r="B50"/>
      <c r="C50" s="62"/>
      <c r="D50" s="60"/>
      <c r="E50"/>
      <c r="F50" s="2"/>
      <c r="G50" s="2"/>
      <c r="H50" s="1"/>
      <c r="J50" s="2"/>
    </row>
    <row r="51" spans="2:12" x14ac:dyDescent="0.3">
      <c r="B51"/>
      <c r="C51" s="62"/>
      <c r="D51" s="60"/>
      <c r="E51" s="63"/>
      <c r="F51" s="2"/>
      <c r="G51" s="2"/>
      <c r="H51" s="1"/>
      <c r="J51" s="2"/>
    </row>
    <row r="52" spans="2:12" x14ac:dyDescent="0.3">
      <c r="B52"/>
      <c r="C52"/>
      <c r="H52" s="1"/>
      <c r="J52" s="2"/>
    </row>
    <row r="53" spans="2:12" x14ac:dyDescent="0.3">
      <c r="B53"/>
      <c r="C53"/>
      <c r="H53" s="1"/>
      <c r="J53" s="2"/>
    </row>
    <row r="54" spans="2:12" x14ac:dyDescent="0.3">
      <c r="B54"/>
      <c r="C54" s="64"/>
      <c r="H54" s="1"/>
      <c r="J54" s="2"/>
    </row>
    <row r="57" spans="2:12" x14ac:dyDescent="0.3">
      <c r="L57" s="2"/>
    </row>
  </sheetData>
  <mergeCells count="2">
    <mergeCell ref="H2:I2"/>
    <mergeCell ref="H4:I4"/>
  </mergeCells>
  <phoneticPr fontId="3" type="noConversion"/>
  <conditionalFormatting sqref="M36:M41 P36:R41">
    <cfRule type="duplicateValues" dxfId="18" priority="19"/>
  </conditionalFormatting>
  <conditionalFormatting sqref="P20:U34 Y20:Y34">
    <cfRule type="cellIs" dxfId="17" priority="18" operator="greaterThan">
      <formula>0</formula>
    </cfRule>
  </conditionalFormatting>
  <conditionalFormatting sqref="P19:U34 Y19:Y34">
    <cfRule type="cellIs" dxfId="16" priority="17" operator="greaterThan">
      <formula>0</formula>
    </cfRule>
  </conditionalFormatting>
  <conditionalFormatting sqref="C19">
    <cfRule type="expression" dxfId="15" priority="16">
      <formula>$B$19="ㅁ"</formula>
    </cfRule>
  </conditionalFormatting>
  <conditionalFormatting sqref="C20">
    <cfRule type="expression" dxfId="14" priority="15">
      <formula>$B$20="ㅁ"</formula>
    </cfRule>
  </conditionalFormatting>
  <conditionalFormatting sqref="C21">
    <cfRule type="expression" dxfId="13" priority="14">
      <formula>$B$21="ㅁ"</formula>
    </cfRule>
  </conditionalFormatting>
  <conditionalFormatting sqref="C22">
    <cfRule type="expression" dxfId="12" priority="13">
      <formula>$B$22="ㅁ"</formula>
    </cfRule>
  </conditionalFormatting>
  <conditionalFormatting sqref="C23">
    <cfRule type="expression" dxfId="11" priority="12">
      <formula>$B$23="ㅁ"</formula>
    </cfRule>
  </conditionalFormatting>
  <conditionalFormatting sqref="C24">
    <cfRule type="expression" dxfId="10" priority="11">
      <formula>$B$24="ㅁ"</formula>
    </cfRule>
  </conditionalFormatting>
  <conditionalFormatting sqref="C25">
    <cfRule type="expression" dxfId="9" priority="10">
      <formula>$B$25="ㅁ"</formula>
    </cfRule>
  </conditionalFormatting>
  <conditionalFormatting sqref="C26">
    <cfRule type="expression" dxfId="8" priority="9">
      <formula>$B$26="ㅁ"</formula>
    </cfRule>
  </conditionalFormatting>
  <conditionalFormatting sqref="C27">
    <cfRule type="expression" dxfId="7" priority="8">
      <formula>$B$27="ㅁ"</formula>
    </cfRule>
  </conditionalFormatting>
  <conditionalFormatting sqref="C28">
    <cfRule type="expression" dxfId="6" priority="7">
      <formula>$B$28="ㅁ"</formula>
    </cfRule>
  </conditionalFormatting>
  <conditionalFormatting sqref="C29">
    <cfRule type="expression" dxfId="5" priority="6">
      <formula>$B$29="ㅁ"</formula>
    </cfRule>
  </conditionalFormatting>
  <conditionalFormatting sqref="C30">
    <cfRule type="expression" dxfId="4" priority="5">
      <formula>$B$30="ㅁ"</formula>
    </cfRule>
  </conditionalFormatting>
  <conditionalFormatting sqref="C31">
    <cfRule type="expression" dxfId="3" priority="4">
      <formula>$B$31="ㅁ"</formula>
    </cfRule>
  </conditionalFormatting>
  <conditionalFormatting sqref="C32">
    <cfRule type="expression" dxfId="2" priority="3">
      <formula>$B$32="ㅁ"</formula>
    </cfRule>
  </conditionalFormatting>
  <conditionalFormatting sqref="C33">
    <cfRule type="expression" dxfId="1" priority="2">
      <formula>$B$33="ㅁ"</formula>
    </cfRule>
  </conditionalFormatting>
  <conditionalFormatting sqref="C34">
    <cfRule type="expression" dxfId="0" priority="1">
      <formula>$B$34="ㅁ"</formula>
    </cfRule>
  </conditionalFormatting>
  <dataValidations count="1">
    <dataValidation type="list" allowBlank="1" showInputMessage="1" showErrorMessage="1" sqref="U3:U4">
      <formula1>$C$20:$C$35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시전시간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yoon jong yoon</dc:creator>
  <cp:lastModifiedBy>yoon jong yoon</cp:lastModifiedBy>
  <dcterms:created xsi:type="dcterms:W3CDTF">2024-08-26T03:08:46Z</dcterms:created>
  <dcterms:modified xsi:type="dcterms:W3CDTF">2024-08-26T03:14:05Z</dcterms:modified>
</cp:coreProperties>
</file>