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eogns\Downloads\"/>
    </mc:Choice>
  </mc:AlternateContent>
  <xr:revisionPtr revIDLastSave="0" documentId="13_ncr:1_{B0CC5920-2E6D-4D67-B77B-A0CDBA828E72}" xr6:coauthVersionLast="47" xr6:coauthVersionMax="47" xr10:uidLastSave="{00000000-0000-0000-0000-000000000000}"/>
  <bookViews>
    <workbookView xWindow="28680" yWindow="-120" windowWidth="29040" windowHeight="15840" xr2:uid="{3F95D256-14D8-48BB-99B0-B94A1B91B064}"/>
  </bookViews>
  <sheets>
    <sheet name="홀나 " sheetId="3" r:id="rId1"/>
  </sheets>
  <definedNames>
    <definedName name="_xlnm._FilterDatabase" localSheetId="0" hidden="1">'홀나 '!$B$4:$F$8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6" i="3" l="1"/>
  <c r="C21" i="3"/>
  <c r="C30" i="3"/>
  <c r="B17" i="3"/>
  <c r="D5" i="3"/>
  <c r="F5" i="3" s="1"/>
  <c r="D6" i="3"/>
  <c r="D10" i="3" s="1"/>
  <c r="C17" i="3" s="1"/>
  <c r="D7" i="3"/>
  <c r="F7" i="3"/>
  <c r="D8" i="3"/>
  <c r="F8" i="3" s="1"/>
  <c r="D12" i="3"/>
  <c r="F12" i="3" s="1"/>
  <c r="C29" i="3" l="1"/>
  <c r="D29" i="3" s="1"/>
  <c r="C32" i="3"/>
  <c r="C22" i="3"/>
  <c r="C31" i="3"/>
  <c r="J6" i="3"/>
  <c r="K6" i="3" s="1"/>
  <c r="J11" i="3"/>
  <c r="K11" i="3" s="1"/>
  <c r="J18" i="3"/>
  <c r="K18" i="3" s="1"/>
  <c r="J21" i="3"/>
  <c r="K21" i="3" s="1"/>
  <c r="J24" i="3"/>
  <c r="K24" i="3" s="1"/>
  <c r="J27" i="3"/>
  <c r="K27" i="3" s="1"/>
  <c r="J32" i="3"/>
  <c r="J25" i="3"/>
  <c r="K25" i="3" s="1"/>
  <c r="J30" i="3"/>
  <c r="J22" i="3"/>
  <c r="K22" i="3" s="1"/>
  <c r="J5" i="3"/>
  <c r="K5" i="3" s="1"/>
  <c r="J10" i="3"/>
  <c r="K10" i="3" s="1"/>
  <c r="J15" i="3"/>
  <c r="K15" i="3" s="1"/>
  <c r="J14" i="3"/>
  <c r="K14" i="3" s="1"/>
  <c r="J20" i="3"/>
  <c r="K20" i="3" s="1"/>
  <c r="J31" i="3"/>
  <c r="J9" i="3"/>
  <c r="K9" i="3" s="1"/>
  <c r="J13" i="3"/>
  <c r="K13" i="3" s="1"/>
  <c r="J17" i="3"/>
  <c r="K17" i="3" s="1"/>
  <c r="J23" i="3"/>
  <c r="K23" i="3" s="1"/>
  <c r="J26" i="3"/>
  <c r="K26" i="3" s="1"/>
  <c r="J8" i="3"/>
  <c r="K8" i="3" s="1"/>
  <c r="J19" i="3"/>
  <c r="K19" i="3" s="1"/>
  <c r="J29" i="3"/>
  <c r="K29" i="3" s="1"/>
  <c r="J12" i="3"/>
  <c r="K12" i="3" s="1"/>
  <c r="J28" i="3"/>
  <c r="K28" i="3" s="1"/>
  <c r="J7" i="3"/>
  <c r="K7" i="3" s="1"/>
  <c r="J16" i="3"/>
  <c r="K16" i="3" s="1"/>
  <c r="D9" i="3"/>
  <c r="E17" i="3" s="1"/>
  <c r="D11" i="3" s="1"/>
  <c r="D30" i="3" l="1"/>
  <c r="D31" i="3"/>
  <c r="D32" i="3"/>
  <c r="L21" i="3"/>
  <c r="N21" i="3"/>
  <c r="M21" i="3" s="1"/>
  <c r="N23" i="3"/>
  <c r="M23" i="3" s="1"/>
  <c r="L23" i="3"/>
  <c r="N17" i="3"/>
  <c r="M17" i="3" s="1"/>
  <c r="L17" i="3"/>
  <c r="L22" i="3"/>
  <c r="N22" i="3"/>
  <c r="M22" i="3" s="1"/>
  <c r="N9" i="3"/>
  <c r="M9" i="3" s="1"/>
  <c r="L9" i="3"/>
  <c r="N30" i="3"/>
  <c r="M30" i="3" s="1"/>
  <c r="L30" i="3"/>
  <c r="L6" i="3"/>
  <c r="N6" i="3"/>
  <c r="M6" i="3" s="1"/>
  <c r="L24" i="3"/>
  <c r="N24" i="3"/>
  <c r="M24" i="3" s="1"/>
  <c r="L7" i="3"/>
  <c r="N7" i="3"/>
  <c r="M7" i="3" s="1"/>
  <c r="L18" i="3"/>
  <c r="N18" i="3"/>
  <c r="M18" i="3" s="1"/>
  <c r="N13" i="3"/>
  <c r="M13" i="3" s="1"/>
  <c r="L13" i="3"/>
  <c r="L12" i="3"/>
  <c r="N12" i="3"/>
  <c r="M12" i="3" s="1"/>
  <c r="L29" i="3"/>
  <c r="N29" i="3"/>
  <c r="L25" i="3"/>
  <c r="N25" i="3"/>
  <c r="M25" i="3" s="1"/>
  <c r="N26" i="3"/>
  <c r="M26" i="3" s="1"/>
  <c r="L26" i="3"/>
  <c r="L16" i="3"/>
  <c r="N16" i="3"/>
  <c r="M16" i="3" s="1"/>
  <c r="L5" i="3"/>
  <c r="N5" i="3"/>
  <c r="M5" i="3" s="1"/>
  <c r="L11" i="3"/>
  <c r="N11" i="3"/>
  <c r="M11" i="3" s="1"/>
  <c r="L19" i="3"/>
  <c r="N19" i="3"/>
  <c r="M19" i="3" s="1"/>
  <c r="L20" i="3"/>
  <c r="N20" i="3"/>
  <c r="M20" i="3" s="1"/>
  <c r="L15" i="3"/>
  <c r="N15" i="3"/>
  <c r="M15" i="3" s="1"/>
  <c r="N10" i="3"/>
  <c r="M10" i="3" s="1"/>
  <c r="L10" i="3"/>
  <c r="L28" i="3"/>
  <c r="N28" i="3"/>
  <c r="M28" i="3" s="1"/>
  <c r="L8" i="3"/>
  <c r="N8" i="3"/>
  <c r="M8" i="3" s="1"/>
  <c r="N14" i="3"/>
  <c r="M14" i="3" s="1"/>
  <c r="L14" i="3"/>
  <c r="L27" i="3"/>
  <c r="N27" i="3"/>
  <c r="M27" i="3" s="1"/>
  <c r="M29" i="3" l="1"/>
  <c r="E29" i="3" l="1"/>
  <c r="E30" i="3"/>
  <c r="E32" i="3"/>
  <c r="E31" i="3"/>
</calcChain>
</file>

<file path=xl/sharedStrings.xml><?xml version="1.0" encoding="utf-8"?>
<sst xmlns="http://schemas.openxmlformats.org/spreadsheetml/2006/main" count="72" uniqueCount="69">
  <si>
    <t>각성기</t>
    <phoneticPr fontId="1" type="noConversion"/>
  </si>
  <si>
    <t>스페</t>
    <phoneticPr fontId="1" type="noConversion"/>
  </si>
  <si>
    <t>상상</t>
    <phoneticPr fontId="1" type="noConversion"/>
  </si>
  <si>
    <t>기상기</t>
    <phoneticPr fontId="1" type="noConversion"/>
  </si>
  <si>
    <t>중중</t>
    <phoneticPr fontId="1" type="noConversion"/>
  </si>
  <si>
    <t>하하</t>
    <phoneticPr fontId="1" type="noConversion"/>
  </si>
  <si>
    <t>초각성 스킬</t>
    <phoneticPr fontId="1" type="noConversion"/>
  </si>
  <si>
    <t>노옵션</t>
    <phoneticPr fontId="1" type="noConversion"/>
  </si>
  <si>
    <t>신성검</t>
    <phoneticPr fontId="1" type="noConversion"/>
  </si>
  <si>
    <t>최종 공격력</t>
    <phoneticPr fontId="1" type="noConversion"/>
  </si>
  <si>
    <t>공증 연마</t>
    <phoneticPr fontId="1" type="noConversion"/>
  </si>
  <si>
    <t>정의집행</t>
    <phoneticPr fontId="1" type="noConversion"/>
  </si>
  <si>
    <t>집검</t>
    <phoneticPr fontId="1" type="noConversion"/>
  </si>
  <si>
    <t>엘릭서+초월</t>
    <phoneticPr fontId="1" type="noConversion"/>
  </si>
  <si>
    <t>질주베기(빠준)</t>
    <phoneticPr fontId="1" type="noConversion"/>
  </si>
  <si>
    <t>기본공격력</t>
    <phoneticPr fontId="1" type="noConversion"/>
  </si>
  <si>
    <t>질주베기</t>
    <phoneticPr fontId="1" type="noConversion"/>
  </si>
  <si>
    <t>입력값</t>
    <phoneticPr fontId="1" type="noConversion"/>
  </si>
  <si>
    <t>서폿</t>
    <phoneticPr fontId="1" type="noConversion"/>
  </si>
  <si>
    <t>처단</t>
    <phoneticPr fontId="1" type="noConversion"/>
  </si>
  <si>
    <t>섬베(빠준)</t>
    <phoneticPr fontId="1" type="noConversion"/>
  </si>
  <si>
    <t>섬베</t>
    <phoneticPr fontId="1" type="noConversion"/>
  </si>
  <si>
    <t>공격력%</t>
    <phoneticPr fontId="1" type="noConversion"/>
  </si>
  <si>
    <t>돌진(빠준)</t>
    <phoneticPr fontId="1" type="noConversion"/>
  </si>
  <si>
    <t>상태창 공격력</t>
    <phoneticPr fontId="1" type="noConversion"/>
  </si>
  <si>
    <t>돌진</t>
    <phoneticPr fontId="1" type="noConversion"/>
  </si>
  <si>
    <t>딜러</t>
    <phoneticPr fontId="1" type="noConversion"/>
  </si>
  <si>
    <t>섬찌(빠준)</t>
    <phoneticPr fontId="1" type="noConversion"/>
  </si>
  <si>
    <t>섬찌</t>
    <phoneticPr fontId="1" type="noConversion"/>
  </si>
  <si>
    <t>회전베기</t>
    <phoneticPr fontId="1" type="noConversion"/>
  </si>
  <si>
    <t>정검(통찰력)</t>
    <phoneticPr fontId="1" type="noConversion"/>
  </si>
  <si>
    <t>정의 가동률</t>
    <phoneticPr fontId="1" type="noConversion"/>
  </si>
  <si>
    <t>신지(빠준)</t>
    <phoneticPr fontId="1" type="noConversion"/>
  </si>
  <si>
    <t>잠재력 해방</t>
    <phoneticPr fontId="1" type="noConversion"/>
  </si>
  <si>
    <t>신지</t>
    <phoneticPr fontId="1" type="noConversion"/>
  </si>
  <si>
    <t>심빛</t>
    <phoneticPr fontId="1" type="noConversion"/>
  </si>
  <si>
    <t>빛충</t>
    <phoneticPr fontId="1" type="noConversion"/>
  </si>
  <si>
    <t>연마딜증</t>
    <phoneticPr fontId="1" type="noConversion"/>
  </si>
  <si>
    <t>설정 아덴 가동률</t>
    <phoneticPr fontId="1" type="noConversion"/>
  </si>
  <si>
    <t>신폭</t>
    <phoneticPr fontId="1" type="noConversion"/>
  </si>
  <si>
    <t>겁화만</t>
    <phoneticPr fontId="1" type="noConversion"/>
  </si>
  <si>
    <t>겁화</t>
    <phoneticPr fontId="1" type="noConversion"/>
  </si>
  <si>
    <t>율법</t>
    <phoneticPr fontId="1" type="noConversion"/>
  </si>
  <si>
    <t>연마+겁화</t>
    <phoneticPr fontId="1" type="noConversion"/>
  </si>
  <si>
    <t>피증 연마</t>
    <phoneticPr fontId="1" type="noConversion"/>
  </si>
  <si>
    <t>천축(8.414)</t>
    <phoneticPr fontId="1" type="noConversion"/>
  </si>
  <si>
    <t>각성 어빌돌</t>
    <phoneticPr fontId="1" type="noConversion"/>
  </si>
  <si>
    <t>신분(8.116)</t>
    <phoneticPr fontId="1" type="noConversion"/>
  </si>
  <si>
    <t>보석</t>
    <phoneticPr fontId="1" type="noConversion"/>
  </si>
  <si>
    <t>신보(서약)</t>
    <phoneticPr fontId="1" type="noConversion"/>
  </si>
  <si>
    <t>-</t>
    <phoneticPr fontId="1" type="noConversion"/>
  </si>
  <si>
    <t>특화</t>
    <phoneticPr fontId="1" type="noConversion"/>
  </si>
  <si>
    <t>신보(천둥)</t>
    <phoneticPr fontId="1" type="noConversion"/>
  </si>
  <si>
    <t>신속</t>
    <phoneticPr fontId="1" type="noConversion"/>
  </si>
  <si>
    <t>선각자&amp;마흐</t>
    <phoneticPr fontId="1" type="noConversion"/>
  </si>
  <si>
    <t>단심마흐</t>
    <phoneticPr fontId="1" type="noConversion"/>
  </si>
  <si>
    <t>단심</t>
    <phoneticPr fontId="1" type="noConversion"/>
  </si>
  <si>
    <t>선각자</t>
    <phoneticPr fontId="1" type="noConversion"/>
  </si>
  <si>
    <t>쿨감보석</t>
    <phoneticPr fontId="1" type="noConversion"/>
  </si>
  <si>
    <t>기본</t>
    <phoneticPr fontId="1" type="noConversion"/>
  </si>
  <si>
    <t>스킬</t>
    <phoneticPr fontId="1" type="noConversion"/>
  </si>
  <si>
    <t>곱연산수치</t>
    <phoneticPr fontId="1" type="noConversion"/>
  </si>
  <si>
    <t>쿨감or피증(%)</t>
    <phoneticPr fontId="1" type="noConversion"/>
  </si>
  <si>
    <t>공증 버프 받은 공격력</t>
    <phoneticPr fontId="1" type="noConversion"/>
  </si>
  <si>
    <t>공증+피증 악세 딜증</t>
    <phoneticPr fontId="1" type="noConversion"/>
  </si>
  <si>
    <t>공증 악세 딜증</t>
    <phoneticPr fontId="1" type="noConversion"/>
  </si>
  <si>
    <t>홀리나이트 스펙</t>
    <phoneticPr fontId="1" type="noConversion"/>
  </si>
  <si>
    <t>아피강X</t>
    <phoneticPr fontId="1" type="noConversion"/>
  </si>
  <si>
    <t>아피강O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</si>
</sst>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00"/>
    <numFmt numFmtId="177" formatCode="0.000%"/>
    <numFmt numFmtId="178" formatCode="0.0000"/>
    <numFmt numFmtId="182" formatCode="0.0000%"/>
  </numFmts>
  <fonts count="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sz val="11"/>
      <color theme="0"/>
      <name val="맑은 고딕"/>
      <family val="3"/>
      <charset val="129"/>
      <scheme val="minor"/>
    </font>
    <font>
      <sz val="11"/>
      <color rgb="FF000000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7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77" fontId="0" fillId="0" borderId="0" xfId="0" applyNumberFormat="1">
      <alignment vertical="center"/>
    </xf>
    <xf numFmtId="0" fontId="4" fillId="3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7" fontId="0" fillId="4" borderId="1" xfId="0" applyNumberForma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0" fontId="0" fillId="0" borderId="3" xfId="0" applyNumberFormat="1" applyBorder="1" applyAlignment="1">
      <alignment horizontal="center" vertical="center"/>
    </xf>
    <xf numFmtId="10" fontId="0" fillId="0" borderId="2" xfId="0" applyNumberFormat="1" applyBorder="1" applyAlignment="1">
      <alignment horizontal="center" vertical="center"/>
    </xf>
    <xf numFmtId="177" fontId="0" fillId="0" borderId="3" xfId="0" applyNumberFormat="1" applyBorder="1" applyAlignment="1">
      <alignment horizontal="center" vertical="center"/>
    </xf>
    <xf numFmtId="177" fontId="0" fillId="0" borderId="2" xfId="0" applyNumberForma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78" fontId="0" fillId="0" borderId="1" xfId="0" applyNumberFormat="1" applyBorder="1" applyAlignment="1">
      <alignment horizontal="center" vertical="center"/>
    </xf>
    <xf numFmtId="182" fontId="0" fillId="0" borderId="0" xfId="0" applyNumberFormat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9" fontId="0" fillId="0" borderId="3" xfId="0" applyNumberFormat="1" applyBorder="1" applyAlignment="1">
      <alignment horizontal="center" vertical="center" wrapText="1"/>
    </xf>
    <xf numFmtId="9" fontId="0" fillId="0" borderId="2" xfId="0" applyNumberFormat="1" applyBorder="1" applyAlignment="1">
      <alignment horizontal="center" vertical="center" wrapText="1"/>
    </xf>
  </cellXfs>
  <cellStyles count="1">
    <cellStyle name="표준" xfId="0" builtinId="0"/>
  </cellStyles>
  <dxfs count="5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85725</xdr:colOff>
      <xdr:row>3</xdr:row>
      <xdr:rowOff>0</xdr:rowOff>
    </xdr:from>
    <xdr:ext cx="3218089" cy="2047875"/>
    <xdr:pic>
      <xdr:nvPicPr>
        <xdr:cNvPr id="2" name="그림 1">
          <a:extLst>
            <a:ext uri="{FF2B5EF4-FFF2-40B4-BE49-F238E27FC236}">
              <a16:creationId xmlns:a16="http://schemas.microsoft.com/office/drawing/2014/main" id="{1CFD525E-FEFA-45F8-AFC9-965DAF1B50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86925" y="628650"/>
          <a:ext cx="3218089" cy="204787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B9FD6E-88F1-425F-9492-55AA0FA14CB4}">
  <dimension ref="B4:N42"/>
  <sheetViews>
    <sheetView tabSelected="1" workbookViewId="0">
      <selection activeCell="C21" sqref="C21"/>
    </sheetView>
  </sheetViews>
  <sheetFormatPr defaultRowHeight="16.5"/>
  <cols>
    <col min="2" max="2" width="24.125" style="1" bestFit="1" customWidth="1"/>
    <col min="3" max="3" width="19.5" style="1" bestFit="1" customWidth="1"/>
    <col min="4" max="4" width="21.625" style="1" bestFit="1" customWidth="1"/>
    <col min="5" max="5" width="20.125" style="1" bestFit="1" customWidth="1"/>
    <col min="6" max="6" width="12.75" style="1" bestFit="1" customWidth="1"/>
    <col min="7" max="7" width="9.5" bestFit="1" customWidth="1"/>
    <col min="8" max="8" width="14.375" bestFit="1" customWidth="1"/>
    <col min="11" max="12" width="12.75" bestFit="1" customWidth="1"/>
    <col min="14" max="14" width="14.5" bestFit="1" customWidth="1"/>
    <col min="22" max="22" width="12.75" bestFit="1" customWidth="1"/>
  </cols>
  <sheetData>
    <row r="4" spans="2:14">
      <c r="B4" s="9" t="s">
        <v>66</v>
      </c>
      <c r="C4" s="9" t="s">
        <v>17</v>
      </c>
      <c r="D4" s="17" t="s">
        <v>62</v>
      </c>
      <c r="E4" s="18"/>
      <c r="F4" s="9" t="s">
        <v>61</v>
      </c>
      <c r="H4" s="9" t="s">
        <v>60</v>
      </c>
      <c r="I4" s="9" t="s">
        <v>59</v>
      </c>
      <c r="J4" s="9" t="s">
        <v>58</v>
      </c>
      <c r="K4" s="9" t="s">
        <v>57</v>
      </c>
      <c r="L4" s="9" t="s">
        <v>56</v>
      </c>
      <c r="M4" s="9" t="s">
        <v>55</v>
      </c>
      <c r="N4" s="9" t="s">
        <v>54</v>
      </c>
    </row>
    <row r="5" spans="2:14">
      <c r="B5" s="3" t="s">
        <v>53</v>
      </c>
      <c r="C5" s="3">
        <v>1650</v>
      </c>
      <c r="D5" s="19">
        <f>C5*0.0214704286489419</f>
        <v>35.426207270754134</v>
      </c>
      <c r="E5" s="20"/>
      <c r="F5" s="3">
        <f>(100-D5)/100</f>
        <v>0.64573792729245871</v>
      </c>
      <c r="H5" s="4" t="s">
        <v>52</v>
      </c>
      <c r="I5" s="4">
        <v>30</v>
      </c>
      <c r="J5" s="4">
        <f t="shared" ref="J5:J28" si="0">I5*$F$5*$F$7</f>
        <v>15.49771025501901</v>
      </c>
      <c r="K5" s="4">
        <f t="shared" ref="K5:K29" si="1">J5*0.95</f>
        <v>14.72282474226806</v>
      </c>
      <c r="L5" s="4">
        <f t="shared" ref="L5:L29" si="2">K5*0.85</f>
        <v>12.51440103092785</v>
      </c>
      <c r="M5" s="4">
        <f t="shared" ref="M5:M30" si="3">N5*0.85</f>
        <v>11.262960927835065</v>
      </c>
      <c r="N5" s="4">
        <f t="shared" ref="N5:N29" si="4">K5*0.9</f>
        <v>13.250542268041254</v>
      </c>
    </row>
    <row r="6" spans="2:14">
      <c r="B6" s="3" t="s">
        <v>51</v>
      </c>
      <c r="C6" s="3">
        <v>850</v>
      </c>
      <c r="D6" s="21">
        <f>0.1*(1+0.63/699*C6)</f>
        <v>0.17660944206008586</v>
      </c>
      <c r="E6" s="22"/>
      <c r="F6" s="3" t="s">
        <v>50</v>
      </c>
      <c r="H6" s="13" t="s">
        <v>49</v>
      </c>
      <c r="I6" s="13">
        <v>36</v>
      </c>
      <c r="J6" s="4">
        <f t="shared" si="0"/>
        <v>18.59725230602281</v>
      </c>
      <c r="K6" s="4">
        <f t="shared" si="1"/>
        <v>17.66738969072167</v>
      </c>
      <c r="L6" s="4">
        <f t="shared" si="2"/>
        <v>15.017281237113419</v>
      </c>
      <c r="M6" s="4">
        <f t="shared" si="3"/>
        <v>13.515553113402078</v>
      </c>
      <c r="N6" s="4">
        <f t="shared" si="4"/>
        <v>15.900650721649503</v>
      </c>
    </row>
    <row r="7" spans="2:14">
      <c r="B7" s="3" t="s">
        <v>48</v>
      </c>
      <c r="C7" s="3">
        <v>10</v>
      </c>
      <c r="D7" s="19">
        <f>C7*2</f>
        <v>20</v>
      </c>
      <c r="E7" s="20"/>
      <c r="F7" s="3">
        <f>(100-D7)/100</f>
        <v>0.8</v>
      </c>
      <c r="H7" s="3" t="s">
        <v>47</v>
      </c>
      <c r="I7" s="3">
        <v>27</v>
      </c>
      <c r="J7" s="4">
        <f t="shared" si="0"/>
        <v>13.947939229517111</v>
      </c>
      <c r="K7" s="4">
        <f t="shared" si="1"/>
        <v>13.250542268041254</v>
      </c>
      <c r="L7" s="4">
        <f t="shared" si="2"/>
        <v>11.262960927835065</v>
      </c>
      <c r="M7" s="4">
        <f t="shared" si="3"/>
        <v>10.13666483505156</v>
      </c>
      <c r="N7" s="4">
        <f t="shared" si="4"/>
        <v>11.925488041237129</v>
      </c>
    </row>
    <row r="8" spans="2:14">
      <c r="B8" s="3" t="s">
        <v>46</v>
      </c>
      <c r="C8" s="3">
        <v>2</v>
      </c>
      <c r="D8" s="19">
        <f>IF(C8 = 0, 44, IF(C8 = 1, 50, IF(C8 = 2, 51.5, IF(C8 = 3, 54.5, IF(C8 = 4, 56)))))</f>
        <v>51.5</v>
      </c>
      <c r="E8" s="20"/>
      <c r="F8" s="3">
        <f>(100-D8)/100</f>
        <v>0.48499999999999999</v>
      </c>
      <c r="H8" s="13" t="s">
        <v>45</v>
      </c>
      <c r="I8" s="13">
        <v>36</v>
      </c>
      <c r="J8" s="4">
        <f t="shared" si="0"/>
        <v>18.59725230602281</v>
      </c>
      <c r="K8" s="4">
        <f t="shared" si="1"/>
        <v>17.66738969072167</v>
      </c>
      <c r="L8" s="4">
        <f t="shared" si="2"/>
        <v>15.017281237113419</v>
      </c>
      <c r="M8" s="4">
        <f t="shared" si="3"/>
        <v>13.515553113402078</v>
      </c>
      <c r="N8" s="4">
        <f t="shared" si="4"/>
        <v>15.900650721649503</v>
      </c>
    </row>
    <row r="9" spans="2:14">
      <c r="B9" s="3" t="s">
        <v>44</v>
      </c>
      <c r="C9" s="3">
        <v>15</v>
      </c>
      <c r="D9" s="21">
        <f>D6*(1+C10/100+C9/100)</f>
        <v>0.21722961373390559</v>
      </c>
      <c r="E9" s="22"/>
      <c r="F9" s="3" t="s">
        <v>43</v>
      </c>
      <c r="H9" s="13" t="s">
        <v>42</v>
      </c>
      <c r="I9" s="13">
        <v>20</v>
      </c>
      <c r="J9" s="4">
        <f t="shared" si="0"/>
        <v>10.331806836679341</v>
      </c>
      <c r="K9" s="4">
        <f t="shared" si="1"/>
        <v>9.8152164948453731</v>
      </c>
      <c r="L9" s="4">
        <f t="shared" si="2"/>
        <v>8.342934020618566</v>
      </c>
      <c r="M9" s="4">
        <f t="shared" si="3"/>
        <v>7.5086406185567114</v>
      </c>
      <c r="N9" s="4">
        <f t="shared" si="4"/>
        <v>8.8336948453608368</v>
      </c>
    </row>
    <row r="10" spans="2:14">
      <c r="B10" s="3" t="s">
        <v>41</v>
      </c>
      <c r="C10" s="3">
        <v>8</v>
      </c>
      <c r="D10" s="21">
        <f>D6*(1+C10/100)</f>
        <v>0.19073819742489273</v>
      </c>
      <c r="E10" s="22"/>
      <c r="F10" s="3" t="s">
        <v>40</v>
      </c>
      <c r="H10" s="3" t="s">
        <v>39</v>
      </c>
      <c r="I10" s="3">
        <v>30</v>
      </c>
      <c r="J10" s="4">
        <f t="shared" si="0"/>
        <v>15.49771025501901</v>
      </c>
      <c r="K10" s="4">
        <f t="shared" si="1"/>
        <v>14.72282474226806</v>
      </c>
      <c r="L10" s="4">
        <f t="shared" si="2"/>
        <v>12.51440103092785</v>
      </c>
      <c r="M10" s="4">
        <f t="shared" si="3"/>
        <v>11.262960927835065</v>
      </c>
      <c r="N10" s="4">
        <f t="shared" si="4"/>
        <v>13.250542268041254</v>
      </c>
    </row>
    <row r="11" spans="2:14">
      <c r="B11" s="3" t="s">
        <v>38</v>
      </c>
      <c r="C11" s="3">
        <v>0.35</v>
      </c>
      <c r="D11" s="23">
        <f>(E17)/(C17)-1</f>
        <v>1.2973460009381377E-2</v>
      </c>
      <c r="E11" s="24"/>
      <c r="F11" s="3" t="s">
        <v>37</v>
      </c>
      <c r="H11" s="3" t="s">
        <v>36</v>
      </c>
      <c r="I11" s="3">
        <v>8</v>
      </c>
      <c r="J11" s="4">
        <f t="shared" si="0"/>
        <v>4.1327227346717361</v>
      </c>
      <c r="K11" s="4">
        <f t="shared" si="1"/>
        <v>3.926086597938149</v>
      </c>
      <c r="L11" s="4">
        <f t="shared" si="2"/>
        <v>3.3371736082474266</v>
      </c>
      <c r="M11" s="4">
        <f t="shared" si="3"/>
        <v>3.003456247422684</v>
      </c>
      <c r="N11" s="4">
        <f t="shared" si="4"/>
        <v>3.5334779381443342</v>
      </c>
    </row>
    <row r="12" spans="2:14">
      <c r="B12" s="3" t="s">
        <v>33</v>
      </c>
      <c r="C12" s="3">
        <v>5</v>
      </c>
      <c r="D12" s="30">
        <f>C12*0.02</f>
        <v>0.1</v>
      </c>
      <c r="E12" s="31"/>
      <c r="F12" s="3">
        <f>1-D12</f>
        <v>0.9</v>
      </c>
      <c r="H12" s="3" t="s">
        <v>35</v>
      </c>
      <c r="I12" s="3">
        <v>15</v>
      </c>
      <c r="J12" s="4">
        <f t="shared" si="0"/>
        <v>7.748855127509505</v>
      </c>
      <c r="K12" s="4">
        <f t="shared" si="1"/>
        <v>7.3614123711340298</v>
      </c>
      <c r="L12" s="4">
        <f t="shared" si="2"/>
        <v>6.257200515463925</v>
      </c>
      <c r="M12" s="4">
        <f t="shared" si="3"/>
        <v>5.6314804639175327</v>
      </c>
      <c r="N12" s="4">
        <f t="shared" si="4"/>
        <v>6.6252711340206272</v>
      </c>
    </row>
    <row r="13" spans="2:14">
      <c r="B13" s="3" t="s">
        <v>10</v>
      </c>
      <c r="C13" s="3">
        <v>10</v>
      </c>
      <c r="D13" s="25"/>
      <c r="E13" s="26"/>
      <c r="F13" s="11"/>
      <c r="H13" s="3" t="s">
        <v>34</v>
      </c>
      <c r="I13" s="3">
        <v>18</v>
      </c>
      <c r="J13" s="4">
        <f t="shared" si="0"/>
        <v>9.2986261530114049</v>
      </c>
      <c r="K13" s="4">
        <f t="shared" si="1"/>
        <v>8.833694845360835</v>
      </c>
      <c r="L13" s="4">
        <f t="shared" si="2"/>
        <v>7.5086406185567096</v>
      </c>
      <c r="M13" s="4">
        <f t="shared" si="3"/>
        <v>6.7577765567010388</v>
      </c>
      <c r="N13" s="4">
        <f t="shared" si="4"/>
        <v>7.9503253608247517</v>
      </c>
    </row>
    <row r="14" spans="2:14">
      <c r="H14" s="3" t="s">
        <v>32</v>
      </c>
      <c r="I14" s="3">
        <v>14</v>
      </c>
      <c r="J14" s="4">
        <f t="shared" si="0"/>
        <v>7.2322647856755387</v>
      </c>
      <c r="K14" s="4">
        <f t="shared" si="1"/>
        <v>6.8706515463917617</v>
      </c>
      <c r="L14" s="4">
        <f t="shared" si="2"/>
        <v>5.8400538144329976</v>
      </c>
      <c r="M14" s="4">
        <f t="shared" si="3"/>
        <v>5.2560484329896981</v>
      </c>
      <c r="N14" s="4">
        <f t="shared" si="4"/>
        <v>6.183586391752586</v>
      </c>
    </row>
    <row r="15" spans="2:14">
      <c r="B15" s="14"/>
      <c r="H15" s="3" t="s">
        <v>30</v>
      </c>
      <c r="I15" s="3">
        <v>11.5</v>
      </c>
      <c r="J15" s="4">
        <f t="shared" si="0"/>
        <v>5.9407889310906201</v>
      </c>
      <c r="K15" s="4">
        <f t="shared" si="1"/>
        <v>5.6437494845360892</v>
      </c>
      <c r="L15" s="4">
        <f t="shared" si="2"/>
        <v>4.7971870618556753</v>
      </c>
      <c r="M15" s="4">
        <f t="shared" si="3"/>
        <v>4.3174683556701083</v>
      </c>
      <c r="N15" s="4">
        <f t="shared" si="4"/>
        <v>5.0793745360824802</v>
      </c>
    </row>
    <row r="16" spans="2:14">
      <c r="B16" s="9" t="s">
        <v>31</v>
      </c>
      <c r="C16" s="16" t="s">
        <v>67</v>
      </c>
      <c r="D16" s="16"/>
      <c r="E16" s="15" t="s">
        <v>68</v>
      </c>
      <c r="H16" s="3" t="s">
        <v>29</v>
      </c>
      <c r="I16" s="3">
        <v>6</v>
      </c>
      <c r="J16" s="4">
        <f t="shared" si="0"/>
        <v>3.0995420510038016</v>
      </c>
      <c r="K16" s="4">
        <f t="shared" si="1"/>
        <v>2.9445649484536114</v>
      </c>
      <c r="L16" s="4">
        <f t="shared" si="2"/>
        <v>2.5028802061855697</v>
      </c>
      <c r="M16" s="4">
        <f t="shared" si="3"/>
        <v>2.2525921855670128</v>
      </c>
      <c r="N16" s="4">
        <f t="shared" si="4"/>
        <v>2.6501084536082504</v>
      </c>
    </row>
    <row r="17" spans="2:14">
      <c r="B17" s="29">
        <f>1/3</f>
        <v>0.33333333333333331</v>
      </c>
      <c r="C17" s="27">
        <f>(1+D10)*C11+1.1*B17+(1-B17-C11)</f>
        <v>1.1000917024320458</v>
      </c>
      <c r="D17" s="27"/>
      <c r="E17" s="3">
        <f>(1+D9)*C11+(1+0.1*(1+C9/100))*B17+(1-B17-C11)</f>
        <v>1.1143636981402003</v>
      </c>
      <c r="H17" s="3" t="s">
        <v>28</v>
      </c>
      <c r="I17" s="3">
        <v>8</v>
      </c>
      <c r="J17" s="4">
        <f t="shared" si="0"/>
        <v>4.1327227346717361</v>
      </c>
      <c r="K17" s="4">
        <f t="shared" si="1"/>
        <v>3.926086597938149</v>
      </c>
      <c r="L17" s="4">
        <f t="shared" si="2"/>
        <v>3.3371736082474266</v>
      </c>
      <c r="M17" s="4">
        <f t="shared" si="3"/>
        <v>3.003456247422684</v>
      </c>
      <c r="N17" s="4">
        <f t="shared" si="4"/>
        <v>3.5334779381443342</v>
      </c>
    </row>
    <row r="18" spans="2:14">
      <c r="H18" s="3" t="s">
        <v>27</v>
      </c>
      <c r="I18" s="3">
        <v>5</v>
      </c>
      <c r="J18" s="4">
        <f t="shared" si="0"/>
        <v>2.5829517091698353</v>
      </c>
      <c r="K18" s="4">
        <f t="shared" si="1"/>
        <v>2.4538041237113433</v>
      </c>
      <c r="L18" s="4">
        <f t="shared" si="2"/>
        <v>2.0857335051546415</v>
      </c>
      <c r="M18" s="4">
        <f t="shared" si="3"/>
        <v>1.8771601546391778</v>
      </c>
      <c r="N18" s="4">
        <f t="shared" si="4"/>
        <v>2.2084237113402092</v>
      </c>
    </row>
    <row r="19" spans="2:14">
      <c r="B19" s="9" t="s">
        <v>26</v>
      </c>
      <c r="C19" s="9" t="s">
        <v>17</v>
      </c>
      <c r="H19" s="3" t="s">
        <v>25</v>
      </c>
      <c r="I19" s="3">
        <v>12</v>
      </c>
      <c r="J19" s="4">
        <f t="shared" si="0"/>
        <v>6.1990841020076033</v>
      </c>
      <c r="K19" s="4">
        <f t="shared" si="1"/>
        <v>5.8891298969072228</v>
      </c>
      <c r="L19" s="4">
        <f t="shared" si="2"/>
        <v>5.0057604123711394</v>
      </c>
      <c r="M19" s="4">
        <f t="shared" si="3"/>
        <v>4.5051843711340256</v>
      </c>
      <c r="N19" s="4">
        <f t="shared" si="4"/>
        <v>5.3002169072165009</v>
      </c>
    </row>
    <row r="20" spans="2:14">
      <c r="B20" s="10" t="s">
        <v>24</v>
      </c>
      <c r="C20" s="3">
        <v>117000</v>
      </c>
      <c r="H20" s="3" t="s">
        <v>23</v>
      </c>
      <c r="I20" s="3">
        <v>8</v>
      </c>
      <c r="J20" s="4">
        <f t="shared" si="0"/>
        <v>4.1327227346717361</v>
      </c>
      <c r="K20" s="4">
        <f t="shared" si="1"/>
        <v>3.926086597938149</v>
      </c>
      <c r="L20" s="4">
        <f t="shared" si="2"/>
        <v>3.3371736082474266</v>
      </c>
      <c r="M20" s="4">
        <f t="shared" si="3"/>
        <v>3.003456247422684</v>
      </c>
      <c r="N20" s="4">
        <f t="shared" si="4"/>
        <v>3.5334779381443342</v>
      </c>
    </row>
    <row r="21" spans="2:14">
      <c r="B21" s="3" t="s">
        <v>22</v>
      </c>
      <c r="C21" s="3">
        <f>1.44+2+5.4</f>
        <v>8.84</v>
      </c>
      <c r="E21" s="28"/>
      <c r="H21" s="3" t="s">
        <v>21</v>
      </c>
      <c r="I21" s="3">
        <v>15</v>
      </c>
      <c r="J21" s="4">
        <f t="shared" si="0"/>
        <v>7.748855127509505</v>
      </c>
      <c r="K21" s="4">
        <f t="shared" si="1"/>
        <v>7.3614123711340298</v>
      </c>
      <c r="L21" s="4">
        <f t="shared" si="2"/>
        <v>6.257200515463925</v>
      </c>
      <c r="M21" s="4">
        <f t="shared" si="3"/>
        <v>5.6314804639175327</v>
      </c>
      <c r="N21" s="4">
        <f t="shared" si="4"/>
        <v>6.6252711340206272</v>
      </c>
    </row>
    <row r="22" spans="2:14">
      <c r="B22" s="3" t="s">
        <v>63</v>
      </c>
      <c r="C22" s="10">
        <f xml:space="preserve"> (C20+C25*0.15*(1+C26+C10*0.01+C13/100)*(1+C21/100))*1.06</f>
        <v>153839.69499168001</v>
      </c>
      <c r="H22" s="3" t="s">
        <v>20</v>
      </c>
      <c r="I22" s="3">
        <v>6</v>
      </c>
      <c r="J22" s="4">
        <f t="shared" si="0"/>
        <v>3.0995420510038016</v>
      </c>
      <c r="K22" s="4">
        <f t="shared" si="1"/>
        <v>2.9445649484536114</v>
      </c>
      <c r="L22" s="4">
        <f t="shared" si="2"/>
        <v>2.5028802061855697</v>
      </c>
      <c r="M22" s="4">
        <f t="shared" si="3"/>
        <v>2.2525921855670128</v>
      </c>
      <c r="N22" s="4">
        <f t="shared" si="4"/>
        <v>2.6501084536082504</v>
      </c>
    </row>
    <row r="23" spans="2:14">
      <c r="H23" s="3" t="s">
        <v>19</v>
      </c>
      <c r="I23" s="3">
        <v>15</v>
      </c>
      <c r="J23" s="4">
        <f t="shared" si="0"/>
        <v>7.748855127509505</v>
      </c>
      <c r="K23" s="4">
        <f t="shared" si="1"/>
        <v>7.3614123711340298</v>
      </c>
      <c r="L23" s="4">
        <f t="shared" si="2"/>
        <v>6.257200515463925</v>
      </c>
      <c r="M23" s="4">
        <f t="shared" si="3"/>
        <v>5.6314804639175327</v>
      </c>
      <c r="N23" s="4">
        <f t="shared" si="4"/>
        <v>6.6252711340206272</v>
      </c>
    </row>
    <row r="24" spans="2:14">
      <c r="B24" s="9" t="s">
        <v>18</v>
      </c>
      <c r="C24" s="9" t="s">
        <v>17</v>
      </c>
      <c r="H24" s="3" t="s">
        <v>16</v>
      </c>
      <c r="I24" s="3">
        <v>18</v>
      </c>
      <c r="J24" s="4">
        <f t="shared" si="0"/>
        <v>9.2986261530114049</v>
      </c>
      <c r="K24" s="4">
        <f t="shared" si="1"/>
        <v>8.833694845360835</v>
      </c>
      <c r="L24" s="4">
        <f t="shared" si="2"/>
        <v>7.5086406185567096</v>
      </c>
      <c r="M24" s="4">
        <f t="shared" si="3"/>
        <v>6.7577765567010388</v>
      </c>
      <c r="N24" s="4">
        <f t="shared" si="4"/>
        <v>7.9503253608247517</v>
      </c>
    </row>
    <row r="25" spans="2:14">
      <c r="B25" s="10" t="s">
        <v>15</v>
      </c>
      <c r="C25" s="3">
        <v>107000</v>
      </c>
      <c r="H25" s="3" t="s">
        <v>14</v>
      </c>
      <c r="I25" s="3">
        <v>12</v>
      </c>
      <c r="J25" s="4">
        <f t="shared" si="0"/>
        <v>6.1990841020076033</v>
      </c>
      <c r="K25" s="4">
        <f t="shared" si="1"/>
        <v>5.8891298969072228</v>
      </c>
      <c r="L25" s="4">
        <f t="shared" si="2"/>
        <v>5.0057604123711394</v>
      </c>
      <c r="M25" s="4">
        <f t="shared" si="3"/>
        <v>4.5051843711340256</v>
      </c>
      <c r="N25" s="4">
        <f t="shared" si="4"/>
        <v>5.3002169072165009</v>
      </c>
    </row>
    <row r="26" spans="2:14">
      <c r="B26" s="3" t="s">
        <v>13</v>
      </c>
      <c r="C26" s="5">
        <f>(0.04*126+4+14+3+6+6+3+2)/100</f>
        <v>0.4304</v>
      </c>
      <c r="H26" s="6" t="s">
        <v>12</v>
      </c>
      <c r="I26" s="6">
        <v>18</v>
      </c>
      <c r="J26" s="4">
        <f t="shared" si="0"/>
        <v>9.2986261530114049</v>
      </c>
      <c r="K26" s="4">
        <f t="shared" si="1"/>
        <v>8.833694845360835</v>
      </c>
      <c r="L26" s="4">
        <f t="shared" si="2"/>
        <v>7.5086406185567096</v>
      </c>
      <c r="M26" s="4">
        <f t="shared" si="3"/>
        <v>6.7577765567010388</v>
      </c>
      <c r="N26" s="4">
        <f t="shared" si="4"/>
        <v>7.9503253608247517</v>
      </c>
    </row>
    <row r="27" spans="2:14">
      <c r="G27" s="7"/>
      <c r="H27" s="6" t="s">
        <v>11</v>
      </c>
      <c r="I27" s="6">
        <v>24</v>
      </c>
      <c r="J27" s="4">
        <f t="shared" si="0"/>
        <v>12.398168204015207</v>
      </c>
      <c r="K27" s="4">
        <f t="shared" si="1"/>
        <v>11.778259793814446</v>
      </c>
      <c r="L27" s="4">
        <f t="shared" si="2"/>
        <v>10.011520824742279</v>
      </c>
      <c r="M27" s="4">
        <f t="shared" si="3"/>
        <v>9.0103687422680512</v>
      </c>
      <c r="N27" s="4">
        <f t="shared" si="4"/>
        <v>10.600433814433002</v>
      </c>
    </row>
    <row r="28" spans="2:14">
      <c r="B28" s="9" t="s">
        <v>10</v>
      </c>
      <c r="C28" s="9" t="s">
        <v>9</v>
      </c>
      <c r="D28" s="9" t="s">
        <v>65</v>
      </c>
      <c r="E28" s="9" t="s">
        <v>64</v>
      </c>
      <c r="G28" s="7"/>
      <c r="H28" s="6" t="s">
        <v>8</v>
      </c>
      <c r="I28" s="6">
        <v>27</v>
      </c>
      <c r="J28" s="4">
        <f t="shared" si="0"/>
        <v>13.947939229517111</v>
      </c>
      <c r="K28" s="4">
        <f t="shared" si="1"/>
        <v>13.250542268041254</v>
      </c>
      <c r="L28" s="4">
        <f t="shared" si="2"/>
        <v>11.262960927835065</v>
      </c>
      <c r="M28" s="4">
        <f t="shared" si="3"/>
        <v>10.13666483505156</v>
      </c>
      <c r="N28" s="4">
        <f t="shared" si="4"/>
        <v>11.925488041237129</v>
      </c>
    </row>
    <row r="29" spans="2:14">
      <c r="B29" s="3" t="s">
        <v>7</v>
      </c>
      <c r="C29" s="3">
        <f>(C20+C25*0.15*(1+C26+C10*0.01+0/100)*(1+C21/100))*1.06</f>
        <v>151988.00007168003</v>
      </c>
      <c r="D29" s="12">
        <f>C29/C29-1</f>
        <v>0</v>
      </c>
      <c r="E29" s="12">
        <f>D11</f>
        <v>1.2973460009381377E-2</v>
      </c>
      <c r="G29" s="7"/>
      <c r="H29" s="8" t="s">
        <v>6</v>
      </c>
      <c r="I29" s="8">
        <v>60</v>
      </c>
      <c r="J29" s="8">
        <f>I29*$F$5*F12</f>
        <v>34.869848073792774</v>
      </c>
      <c r="K29" s="8">
        <f t="shared" si="1"/>
        <v>33.126355670103131</v>
      </c>
      <c r="L29" s="8">
        <f t="shared" si="2"/>
        <v>28.157402319587661</v>
      </c>
      <c r="M29" s="8">
        <f t="shared" si="3"/>
        <v>25.341662087628897</v>
      </c>
      <c r="N29" s="8">
        <f t="shared" si="4"/>
        <v>29.81372010309282</v>
      </c>
    </row>
    <row r="30" spans="2:14">
      <c r="B30" s="3" t="s">
        <v>5</v>
      </c>
      <c r="C30" s="3">
        <f>(C20+C25*0.15*(1+C26+C10*0.01+2.7/100)*(1+C21/100))*1.06</f>
        <v>152487.95770008001</v>
      </c>
      <c r="D30" s="12">
        <f>C30/C29-1</f>
        <v>3.2894546159183413E-3</v>
      </c>
      <c r="E30" s="12">
        <f>(1+$D30)*(1+$D$11)-1</f>
        <v>1.6305590233212097E-2</v>
      </c>
      <c r="G30" s="7"/>
      <c r="H30" s="6" t="s">
        <v>0</v>
      </c>
      <c r="I30" s="6">
        <v>300</v>
      </c>
      <c r="J30" s="6">
        <f>I30*F8*F5</f>
        <v>93.954868421052737</v>
      </c>
      <c r="K30" s="6"/>
      <c r="L30" s="6">
        <f>J30*0.85</f>
        <v>79.861638157894831</v>
      </c>
      <c r="M30" s="4">
        <f t="shared" si="3"/>
        <v>71.875474342105349</v>
      </c>
      <c r="N30" s="4">
        <f>J30*0.9</f>
        <v>84.559381578947466</v>
      </c>
    </row>
    <row r="31" spans="2:14">
      <c r="B31" s="3" t="s">
        <v>4</v>
      </c>
      <c r="C31" s="3">
        <f>(C20+C25*0.15*(1+C26+C10*0.01+6/100)*(1+C21/100))*1.06</f>
        <v>153099.01702368</v>
      </c>
      <c r="D31" s="12">
        <f>C31/C29-1</f>
        <v>7.3098991464852769E-3</v>
      </c>
      <c r="E31" s="12">
        <f>(1+$D31)*(1+$D$11)-1</f>
        <v>2.0378193840116188E-2</v>
      </c>
      <c r="H31" s="3" t="s">
        <v>3</v>
      </c>
      <c r="I31" s="3">
        <v>30</v>
      </c>
      <c r="J31" s="3">
        <f>I31*F5</f>
        <v>19.372137818773762</v>
      </c>
      <c r="K31" s="3"/>
      <c r="L31" s="3"/>
      <c r="M31" s="4"/>
      <c r="N31" s="3"/>
    </row>
    <row r="32" spans="2:14">
      <c r="B32" s="3" t="s">
        <v>2</v>
      </c>
      <c r="C32" s="3">
        <f>(C20+C25*0.15*(1+C26+C10*0.01+10/100)*(1+C21/100))*1.06</f>
        <v>153839.69499168001</v>
      </c>
      <c r="D32" s="12">
        <f>C32/C29-1</f>
        <v>1.2183165244142202E-2</v>
      </c>
      <c r="E32" s="12">
        <f>(1+$D32)*(1+$D$11)-1</f>
        <v>2.5314683060606136E-2</v>
      </c>
      <c r="H32" s="3" t="s">
        <v>1</v>
      </c>
      <c r="I32" s="3">
        <v>8</v>
      </c>
      <c r="J32" s="3">
        <f>I32*F5</f>
        <v>5.1659034183396697</v>
      </c>
      <c r="K32" s="3"/>
      <c r="L32" s="3"/>
      <c r="M32" s="4"/>
      <c r="N32" s="3"/>
    </row>
    <row r="34" spans="5:9">
      <c r="E34" s="2"/>
    </row>
    <row r="35" spans="5:9">
      <c r="E35" s="2"/>
      <c r="G35" s="1"/>
      <c r="H35" s="1"/>
      <c r="I35" s="1"/>
    </row>
    <row r="36" spans="5:9">
      <c r="E36" s="2"/>
      <c r="H36" s="1"/>
    </row>
    <row r="37" spans="5:9">
      <c r="E37" s="2"/>
    </row>
    <row r="38" spans="5:9">
      <c r="E38" s="2"/>
    </row>
    <row r="39" spans="5:9">
      <c r="E39" s="2"/>
    </row>
    <row r="40" spans="5:9">
      <c r="E40" s="2"/>
    </row>
    <row r="41" spans="5:9">
      <c r="E41" s="2"/>
    </row>
    <row r="42" spans="5:9">
      <c r="E42" s="2"/>
    </row>
  </sheetData>
  <mergeCells count="12">
    <mergeCell ref="C17:D17"/>
    <mergeCell ref="D12:E12"/>
    <mergeCell ref="C16:D16"/>
    <mergeCell ref="D4:E4"/>
    <mergeCell ref="D5:E5"/>
    <mergeCell ref="D6:E6"/>
    <mergeCell ref="D7:E7"/>
    <mergeCell ref="D8:E8"/>
    <mergeCell ref="D9:E9"/>
    <mergeCell ref="D10:E10"/>
    <mergeCell ref="D11:E11"/>
    <mergeCell ref="D13:E13"/>
  </mergeCells>
  <phoneticPr fontId="1" type="noConversion"/>
  <conditionalFormatting sqref="D11">
    <cfRule type="cellIs" dxfId="4" priority="3" operator="between">
      <formula>$D$30</formula>
      <formula>$D$31</formula>
    </cfRule>
    <cfRule type="cellIs" dxfId="3" priority="4" operator="greaterThan">
      <formula>$D$32</formula>
    </cfRule>
    <cfRule type="cellIs" dxfId="2" priority="5" operator="between">
      <formula>$D$31</formula>
      <formula>$D$32</formula>
    </cfRule>
  </conditionalFormatting>
  <conditionalFormatting sqref="I8">
    <cfRule type="cellIs" dxfId="1" priority="2" operator="lessThan">
      <formula>16.53</formula>
    </cfRule>
  </conditionalFormatting>
  <conditionalFormatting sqref="M8:N8">
    <cfRule type="cellIs" dxfId="0" priority="1" operator="lessThan">
      <formula>16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홀나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대훈 김</dc:creator>
  <cp:lastModifiedBy>대훈 김</cp:lastModifiedBy>
  <dcterms:created xsi:type="dcterms:W3CDTF">2024-09-16T07:28:27Z</dcterms:created>
  <dcterms:modified xsi:type="dcterms:W3CDTF">2024-09-16T09:54:47Z</dcterms:modified>
</cp:coreProperties>
</file>