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8800" windowHeight="12165"/>
  </bookViews>
  <sheets>
    <sheet name="시전시간" sheetId="6" r:id="rId1"/>
    <sheet name="바드세레수급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6" l="1"/>
  <c r="V3" i="6" l="1"/>
  <c r="D4" i="6"/>
  <c r="D5" i="6" s="1"/>
  <c r="C5" i="6" s="1"/>
  <c r="V4" i="6"/>
  <c r="I6" i="6"/>
  <c r="N6" i="6"/>
  <c r="C7" i="6"/>
  <c r="L29" i="6" s="1"/>
  <c r="M29" i="6" s="1"/>
  <c r="I7" i="6"/>
  <c r="N7" i="6"/>
  <c r="I8" i="6"/>
  <c r="I9" i="6"/>
  <c r="N9" i="6"/>
  <c r="AB31" i="6" s="1"/>
  <c r="N12" i="6"/>
  <c r="E20" i="6"/>
  <c r="O20" i="6"/>
  <c r="R20" i="6"/>
  <c r="V20" i="6"/>
  <c r="W20" i="6" s="1"/>
  <c r="E21" i="6"/>
  <c r="O21" i="6"/>
  <c r="R21" i="6"/>
  <c r="W21" i="6"/>
  <c r="E22" i="6"/>
  <c r="L22" i="6"/>
  <c r="M22" i="6" s="1"/>
  <c r="N22" i="6"/>
  <c r="O22" i="6"/>
  <c r="P22" i="6"/>
  <c r="Q22" i="6"/>
  <c r="R22" i="6"/>
  <c r="S22" i="6"/>
  <c r="T22" i="6"/>
  <c r="W22" i="6"/>
  <c r="Y22" i="6"/>
  <c r="E23" i="6"/>
  <c r="O23" i="6"/>
  <c r="R23" i="6"/>
  <c r="W23" i="6"/>
  <c r="E24" i="6"/>
  <c r="L24" i="6"/>
  <c r="M24" i="6" s="1"/>
  <c r="O24" i="6"/>
  <c r="R24" i="6"/>
  <c r="W24" i="6"/>
  <c r="E25" i="6"/>
  <c r="L25" i="6"/>
  <c r="M25" i="6" s="1"/>
  <c r="O25" i="6"/>
  <c r="R25" i="6"/>
  <c r="W25" i="6"/>
  <c r="E26" i="6"/>
  <c r="O26" i="6"/>
  <c r="R26" i="6"/>
  <c r="W26" i="6"/>
  <c r="E27" i="6"/>
  <c r="L27" i="6"/>
  <c r="M27" i="6" s="1"/>
  <c r="O27" i="6"/>
  <c r="R27" i="6"/>
  <c r="W27" i="6"/>
  <c r="E28" i="6"/>
  <c r="L28" i="6"/>
  <c r="M28" i="6" s="1"/>
  <c r="N28" i="6"/>
  <c r="O28" i="6"/>
  <c r="P28" i="6"/>
  <c r="Q28" i="6"/>
  <c r="R28" i="6"/>
  <c r="S28" i="6"/>
  <c r="T28" i="6"/>
  <c r="W28" i="6"/>
  <c r="Y28" i="6"/>
  <c r="E29" i="6"/>
  <c r="O29" i="6"/>
  <c r="R29" i="6"/>
  <c r="W29" i="6"/>
  <c r="E30" i="6"/>
  <c r="L30" i="6"/>
  <c r="M30" i="6" s="1"/>
  <c r="N30" i="6"/>
  <c r="O30" i="6"/>
  <c r="P30" i="6"/>
  <c r="Q30" i="6"/>
  <c r="R30" i="6"/>
  <c r="S30" i="6"/>
  <c r="T30" i="6"/>
  <c r="W30" i="6"/>
  <c r="Y30" i="6"/>
  <c r="E31" i="6"/>
  <c r="L31" i="6"/>
  <c r="M31" i="6" s="1"/>
  <c r="N31" i="6"/>
  <c r="O31" i="6"/>
  <c r="P31" i="6"/>
  <c r="Q31" i="6"/>
  <c r="R31" i="6"/>
  <c r="S31" i="6"/>
  <c r="T31" i="6"/>
  <c r="W31" i="6"/>
  <c r="Y31" i="6"/>
  <c r="E32" i="6"/>
  <c r="L32" i="6"/>
  <c r="M32" i="6" s="1"/>
  <c r="N32" i="6"/>
  <c r="O32" i="6"/>
  <c r="P32" i="6"/>
  <c r="Q32" i="6"/>
  <c r="R32" i="6"/>
  <c r="S32" i="6"/>
  <c r="T32" i="6"/>
  <c r="W32" i="6"/>
  <c r="Y32" i="6"/>
  <c r="E33" i="6"/>
  <c r="L33" i="6"/>
  <c r="M33" i="6" s="1"/>
  <c r="O33" i="6"/>
  <c r="R33" i="6"/>
  <c r="V33" i="6"/>
  <c r="W33" i="6"/>
  <c r="E34" i="6"/>
  <c r="L34" i="6"/>
  <c r="M34" i="6" s="1"/>
  <c r="N34" i="6"/>
  <c r="O34" i="6"/>
  <c r="P34" i="6"/>
  <c r="Q34" i="6"/>
  <c r="R34" i="6"/>
  <c r="S34" i="6"/>
  <c r="T34" i="6"/>
  <c r="W34" i="6"/>
  <c r="Y34" i="6"/>
  <c r="E35" i="6"/>
  <c r="N35" i="6"/>
  <c r="O35" i="6"/>
  <c r="P35" i="6"/>
  <c r="Q35" i="6"/>
  <c r="R35" i="6"/>
  <c r="S35" i="6"/>
  <c r="W35" i="6"/>
  <c r="E36" i="6"/>
  <c r="L36" i="6"/>
  <c r="M36" i="6" s="1"/>
  <c r="N36" i="6"/>
  <c r="O36" i="6"/>
  <c r="P36" i="6"/>
  <c r="Q36" i="6"/>
  <c r="R36" i="6"/>
  <c r="S36" i="6"/>
  <c r="T36" i="6"/>
  <c r="W36" i="6"/>
  <c r="Y36" i="6"/>
  <c r="I26" i="6" l="1"/>
  <c r="I28" i="6"/>
  <c r="I29" i="6"/>
  <c r="L26" i="6"/>
  <c r="M26" i="6" s="1"/>
  <c r="V6" i="6" s="1"/>
  <c r="I22" i="6"/>
  <c r="I25" i="6"/>
  <c r="AB25" i="6"/>
  <c r="I31" i="6"/>
  <c r="U31" i="6" s="1"/>
  <c r="I36" i="6"/>
  <c r="I34" i="6"/>
  <c r="C6" i="6"/>
  <c r="H21" i="6" s="1"/>
  <c r="L21" i="6"/>
  <c r="M21" i="6" s="1"/>
  <c r="L20" i="6"/>
  <c r="M20" i="6" s="1"/>
  <c r="I32" i="6"/>
  <c r="I21" i="6"/>
  <c r="I20" i="6"/>
  <c r="L23" i="6"/>
  <c r="M23" i="6" s="1"/>
  <c r="I30" i="6"/>
  <c r="U30" i="6" s="1"/>
  <c r="I23" i="6"/>
  <c r="I35" i="6"/>
  <c r="I33" i="6"/>
  <c r="I24" i="6"/>
  <c r="I27" i="6"/>
  <c r="D134" i="3"/>
  <c r="G133" i="3"/>
  <c r="G134" i="3" s="1"/>
  <c r="F133" i="3"/>
  <c r="F134" i="3" s="1"/>
  <c r="E133" i="3"/>
  <c r="E134" i="3" s="1"/>
  <c r="D127" i="3"/>
  <c r="G126" i="3"/>
  <c r="G127" i="3" s="1"/>
  <c r="F126" i="3"/>
  <c r="F127" i="3" s="1"/>
  <c r="E126" i="3"/>
  <c r="E127" i="3" s="1"/>
  <c r="O120" i="3"/>
  <c r="N120" i="3"/>
  <c r="L120" i="3"/>
  <c r="D120" i="3"/>
  <c r="O119" i="3"/>
  <c r="N119" i="3"/>
  <c r="M119" i="3"/>
  <c r="M120" i="3" s="1"/>
  <c r="G119" i="3"/>
  <c r="G120" i="3" s="1"/>
  <c r="F119" i="3"/>
  <c r="F120" i="3" s="1"/>
  <c r="E119" i="3"/>
  <c r="E120" i="3" s="1"/>
  <c r="G113" i="3"/>
  <c r="F113" i="3"/>
  <c r="E113" i="3"/>
  <c r="D113" i="3"/>
  <c r="G112" i="3"/>
  <c r="F112" i="3"/>
  <c r="E112" i="3"/>
  <c r="F106" i="3"/>
  <c r="E106" i="3"/>
  <c r="D106" i="3"/>
  <c r="O105" i="3"/>
  <c r="O106" i="3" s="1"/>
  <c r="N105" i="3"/>
  <c r="N106" i="3" s="1"/>
  <c r="M105" i="3"/>
  <c r="M106" i="3" s="1"/>
  <c r="L105" i="3"/>
  <c r="L106" i="3" s="1"/>
  <c r="G105" i="3"/>
  <c r="G106" i="3" s="1"/>
  <c r="F105" i="3"/>
  <c r="E105" i="3"/>
  <c r="D105" i="3"/>
  <c r="L99" i="3"/>
  <c r="E99" i="3"/>
  <c r="D99" i="3"/>
  <c r="O98" i="3"/>
  <c r="O99" i="3" s="1"/>
  <c r="N98" i="3"/>
  <c r="N99" i="3" s="1"/>
  <c r="M98" i="3"/>
  <c r="M99" i="3" s="1"/>
  <c r="G98" i="3"/>
  <c r="G99" i="3" s="1"/>
  <c r="F98" i="3"/>
  <c r="F99" i="3" s="1"/>
  <c r="E98" i="3"/>
  <c r="D92" i="3"/>
  <c r="G91" i="3"/>
  <c r="G92" i="3" s="1"/>
  <c r="F91" i="3"/>
  <c r="F92" i="3" s="1"/>
  <c r="E91" i="3"/>
  <c r="E92" i="3" s="1"/>
  <c r="O85" i="3"/>
  <c r="N85" i="3"/>
  <c r="M85" i="3"/>
  <c r="L85" i="3"/>
  <c r="G85" i="3"/>
  <c r="F85" i="3"/>
  <c r="E85" i="3"/>
  <c r="D85" i="3"/>
  <c r="O84" i="3"/>
  <c r="N84" i="3"/>
  <c r="M84" i="3"/>
  <c r="G84" i="3"/>
  <c r="F84" i="3"/>
  <c r="E84" i="3"/>
  <c r="O78" i="3"/>
  <c r="N78" i="3"/>
  <c r="M78" i="3"/>
  <c r="L78" i="3"/>
  <c r="E78" i="3"/>
  <c r="D78" i="3"/>
  <c r="G77" i="3"/>
  <c r="G78" i="3" s="1"/>
  <c r="F77" i="3"/>
  <c r="F78" i="3" s="1"/>
  <c r="E77" i="3"/>
  <c r="D71" i="3"/>
  <c r="G70" i="3"/>
  <c r="G71" i="3" s="1"/>
  <c r="F70" i="3"/>
  <c r="F71" i="3" s="1"/>
  <c r="E70" i="3"/>
  <c r="E71" i="3" s="1"/>
  <c r="S66" i="3"/>
  <c r="AB66" i="3" s="1"/>
  <c r="AB65" i="3"/>
  <c r="AA65" i="3"/>
  <c r="O64" i="3"/>
  <c r="N64" i="3"/>
  <c r="M64" i="3"/>
  <c r="L64" i="3"/>
  <c r="AB62" i="3"/>
  <c r="AA62" i="3"/>
  <c r="Z62" i="3"/>
  <c r="AB58" i="3"/>
  <c r="AA58" i="3"/>
  <c r="Z58" i="3"/>
  <c r="O57" i="3"/>
  <c r="N57" i="3"/>
  <c r="M57" i="3"/>
  <c r="L57" i="3"/>
  <c r="G57" i="3"/>
  <c r="F57" i="3"/>
  <c r="E57" i="3"/>
  <c r="D57" i="3"/>
  <c r="AB56" i="3"/>
  <c r="AA56" i="3"/>
  <c r="Z56" i="3"/>
  <c r="G56" i="3"/>
  <c r="F56" i="3"/>
  <c r="E56" i="3"/>
  <c r="AB53" i="3"/>
  <c r="AA53" i="3"/>
  <c r="Z53" i="3"/>
  <c r="Y53" i="3"/>
  <c r="L50" i="3"/>
  <c r="L49" i="3"/>
  <c r="O49" i="3" s="1"/>
  <c r="O50" i="3" s="1"/>
  <c r="F49" i="3"/>
  <c r="F50" i="3" s="1"/>
  <c r="E49" i="3"/>
  <c r="E50" i="3" s="1"/>
  <c r="D49" i="3"/>
  <c r="D50" i="3" s="1"/>
  <c r="AB45" i="3"/>
  <c r="AA45" i="3"/>
  <c r="Z45" i="3"/>
  <c r="Y45" i="3"/>
  <c r="O43" i="3"/>
  <c r="N43" i="3"/>
  <c r="M43" i="3"/>
  <c r="L43" i="3"/>
  <c r="G43" i="3"/>
  <c r="F43" i="3"/>
  <c r="E43" i="3"/>
  <c r="D43" i="3"/>
  <c r="O42" i="3"/>
  <c r="N42" i="3"/>
  <c r="M42" i="3"/>
  <c r="G42" i="3"/>
  <c r="F42" i="3"/>
  <c r="E42" i="3"/>
  <c r="Z41" i="3"/>
  <c r="Y41" i="3"/>
  <c r="AB40" i="3"/>
  <c r="AA40" i="3"/>
  <c r="E36" i="3"/>
  <c r="D36" i="3"/>
  <c r="G35" i="3"/>
  <c r="G36" i="3" s="1"/>
  <c r="F35" i="3"/>
  <c r="F36" i="3" s="1"/>
  <c r="E35" i="3"/>
  <c r="AB29" i="3"/>
  <c r="AA29" i="3"/>
  <c r="Z29" i="3"/>
  <c r="D28" i="3"/>
  <c r="D29" i="3" s="1"/>
  <c r="AB27" i="3"/>
  <c r="AA27" i="3"/>
  <c r="Z27" i="3"/>
  <c r="AB23" i="3"/>
  <c r="AA23" i="3"/>
  <c r="Z23" i="3"/>
  <c r="D22" i="3"/>
  <c r="G21" i="3"/>
  <c r="G22" i="3" s="1"/>
  <c r="F21" i="3"/>
  <c r="F22" i="3" s="1"/>
  <c r="E21" i="3"/>
  <c r="E22" i="3" s="1"/>
  <c r="AB17" i="3"/>
  <c r="AA17" i="3"/>
  <c r="Z17" i="3"/>
  <c r="Y17" i="3"/>
  <c r="G15" i="3"/>
  <c r="F15" i="3"/>
  <c r="E15" i="3"/>
  <c r="D15" i="3"/>
  <c r="AB14" i="3"/>
  <c r="AA14" i="3"/>
  <c r="Z14" i="3"/>
  <c r="Y14" i="3"/>
  <c r="G14" i="3"/>
  <c r="F14" i="3"/>
  <c r="E14" i="3"/>
  <c r="AB11" i="3"/>
  <c r="AA11" i="3"/>
  <c r="Z11" i="3"/>
  <c r="Y11" i="3"/>
  <c r="AB10" i="3"/>
  <c r="O8" i="3"/>
  <c r="N8" i="3"/>
  <c r="M8" i="3"/>
  <c r="L8" i="3"/>
  <c r="G8" i="3"/>
  <c r="D8" i="3"/>
  <c r="O7" i="3"/>
  <c r="N7" i="3"/>
  <c r="M7" i="3"/>
  <c r="G7" i="3"/>
  <c r="F7" i="3"/>
  <c r="F8" i="3" s="1"/>
  <c r="E7" i="3"/>
  <c r="E8" i="3" s="1"/>
  <c r="AB6" i="3"/>
  <c r="AA6" i="3"/>
  <c r="Z6" i="3"/>
  <c r="AG3" i="3"/>
  <c r="AB52" i="3" s="1"/>
  <c r="AF3" i="3"/>
  <c r="AA10" i="3" s="1"/>
  <c r="AE3" i="3"/>
  <c r="Z40" i="3" s="1"/>
  <c r="AD3" i="3"/>
  <c r="Y65" i="3" s="1"/>
  <c r="V7" i="6" l="1"/>
  <c r="H28" i="6"/>
  <c r="H27" i="6"/>
  <c r="H20" i="6"/>
  <c r="V8" i="6"/>
  <c r="V9" i="6" s="1"/>
  <c r="W4" i="6"/>
  <c r="S20" i="6" s="1"/>
  <c r="W3" i="6"/>
  <c r="H24" i="6"/>
  <c r="H25" i="6"/>
  <c r="H23" i="6"/>
  <c r="H22" i="6"/>
  <c r="H33" i="6"/>
  <c r="H31" i="6"/>
  <c r="H36" i="6"/>
  <c r="H35" i="6"/>
  <c r="H30" i="6"/>
  <c r="H34" i="6"/>
  <c r="H32" i="6"/>
  <c r="H29" i="6"/>
  <c r="Z65" i="3"/>
  <c r="G49" i="3"/>
  <c r="G50" i="3" s="1"/>
  <c r="Y59" i="3"/>
  <c r="Y63" i="3"/>
  <c r="Y21" i="3"/>
  <c r="Y18" i="3"/>
  <c r="Z21" i="3"/>
  <c r="Z24" i="3"/>
  <c r="E28" i="3"/>
  <c r="E29" i="3" s="1"/>
  <c r="Z30" i="3"/>
  <c r="AA41" i="3"/>
  <c r="Y46" i="3"/>
  <c r="Y50" i="3"/>
  <c r="Y54" i="3"/>
  <c r="Z59" i="3"/>
  <c r="Z63" i="3"/>
  <c r="Y66" i="3"/>
  <c r="Z18" i="3"/>
  <c r="F28" i="3"/>
  <c r="F29" i="3" s="1"/>
  <c r="AA30" i="3"/>
  <c r="AB41" i="3"/>
  <c r="Z46" i="3"/>
  <c r="M49" i="3"/>
  <c r="M50" i="3" s="1"/>
  <c r="Z50" i="3"/>
  <c r="Z54" i="3"/>
  <c r="AA59" i="3"/>
  <c r="AA63" i="3"/>
  <c r="Z66" i="3"/>
  <c r="Y30" i="3"/>
  <c r="AA46" i="3"/>
  <c r="N49" i="3"/>
  <c r="N50" i="3" s="1"/>
  <c r="AA50" i="3"/>
  <c r="AA54" i="3"/>
  <c r="AB59" i="3"/>
  <c r="AB63" i="3"/>
  <c r="AA66" i="3"/>
  <c r="AA24" i="3"/>
  <c r="AA8" i="3"/>
  <c r="AA12" i="3"/>
  <c r="AB18" i="3"/>
  <c r="Y25" i="3"/>
  <c r="Y28" i="3"/>
  <c r="Y31" i="3"/>
  <c r="Z38" i="3"/>
  <c r="AB46" i="3"/>
  <c r="AB50" i="3"/>
  <c r="AB54" i="3"/>
  <c r="Y60" i="3"/>
  <c r="Y8" i="3"/>
  <c r="Z12" i="3"/>
  <c r="Z4" i="3"/>
  <c r="AB8" i="3"/>
  <c r="AB12" i="3"/>
  <c r="Y15" i="3"/>
  <c r="Y19" i="3"/>
  <c r="Z25" i="3"/>
  <c r="Z28" i="3"/>
  <c r="Z31" i="3"/>
  <c r="AA38" i="3"/>
  <c r="Y43" i="3"/>
  <c r="Y47" i="3"/>
  <c r="Y49" i="3"/>
  <c r="Y51" i="3"/>
  <c r="Y55" i="3"/>
  <c r="Z60" i="3"/>
  <c r="AB24" i="3"/>
  <c r="AA4" i="3"/>
  <c r="Y9" i="3"/>
  <c r="Y13" i="3"/>
  <c r="Z15" i="3"/>
  <c r="Z19" i="3"/>
  <c r="AA25" i="3"/>
  <c r="AA28" i="3"/>
  <c r="AA31" i="3"/>
  <c r="AB38" i="3"/>
  <c r="Z43" i="3"/>
  <c r="Z47" i="3"/>
  <c r="Z49" i="3"/>
  <c r="Z51" i="3"/>
  <c r="Z55" i="3"/>
  <c r="AA60" i="3"/>
  <c r="Y12" i="3"/>
  <c r="AB30" i="3"/>
  <c r="AA15" i="3"/>
  <c r="AB25" i="3"/>
  <c r="AA43" i="3"/>
  <c r="AA47" i="3"/>
  <c r="AA49" i="3"/>
  <c r="AA51" i="3"/>
  <c r="AA55" i="3"/>
  <c r="AB60" i="3"/>
  <c r="Z8" i="3"/>
  <c r="G28" i="3"/>
  <c r="G29" i="3" s="1"/>
  <c r="Z9" i="3"/>
  <c r="Y39" i="3"/>
  <c r="Y5" i="3"/>
  <c r="AA7" i="3"/>
  <c r="AA9" i="3"/>
  <c r="AA13" i="3"/>
  <c r="AB15" i="3"/>
  <c r="AB19" i="3"/>
  <c r="Y22" i="3"/>
  <c r="Y26" i="3"/>
  <c r="Y32" i="3"/>
  <c r="Z39" i="3"/>
  <c r="AB43" i="3"/>
  <c r="AB47" i="3"/>
  <c r="AB49" i="3"/>
  <c r="AB51" i="3"/>
  <c r="AB55" i="3"/>
  <c r="Y57" i="3"/>
  <c r="Y61" i="3"/>
  <c r="Y64" i="3"/>
  <c r="Y7" i="3"/>
  <c r="Z13" i="3"/>
  <c r="AB31" i="3"/>
  <c r="Z5" i="3"/>
  <c r="AB7" i="3"/>
  <c r="AB9" i="3"/>
  <c r="AB13" i="3"/>
  <c r="Y16" i="3"/>
  <c r="Y20" i="3"/>
  <c r="Z22" i="3"/>
  <c r="Z26" i="3"/>
  <c r="Z32" i="3"/>
  <c r="AA39" i="3"/>
  <c r="Y42" i="3"/>
  <c r="Y44" i="3"/>
  <c r="Y48" i="3"/>
  <c r="Y52" i="3"/>
  <c r="Z57" i="3"/>
  <c r="Z61" i="3"/>
  <c r="Z64" i="3"/>
  <c r="Y24" i="3"/>
  <c r="AA18" i="3"/>
  <c r="Y4" i="3"/>
  <c r="AB4" i="3"/>
  <c r="AB28" i="3"/>
  <c r="AA5" i="3"/>
  <c r="Y10" i="3"/>
  <c r="Z16" i="3"/>
  <c r="Z20" i="3"/>
  <c r="AA22" i="3"/>
  <c r="AA26" i="3"/>
  <c r="AA32" i="3"/>
  <c r="AB39" i="3"/>
  <c r="Z42" i="3"/>
  <c r="Z44" i="3"/>
  <c r="Z48" i="3"/>
  <c r="Z52" i="3"/>
  <c r="AA57" i="3"/>
  <c r="AA61" i="3"/>
  <c r="AA64" i="3"/>
  <c r="Y38" i="3"/>
  <c r="AB5" i="3"/>
  <c r="Z10" i="3"/>
  <c r="AA16" i="3"/>
  <c r="AA20" i="3"/>
  <c r="AB22" i="3"/>
  <c r="AB26" i="3"/>
  <c r="AB32" i="3"/>
  <c r="Y40" i="3"/>
  <c r="AA42" i="3"/>
  <c r="AA44" i="3"/>
  <c r="AA48" i="3"/>
  <c r="AA52" i="3"/>
  <c r="AB57" i="3"/>
  <c r="AB61" i="3"/>
  <c r="AB64" i="3"/>
  <c r="AA21" i="3"/>
  <c r="AB21" i="3"/>
  <c r="Z7" i="3"/>
  <c r="AA19" i="3"/>
  <c r="Y6" i="3"/>
  <c r="AB16" i="3"/>
  <c r="AB20" i="3"/>
  <c r="Y23" i="3"/>
  <c r="Y27" i="3"/>
  <c r="Y29" i="3"/>
  <c r="AB42" i="3"/>
  <c r="AB44" i="3"/>
  <c r="AB48" i="3"/>
  <c r="Y56" i="3"/>
  <c r="Y58" i="3"/>
  <c r="Y62" i="3"/>
  <c r="Q27" i="6" l="1"/>
  <c r="S27" i="6"/>
  <c r="P26" i="6"/>
  <c r="N29" i="6"/>
  <c r="P27" i="6"/>
  <c r="T27" i="6" s="1"/>
  <c r="Y27" i="6" s="1"/>
  <c r="N27" i="6"/>
  <c r="P33" i="6"/>
  <c r="P29" i="6"/>
  <c r="N26" i="6"/>
  <c r="P24" i="6"/>
  <c r="Q23" i="6"/>
  <c r="N20" i="6"/>
  <c r="P23" i="6"/>
  <c r="P21" i="6"/>
  <c r="N25" i="6"/>
  <c r="P20" i="6"/>
  <c r="T20" i="6" s="1"/>
  <c r="N21" i="6"/>
  <c r="N33" i="6"/>
  <c r="S26" i="6"/>
  <c r="Q26" i="6"/>
  <c r="Q29" i="6"/>
  <c r="Q33" i="6"/>
  <c r="S33" i="6"/>
  <c r="S24" i="6"/>
  <c r="Q24" i="6"/>
  <c r="S29" i="6"/>
  <c r="Q20" i="6"/>
  <c r="Q25" i="6"/>
  <c r="Q21" i="6"/>
  <c r="S25" i="6"/>
  <c r="P25" i="6"/>
  <c r="T25" i="6" s="1"/>
  <c r="S23" i="6"/>
  <c r="N23" i="6"/>
  <c r="S21" i="6"/>
  <c r="N24" i="6"/>
  <c r="T29" i="6" l="1"/>
  <c r="Y29" i="6" s="1"/>
  <c r="M12" i="6"/>
  <c r="Y20" i="6"/>
  <c r="T24" i="6"/>
  <c r="Y24" i="6" s="1"/>
  <c r="T26" i="6"/>
  <c r="T33" i="6"/>
  <c r="Y33" i="6" s="1"/>
  <c r="T21" i="6"/>
  <c r="Y21" i="6" s="1"/>
  <c r="T23" i="6"/>
  <c r="Y23" i="6" s="1"/>
  <c r="Y25" i="6"/>
  <c r="AB30" i="6"/>
  <c r="AB26" i="6"/>
  <c r="AB32" i="6"/>
  <c r="AB24" i="6"/>
  <c r="M2" i="6" l="1"/>
  <c r="M3" i="6"/>
  <c r="Y26" i="6"/>
  <c r="M4" i="6"/>
  <c r="U26" i="6"/>
  <c r="Y37" i="6"/>
  <c r="J3" i="6" s="1"/>
  <c r="C8" i="6" l="1"/>
  <c r="M10" i="6"/>
  <c r="O12" i="6"/>
  <c r="M11" i="6"/>
  <c r="M14" i="6" l="1"/>
  <c r="J4" i="6"/>
  <c r="U21" i="6"/>
  <c r="U20" i="6"/>
  <c r="U28" i="6"/>
  <c r="U27" i="6"/>
  <c r="U36" i="6"/>
  <c r="U23" i="6"/>
  <c r="U24" i="6"/>
  <c r="U33" i="6"/>
  <c r="U35" i="6"/>
  <c r="U22" i="6"/>
  <c r="U34" i="6"/>
  <c r="U25" i="6"/>
  <c r="U29" i="6"/>
  <c r="U32" i="6"/>
  <c r="U37" i="6" l="1"/>
  <c r="J2" i="6" s="1"/>
</calcChain>
</file>

<file path=xl/sharedStrings.xml><?xml version="1.0" encoding="utf-8"?>
<sst xmlns="http://schemas.openxmlformats.org/spreadsheetml/2006/main" count="978" uniqueCount="382">
  <si>
    <t>속행x</t>
  </si>
  <si>
    <t>소나티네</t>
    <phoneticPr fontId="3" type="noConversion"/>
  </si>
  <si>
    <t>윈드오브뮤직</t>
    <phoneticPr fontId="3" type="noConversion"/>
  </si>
  <si>
    <t>음파진동</t>
    <phoneticPr fontId="3" type="noConversion"/>
  </si>
  <si>
    <t>천상의연주</t>
    <phoneticPr fontId="3" type="noConversion"/>
  </si>
  <si>
    <t>1버블</t>
    <phoneticPr fontId="3" type="noConversion"/>
  </si>
  <si>
    <t>100 하프틱</t>
    <phoneticPr fontId="3" type="noConversion"/>
  </si>
  <si>
    <t>평타1대</t>
    <phoneticPr fontId="3" type="noConversion"/>
  </si>
  <si>
    <t>4/25 하프</t>
    <phoneticPr fontId="3" type="noConversion"/>
  </si>
  <si>
    <t>특화별 세레수급 효율 증가량</t>
    <phoneticPr fontId="3" type="noConversion"/>
  </si>
  <si>
    <t>1회 세레나데 수급량 (특화 0, 룬 x 기준)</t>
    <phoneticPr fontId="3" type="noConversion"/>
  </si>
  <si>
    <t>특화 수치별 세레나데 수급량 (트포 5레벨, 룬x, 보석x)</t>
    <phoneticPr fontId="3" type="noConversion"/>
  </si>
  <si>
    <t>스킬명</t>
  </si>
  <si>
    <t>단계</t>
  </si>
  <si>
    <t>트포명</t>
  </si>
  <si>
    <t>1레벨</t>
    <phoneticPr fontId="3" type="noConversion"/>
  </si>
  <si>
    <t>3레벨</t>
    <phoneticPr fontId="3" type="noConversion"/>
  </si>
  <si>
    <t>5레벨</t>
    <phoneticPr fontId="3" type="noConversion"/>
  </si>
  <si>
    <t>스킬명</t>
    <phoneticPr fontId="3" type="noConversion"/>
  </si>
  <si>
    <t>트포</t>
    <phoneticPr fontId="3" type="noConversion"/>
  </si>
  <si>
    <t>특화 50</t>
    <phoneticPr fontId="3" type="noConversion"/>
  </si>
  <si>
    <t>특화 650</t>
    <phoneticPr fontId="3" type="noConversion"/>
  </si>
  <si>
    <t>특화 1000</t>
    <phoneticPr fontId="3" type="noConversion"/>
  </si>
  <si>
    <t>특화 1800</t>
    <phoneticPr fontId="3" type="noConversion"/>
  </si>
  <si>
    <t>사운드쇼크</t>
  </si>
  <si>
    <t>1트포</t>
  </si>
  <si>
    <t>빠른준비</t>
    <phoneticPr fontId="3" type="noConversion"/>
  </si>
  <si>
    <t>폭파유지</t>
  </si>
  <si>
    <t>사운드쇼크</t>
    <phoneticPr fontId="3" type="noConversion"/>
  </si>
  <si>
    <t>1x1</t>
    <phoneticPr fontId="3" type="noConversion"/>
  </si>
  <si>
    <t>2트포</t>
  </si>
  <si>
    <t>-</t>
    <phoneticPr fontId="3" type="noConversion"/>
  </si>
  <si>
    <t>-</t>
    <phoneticPr fontId="3" type="noConversion"/>
  </si>
  <si>
    <t>3x1</t>
    <phoneticPr fontId="3" type="noConversion"/>
  </si>
  <si>
    <t>mp</t>
    <phoneticPr fontId="3" type="noConversion"/>
  </si>
  <si>
    <t>3트포</t>
  </si>
  <si>
    <t>연사</t>
  </si>
  <si>
    <t>불협화음</t>
    <phoneticPr fontId="3" type="noConversion"/>
  </si>
  <si>
    <t>2xx</t>
    <phoneticPr fontId="3" type="noConversion"/>
  </si>
  <si>
    <t>2xx</t>
    <phoneticPr fontId="3" type="noConversion"/>
  </si>
  <si>
    <t>쿨타임</t>
  </si>
  <si>
    <t>세레수급량</t>
    <phoneticPr fontId="3" type="noConversion"/>
  </si>
  <si>
    <t>세레수급량</t>
    <phoneticPr fontId="3" type="noConversion"/>
  </si>
  <si>
    <t>사운드웨이브</t>
    <phoneticPr fontId="3" type="noConversion"/>
  </si>
  <si>
    <t>x3x</t>
    <phoneticPr fontId="3" type="noConversion"/>
  </si>
  <si>
    <t>사운드웨이브</t>
    <phoneticPr fontId="3" type="noConversion"/>
  </si>
  <si>
    <t>x3x</t>
    <phoneticPr fontId="3" type="noConversion"/>
  </si>
  <si>
    <t>초</t>
  </si>
  <si>
    <t>DPS</t>
    <phoneticPr fontId="3" type="noConversion"/>
  </si>
  <si>
    <t>스티그마</t>
    <phoneticPr fontId="3" type="noConversion"/>
  </si>
  <si>
    <t>3x2</t>
    <phoneticPr fontId="3" type="noConversion"/>
  </si>
  <si>
    <t>스티그마</t>
    <phoneticPr fontId="3" type="noConversion"/>
  </si>
  <si>
    <t>빛의광시곡</t>
    <phoneticPr fontId="3" type="noConversion"/>
  </si>
  <si>
    <t>23x</t>
    <phoneticPr fontId="3" type="noConversion"/>
  </si>
  <si>
    <t>23x</t>
    <phoneticPr fontId="3" type="noConversion"/>
  </si>
  <si>
    <t>선율증가</t>
    <phoneticPr fontId="3" type="noConversion"/>
  </si>
  <si>
    <t>윈드오브뮤직</t>
    <phoneticPr fontId="3" type="noConversion"/>
  </si>
  <si>
    <t>x21</t>
    <phoneticPr fontId="3" type="noConversion"/>
  </si>
  <si>
    <t>음파진동</t>
    <phoneticPr fontId="3" type="noConversion"/>
  </si>
  <si>
    <t>x32</t>
    <phoneticPr fontId="3" type="noConversion"/>
  </si>
  <si>
    <t>x32</t>
    <phoneticPr fontId="3" type="noConversion"/>
  </si>
  <si>
    <t>DPS</t>
    <phoneticPr fontId="3" type="noConversion"/>
  </si>
  <si>
    <t>리듬벅샷</t>
    <phoneticPr fontId="3" type="noConversion"/>
  </si>
  <si>
    <t>1xx</t>
    <phoneticPr fontId="3" type="noConversion"/>
  </si>
  <si>
    <t>사운드홀릭</t>
    <phoneticPr fontId="3" type="noConversion"/>
  </si>
  <si>
    <t>x11</t>
    <phoneticPr fontId="3" type="noConversion"/>
  </si>
  <si>
    <t>x11</t>
    <phoneticPr fontId="3" type="noConversion"/>
  </si>
  <si>
    <t>3레벨</t>
    <phoneticPr fontId="3" type="noConversion"/>
  </si>
  <si>
    <t>x12</t>
    <phoneticPr fontId="3" type="noConversion"/>
  </si>
  <si>
    <t>x12</t>
    <phoneticPr fontId="3" type="noConversion"/>
  </si>
  <si>
    <t>폭풍의서곡</t>
    <phoneticPr fontId="3" type="noConversion"/>
  </si>
  <si>
    <t>2트포</t>
    <phoneticPr fontId="3" type="noConversion"/>
  </si>
  <si>
    <t>선율증가</t>
  </si>
  <si>
    <t>mp</t>
    <phoneticPr fontId="3" type="noConversion"/>
  </si>
  <si>
    <t>1xx</t>
    <phoneticPr fontId="3" type="noConversion"/>
  </si>
  <si>
    <t>음표뭉치</t>
    <phoneticPr fontId="3" type="noConversion"/>
  </si>
  <si>
    <t>2x2</t>
    <phoneticPr fontId="3" type="noConversion"/>
  </si>
  <si>
    <t>음표뭉치</t>
    <phoneticPr fontId="3" type="noConversion"/>
  </si>
  <si>
    <t>2x2</t>
    <phoneticPr fontId="3" type="noConversion"/>
  </si>
  <si>
    <t>3x2</t>
    <phoneticPr fontId="3" type="noConversion"/>
  </si>
  <si>
    <t>죽음의전주곡</t>
    <phoneticPr fontId="3" type="noConversion"/>
  </si>
  <si>
    <t>13x</t>
    <phoneticPr fontId="3" type="noConversion"/>
  </si>
  <si>
    <t>13x</t>
    <phoneticPr fontId="3" type="noConversion"/>
  </si>
  <si>
    <t>스티그마</t>
    <phoneticPr fontId="3" type="noConversion"/>
  </si>
  <si>
    <t>지속력강화</t>
    <phoneticPr fontId="3" type="noConversion"/>
  </si>
  <si>
    <t>율동의하프</t>
    <phoneticPr fontId="3" type="noConversion"/>
  </si>
  <si>
    <t>13x</t>
    <phoneticPr fontId="3" type="noConversion"/>
  </si>
  <si>
    <t>13x</t>
    <phoneticPr fontId="3" type="noConversion"/>
  </si>
  <si>
    <t>폭풍의낙인</t>
    <phoneticPr fontId="3" type="noConversion"/>
  </si>
  <si>
    <t>-</t>
    <phoneticPr fontId="3" type="noConversion"/>
  </si>
  <si>
    <t>-</t>
    <phoneticPr fontId="3" type="noConversion"/>
  </si>
  <si>
    <t>행진곡</t>
    <phoneticPr fontId="3" type="noConversion"/>
  </si>
  <si>
    <t>1x2</t>
    <phoneticPr fontId="3" type="noConversion"/>
  </si>
  <si>
    <t>행진곡</t>
    <phoneticPr fontId="3" type="noConversion"/>
  </si>
  <si>
    <t>선율증가</t>
    <phoneticPr fontId="3" type="noConversion"/>
  </si>
  <si>
    <t>3x2</t>
    <phoneticPr fontId="3" type="noConversion"/>
  </si>
  <si>
    <t>3x2</t>
    <phoneticPr fontId="3" type="noConversion"/>
  </si>
  <si>
    <t>소나티네</t>
    <phoneticPr fontId="3" type="noConversion"/>
  </si>
  <si>
    <t>1x1</t>
    <phoneticPr fontId="3" type="noConversion"/>
  </si>
  <si>
    <t>소나티네</t>
    <phoneticPr fontId="3" type="noConversion"/>
  </si>
  <si>
    <t>1x2</t>
    <phoneticPr fontId="3" type="noConversion"/>
  </si>
  <si>
    <t>DPSe</t>
    <phoneticPr fontId="3" type="noConversion"/>
  </si>
  <si>
    <t>1x2</t>
    <phoneticPr fontId="3" type="noConversion"/>
  </si>
  <si>
    <t>3x2</t>
    <phoneticPr fontId="3" type="noConversion"/>
  </si>
  <si>
    <t>아리아</t>
    <phoneticPr fontId="3" type="noConversion"/>
  </si>
  <si>
    <t>xxx</t>
    <phoneticPr fontId="3" type="noConversion"/>
  </si>
  <si>
    <t>아리아</t>
    <phoneticPr fontId="3" type="noConversion"/>
  </si>
  <si>
    <t>xxx</t>
    <phoneticPr fontId="3" type="noConversion"/>
  </si>
  <si>
    <t>5레벨</t>
    <phoneticPr fontId="3" type="noConversion"/>
  </si>
  <si>
    <t>비바체</t>
    <phoneticPr fontId="3" type="noConversion"/>
  </si>
  <si>
    <t>비바체</t>
    <phoneticPr fontId="3" type="noConversion"/>
  </si>
  <si>
    <t>빠른준비</t>
    <phoneticPr fontId="3" type="noConversion"/>
  </si>
  <si>
    <t>평타</t>
    <phoneticPr fontId="3" type="noConversion"/>
  </si>
  <si>
    <t>xxx</t>
    <phoneticPr fontId="3" type="noConversion"/>
  </si>
  <si>
    <t>-</t>
    <phoneticPr fontId="3" type="noConversion"/>
  </si>
  <si>
    <t>mp</t>
    <phoneticPr fontId="3" type="noConversion"/>
  </si>
  <si>
    <t>선율증가</t>
    <phoneticPr fontId="3" type="noConversion"/>
  </si>
  <si>
    <t>DPS</t>
    <phoneticPr fontId="3" type="noConversion"/>
  </si>
  <si>
    <t>세레나데 수급 DPS (특화 0, 신속 0, 보석x 기준)</t>
    <phoneticPr fontId="3" type="noConversion"/>
  </si>
  <si>
    <t>특화 수치별 세레나데 수급 DPS (트포 5레벨, 신속0, 보석x)</t>
    <phoneticPr fontId="3" type="noConversion"/>
  </si>
  <si>
    <t>스킬명</t>
    <phoneticPr fontId="3" type="noConversion"/>
  </si>
  <si>
    <t>1레벨</t>
    <phoneticPr fontId="3" type="noConversion"/>
  </si>
  <si>
    <t>3레벨</t>
    <phoneticPr fontId="3" type="noConversion"/>
  </si>
  <si>
    <t>스킬명</t>
    <phoneticPr fontId="3" type="noConversion"/>
  </si>
  <si>
    <t>트포</t>
    <phoneticPr fontId="3" type="noConversion"/>
  </si>
  <si>
    <t>특화 50</t>
    <phoneticPr fontId="3" type="noConversion"/>
  </si>
  <si>
    <t>특화 1650</t>
    <phoneticPr fontId="3" type="noConversion"/>
  </si>
  <si>
    <t>1레벨</t>
    <phoneticPr fontId="3" type="noConversion"/>
  </si>
  <si>
    <t>1x1</t>
    <phoneticPr fontId="3" type="noConversion"/>
  </si>
  <si>
    <t>사운드쇼크</t>
    <phoneticPr fontId="3" type="noConversion"/>
  </si>
  <si>
    <t>1x1</t>
    <phoneticPr fontId="3" type="noConversion"/>
  </si>
  <si>
    <t>빛의광시곡</t>
    <phoneticPr fontId="3" type="noConversion"/>
  </si>
  <si>
    <t>빛의광시곡</t>
    <phoneticPr fontId="3" type="noConversion"/>
  </si>
  <si>
    <t>빠른준비</t>
    <phoneticPr fontId="3" type="noConversion"/>
  </si>
  <si>
    <t>3x1</t>
    <phoneticPr fontId="3" type="noConversion"/>
  </si>
  <si>
    <t>지속력강화</t>
    <phoneticPr fontId="3" type="noConversion"/>
  </si>
  <si>
    <t>불협화음</t>
    <phoneticPr fontId="3" type="noConversion"/>
  </si>
  <si>
    <t>2xx</t>
    <phoneticPr fontId="3" type="noConversion"/>
  </si>
  <si>
    <t>mp</t>
    <phoneticPr fontId="3" type="noConversion"/>
  </si>
  <si>
    <t>세레수급량</t>
    <phoneticPr fontId="3" type="noConversion"/>
  </si>
  <si>
    <t>스티그마</t>
    <phoneticPr fontId="3" type="noConversion"/>
  </si>
  <si>
    <t>2xx</t>
    <phoneticPr fontId="3" type="noConversion"/>
  </si>
  <si>
    <t>빛의광시곡</t>
    <phoneticPr fontId="3" type="noConversion"/>
  </si>
  <si>
    <t>23x</t>
    <phoneticPr fontId="3" type="noConversion"/>
  </si>
  <si>
    <t>1레벨</t>
    <phoneticPr fontId="3" type="noConversion"/>
  </si>
  <si>
    <t>3레벨</t>
    <phoneticPr fontId="3" type="noConversion"/>
  </si>
  <si>
    <t>5레벨</t>
    <phoneticPr fontId="3" type="noConversion"/>
  </si>
  <si>
    <t>5레벨</t>
    <phoneticPr fontId="3" type="noConversion"/>
  </si>
  <si>
    <t>윈드오브뮤직</t>
    <phoneticPr fontId="3" type="noConversion"/>
  </si>
  <si>
    <t>빠른준비</t>
    <phoneticPr fontId="3" type="noConversion"/>
  </si>
  <si>
    <t>윈드오브뮤직</t>
    <phoneticPr fontId="3" type="noConversion"/>
  </si>
  <si>
    <t>빠른준비</t>
    <phoneticPr fontId="3" type="noConversion"/>
  </si>
  <si>
    <t>x21</t>
    <phoneticPr fontId="3" type="noConversion"/>
  </si>
  <si>
    <t>mp</t>
    <phoneticPr fontId="3" type="noConversion"/>
  </si>
  <si>
    <t>초고속시전</t>
    <phoneticPr fontId="3" type="noConversion"/>
  </si>
  <si>
    <t>-</t>
    <phoneticPr fontId="3" type="noConversion"/>
  </si>
  <si>
    <t>수호의바람</t>
    <phoneticPr fontId="3" type="noConversion"/>
  </si>
  <si>
    <t>-</t>
    <phoneticPr fontId="3" type="noConversion"/>
  </si>
  <si>
    <t>x32</t>
    <phoneticPr fontId="3" type="noConversion"/>
  </si>
  <si>
    <t>리듬벅샷</t>
    <phoneticPr fontId="3" type="noConversion"/>
  </si>
  <si>
    <t>DPS</t>
    <phoneticPr fontId="3" type="noConversion"/>
  </si>
  <si>
    <t>사운드홀릭</t>
    <phoneticPr fontId="3" type="noConversion"/>
  </si>
  <si>
    <t>x12</t>
    <phoneticPr fontId="3" type="noConversion"/>
  </si>
  <si>
    <t>1레벨</t>
    <phoneticPr fontId="3" type="noConversion"/>
  </si>
  <si>
    <t>3레벨</t>
    <phoneticPr fontId="3" type="noConversion"/>
  </si>
  <si>
    <t>5레벨</t>
    <phoneticPr fontId="3" type="noConversion"/>
  </si>
  <si>
    <t>1레벨</t>
    <phoneticPr fontId="3" type="noConversion"/>
  </si>
  <si>
    <t>5레벨</t>
    <phoneticPr fontId="3" type="noConversion"/>
  </si>
  <si>
    <t>폭풍의서곡</t>
    <phoneticPr fontId="3" type="noConversion"/>
  </si>
  <si>
    <t>폭풍의서곡</t>
    <phoneticPr fontId="3" type="noConversion"/>
  </si>
  <si>
    <t>음파진동</t>
    <phoneticPr fontId="3" type="noConversion"/>
  </si>
  <si>
    <t>음파진동</t>
    <phoneticPr fontId="3" type="noConversion"/>
  </si>
  <si>
    <t>-</t>
    <phoneticPr fontId="3" type="noConversion"/>
  </si>
  <si>
    <t>-</t>
    <phoneticPr fontId="3" type="noConversion"/>
  </si>
  <si>
    <t>광휘의음파</t>
    <phoneticPr fontId="3" type="noConversion"/>
  </si>
  <si>
    <t>-</t>
    <phoneticPr fontId="3" type="noConversion"/>
  </si>
  <si>
    <t>연쇄진동</t>
    <phoneticPr fontId="3" type="noConversion"/>
  </si>
  <si>
    <t>천상의연주</t>
    <phoneticPr fontId="3" type="noConversion"/>
  </si>
  <si>
    <t>mp</t>
    <phoneticPr fontId="3" type="noConversion"/>
  </si>
  <si>
    <t>넓은공격</t>
    <phoneticPr fontId="3" type="noConversion"/>
  </si>
  <si>
    <t>-</t>
    <phoneticPr fontId="3" type="noConversion"/>
  </si>
  <si>
    <t>넓은공격</t>
    <phoneticPr fontId="3" type="noConversion"/>
  </si>
  <si>
    <t>13x</t>
    <phoneticPr fontId="3" type="noConversion"/>
  </si>
  <si>
    <t>23x</t>
    <phoneticPr fontId="3" type="noConversion"/>
  </si>
  <si>
    <t>3레벨</t>
    <phoneticPr fontId="3" type="noConversion"/>
  </si>
  <si>
    <t>율동의하프</t>
    <phoneticPr fontId="3" type="noConversion"/>
  </si>
  <si>
    <t>율동의하프</t>
    <phoneticPr fontId="3" type="noConversion"/>
  </si>
  <si>
    <t>13x</t>
    <phoneticPr fontId="3" type="noConversion"/>
  </si>
  <si>
    <t>음파진동</t>
    <phoneticPr fontId="3" type="noConversion"/>
  </si>
  <si>
    <t>-</t>
    <phoneticPr fontId="3" type="noConversion"/>
  </si>
  <si>
    <t>행진곡</t>
    <phoneticPr fontId="3" type="noConversion"/>
  </si>
  <si>
    <t>1x2</t>
    <phoneticPr fontId="3" type="noConversion"/>
  </si>
  <si>
    <t>행진곡</t>
    <phoneticPr fontId="3" type="noConversion"/>
  </si>
  <si>
    <t>연쇄진동</t>
    <phoneticPr fontId="3" type="noConversion"/>
  </si>
  <si>
    <t>진동확산</t>
    <phoneticPr fontId="3" type="noConversion"/>
  </si>
  <si>
    <t>아리아</t>
    <phoneticPr fontId="3" type="noConversion"/>
  </si>
  <si>
    <t>xxx</t>
    <phoneticPr fontId="3" type="noConversion"/>
  </si>
  <si>
    <t>아리아</t>
    <phoneticPr fontId="3" type="noConversion"/>
  </si>
  <si>
    <t>비바체</t>
    <phoneticPr fontId="3" type="noConversion"/>
  </si>
  <si>
    <t>xxx</t>
    <phoneticPr fontId="3" type="noConversion"/>
  </si>
  <si>
    <t>비바체</t>
    <phoneticPr fontId="3" type="noConversion"/>
  </si>
  <si>
    <t>xxx</t>
    <phoneticPr fontId="3" type="noConversion"/>
  </si>
  <si>
    <t>평타</t>
    <phoneticPr fontId="3" type="noConversion"/>
  </si>
  <si>
    <t>xxx</t>
    <phoneticPr fontId="3" type="noConversion"/>
  </si>
  <si>
    <t>리듬벅샷</t>
    <phoneticPr fontId="3" type="noConversion"/>
  </si>
  <si>
    <t>선율증가</t>
    <phoneticPr fontId="3" type="noConversion"/>
  </si>
  <si>
    <t>-</t>
    <phoneticPr fontId="3" type="noConversion"/>
  </si>
  <si>
    <t>DPS</t>
    <phoneticPr fontId="3" type="noConversion"/>
  </si>
  <si>
    <t>1레벨</t>
    <phoneticPr fontId="3" type="noConversion"/>
  </si>
  <si>
    <t>3레벨</t>
    <phoneticPr fontId="3" type="noConversion"/>
  </si>
  <si>
    <t>5레벨</t>
    <phoneticPr fontId="3" type="noConversion"/>
  </si>
  <si>
    <t>사운드홀릭</t>
    <phoneticPr fontId="3" type="noConversion"/>
  </si>
  <si>
    <t>사운드홀릭</t>
    <phoneticPr fontId="3" type="noConversion"/>
  </si>
  <si>
    <t>집중포화</t>
    <phoneticPr fontId="3" type="noConversion"/>
  </si>
  <si>
    <t>DPS</t>
    <phoneticPr fontId="3" type="noConversion"/>
  </si>
  <si>
    <t>폭풍의서곡</t>
    <phoneticPr fontId="3" type="noConversion"/>
  </si>
  <si>
    <t>빠른준비</t>
    <phoneticPr fontId="3" type="noConversion"/>
  </si>
  <si>
    <t>빠른준비</t>
    <phoneticPr fontId="3" type="noConversion"/>
  </si>
  <si>
    <t>선율증가</t>
    <phoneticPr fontId="3" type="noConversion"/>
  </si>
  <si>
    <t xml:space="preserve"> 강력한서곡</t>
    <phoneticPr fontId="3" type="noConversion"/>
  </si>
  <si>
    <t>3트포</t>
    <phoneticPr fontId="3" type="noConversion"/>
  </si>
  <si>
    <t>낙뢰집중</t>
    <phoneticPr fontId="3" type="noConversion"/>
  </si>
  <si>
    <t>5레벨</t>
    <phoneticPr fontId="3" type="noConversion"/>
  </si>
  <si>
    <t>1트포</t>
    <phoneticPr fontId="3" type="noConversion"/>
  </si>
  <si>
    <t>3레벨</t>
    <phoneticPr fontId="3" type="noConversion"/>
  </si>
  <si>
    <t>도돌이표</t>
    <phoneticPr fontId="3" type="noConversion"/>
  </si>
  <si>
    <t>1트포</t>
    <phoneticPr fontId="3" type="noConversion"/>
  </si>
  <si>
    <t>음표붕괴</t>
    <phoneticPr fontId="3" type="noConversion"/>
  </si>
  <si>
    <t>선율의낙인</t>
    <phoneticPr fontId="3" type="noConversion"/>
  </si>
  <si>
    <t>죽음의전주곡</t>
    <phoneticPr fontId="3" type="noConversion"/>
  </si>
  <si>
    <t>열렬한환호</t>
    <phoneticPr fontId="3" type="noConversion"/>
  </si>
  <si>
    <t>끝없는연주</t>
    <phoneticPr fontId="3" type="noConversion"/>
  </si>
  <si>
    <t>소환의의지</t>
    <phoneticPr fontId="3" type="noConversion"/>
  </si>
  <si>
    <t>시간감소</t>
    <phoneticPr fontId="3" type="noConversion"/>
  </si>
  <si>
    <t>행진곡</t>
    <phoneticPr fontId="3" type="noConversion"/>
  </si>
  <si>
    <t>경쾌한행진곡</t>
    <phoneticPr fontId="3" type="noConversion"/>
  </si>
  <si>
    <t>DPS</t>
    <phoneticPr fontId="3" type="noConversion"/>
  </si>
  <si>
    <t>DPS</t>
    <phoneticPr fontId="3" type="noConversion"/>
  </si>
  <si>
    <t>1레벨</t>
    <phoneticPr fontId="3" type="noConversion"/>
  </si>
  <si>
    <t>5레벨</t>
    <phoneticPr fontId="3" type="noConversion"/>
  </si>
  <si>
    <t>아리아</t>
    <phoneticPr fontId="3" type="noConversion"/>
  </si>
  <si>
    <t>1트포</t>
    <phoneticPr fontId="3" type="noConversion"/>
  </si>
  <si>
    <t>잠재력해방</t>
    <phoneticPr fontId="3" type="noConversion"/>
  </si>
  <si>
    <t>mp</t>
    <phoneticPr fontId="3" type="noConversion"/>
  </si>
  <si>
    <t>DPS</t>
    <phoneticPr fontId="3" type="noConversion"/>
  </si>
  <si>
    <t>1레벨</t>
    <phoneticPr fontId="3" type="noConversion"/>
  </si>
  <si>
    <t>3레벨</t>
    <phoneticPr fontId="3" type="noConversion"/>
  </si>
  <si>
    <t>5레벨</t>
    <phoneticPr fontId="3" type="noConversion"/>
  </si>
  <si>
    <t>비바체</t>
    <phoneticPr fontId="3" type="noConversion"/>
  </si>
  <si>
    <t>1트포</t>
    <phoneticPr fontId="3" type="noConversion"/>
  </si>
  <si>
    <t>잠재력해방</t>
    <phoneticPr fontId="3" type="noConversion"/>
  </si>
  <si>
    <t>-</t>
    <phoneticPr fontId="3" type="noConversion"/>
  </si>
  <si>
    <t>-</t>
    <phoneticPr fontId="3" type="noConversion"/>
  </si>
  <si>
    <t>mp</t>
    <phoneticPr fontId="3" type="noConversion"/>
  </si>
  <si>
    <t>선율증가</t>
    <phoneticPr fontId="3" type="noConversion"/>
  </si>
  <si>
    <t>세레수급량</t>
    <phoneticPr fontId="3" type="noConversion"/>
  </si>
  <si>
    <t>현재 쿨감이 과다반영 되어 있음)</t>
    <phoneticPr fontId="3" type="noConversion"/>
  </si>
  <si>
    <t>실수치로 반영해도 기대쿨타임 오차는 +0.0x내외</t>
    <phoneticPr fontId="3" type="noConversion"/>
  </si>
  <si>
    <t>(여러 번이 발생해도 뒤에 발동한 속행은 쿨감을 조금밖에 감소시키지 못하기 때문에</t>
    <phoneticPr fontId="3" type="noConversion"/>
  </si>
  <si>
    <t>쿨이 긴 스킬에 속행이 연속으로 발동했을때 쿨감율이 부정확함</t>
    <phoneticPr fontId="3" type="noConversion"/>
  </si>
  <si>
    <t>발동시간이 짧은 스킬에 속행이 들어갈 경우</t>
    <phoneticPr fontId="3" type="noConversion"/>
  </si>
  <si>
    <t>(속행 쿨감율 읽을시 주의사항)</t>
    <phoneticPr fontId="3" type="noConversion"/>
  </si>
  <si>
    <t>X</t>
    <phoneticPr fontId="3" type="noConversion"/>
  </si>
  <si>
    <t>X</t>
    <phoneticPr fontId="3" type="noConversion"/>
  </si>
  <si>
    <t>비바체</t>
    <phoneticPr fontId="3" type="noConversion"/>
  </si>
  <si>
    <t>(초당 아덴 차는 양을 뜻함, 100 = 1버블)</t>
    <phoneticPr fontId="3" type="noConversion"/>
  </si>
  <si>
    <t>속행x</t>
    <phoneticPr fontId="4" type="noConversion"/>
  </si>
  <si>
    <t>벅샷</t>
    <phoneticPr fontId="3" type="noConversion"/>
  </si>
  <si>
    <t>광시곡</t>
    <phoneticPr fontId="3" type="noConversion"/>
  </si>
  <si>
    <t>ㅁ</t>
    <phoneticPr fontId="3" type="noConversion"/>
  </si>
  <si>
    <t>복사수식</t>
    <phoneticPr fontId="3" type="noConversion"/>
  </si>
  <si>
    <t>사운드쇼크</t>
    <phoneticPr fontId="3" type="noConversion"/>
  </si>
  <si>
    <t>이하</t>
    <phoneticPr fontId="3" type="noConversion"/>
  </si>
  <si>
    <t>사홀선율</t>
    <phoneticPr fontId="3" type="noConversion"/>
  </si>
  <si>
    <t>이상</t>
    <phoneticPr fontId="3" type="noConversion"/>
  </si>
  <si>
    <t>사홀집포</t>
    <phoneticPr fontId="3" type="noConversion"/>
  </si>
  <si>
    <t>지속력 강화 트포x &amp; 하프쿨타임이 10.499</t>
    <phoneticPr fontId="3" type="noConversion"/>
  </si>
  <si>
    <t>폭풍의서곡</t>
    <phoneticPr fontId="3" type="noConversion"/>
  </si>
  <si>
    <t>ㅁ</t>
    <phoneticPr fontId="4" type="noConversion"/>
  </si>
  <si>
    <t>수호날수</t>
    <phoneticPr fontId="3" type="noConversion"/>
  </si>
  <si>
    <t xml:space="preserve"> AA~AB 숨김 해제후 수식 복사해서 넣기)</t>
    <phoneticPr fontId="3" type="noConversion"/>
  </si>
  <si>
    <t>수호의연주</t>
    <phoneticPr fontId="3" type="noConversion"/>
  </si>
  <si>
    <t>ㅁ</t>
    <phoneticPr fontId="4" type="noConversion"/>
  </si>
  <si>
    <t>지속력강화 트포를 안찍을때 DPS보려면</t>
    <phoneticPr fontId="3" type="noConversion"/>
  </si>
  <si>
    <t>천상의연주</t>
    <phoneticPr fontId="3" type="noConversion"/>
  </si>
  <si>
    <t>이하</t>
    <phoneticPr fontId="3" type="noConversion"/>
  </si>
  <si>
    <t>(하프의 '평타'는 특화 영향을 받음,</t>
    <phoneticPr fontId="3" type="noConversion"/>
  </si>
  <si>
    <t>율동의하프</t>
    <phoneticPr fontId="3" type="noConversion"/>
  </si>
  <si>
    <t>음파진동</t>
    <phoneticPr fontId="3" type="noConversion"/>
  </si>
  <si>
    <t>하프 쿨타임 14.899</t>
    <phoneticPr fontId="3" type="noConversion"/>
  </si>
  <si>
    <t>윈드오브뮤직</t>
    <phoneticPr fontId="3" type="noConversion"/>
  </si>
  <si>
    <t>랩소디레벨 넣을것)</t>
    <phoneticPr fontId="3" type="noConversion"/>
  </si>
  <si>
    <t>스티그마(지속력/선율5)</t>
    <phoneticPr fontId="3" type="noConversion"/>
  </si>
  <si>
    <t>아리아의 풍요룬 란에</t>
    <phoneticPr fontId="3" type="noConversion"/>
  </si>
  <si>
    <t>소나티네</t>
    <phoneticPr fontId="3" type="noConversion"/>
  </si>
  <si>
    <t>(도약 픙요의 랩소디 찍을시</t>
    <phoneticPr fontId="3" type="noConversion"/>
  </si>
  <si>
    <t>아리아</t>
    <phoneticPr fontId="3" type="noConversion"/>
  </si>
  <si>
    <t>ㅁ</t>
    <phoneticPr fontId="3" type="noConversion"/>
  </si>
  <si>
    <t>아덴dps</t>
    <phoneticPr fontId="4" type="noConversion"/>
  </si>
  <si>
    <t>풍요룬</t>
    <phoneticPr fontId="4" type="noConversion"/>
  </si>
  <si>
    <t>사용스킬만</t>
    <phoneticPr fontId="4" type="noConversion"/>
  </si>
  <si>
    <t>1회아덴(특화0)</t>
    <phoneticPr fontId="4" type="noConversion"/>
  </si>
  <si>
    <t>시전시간비중</t>
    <phoneticPr fontId="4" type="noConversion"/>
  </si>
  <si>
    <t>(속행)기대쿨타임</t>
    <phoneticPr fontId="4" type="noConversion"/>
  </si>
  <si>
    <t>영웅속행 쿨감</t>
    <phoneticPr fontId="4" type="noConversion"/>
  </si>
  <si>
    <t>영웅속행 발동확률</t>
    <phoneticPr fontId="4" type="noConversion"/>
  </si>
  <si>
    <t>전설속행 쿨감</t>
    <phoneticPr fontId="4" type="noConversion"/>
  </si>
  <si>
    <t>전설속행 발동확률</t>
    <phoneticPr fontId="4" type="noConversion"/>
  </si>
  <si>
    <t>마흐+선각 쿨</t>
    <phoneticPr fontId="3" type="noConversion"/>
  </si>
  <si>
    <t>신속 쿨</t>
    <phoneticPr fontId="4" type="noConversion"/>
  </si>
  <si>
    <t>보석 레벨</t>
    <phoneticPr fontId="4" type="noConversion"/>
  </si>
  <si>
    <t>기본 쿨</t>
    <phoneticPr fontId="4" type="noConversion"/>
  </si>
  <si>
    <t>천상X시전시간</t>
    <phoneticPr fontId="4" type="noConversion"/>
  </si>
  <si>
    <t>천상O시전시간</t>
    <phoneticPr fontId="4" type="noConversion"/>
  </si>
  <si>
    <t>트포공속</t>
    <phoneticPr fontId="4" type="noConversion"/>
  </si>
  <si>
    <t>질풍/비전룬</t>
    <phoneticPr fontId="4" type="noConversion"/>
  </si>
  <si>
    <t>신속0시전시간(스킬1회)</t>
    <phoneticPr fontId="4" type="noConversion"/>
  </si>
  <si>
    <t>사용 스킬</t>
    <phoneticPr fontId="4" type="noConversion"/>
  </si>
  <si>
    <t>(낙인력은 악세만 넣을것, 아크패시브/초월 기본 반영)</t>
    <phoneticPr fontId="3" type="noConversion"/>
  </si>
  <si>
    <t>스킬 1회</t>
    <phoneticPr fontId="4" type="noConversion"/>
  </si>
  <si>
    <t>스킬 1회</t>
    <phoneticPr fontId="4" type="noConversion"/>
  </si>
  <si>
    <t>(세라나데 획득은 깨달음(팔찌), 목걸이, 안정된 관리자(찍었을경우)를 합으로 넣을것, 아크패시브 기본 반영, 신념(엘릭서)는 쿨감계산이 바껴야 하므로 넣지말것)</t>
    <phoneticPr fontId="3" type="noConversion"/>
  </si>
  <si>
    <t>피해량강화지원은 보석 지원효과, 4t 악세 따로따로 넣을것, 엘릭서/초월 기본반영)</t>
    <phoneticPr fontId="3" type="noConversion"/>
  </si>
  <si>
    <t>(용맹2번-아리아1번 쓰는것으로 합연산후, 용맹&amp;아리아 계산후 최종버프 곱연산, 숨겨진 O열)</t>
    <phoneticPr fontId="3" type="noConversion"/>
  </si>
  <si>
    <t>15~15.5</t>
    <phoneticPr fontId="3" type="noConversion"/>
  </si>
  <si>
    <t>아리아유지</t>
    <phoneticPr fontId="3" type="noConversion"/>
  </si>
  <si>
    <t>(공격력증가지원은 보석 악세 합으로</t>
    <phoneticPr fontId="3" type="noConversion"/>
  </si>
  <si>
    <t>(아리아 트포공속에 도약 즉가적인주문 시전시간수치 적기)</t>
    <phoneticPr fontId="3" type="noConversion"/>
  </si>
  <si>
    <t>16~16.5</t>
    <phoneticPr fontId="3" type="noConversion"/>
  </si>
  <si>
    <t>용맹유지</t>
    <phoneticPr fontId="3" type="noConversion"/>
  </si>
  <si>
    <t>최종버프</t>
    <phoneticPr fontId="4" type="noConversion"/>
  </si>
  <si>
    <t>(벅샷 선율증가-날렵한시전 반영, 광시곡 시전시간은 1타만)</t>
    <phoneticPr fontId="4" type="noConversion"/>
  </si>
  <si>
    <t>5.5~6.5</t>
    <phoneticPr fontId="3" type="noConversion"/>
  </si>
  <si>
    <t>음진유지</t>
    <phoneticPr fontId="3" type="noConversion"/>
  </si>
  <si>
    <t>음진밟는비율</t>
    <phoneticPr fontId="4" type="noConversion"/>
  </si>
  <si>
    <t>(질풍룬, 트포 공속, 픙요룬 직접입력 필요, 1+수치%로 입력)</t>
    <phoneticPr fontId="4" type="noConversion"/>
  </si>
  <si>
    <t>8~8.5</t>
    <phoneticPr fontId="3" type="noConversion"/>
  </si>
  <si>
    <t>천상유지</t>
    <phoneticPr fontId="3" type="noConversion"/>
  </si>
  <si>
    <t>아리아*가동비율</t>
    <phoneticPr fontId="3" type="noConversion"/>
  </si>
  <si>
    <t>(단심유지율 : 천상,아리아는 심판 사이클 두번 중 한번은 기회가 있다고 가정시 성공할 확률이 x%)</t>
    <phoneticPr fontId="4" type="noConversion"/>
  </si>
  <si>
    <t>버프유지최소최대시간</t>
    <phoneticPr fontId="3" type="noConversion"/>
  </si>
  <si>
    <t>유지시간설정</t>
    <phoneticPr fontId="3" type="noConversion"/>
  </si>
  <si>
    <t>용맹*가동비율</t>
    <phoneticPr fontId="4" type="noConversion"/>
  </si>
  <si>
    <t>(보석은 3T기준, T4 9레벨 -&gt; 보석레벨 11, T4 10레벨 -&gt; 보석레벨 12)</t>
    <phoneticPr fontId="4" type="noConversion"/>
  </si>
  <si>
    <t>(다른 스킬 쿨타임은 단심 반영x, 아리아, 천상의 연주만 단심 반영)</t>
    <phoneticPr fontId="4" type="noConversion"/>
  </si>
  <si>
    <t>용맹&amp;아리아
가동비율</t>
    <phoneticPr fontId="3" type="noConversion"/>
  </si>
  <si>
    <t>기본공증</t>
    <phoneticPr fontId="4" type="noConversion"/>
  </si>
  <si>
    <t>단심유지 기대 아리아쿨</t>
    <phoneticPr fontId="4" type="noConversion"/>
  </si>
  <si>
    <t>세레나데획득량</t>
    <phoneticPr fontId="3" type="noConversion"/>
  </si>
  <si>
    <t>극특신속최대치</t>
    <phoneticPr fontId="3" type="noConversion"/>
  </si>
  <si>
    <t>단심유지율</t>
    <phoneticPr fontId="4" type="noConversion"/>
  </si>
  <si>
    <t>단심 아리아 쿨</t>
    <phoneticPr fontId="3" type="noConversion"/>
  </si>
  <si>
    <t>낙인력</t>
    <phoneticPr fontId="3" type="noConversion"/>
  </si>
  <si>
    <t>극신특화최대치</t>
    <phoneticPr fontId="3" type="noConversion"/>
  </si>
  <si>
    <t>천상업타임</t>
    <phoneticPr fontId="4" type="noConversion"/>
  </si>
  <si>
    <t>단심유지 기대 천상쿨</t>
    <phoneticPr fontId="4" type="noConversion"/>
  </si>
  <si>
    <t>악세/피해량증가</t>
    <phoneticPr fontId="3" type="noConversion"/>
  </si>
  <si>
    <t>특화최대치</t>
    <phoneticPr fontId="3" type="noConversion"/>
  </si>
  <si>
    <t>스킬쿨감</t>
    <phoneticPr fontId="4" type="noConversion"/>
  </si>
  <si>
    <t>단심 천상 쿨</t>
    <phoneticPr fontId="4" type="noConversion"/>
  </si>
  <si>
    <t>보석/피해량증가</t>
    <phoneticPr fontId="3" type="noConversion"/>
  </si>
  <si>
    <t>신속최대치</t>
    <phoneticPr fontId="3" type="noConversion"/>
  </si>
  <si>
    <t>천상공속</t>
    <phoneticPr fontId="4" type="noConversion"/>
  </si>
  <si>
    <t>(반드시 맨 아래표의 사용스킬(ㅁ표시) 또는 속행x를 선택해야함)</t>
    <phoneticPr fontId="4" type="noConversion"/>
  </si>
  <si>
    <t>공격력증가지원</t>
    <phoneticPr fontId="3" type="noConversion"/>
  </si>
  <si>
    <t>기본공속</t>
    <phoneticPr fontId="4" type="noConversion"/>
  </si>
  <si>
    <t>영웅속행</t>
    <phoneticPr fontId="4" type="noConversion"/>
  </si>
  <si>
    <t>공버프X</t>
    <phoneticPr fontId="4" type="noConversion"/>
  </si>
  <si>
    <t>이론적 조력자</t>
    <phoneticPr fontId="4" type="noConversion"/>
  </si>
  <si>
    <t>정흡레벨</t>
    <phoneticPr fontId="4" type="noConversion"/>
  </si>
  <si>
    <t>전설속행</t>
    <phoneticPr fontId="4" type="noConversion"/>
  </si>
  <si>
    <t>음진</t>
    <phoneticPr fontId="4" type="noConversion"/>
  </si>
  <si>
    <t>이론적 3버블 채우는 시간(초)</t>
    <phoneticPr fontId="4" type="noConversion"/>
  </si>
  <si>
    <t>신속</t>
    <phoneticPr fontId="4" type="noConversion"/>
  </si>
  <si>
    <t>발동확률</t>
    <phoneticPr fontId="4" type="noConversion"/>
  </si>
  <si>
    <t>효과</t>
    <phoneticPr fontId="4" type="noConversion"/>
  </si>
  <si>
    <t>시전시간</t>
    <phoneticPr fontId="4" type="noConversion"/>
  </si>
  <si>
    <t>쿨타임</t>
    <phoneticPr fontId="4" type="noConversion"/>
  </si>
  <si>
    <t>천상O</t>
    <phoneticPr fontId="4" type="noConversion"/>
  </si>
  <si>
    <t>시전시간비중</t>
    <phoneticPr fontId="4" type="noConversion"/>
  </si>
  <si>
    <t>특화</t>
    <phoneticPr fontId="4" type="noConversion"/>
  </si>
  <si>
    <t>(정흡 - 유물 : 4, 전설 : 3, 영웅 : 2, 기본 : 1)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</si>
</sst>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-* #,##0_-;\-* #,##0_-;_-* &quot;-&quot;_-;_-@_-"/>
    <numFmt numFmtId="176" formatCode="0.000_ "/>
    <numFmt numFmtId="177" formatCode="0.000"/>
    <numFmt numFmtId="178" formatCode="0.0000_);[Red]\(0.0000\)"/>
    <numFmt numFmtId="179" formatCode="0.0000"/>
    <numFmt numFmtId="180" formatCode="0.0000_ "/>
    <numFmt numFmtId="181" formatCode="0.000000_ "/>
    <numFmt numFmtId="182" formatCode="0.000000000000000%"/>
    <numFmt numFmtId="183" formatCode="0.0000%"/>
    <numFmt numFmtId="184" formatCode="0_ "/>
    <numFmt numFmtId="185" formatCode="0.0000000"/>
    <numFmt numFmtId="186" formatCode="0.00000_ "/>
    <numFmt numFmtId="187" formatCode="0.000%"/>
    <numFmt numFmtId="188" formatCode="0.0_);[Red]\(0.0\)"/>
    <numFmt numFmtId="189" formatCode="0.0%"/>
    <numFmt numFmtId="190" formatCode="0.00000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0000"/>
      <name val="맑은 고딕"/>
      <family val="2"/>
      <scheme val="minor"/>
    </font>
    <font>
      <sz val="11"/>
      <color theme="8" tint="-0.249977111117893"/>
      <name val="맑은 고딕"/>
      <family val="2"/>
      <scheme val="minor"/>
    </font>
    <font>
      <sz val="11"/>
      <color theme="8" tint="-0.249977111117893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2" fillId="0" borderId="0" xfId="3"/>
    <xf numFmtId="176" fontId="2" fillId="0" borderId="0" xfId="3" applyNumberFormat="1"/>
    <xf numFmtId="0" fontId="2" fillId="2" borderId="1" xfId="3" applyFill="1" applyBorder="1"/>
    <xf numFmtId="10" fontId="2" fillId="3" borderId="4" xfId="3" applyNumberFormat="1" applyFill="1" applyBorder="1"/>
    <xf numFmtId="10" fontId="2" fillId="0" borderId="0" xfId="3" applyNumberFormat="1"/>
    <xf numFmtId="0" fontId="2" fillId="2" borderId="5" xfId="3" applyFill="1" applyBorder="1"/>
    <xf numFmtId="176" fontId="2" fillId="0" borderId="6" xfId="3" applyNumberFormat="1" applyBorder="1" applyAlignment="1">
      <alignment horizontal="left"/>
    </xf>
    <xf numFmtId="176" fontId="2" fillId="0" borderId="7" xfId="3" applyNumberFormat="1" applyBorder="1" applyAlignment="1">
      <alignment horizontal="left"/>
    </xf>
    <xf numFmtId="2" fontId="2" fillId="3" borderId="8" xfId="3" applyNumberFormat="1" applyFill="1" applyBorder="1"/>
    <xf numFmtId="0" fontId="2" fillId="2" borderId="1" xfId="3" applyFill="1" applyBorder="1" applyAlignment="1">
      <alignment horizontal="center"/>
    </xf>
    <xf numFmtId="177" fontId="2" fillId="0" borderId="0" xfId="3" applyNumberFormat="1"/>
    <xf numFmtId="10" fontId="2" fillId="2" borderId="1" xfId="2" applyNumberFormat="1" applyFont="1" applyFill="1" applyBorder="1" applyAlignment="1">
      <alignment horizontal="right"/>
    </xf>
    <xf numFmtId="0" fontId="2" fillId="2" borderId="9" xfId="3" applyFill="1" applyBorder="1"/>
    <xf numFmtId="10" fontId="2" fillId="3" borderId="12" xfId="3" applyNumberFormat="1" applyFill="1" applyBorder="1"/>
    <xf numFmtId="0" fontId="2" fillId="2" borderId="9" xfId="3" applyFill="1" applyBorder="1" applyAlignment="1">
      <alignment horizontal="center"/>
    </xf>
    <xf numFmtId="10" fontId="2" fillId="0" borderId="0" xfId="2" applyNumberFormat="1" applyFont="1" applyAlignment="1"/>
    <xf numFmtId="0" fontId="2" fillId="0" borderId="0" xfId="2" applyNumberFormat="1" applyFont="1" applyAlignment="1"/>
    <xf numFmtId="0" fontId="5" fillId="0" borderId="0" xfId="3" applyFont="1"/>
    <xf numFmtId="10" fontId="2" fillId="2" borderId="5" xfId="2" applyNumberFormat="1" applyFont="1" applyFill="1" applyBorder="1" applyAlignment="1">
      <alignment horizontal="right"/>
    </xf>
    <xf numFmtId="178" fontId="2" fillId="0" borderId="0" xfId="3" applyNumberFormat="1"/>
    <xf numFmtId="179" fontId="2" fillId="0" borderId="0" xfId="3" applyNumberFormat="1"/>
    <xf numFmtId="180" fontId="2" fillId="0" borderId="0" xfId="3" applyNumberFormat="1" applyAlignment="1"/>
    <xf numFmtId="9" fontId="2" fillId="2" borderId="13" xfId="2" applyFont="1" applyFill="1" applyBorder="1" applyAlignment="1"/>
    <xf numFmtId="10" fontId="2" fillId="2" borderId="9" xfId="2" applyNumberFormat="1" applyFont="1" applyFill="1" applyBorder="1" applyAlignment="1"/>
    <xf numFmtId="178" fontId="2" fillId="0" borderId="0" xfId="2" applyNumberFormat="1" applyFont="1" applyAlignment="1"/>
    <xf numFmtId="0" fontId="2" fillId="2" borderId="1" xfId="3" applyFill="1" applyBorder="1" applyAlignment="1">
      <alignment horizontal="right"/>
    </xf>
    <xf numFmtId="0" fontId="6" fillId="0" borderId="0" xfId="3" applyFont="1" applyAlignment="1">
      <alignment horizontal="center"/>
    </xf>
    <xf numFmtId="0" fontId="2" fillId="0" borderId="0" xfId="3" applyBorder="1"/>
    <xf numFmtId="0" fontId="2" fillId="2" borderId="5" xfId="3" applyFill="1" applyBorder="1" applyAlignment="1">
      <alignment horizontal="right"/>
    </xf>
    <xf numFmtId="0" fontId="7" fillId="0" borderId="0" xfId="3" applyFont="1" applyAlignment="1">
      <alignment horizontal="center"/>
    </xf>
    <xf numFmtId="181" fontId="2" fillId="0" borderId="0" xfId="3" applyNumberFormat="1"/>
    <xf numFmtId="182" fontId="2" fillId="0" borderId="0" xfId="3" applyNumberFormat="1"/>
    <xf numFmtId="0" fontId="2" fillId="2" borderId="9" xfId="3" applyFill="1" applyBorder="1" applyAlignment="1">
      <alignment horizontal="right"/>
    </xf>
    <xf numFmtId="0" fontId="8" fillId="0" borderId="0" xfId="3" applyFont="1"/>
    <xf numFmtId="183" fontId="2" fillId="0" borderId="0" xfId="3" applyNumberFormat="1"/>
    <xf numFmtId="0" fontId="9" fillId="0" borderId="0" xfId="3" applyFont="1" applyAlignment="1">
      <alignment horizontal="center"/>
    </xf>
    <xf numFmtId="176" fontId="2" fillId="0" borderId="0" xfId="3" applyNumberForma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0" fontId="0" fillId="0" borderId="0" xfId="2" applyNumberFormat="1" applyFont="1" applyAlignment="1"/>
    <xf numFmtId="177" fontId="10" fillId="0" borderId="0" xfId="0" applyNumberFormat="1" applyFont="1" applyAlignment="1"/>
    <xf numFmtId="10" fontId="0" fillId="0" borderId="0" xfId="4" applyNumberFormat="1" applyFont="1" applyAlignment="1"/>
    <xf numFmtId="0" fontId="9" fillId="2" borderId="5" xfId="3" applyFont="1" applyFill="1" applyBorder="1" applyAlignment="1">
      <alignment horizontal="center"/>
    </xf>
    <xf numFmtId="0" fontId="2" fillId="2" borderId="15" xfId="3" applyFill="1" applyBorder="1"/>
    <xf numFmtId="0" fontId="2" fillId="2" borderId="8" xfId="3" applyFill="1" applyBorder="1"/>
    <xf numFmtId="0" fontId="9" fillId="2" borderId="9" xfId="3" applyFont="1" applyFill="1" applyBorder="1" applyAlignment="1">
      <alignment horizontal="center"/>
    </xf>
    <xf numFmtId="0" fontId="2" fillId="2" borderId="16" xfId="3" applyFill="1" applyBorder="1"/>
    <xf numFmtId="0" fontId="2" fillId="2" borderId="12" xfId="3" applyFill="1" applyBorder="1"/>
    <xf numFmtId="0" fontId="2" fillId="2" borderId="17" xfId="3" applyFill="1" applyBorder="1" applyAlignment="1">
      <alignment horizontal="center"/>
    </xf>
    <xf numFmtId="0" fontId="2" fillId="2" borderId="18" xfId="3" applyFill="1" applyBorder="1"/>
    <xf numFmtId="0" fontId="2" fillId="2" borderId="19" xfId="3" applyFill="1" applyBorder="1"/>
    <xf numFmtId="0" fontId="2" fillId="2" borderId="17" xfId="3" applyFill="1" applyBorder="1"/>
    <xf numFmtId="0" fontId="0" fillId="0" borderId="0" xfId="0" applyAlignment="1"/>
    <xf numFmtId="177" fontId="0" fillId="0" borderId="0" xfId="0" applyNumberFormat="1" applyAlignment="1"/>
    <xf numFmtId="0" fontId="2" fillId="2" borderId="15" xfId="3" applyFill="1" applyBorder="1" applyAlignment="1">
      <alignment horizontal="right"/>
    </xf>
    <xf numFmtId="184" fontId="2" fillId="0" borderId="0" xfId="3" applyNumberFormat="1"/>
    <xf numFmtId="10" fontId="9" fillId="0" borderId="0" xfId="3" applyNumberFormat="1" applyFont="1"/>
    <xf numFmtId="177" fontId="9" fillId="0" borderId="0" xfId="3" applyNumberFormat="1" applyFont="1"/>
    <xf numFmtId="1" fontId="2" fillId="0" borderId="0" xfId="3" applyNumberFormat="1"/>
    <xf numFmtId="185" fontId="2" fillId="0" borderId="0" xfId="3" applyNumberFormat="1"/>
    <xf numFmtId="186" fontId="2" fillId="0" borderId="0" xfId="3" applyNumberFormat="1"/>
    <xf numFmtId="0" fontId="2" fillId="0" borderId="0" xfId="3" applyFill="1" applyBorder="1"/>
    <xf numFmtId="1" fontId="0" fillId="0" borderId="0" xfId="0" applyNumberFormat="1">
      <alignment vertical="center"/>
    </xf>
    <xf numFmtId="177" fontId="0" fillId="0" borderId="0" xfId="0" applyNumberFormat="1">
      <alignment vertical="center"/>
    </xf>
    <xf numFmtId="187" fontId="0" fillId="0" borderId="0" xfId="2" applyNumberFormat="1" applyFo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2" fontId="0" fillId="0" borderId="0" xfId="0" applyNumberForma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10" fontId="0" fillId="0" borderId="0" xfId="0" applyNumberFormat="1">
      <alignment vertical="center"/>
    </xf>
    <xf numFmtId="0" fontId="9" fillId="5" borderId="1" xfId="0" applyFont="1" applyFill="1" applyBorder="1" applyAlignment="1">
      <alignment horizontal="center" vertical="center"/>
    </xf>
    <xf numFmtId="188" fontId="10" fillId="5" borderId="3" xfId="1" applyNumberFormat="1" applyFont="1" applyFill="1" applyBorder="1" applyAlignment="1">
      <alignment horizontal="center" vertical="center"/>
    </xf>
    <xf numFmtId="188" fontId="10" fillId="5" borderId="31" xfId="1" applyNumberFormat="1" applyFont="1" applyFill="1" applyBorder="1" applyAlignment="1">
      <alignment horizontal="center" vertical="center"/>
    </xf>
    <xf numFmtId="188" fontId="10" fillId="5" borderId="32" xfId="1" applyNumberFormat="1" applyFont="1" applyFill="1" applyBorder="1" applyAlignment="1">
      <alignment horizontal="center" vertical="center"/>
    </xf>
    <xf numFmtId="9" fontId="10" fillId="5" borderId="3" xfId="2" applyFont="1" applyFill="1" applyBorder="1" applyAlignment="1">
      <alignment horizontal="center" vertical="center"/>
    </xf>
    <xf numFmtId="9" fontId="10" fillId="5" borderId="31" xfId="2" applyFont="1" applyFill="1" applyBorder="1" applyAlignment="1">
      <alignment horizontal="center" vertical="center"/>
    </xf>
    <xf numFmtId="9" fontId="10" fillId="5" borderId="32" xfId="2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177" fontId="0" fillId="0" borderId="14" xfId="0" applyNumberForma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177" fontId="0" fillId="0" borderId="32" xfId="0" applyNumberForma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9" fontId="10" fillId="6" borderId="7" xfId="2" applyFont="1" applyFill="1" applyBorder="1" applyAlignment="1">
      <alignment horizontal="center" vertical="center"/>
    </xf>
    <xf numFmtId="9" fontId="10" fillId="6" borderId="38" xfId="2" applyFont="1" applyFill="1" applyBorder="1" applyAlignment="1">
      <alignment horizontal="center" vertical="center"/>
    </xf>
    <xf numFmtId="9" fontId="10" fillId="6" borderId="39" xfId="2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177" fontId="0" fillId="0" borderId="15" xfId="0" applyNumberFormat="1" applyFill="1" applyBorder="1" applyAlignment="1">
      <alignment horizontal="center" vertical="center"/>
    </xf>
    <xf numFmtId="177" fontId="0" fillId="0" borderId="38" xfId="0" applyNumberFormat="1" applyFill="1" applyBorder="1" applyAlignment="1">
      <alignment horizontal="center" vertical="center"/>
    </xf>
    <xf numFmtId="177" fontId="0" fillId="0" borderId="8" xfId="0" applyNumberFormat="1" applyFill="1" applyBorder="1" applyAlignment="1">
      <alignment horizontal="center" vertical="center"/>
    </xf>
    <xf numFmtId="0" fontId="9" fillId="7" borderId="36" xfId="0" applyFont="1" applyFill="1" applyBorder="1" applyAlignment="1">
      <alignment vertical="center"/>
    </xf>
    <xf numFmtId="0" fontId="9" fillId="7" borderId="37" xfId="0" applyFont="1" applyFill="1" applyBorder="1" applyAlignment="1">
      <alignment vertical="center"/>
    </xf>
    <xf numFmtId="0" fontId="9" fillId="8" borderId="40" xfId="0" applyFont="1" applyFill="1" applyBorder="1" applyAlignment="1">
      <alignment horizontal="center" vertical="center"/>
    </xf>
    <xf numFmtId="0" fontId="9" fillId="8" borderId="41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10" fillId="8" borderId="43" xfId="0" applyFont="1" applyFill="1" applyBorder="1" applyAlignment="1">
      <alignment horizontal="center" vertical="center"/>
    </xf>
    <xf numFmtId="0" fontId="10" fillId="8" borderId="4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38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7" fontId="9" fillId="0" borderId="28" xfId="0" applyNumberFormat="1" applyFont="1" applyBorder="1" applyAlignment="1">
      <alignment horizontal="center" vertical="center"/>
    </xf>
    <xf numFmtId="177" fontId="9" fillId="0" borderId="27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0" fontId="9" fillId="0" borderId="26" xfId="0" applyFont="1" applyBorder="1" applyAlignment="1">
      <alignment horizontal="right" vertical="center"/>
    </xf>
    <xf numFmtId="0" fontId="9" fillId="0" borderId="27" xfId="0" applyFont="1" applyBorder="1" applyAlignment="1">
      <alignment horizontal="left" vertical="center"/>
    </xf>
    <xf numFmtId="177" fontId="9" fillId="0" borderId="13" xfId="0" applyNumberFormat="1" applyFont="1" applyBorder="1" applyAlignment="1">
      <alignment horizontal="center" vertical="center"/>
    </xf>
    <xf numFmtId="177" fontId="9" fillId="0" borderId="21" xfId="0" applyNumberFormat="1" applyFont="1" applyBorder="1" applyAlignment="1">
      <alignment horizontal="center" vertical="center"/>
    </xf>
    <xf numFmtId="0" fontId="0" fillId="9" borderId="39" xfId="0" applyFill="1" applyBorder="1" applyAlignment="1">
      <alignment horizontal="center" vertical="center"/>
    </xf>
    <xf numFmtId="177" fontId="0" fillId="9" borderId="15" xfId="0" applyNumberFormat="1" applyFill="1" applyBorder="1" applyAlignment="1">
      <alignment horizontal="center" vertical="center"/>
    </xf>
    <xf numFmtId="177" fontId="0" fillId="9" borderId="38" xfId="0" applyNumberFormat="1" applyFill="1" applyBorder="1" applyAlignment="1">
      <alignment horizontal="center" vertical="center"/>
    </xf>
    <xf numFmtId="177" fontId="0" fillId="9" borderId="8" xfId="0" applyNumberFormat="1" applyFill="1" applyBorder="1" applyAlignment="1">
      <alignment horizontal="center" vertical="center"/>
    </xf>
    <xf numFmtId="177" fontId="0" fillId="0" borderId="39" xfId="0" applyNumberFormat="1" applyBorder="1" applyAlignment="1">
      <alignment horizontal="center" vertical="center"/>
    </xf>
    <xf numFmtId="0" fontId="0" fillId="10" borderId="39" xfId="0" applyFill="1" applyBorder="1" applyAlignment="1">
      <alignment horizontal="center" vertical="center"/>
    </xf>
    <xf numFmtId="177" fontId="0" fillId="10" borderId="15" xfId="0" applyNumberFormat="1" applyFill="1" applyBorder="1" applyAlignment="1">
      <alignment horizontal="center" vertical="center"/>
    </xf>
    <xf numFmtId="177" fontId="0" fillId="10" borderId="7" xfId="0" applyNumberFormat="1" applyFill="1" applyBorder="1" applyAlignment="1">
      <alignment horizontal="center" vertical="center"/>
    </xf>
    <xf numFmtId="177" fontId="0" fillId="10" borderId="39" xfId="0" applyNumberFormat="1" applyFill="1" applyBorder="1" applyAlignment="1">
      <alignment horizontal="center" vertical="center"/>
    </xf>
    <xf numFmtId="189" fontId="10" fillId="6" borderId="38" xfId="2" applyNumberFormat="1" applyFont="1" applyFill="1" applyBorder="1" applyAlignment="1">
      <alignment horizontal="center" vertical="center"/>
    </xf>
    <xf numFmtId="189" fontId="10" fillId="6" borderId="39" xfId="2" applyNumberFormat="1" applyFont="1" applyFill="1" applyBorder="1" applyAlignment="1">
      <alignment horizontal="center" vertical="center"/>
    </xf>
    <xf numFmtId="0" fontId="0" fillId="11" borderId="39" xfId="0" applyFill="1" applyBorder="1" applyAlignment="1">
      <alignment horizontal="center" vertical="center"/>
    </xf>
    <xf numFmtId="177" fontId="0" fillId="11" borderId="15" xfId="0" applyNumberFormat="1" applyFill="1" applyBorder="1" applyAlignment="1">
      <alignment horizontal="center" vertical="center"/>
    </xf>
    <xf numFmtId="177" fontId="0" fillId="11" borderId="38" xfId="0" applyNumberFormat="1" applyFill="1" applyBorder="1" applyAlignment="1">
      <alignment horizontal="center" vertical="center"/>
    </xf>
    <xf numFmtId="177" fontId="0" fillId="11" borderId="8" xfId="0" applyNumberFormat="1" applyFill="1" applyBorder="1" applyAlignment="1">
      <alignment horizontal="center" vertical="center"/>
    </xf>
    <xf numFmtId="0" fontId="9" fillId="7" borderId="47" xfId="0" applyFont="1" applyFill="1" applyBorder="1" applyAlignment="1">
      <alignment vertical="center"/>
    </xf>
    <xf numFmtId="0" fontId="9" fillId="7" borderId="44" xfId="0" applyFont="1" applyFill="1" applyBorder="1" applyAlignment="1">
      <alignment vertical="center"/>
    </xf>
    <xf numFmtId="0" fontId="9" fillId="9" borderId="40" xfId="0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center" vertical="center"/>
    </xf>
    <xf numFmtId="9" fontId="10" fillId="9" borderId="42" xfId="2" applyFont="1" applyFill="1" applyBorder="1" applyAlignment="1">
      <alignment horizontal="center" vertical="center"/>
    </xf>
    <xf numFmtId="9" fontId="10" fillId="9" borderId="43" xfId="2" applyFont="1" applyFill="1" applyBorder="1" applyAlignment="1">
      <alignment horizontal="center" vertical="center"/>
    </xf>
    <xf numFmtId="9" fontId="10" fillId="9" borderId="44" xfId="2" applyFont="1" applyFill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77" fontId="0" fillId="11" borderId="7" xfId="0" applyNumberFormat="1" applyFill="1" applyBorder="1" applyAlignment="1">
      <alignment horizontal="center" vertical="center"/>
    </xf>
    <xf numFmtId="177" fontId="0" fillId="11" borderId="39" xfId="0" applyNumberForma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9" fontId="10" fillId="11" borderId="3" xfId="2" applyFont="1" applyFill="1" applyBorder="1" applyAlignment="1">
      <alignment horizontal="center" vertical="center"/>
    </xf>
    <xf numFmtId="9" fontId="10" fillId="11" borderId="31" xfId="2" applyFont="1" applyFill="1" applyBorder="1" applyAlignment="1">
      <alignment horizontal="center" vertical="center"/>
    </xf>
    <xf numFmtId="9" fontId="10" fillId="11" borderId="32" xfId="2" applyFont="1" applyFill="1" applyBorder="1" applyAlignment="1">
      <alignment horizontal="center" vertical="center"/>
    </xf>
    <xf numFmtId="9" fontId="10" fillId="0" borderId="0" xfId="2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9" fontId="10" fillId="12" borderId="7" xfId="2" applyFont="1" applyFill="1" applyBorder="1" applyAlignment="1">
      <alignment horizontal="center" vertical="center"/>
    </xf>
    <xf numFmtId="9" fontId="10" fillId="12" borderId="38" xfId="2" applyNumberFormat="1" applyFont="1" applyFill="1" applyBorder="1" applyAlignment="1">
      <alignment horizontal="center" vertical="center"/>
    </xf>
    <xf numFmtId="9" fontId="10" fillId="12" borderId="39" xfId="2" applyNumberFormat="1" applyFont="1" applyFill="1" applyBorder="1" applyAlignment="1">
      <alignment horizontal="center" vertical="center"/>
    </xf>
    <xf numFmtId="9" fontId="10" fillId="0" borderId="0" xfId="2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177" fontId="0" fillId="10" borderId="38" xfId="0" applyNumberFormat="1" applyFill="1" applyBorder="1" applyAlignment="1">
      <alignment horizontal="center" vertical="center"/>
    </xf>
    <xf numFmtId="177" fontId="0" fillId="10" borderId="8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90" fontId="0" fillId="0" borderId="0" xfId="0" applyNumberFormat="1">
      <alignment vertical="center"/>
    </xf>
    <xf numFmtId="0" fontId="0" fillId="10" borderId="5" xfId="0" applyFill="1" applyBorder="1" applyAlignment="1">
      <alignment horizontal="center" vertical="center"/>
    </xf>
    <xf numFmtId="0" fontId="10" fillId="5" borderId="3" xfId="1" applyNumberFormat="1" applyFont="1" applyFill="1" applyBorder="1" applyAlignment="1">
      <alignment horizontal="center" vertical="center"/>
    </xf>
    <xf numFmtId="0" fontId="10" fillId="5" borderId="31" xfId="2" applyNumberFormat="1" applyFont="1" applyFill="1" applyBorder="1" applyAlignment="1">
      <alignment horizontal="center" vertical="center"/>
    </xf>
    <xf numFmtId="0" fontId="10" fillId="5" borderId="32" xfId="2" applyNumberFormat="1" applyFont="1" applyFill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38" xfId="0" applyNumberFormat="1" applyFont="1" applyBorder="1" applyAlignment="1">
      <alignment horizontal="center" vertical="center"/>
    </xf>
    <xf numFmtId="177" fontId="11" fillId="0" borderId="8" xfId="0" applyNumberFormat="1" applyFont="1" applyBorder="1" applyAlignment="1">
      <alignment horizontal="center" vertical="center"/>
    </xf>
    <xf numFmtId="9" fontId="10" fillId="6" borderId="38" xfId="2" applyNumberFormat="1" applyFont="1" applyFill="1" applyBorder="1" applyAlignment="1">
      <alignment horizontal="center" vertical="center"/>
    </xf>
    <xf numFmtId="9" fontId="10" fillId="6" borderId="39" xfId="2" applyNumberFormat="1" applyFont="1" applyFill="1" applyBorder="1" applyAlignment="1">
      <alignment horizontal="center" vertical="center"/>
    </xf>
    <xf numFmtId="9" fontId="10" fillId="8" borderId="42" xfId="2" applyFont="1" applyFill="1" applyBorder="1" applyAlignment="1">
      <alignment horizontal="center" vertical="center"/>
    </xf>
    <xf numFmtId="9" fontId="10" fillId="8" borderId="43" xfId="2" applyFont="1" applyFill="1" applyBorder="1" applyAlignment="1">
      <alignment horizontal="center" vertical="center"/>
    </xf>
    <xf numFmtId="9" fontId="10" fillId="8" borderId="44" xfId="2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9" fontId="9" fillId="0" borderId="13" xfId="0" applyNumberFormat="1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7" fontId="0" fillId="0" borderId="18" xfId="0" applyNumberFormat="1" applyFill="1" applyBorder="1" applyAlignment="1">
      <alignment horizontal="center" vertical="center"/>
    </xf>
    <xf numFmtId="177" fontId="0" fillId="0" borderId="33" xfId="0" applyNumberFormat="1" applyFill="1" applyBorder="1" applyAlignment="1">
      <alignment horizontal="center" vertical="center"/>
    </xf>
    <xf numFmtId="177" fontId="0" fillId="0" borderId="35" xfId="0" applyNumberFormat="1" applyFill="1" applyBorder="1" applyAlignment="1">
      <alignment horizontal="center" vertical="center"/>
    </xf>
    <xf numFmtId="0" fontId="10" fillId="5" borderId="3" xfId="2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177" fontId="0" fillId="0" borderId="16" xfId="0" applyNumberFormat="1" applyFill="1" applyBorder="1" applyAlignment="1">
      <alignment horizontal="center" vertical="center"/>
    </xf>
    <xf numFmtId="177" fontId="0" fillId="0" borderId="50" xfId="0" applyNumberFormat="1" applyFill="1" applyBorder="1" applyAlignment="1">
      <alignment horizontal="center" vertical="center"/>
    </xf>
    <xf numFmtId="177" fontId="0" fillId="0" borderId="12" xfId="0" applyNumberForma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5" borderId="3" xfId="2" applyNumberFormat="1" applyFont="1" applyFill="1" applyBorder="1" applyAlignment="1">
      <alignment horizontal="center" vertical="center"/>
    </xf>
    <xf numFmtId="0" fontId="13" fillId="5" borderId="31" xfId="2" applyNumberFormat="1" applyFont="1" applyFill="1" applyBorder="1" applyAlignment="1">
      <alignment horizontal="center" vertical="center"/>
    </xf>
    <xf numFmtId="0" fontId="13" fillId="5" borderId="32" xfId="2" applyNumberFormat="1" applyFont="1" applyFill="1" applyBorder="1" applyAlignment="1">
      <alignment horizontal="center" vertical="center"/>
    </xf>
    <xf numFmtId="0" fontId="10" fillId="12" borderId="7" xfId="2" applyNumberFormat="1" applyFont="1" applyFill="1" applyBorder="1" applyAlignment="1">
      <alignment horizontal="center" vertical="center"/>
    </xf>
    <xf numFmtId="0" fontId="10" fillId="12" borderId="38" xfId="2" applyNumberFormat="1" applyFont="1" applyFill="1" applyBorder="1" applyAlignment="1">
      <alignment horizontal="center" vertical="center"/>
    </xf>
    <xf numFmtId="0" fontId="10" fillId="12" borderId="39" xfId="2" applyNumberFormat="1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13" fillId="11" borderId="3" xfId="2" applyNumberFormat="1" applyFont="1" applyFill="1" applyBorder="1" applyAlignment="1">
      <alignment horizontal="center" vertical="center"/>
    </xf>
    <xf numFmtId="0" fontId="13" fillId="11" borderId="31" xfId="2" applyNumberFormat="1" applyFont="1" applyFill="1" applyBorder="1" applyAlignment="1">
      <alignment horizontal="center" vertical="center"/>
    </xf>
    <xf numFmtId="0" fontId="13" fillId="11" borderId="32" xfId="2" applyNumberFormat="1" applyFont="1" applyFill="1" applyBorder="1" applyAlignment="1">
      <alignment horizontal="center" vertical="center"/>
    </xf>
    <xf numFmtId="9" fontId="10" fillId="12" borderId="38" xfId="2" applyFont="1" applyFill="1" applyBorder="1" applyAlignment="1">
      <alignment horizontal="center" vertical="center"/>
    </xf>
    <xf numFmtId="9" fontId="10" fillId="12" borderId="39" xfId="2" applyFont="1" applyFill="1" applyBorder="1" applyAlignment="1">
      <alignment horizontal="center" vertical="center"/>
    </xf>
    <xf numFmtId="189" fontId="10" fillId="8" borderId="44" xfId="2" applyNumberFormat="1" applyFont="1" applyFill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46" xfId="0" applyNumberFormat="1" applyBorder="1" applyAlignment="1">
      <alignment horizontal="center" vertical="center"/>
    </xf>
    <xf numFmtId="0" fontId="10" fillId="11" borderId="3" xfId="2" applyNumberFormat="1" applyFont="1" applyFill="1" applyBorder="1" applyAlignment="1">
      <alignment horizontal="center" vertical="center"/>
    </xf>
    <xf numFmtId="0" fontId="10" fillId="11" borderId="31" xfId="2" applyNumberFormat="1" applyFont="1" applyFill="1" applyBorder="1" applyAlignment="1">
      <alignment horizontal="center" vertical="center"/>
    </xf>
    <xf numFmtId="0" fontId="10" fillId="11" borderId="32" xfId="2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177" fontId="9" fillId="0" borderId="0" xfId="0" applyNumberFormat="1" applyFont="1" applyBorder="1" applyAlignment="1">
      <alignment horizontal="center" vertical="center"/>
    </xf>
    <xf numFmtId="9" fontId="13" fillId="5" borderId="3" xfId="2" applyFont="1" applyFill="1" applyBorder="1" applyAlignment="1">
      <alignment horizontal="center" vertical="center"/>
    </xf>
    <xf numFmtId="9" fontId="13" fillId="5" borderId="31" xfId="2" applyFont="1" applyFill="1" applyBorder="1" applyAlignment="1">
      <alignment horizontal="center" vertical="center"/>
    </xf>
    <xf numFmtId="9" fontId="13" fillId="5" borderId="32" xfId="2" applyFont="1" applyFill="1" applyBorder="1" applyAlignment="1">
      <alignment horizontal="center" vertical="center"/>
    </xf>
    <xf numFmtId="9" fontId="10" fillId="9" borderId="44" xfId="2" applyNumberFormat="1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13" fillId="12" borderId="7" xfId="2" applyNumberFormat="1" applyFont="1" applyFill="1" applyBorder="1" applyAlignment="1">
      <alignment horizontal="center" vertical="center"/>
    </xf>
    <xf numFmtId="0" fontId="13" fillId="12" borderId="38" xfId="2" applyNumberFormat="1" applyFont="1" applyFill="1" applyBorder="1" applyAlignment="1">
      <alignment horizontal="center" vertical="center"/>
    </xf>
    <xf numFmtId="0" fontId="13" fillId="12" borderId="39" xfId="2" applyNumberFormat="1" applyFont="1" applyFill="1" applyBorder="1" applyAlignment="1">
      <alignment horizontal="center" vertical="center"/>
    </xf>
    <xf numFmtId="9" fontId="10" fillId="8" borderId="44" xfId="2" applyNumberFormat="1" applyFont="1" applyFill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10" fillId="8" borderId="42" xfId="2" applyNumberFormat="1" applyFont="1" applyFill="1" applyBorder="1" applyAlignment="1">
      <alignment horizontal="center" vertical="center"/>
    </xf>
    <xf numFmtId="0" fontId="10" fillId="8" borderId="43" xfId="2" applyNumberFormat="1" applyFont="1" applyFill="1" applyBorder="1" applyAlignment="1">
      <alignment horizontal="center" vertical="center"/>
    </xf>
    <xf numFmtId="0" fontId="10" fillId="8" borderId="44" xfId="2" applyNumberFormat="1" applyFont="1" applyFill="1" applyBorder="1" applyAlignment="1">
      <alignment horizontal="center" vertical="center"/>
    </xf>
    <xf numFmtId="9" fontId="9" fillId="4" borderId="28" xfId="2" applyFont="1" applyFill="1" applyBorder="1" applyAlignment="1">
      <alignment horizontal="center" vertical="center"/>
    </xf>
    <xf numFmtId="9" fontId="9" fillId="4" borderId="21" xfId="2" applyFont="1" applyFill="1" applyBorder="1" applyAlignment="1">
      <alignment horizontal="center" vertical="center"/>
    </xf>
    <xf numFmtId="9" fontId="9" fillId="4" borderId="27" xfId="2" applyFont="1" applyFill="1" applyBorder="1" applyAlignment="1">
      <alignment horizontal="center" vertical="center"/>
    </xf>
    <xf numFmtId="0" fontId="10" fillId="9" borderId="42" xfId="2" applyNumberFormat="1" applyFont="1" applyFill="1" applyBorder="1" applyAlignment="1">
      <alignment horizontal="center" vertical="center"/>
    </xf>
    <xf numFmtId="0" fontId="10" fillId="9" borderId="43" xfId="2" applyNumberFormat="1" applyFont="1" applyFill="1" applyBorder="1" applyAlignment="1">
      <alignment horizontal="center" vertical="center"/>
    </xf>
    <xf numFmtId="0" fontId="10" fillId="9" borderId="44" xfId="2" applyNumberFormat="1" applyFont="1" applyFill="1" applyBorder="1" applyAlignment="1">
      <alignment horizontal="center" vertical="center"/>
    </xf>
    <xf numFmtId="9" fontId="13" fillId="5" borderId="3" xfId="2" applyNumberFormat="1" applyFont="1" applyFill="1" applyBorder="1" applyAlignment="1">
      <alignment horizontal="center" vertical="center"/>
    </xf>
    <xf numFmtId="9" fontId="13" fillId="5" borderId="31" xfId="2" applyNumberFormat="1" applyFont="1" applyFill="1" applyBorder="1" applyAlignment="1">
      <alignment horizontal="center" vertical="center"/>
    </xf>
    <xf numFmtId="9" fontId="13" fillId="5" borderId="32" xfId="2" applyNumberFormat="1" applyFont="1" applyFill="1" applyBorder="1" applyAlignment="1">
      <alignment horizontal="center" vertical="center"/>
    </xf>
    <xf numFmtId="9" fontId="2" fillId="2" borderId="1" xfId="2" applyFont="1" applyFill="1" applyBorder="1" applyAlignment="1">
      <alignment horizontal="right"/>
    </xf>
    <xf numFmtId="9" fontId="2" fillId="2" borderId="9" xfId="2" applyFont="1" applyFill="1" applyBorder="1" applyAlignment="1">
      <alignment horizontal="right"/>
    </xf>
    <xf numFmtId="2" fontId="2" fillId="0" borderId="0" xfId="3" applyNumberFormat="1"/>
    <xf numFmtId="0" fontId="2" fillId="0" borderId="0" xfId="3" applyAlignment="1">
      <alignment horizontal="center"/>
    </xf>
    <xf numFmtId="0" fontId="9" fillId="2" borderId="17" xfId="3" applyFont="1" applyFill="1" applyBorder="1" applyAlignment="1">
      <alignment horizontal="center"/>
    </xf>
    <xf numFmtId="0" fontId="2" fillId="5" borderId="13" xfId="3" applyFill="1" applyBorder="1" applyAlignment="1">
      <alignment horizontal="right"/>
    </xf>
    <xf numFmtId="0" fontId="2" fillId="5" borderId="22" xfId="3" applyFill="1" applyBorder="1"/>
    <xf numFmtId="0" fontId="2" fillId="5" borderId="20" xfId="3" applyFill="1" applyBorder="1" applyAlignment="1">
      <alignment horizontal="right"/>
    </xf>
    <xf numFmtId="0" fontId="9" fillId="5" borderId="13" xfId="3" applyFont="1" applyFill="1" applyBorder="1" applyAlignment="1">
      <alignment horizontal="center"/>
    </xf>
    <xf numFmtId="176" fontId="2" fillId="0" borderId="2" xfId="3" applyNumberFormat="1" applyBorder="1" applyAlignment="1">
      <alignment horizontal="left"/>
    </xf>
    <xf numFmtId="176" fontId="2" fillId="0" borderId="3" xfId="3" applyNumberFormat="1" applyBorder="1" applyAlignment="1">
      <alignment horizontal="left"/>
    </xf>
    <xf numFmtId="176" fontId="2" fillId="0" borderId="10" xfId="3" applyNumberFormat="1" applyBorder="1" applyAlignment="1">
      <alignment horizontal="left"/>
    </xf>
    <xf numFmtId="176" fontId="2" fillId="0" borderId="11" xfId="3" applyNumberFormat="1" applyBorder="1" applyAlignment="1">
      <alignment horizontal="left"/>
    </xf>
    <xf numFmtId="0" fontId="2" fillId="0" borderId="0" xfId="3" applyAlignment="1">
      <alignment horizontal="center" wrapText="1"/>
    </xf>
    <xf numFmtId="0" fontId="2" fillId="0" borderId="0" xfId="3" applyAlignment="1">
      <alignment horizont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50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46" xfId="0" applyNumberFormat="1" applyBorder="1" applyAlignment="1">
      <alignment horizontal="center" vertical="center"/>
    </xf>
    <xf numFmtId="177" fontId="0" fillId="0" borderId="39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48" xfId="0" applyNumberFormat="1" applyBorder="1" applyAlignment="1">
      <alignment horizontal="center" vertical="center"/>
    </xf>
    <xf numFmtId="177" fontId="0" fillId="0" borderId="49" xfId="0" applyNumberForma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38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백분율" xfId="2" builtinId="5"/>
    <cellStyle name="백분율 2" xfId="4"/>
    <cellStyle name="쉼표 [0]" xfId="1" builtinId="6"/>
    <cellStyle name="표준" xfId="0" builtinId="0"/>
    <cellStyle name="표준 2" xf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7"/>
  <sheetViews>
    <sheetView tabSelected="1" workbookViewId="0">
      <selection activeCell="B11" sqref="B11"/>
    </sheetView>
  </sheetViews>
  <sheetFormatPr defaultRowHeight="16.5"/>
  <cols>
    <col min="1" max="1" width="5.625" style="1" customWidth="1"/>
    <col min="2" max="2" width="11.625" style="1" customWidth="1"/>
    <col min="3" max="3" width="12.125" style="1" customWidth="1"/>
    <col min="4" max="4" width="12.5" style="1" hidden="1" customWidth="1"/>
    <col min="5" max="5" width="10.375" style="1" hidden="1" customWidth="1"/>
    <col min="6" max="7" width="9" style="1" customWidth="1"/>
    <col min="8" max="9" width="12.125" style="2" customWidth="1"/>
    <col min="10" max="10" width="9" style="1" customWidth="1"/>
    <col min="11" max="11" width="9" style="1"/>
    <col min="12" max="13" width="11.875" style="1" customWidth="1"/>
    <col min="14" max="14" width="9" style="1" hidden="1" customWidth="1"/>
    <col min="15" max="15" width="13.125" style="1" hidden="1" customWidth="1"/>
    <col min="16" max="16" width="11.125" style="1" customWidth="1"/>
    <col min="17" max="17" width="9" style="1" hidden="1" customWidth="1"/>
    <col min="18" max="18" width="13.125" style="1" hidden="1" customWidth="1"/>
    <col min="19" max="19" width="11.125" style="1" customWidth="1"/>
    <col min="20" max="20" width="14.75" style="1" customWidth="1"/>
    <col min="21" max="21" width="13" style="1" bestFit="1" customWidth="1"/>
    <col min="22" max="23" width="9" style="1" customWidth="1"/>
    <col min="24" max="24" width="9" style="1"/>
    <col min="25" max="25" width="11" style="1" bestFit="1" customWidth="1"/>
    <col min="26" max="26" width="9" style="1"/>
    <col min="27" max="28" width="9" style="1" hidden="1" customWidth="1"/>
    <col min="29" max="29" width="9" style="1" customWidth="1"/>
    <col min="30" max="16384" width="9" style="1"/>
  </cols>
  <sheetData>
    <row r="1" spans="2:29" ht="5.0999999999999996" customHeight="1" thickBot="1"/>
    <row r="2" spans="2:29" ht="17.25" thickBot="1">
      <c r="B2" s="1" t="s">
        <v>380</v>
      </c>
      <c r="C2" s="3">
        <v>600</v>
      </c>
      <c r="H2" s="240" t="s">
        <v>379</v>
      </c>
      <c r="I2" s="241"/>
      <c r="J2" s="4">
        <f>U37</f>
        <v>0.8696717328429967</v>
      </c>
      <c r="L2" s="1" t="s">
        <v>378</v>
      </c>
      <c r="M2" s="5">
        <f>U12/T26</f>
        <v>0.81915180092812501</v>
      </c>
      <c r="V2" s="1" t="s">
        <v>377</v>
      </c>
      <c r="W2" s="1" t="s">
        <v>376</v>
      </c>
      <c r="X2" s="1" t="s">
        <v>375</v>
      </c>
      <c r="Y2" s="1" t="s">
        <v>374</v>
      </c>
    </row>
    <row r="3" spans="2:29">
      <c r="B3" s="1" t="s">
        <v>373</v>
      </c>
      <c r="C3" s="6">
        <v>1800</v>
      </c>
      <c r="H3" s="7" t="s">
        <v>372</v>
      </c>
      <c r="I3" s="8"/>
      <c r="J3" s="9">
        <f>300/Y37</f>
        <v>26.294655586348082</v>
      </c>
      <c r="L3" s="1" t="s">
        <v>371</v>
      </c>
      <c r="M3" s="5">
        <f>IF(T26&gt;(U12+U13),U13,T26-U12)/T26</f>
        <v>0.18084819907187499</v>
      </c>
      <c r="T3" s="1" t="s">
        <v>370</v>
      </c>
      <c r="U3" s="10" t="s">
        <v>0</v>
      </c>
      <c r="V3" s="11">
        <f>IF($U$3="속행x",0,IF(U3="천상의연주",$V$7,VLOOKUP(U3,$C$21:$M$35,11,FALSE)))</f>
        <v>0</v>
      </c>
      <c r="W3" s="11">
        <f>IF(U3="천상의연주",$I$26,VLOOKUP(U3,$C$21:$L$35,7,FALSE))</f>
        <v>0</v>
      </c>
      <c r="X3" s="1">
        <v>0.16</v>
      </c>
      <c r="Y3" s="231">
        <v>0.1</v>
      </c>
    </row>
    <row r="4" spans="2:29" ht="17.25" thickBot="1">
      <c r="B4" s="1" t="s">
        <v>369</v>
      </c>
      <c r="C4" s="13">
        <v>0</v>
      </c>
      <c r="D4" s="1">
        <f>IF(C4=4,0.16,IF(C4=3,0.13,IF(C4=2,0.1,IF(C4=1,0.07,0))))+0.09</f>
        <v>0.09</v>
      </c>
      <c r="H4" s="242" t="s">
        <v>368</v>
      </c>
      <c r="I4" s="243"/>
      <c r="J4" s="14">
        <f>(M14-1)/M14</f>
        <v>0.41274069456513363</v>
      </c>
      <c r="L4" s="1" t="s">
        <v>367</v>
      </c>
      <c r="M4" s="5">
        <f>IF(T26&gt;(U12+U13),T26-(U12+U13),0)/T26</f>
        <v>0</v>
      </c>
      <c r="N4" s="5"/>
      <c r="O4" s="5"/>
      <c r="T4" s="1" t="s">
        <v>366</v>
      </c>
      <c r="U4" s="15" t="s">
        <v>0</v>
      </c>
      <c r="V4" s="11">
        <f>IF($U$4="속행x",0,IF(U4="천상의연주",$V$7,VLOOKUP(U4,$C$21:$M$35,11,FALSE)))</f>
        <v>0</v>
      </c>
      <c r="W4" s="11">
        <f>IF(U4="천상의연주",$I$26,VLOOKUP(U4,$C$21:$L$35,7,FALSE))</f>
        <v>0</v>
      </c>
      <c r="X4" s="1">
        <v>0.12</v>
      </c>
      <c r="Y4" s="232">
        <v>0.1</v>
      </c>
    </row>
    <row r="5" spans="2:29">
      <c r="B5" s="1" t="s">
        <v>365</v>
      </c>
      <c r="C5" s="16">
        <f>IF(D5&gt;=1.4,1.4,D5)</f>
        <v>1.3990399331100234</v>
      </c>
      <c r="D5" s="17">
        <f>C3/58.2449/100+1+D4</f>
        <v>1.3990399331100234</v>
      </c>
      <c r="L5" s="1" t="s">
        <v>364</v>
      </c>
      <c r="M5" s="12">
        <v>0.08</v>
      </c>
      <c r="T5" s="18" t="s">
        <v>363</v>
      </c>
      <c r="V5" s="11"/>
      <c r="W5" s="11"/>
    </row>
    <row r="6" spans="2:29">
      <c r="B6" s="1" t="s">
        <v>362</v>
      </c>
      <c r="C6" s="16">
        <f>IF(C5+0.16&gt;=1.4,1.4,C5+0.16)</f>
        <v>1.4</v>
      </c>
      <c r="H6" s="1" t="s">
        <v>361</v>
      </c>
      <c r="I6" s="1">
        <f>1500+120+160+70</f>
        <v>1850</v>
      </c>
      <c r="L6" s="1" t="s">
        <v>360</v>
      </c>
      <c r="M6" s="19">
        <v>0.08</v>
      </c>
      <c r="N6" s="20">
        <f>1+15*(1+C2*(0.01/19.9725))/100*(1+$M$6+$M$7)</f>
        <v>1.2106669170108899</v>
      </c>
      <c r="O6" s="21"/>
      <c r="R6" s="5"/>
      <c r="T6" s="1" t="s">
        <v>359</v>
      </c>
      <c r="V6" s="11">
        <f>M26*0.85</f>
        <v>8.5606843469728258</v>
      </c>
      <c r="W6" s="11"/>
    </row>
    <row r="7" spans="2:29">
      <c r="B7" s="1" t="s">
        <v>358</v>
      </c>
      <c r="C7" s="22">
        <f>1-C3/46.5731/100</f>
        <v>0.61351080344662479</v>
      </c>
      <c r="H7" s="1" t="s">
        <v>357</v>
      </c>
      <c r="I7" s="1">
        <f>1500+160+120+72</f>
        <v>1852</v>
      </c>
      <c r="L7" s="1" t="s">
        <v>356</v>
      </c>
      <c r="M7" s="19">
        <v>0</v>
      </c>
      <c r="N7" s="20">
        <f>1+0.1*(1+$M$8+0.08+0.2)</f>
        <v>1.1280000000000001</v>
      </c>
      <c r="R7" s="5"/>
      <c r="T7" s="1" t="s">
        <v>355</v>
      </c>
      <c r="V7" s="11">
        <f>M26*0.5+(V6*0.5*C9+M26*0.5*(1-C9))</f>
        <v>10.071393349379795</v>
      </c>
    </row>
    <row r="8" spans="2:29" ht="17.25" thickBot="1">
      <c r="B8" s="1" t="s">
        <v>354</v>
      </c>
      <c r="C8" s="5">
        <f>M2</f>
        <v>0.81915180092812501</v>
      </c>
      <c r="H8" s="1" t="s">
        <v>353</v>
      </c>
      <c r="I8" s="1">
        <f>500+120+72</f>
        <v>692</v>
      </c>
      <c r="L8" s="1" t="s">
        <v>352</v>
      </c>
      <c r="M8" s="19">
        <v>0</v>
      </c>
      <c r="N8" s="20">
        <f>1+0.1*(1+$M$8+0.2+0.08)</f>
        <v>1.1280000000000001</v>
      </c>
      <c r="T8" s="1" t="s">
        <v>351</v>
      </c>
      <c r="V8" s="11">
        <f>M20*0.85</f>
        <v>36.1153870887916</v>
      </c>
    </row>
    <row r="9" spans="2:29" ht="17.25" thickBot="1">
      <c r="B9" s="1" t="s">
        <v>350</v>
      </c>
      <c r="C9" s="23">
        <v>0</v>
      </c>
      <c r="H9" s="1" t="s">
        <v>349</v>
      </c>
      <c r="I9" s="1">
        <f>500+120+70</f>
        <v>690</v>
      </c>
      <c r="L9" s="1" t="s">
        <v>348</v>
      </c>
      <c r="M9" s="24">
        <v>0</v>
      </c>
      <c r="N9" s="25">
        <f>1+1*(M9+0.2)</f>
        <v>1.2</v>
      </c>
      <c r="O9" s="5"/>
      <c r="Q9" s="5"/>
      <c r="R9" s="5"/>
      <c r="T9" s="1" t="s">
        <v>347</v>
      </c>
      <c r="V9" s="11">
        <f>M20*0.5+(V8*0.5*C9+M20*0.5*(1-C9))</f>
        <v>42.488690692696004</v>
      </c>
    </row>
    <row r="10" spans="2:29" ht="16.5" customHeight="1">
      <c r="B10" s="18" t="s">
        <v>381</v>
      </c>
      <c r="L10" s="1" t="s">
        <v>346</v>
      </c>
      <c r="M10" s="2">
        <f>(M2*(1+1*0.15*(1.4304+$M$5))*1.06)+(M3*M13*(1+1*0.15*(1.4304+$M$5))*1.06)+M3*(1-M13)+M4</f>
        <v>1.3001536000000002</v>
      </c>
      <c r="N10" s="20"/>
      <c r="O10" s="244" t="s">
        <v>345</v>
      </c>
      <c r="T10" s="18" t="s">
        <v>344</v>
      </c>
    </row>
    <row r="11" spans="2:29" ht="17.25" thickBot="1">
      <c r="B11" s="18" t="s">
        <v>343</v>
      </c>
      <c r="L11" s="1" t="s">
        <v>342</v>
      </c>
      <c r="M11" s="2">
        <f>U14/J3*N6+(J3-U14)/J3</f>
        <v>1.1301913763496612</v>
      </c>
      <c r="N11" s="20"/>
      <c r="O11" s="245"/>
      <c r="Q11" s="20"/>
      <c r="R11" s="17"/>
      <c r="U11" s="1" t="s">
        <v>341</v>
      </c>
      <c r="V11" s="1" t="s">
        <v>340</v>
      </c>
    </row>
    <row r="12" spans="2:29" ht="17.25" thickBot="1">
      <c r="B12" s="18" t="s">
        <v>339</v>
      </c>
      <c r="L12" s="1" t="s">
        <v>338</v>
      </c>
      <c r="M12" s="2">
        <f>U15/T20*N12+(T20-U15)/T20</f>
        <v>1.0358919038251784</v>
      </c>
      <c r="N12" s="20">
        <f>1+0.1*(1+$M$7)</f>
        <v>1.1000000000000001</v>
      </c>
      <c r="O12" s="11">
        <f>((U14/J3*N6)+(J3-U14)/J3)/2+((U14/J3*(N6+N12-1))+(J3-U14)/J3)/2</f>
        <v>1.1610911916118105</v>
      </c>
      <c r="T12" s="234" t="s">
        <v>337</v>
      </c>
      <c r="U12" s="26">
        <v>8.25</v>
      </c>
      <c r="V12" s="27" t="s">
        <v>336</v>
      </c>
    </row>
    <row r="13" spans="2:29" ht="17.25" thickBot="1">
      <c r="B13" s="18" t="s">
        <v>335</v>
      </c>
      <c r="L13" s="28" t="s">
        <v>334</v>
      </c>
      <c r="M13" s="23">
        <v>1</v>
      </c>
      <c r="O13" s="5"/>
      <c r="P13" s="5"/>
      <c r="T13" s="234" t="s">
        <v>333</v>
      </c>
      <c r="U13" s="29">
        <v>6</v>
      </c>
      <c r="V13" s="30" t="s">
        <v>332</v>
      </c>
    </row>
    <row r="14" spans="2:29">
      <c r="B14" s="18" t="s">
        <v>331</v>
      </c>
      <c r="L14" s="1" t="s">
        <v>330</v>
      </c>
      <c r="M14" s="11">
        <f>M10*O12*N8</f>
        <v>1.7028252949682909</v>
      </c>
      <c r="O14" s="31"/>
      <c r="P14" s="32"/>
      <c r="R14" s="16"/>
      <c r="T14" s="234" t="s">
        <v>329</v>
      </c>
      <c r="U14" s="29">
        <v>16.25</v>
      </c>
      <c r="V14" s="30" t="s">
        <v>328</v>
      </c>
    </row>
    <row r="15" spans="2:29" ht="17.25" thickBot="1">
      <c r="B15" s="18" t="s">
        <v>327</v>
      </c>
      <c r="L15" s="18" t="s">
        <v>326</v>
      </c>
      <c r="T15" s="234" t="s">
        <v>325</v>
      </c>
      <c r="U15" s="33">
        <v>15.25</v>
      </c>
      <c r="V15" s="30" t="s">
        <v>324</v>
      </c>
      <c r="AC15" s="233"/>
    </row>
    <row r="16" spans="2:29">
      <c r="B16" s="18" t="s">
        <v>323</v>
      </c>
      <c r="L16" s="34" t="s">
        <v>322</v>
      </c>
      <c r="O16" s="35"/>
    </row>
    <row r="17" spans="2:31">
      <c r="L17" s="34" t="s">
        <v>321</v>
      </c>
      <c r="O17" s="35"/>
    </row>
    <row r="18" spans="2:31">
      <c r="H18" s="2" t="s">
        <v>320</v>
      </c>
      <c r="I18" s="2" t="s">
        <v>319</v>
      </c>
      <c r="L18" s="18" t="s">
        <v>318</v>
      </c>
    </row>
    <row r="19" spans="2:31" ht="17.25" thickBot="1">
      <c r="B19" s="36" t="s">
        <v>317</v>
      </c>
      <c r="D19" s="1" t="s">
        <v>316</v>
      </c>
      <c r="E19" s="234" t="s">
        <v>300</v>
      </c>
      <c r="F19" s="234" t="s">
        <v>315</v>
      </c>
      <c r="G19" s="234" t="s">
        <v>314</v>
      </c>
      <c r="H19" s="37" t="s">
        <v>313</v>
      </c>
      <c r="I19" s="37" t="s">
        <v>312</v>
      </c>
      <c r="J19" s="234" t="s">
        <v>311</v>
      </c>
      <c r="K19" s="234" t="s">
        <v>310</v>
      </c>
      <c r="L19" s="234" t="s">
        <v>309</v>
      </c>
      <c r="M19" s="234" t="s">
        <v>308</v>
      </c>
      <c r="N19" s="234"/>
      <c r="O19" s="38" t="s">
        <v>307</v>
      </c>
      <c r="P19" s="38" t="s">
        <v>306</v>
      </c>
      <c r="Q19" s="234"/>
      <c r="R19" s="38" t="s">
        <v>305</v>
      </c>
      <c r="S19" s="38" t="s">
        <v>304</v>
      </c>
      <c r="T19" s="39" t="s">
        <v>303</v>
      </c>
      <c r="U19" s="234" t="s">
        <v>302</v>
      </c>
      <c r="V19" s="234" t="s">
        <v>301</v>
      </c>
      <c r="W19" s="234" t="s">
        <v>300</v>
      </c>
      <c r="X19" s="234" t="s">
        <v>299</v>
      </c>
      <c r="Y19" s="234" t="s">
        <v>298</v>
      </c>
    </row>
    <row r="20" spans="2:31" ht="17.25" thickBot="1">
      <c r="B20" s="239" t="s">
        <v>297</v>
      </c>
      <c r="C20" s="1" t="s">
        <v>296</v>
      </c>
      <c r="D20" s="1">
        <v>1.6890000000000001</v>
      </c>
      <c r="E20" s="1">
        <f t="shared" ref="E20:E36" si="0">IF(B20="",0,D20)</f>
        <v>1.6890000000000001</v>
      </c>
      <c r="F20" s="238" t="s">
        <v>262</v>
      </c>
      <c r="G20" s="237">
        <v>1.1200000000000001</v>
      </c>
      <c r="H20" s="2">
        <f>E20/1/G20/$C$6</f>
        <v>1.0771683673469388</v>
      </c>
      <c r="I20" s="2">
        <f>E20/1/G20/$C$5</f>
        <v>1.0779075554572601</v>
      </c>
      <c r="J20" s="1">
        <v>90</v>
      </c>
      <c r="K20" s="236" t="s">
        <v>263</v>
      </c>
      <c r="L20" s="2">
        <f>J20*$C$7*(1-0*0.02)*0.9</f>
        <v>49.694375079176609</v>
      </c>
      <c r="M20" s="2">
        <f t="shared" ref="M20:M34" si="1">L20*0.95*0.9</f>
        <v>42.488690692696004</v>
      </c>
      <c r="N20" s="1" t="e">
        <f t="shared" ref="N20:N34" si="2">IF(B20="",0,IF(C20=$U$3,1,IF((M20-I20)/($V$3+$W$3)&gt;1,ROUNDDOWN((M20-I20)/($V$3+$W$3),0),(M20-I20)/($V$3+$W$3))))</f>
        <v>#DIV/0!</v>
      </c>
      <c r="O20" s="40">
        <f t="shared" ref="O20:O34" si="3">IF($U$3="속행x",0,IF(N20=0,0,IF(N20&gt;=1,1-_xlfn.BINOM.DIST(0,N20,$Y$3,FALSE),$Y$3/ROUNDDOWN(($V$3+$W$3)/(D20+E20),0))))</f>
        <v>0</v>
      </c>
      <c r="P20" s="40">
        <f t="shared" ref="P20:P34" si="4">IF(B20="",0,1-(M20-IF(C20=$U$3,O20*$X$3*(M20-I20),O20*$X$3*(M20-I20-$W$3)/2))/M20)</f>
        <v>0</v>
      </c>
      <c r="Q20" s="17" t="e">
        <f t="shared" ref="Q20:Q34" si="5">IF(B20="",0,IF(C20=$U$4,1,IF((M20-I20)/($V$4+$W$4)&gt;1,ROUNDDOWN((M20-I20)/($V$4+$W$4),0),(M20-I20)/($V$4+$W$4))))</f>
        <v>#DIV/0!</v>
      </c>
      <c r="R20" s="40">
        <f t="shared" ref="R20:R34" si="6">IF($U$4="속행x",0,IF(Q20=0,0,IF(Q20&gt;=1,1-_xlfn.BINOM.DIST(0,Q20,$Y$4,FALSE),$Y$4/ROUNDDOWN(($V$4+$W$4)/(D20+E20),0))))</f>
        <v>0</v>
      </c>
      <c r="S20" s="40">
        <f t="shared" ref="S20:S34" si="7">IF(B20="",0,1-(M20-IF(C20=$U$4,R20*$X$4*(M20-I20),R20*$X$4*(M20-I20-$W$4)/2))/M20)</f>
        <v>0</v>
      </c>
      <c r="T20" s="41">
        <f>IF(B20="",0,V9*(1-P20)*(1-S20))</f>
        <v>42.488690692696004</v>
      </c>
      <c r="U20" s="42">
        <f>H20/L20*$C$8+I20/L20*(1-$C$8)</f>
        <v>2.1678551072813201E-2</v>
      </c>
      <c r="V20" s="1">
        <f>3.6</f>
        <v>3.6</v>
      </c>
      <c r="W20" s="1">
        <f t="shared" ref="W20:W36" si="8">IF(B20="",0,V20)</f>
        <v>3.6</v>
      </c>
      <c r="X20" s="236">
        <v>0</v>
      </c>
      <c r="Y20" s="11">
        <f>IF(B20="",0,(W20*(1+($C$2*0.04006-0.001)/100)*1*$N$9+X20*10)/T20)</f>
        <v>0.12611148784872106</v>
      </c>
      <c r="Z20" s="18" t="s">
        <v>295</v>
      </c>
    </row>
    <row r="21" spans="2:31">
      <c r="B21" s="235" t="s">
        <v>269</v>
      </c>
      <c r="C21" s="1" t="s">
        <v>294</v>
      </c>
      <c r="D21" s="1">
        <v>1.169</v>
      </c>
      <c r="E21" s="1">
        <f t="shared" si="0"/>
        <v>1.169</v>
      </c>
      <c r="F21" s="50">
        <v>1</v>
      </c>
      <c r="G21" s="51">
        <v>1</v>
      </c>
      <c r="H21" s="2">
        <f>E21/F21/G21/$C$6</f>
        <v>0.83500000000000008</v>
      </c>
      <c r="I21" s="2">
        <f>E21/F21/G21/$C$5</f>
        <v>0.83557300426825443</v>
      </c>
      <c r="J21" s="1">
        <v>14</v>
      </c>
      <c r="K21" s="52">
        <v>10</v>
      </c>
      <c r="L21" s="2">
        <f>J21*$C$7*(1-K21*0.02)</f>
        <v>6.8713209986021981</v>
      </c>
      <c r="M21" s="2">
        <f t="shared" si="1"/>
        <v>5.8749794538048796</v>
      </c>
      <c r="N21" s="1" t="e">
        <f t="shared" si="2"/>
        <v>#DIV/0!</v>
      </c>
      <c r="O21" s="40">
        <f t="shared" si="3"/>
        <v>0</v>
      </c>
      <c r="P21" s="40">
        <f t="shared" si="4"/>
        <v>0</v>
      </c>
      <c r="Q21" s="17" t="e">
        <f t="shared" si="5"/>
        <v>#DIV/0!</v>
      </c>
      <c r="R21" s="40">
        <f t="shared" si="6"/>
        <v>0</v>
      </c>
      <c r="S21" s="40">
        <f t="shared" si="7"/>
        <v>0</v>
      </c>
      <c r="T21" s="41">
        <f>IF(B21="",0,M21*(1-P21)*(1-S21))</f>
        <v>5.8749794538048796</v>
      </c>
      <c r="U21" s="42">
        <f>H21/L21*$C$8+I21/L21*(1-$C$8)</f>
        <v>0.12153465497534693</v>
      </c>
      <c r="V21" s="1">
        <v>7.14</v>
      </c>
      <c r="W21" s="1">
        <f t="shared" si="8"/>
        <v>7.14</v>
      </c>
      <c r="X21" s="52">
        <v>1.3</v>
      </c>
      <c r="Y21" s="11">
        <f>IF(B21="",0,(W21*(1+($C$2*0.04006-0.001)/100)*X21*$N$9)/T21)</f>
        <v>2.3515851499791203</v>
      </c>
      <c r="Z21" s="18" t="s">
        <v>293</v>
      </c>
      <c r="AB21" s="11"/>
    </row>
    <row r="22" spans="2:31">
      <c r="B22" s="43"/>
      <c r="C22" s="1" t="s">
        <v>292</v>
      </c>
      <c r="D22" s="1">
        <v>1</v>
      </c>
      <c r="E22" s="1">
        <f t="shared" si="0"/>
        <v>0</v>
      </c>
      <c r="F22" s="44">
        <v>1</v>
      </c>
      <c r="G22" s="45">
        <v>1</v>
      </c>
      <c r="H22" s="2">
        <f>_xlfn.CEILING.MATH(E22/F22/G22/$C$6,0.05)</f>
        <v>0</v>
      </c>
      <c r="I22" s="2">
        <f>_xlfn.CEILING.MATH(E22/F22/G22/$C$5,0.05)</f>
        <v>0</v>
      </c>
      <c r="J22" s="1">
        <v>16</v>
      </c>
      <c r="K22" s="6">
        <v>10</v>
      </c>
      <c r="L22" s="2">
        <f>J22*$C$7*(1-K22*0.02)</f>
        <v>7.8529382841167976</v>
      </c>
      <c r="M22" s="2">
        <f t="shared" si="1"/>
        <v>6.7142622329198618</v>
      </c>
      <c r="N22" s="1">
        <f t="shared" si="2"/>
        <v>0</v>
      </c>
      <c r="O22" s="40">
        <f t="shared" si="3"/>
        <v>0</v>
      </c>
      <c r="P22" s="40">
        <f t="shared" si="4"/>
        <v>0</v>
      </c>
      <c r="Q22" s="17">
        <f t="shared" si="5"/>
        <v>0</v>
      </c>
      <c r="R22" s="40">
        <f t="shared" si="6"/>
        <v>0</v>
      </c>
      <c r="S22" s="40">
        <f t="shared" si="7"/>
        <v>0</v>
      </c>
      <c r="T22" s="41">
        <f>IF(B22="",0,M22*(1-P22)*(1-S22))</f>
        <v>0</v>
      </c>
      <c r="U22" s="42">
        <f>H22/L22*$C$8+I22/L22*(1-$C$8)</f>
        <v>0</v>
      </c>
      <c r="V22" s="1">
        <v>11.984</v>
      </c>
      <c r="W22" s="1">
        <f t="shared" si="8"/>
        <v>0</v>
      </c>
      <c r="X22" s="6">
        <v>1</v>
      </c>
      <c r="Y22" s="11">
        <f>IF(B22="",0,(W22*(1+($C$2*0.04006-0.001)/100)*X22*$N$9)/T22)</f>
        <v>0</v>
      </c>
      <c r="Z22" s="18" t="s">
        <v>291</v>
      </c>
    </row>
    <row r="23" spans="2:31">
      <c r="B23" s="43" t="s">
        <v>278</v>
      </c>
      <c r="C23" s="1" t="s">
        <v>290</v>
      </c>
      <c r="D23" s="1">
        <v>1.5640000000000001</v>
      </c>
      <c r="E23" s="1">
        <f t="shared" si="0"/>
        <v>1.5640000000000001</v>
      </c>
      <c r="F23" s="44">
        <v>1</v>
      </c>
      <c r="G23" s="45">
        <v>1</v>
      </c>
      <c r="H23" s="2">
        <f>E23/F23/G23/$C$6</f>
        <v>1.1171428571428572</v>
      </c>
      <c r="I23" s="2">
        <f>E23/F23/G23/$C$5</f>
        <v>1.1179094770535072</v>
      </c>
      <c r="J23" s="1">
        <v>14</v>
      </c>
      <c r="K23" s="6">
        <v>10</v>
      </c>
      <c r="L23" s="2">
        <f>J23*$C$7*(1-K23*0.02)</f>
        <v>6.8713209986021981</v>
      </c>
      <c r="M23" s="2">
        <f t="shared" si="1"/>
        <v>5.8749794538048796</v>
      </c>
      <c r="N23" s="1" t="e">
        <f t="shared" si="2"/>
        <v>#DIV/0!</v>
      </c>
      <c r="O23" s="40">
        <f t="shared" si="3"/>
        <v>0</v>
      </c>
      <c r="P23" s="40">
        <f t="shared" si="4"/>
        <v>0</v>
      </c>
      <c r="Q23" s="17" t="e">
        <f t="shared" si="5"/>
        <v>#DIV/0!</v>
      </c>
      <c r="R23" s="40">
        <f t="shared" si="6"/>
        <v>0</v>
      </c>
      <c r="S23" s="40">
        <f t="shared" si="7"/>
        <v>0</v>
      </c>
      <c r="T23" s="41">
        <f>IF(B23="",0,M23*(1-P23)*(1-S23))</f>
        <v>5.8749794538048796</v>
      </c>
      <c r="U23" s="42">
        <f>H23/L23*$C$8+I23/L23*(1-$C$8)</f>
        <v>0.1626006846718927</v>
      </c>
      <c r="V23" s="1">
        <v>7.0359999999999996</v>
      </c>
      <c r="W23" s="1">
        <f t="shared" si="8"/>
        <v>7.0359999999999996</v>
      </c>
      <c r="X23" s="6">
        <v>1.3</v>
      </c>
      <c r="Y23" s="11">
        <f>IF(B23="",0,(W23*(1+($C$2*0.04006-0.001)/100)*X23*$N$9)/T23)</f>
        <v>2.3173323690830658</v>
      </c>
      <c r="AB23" s="1" t="s">
        <v>289</v>
      </c>
    </row>
    <row r="24" spans="2:31">
      <c r="B24" s="43" t="s">
        <v>278</v>
      </c>
      <c r="C24" s="1" t="s">
        <v>288</v>
      </c>
      <c r="D24" s="1">
        <v>2.1320000000000001</v>
      </c>
      <c r="E24" s="1">
        <f t="shared" si="0"/>
        <v>2.1320000000000001</v>
      </c>
      <c r="F24" s="44">
        <v>1</v>
      </c>
      <c r="G24" s="45">
        <v>1</v>
      </c>
      <c r="H24" s="2">
        <f>E24/F24/G24/$C$6</f>
        <v>1.5228571428571431</v>
      </c>
      <c r="I24" s="2">
        <f>E24/F24/G24/$C$5</f>
        <v>1.5239021771598962</v>
      </c>
      <c r="J24" s="1">
        <v>24</v>
      </c>
      <c r="K24" s="6">
        <v>10</v>
      </c>
      <c r="L24" s="2">
        <f>J24*$C$7*(1-K24*0.02)</f>
        <v>11.779407426175197</v>
      </c>
      <c r="M24" s="2">
        <f t="shared" si="1"/>
        <v>10.071393349379795</v>
      </c>
      <c r="N24" s="1" t="e">
        <f t="shared" si="2"/>
        <v>#DIV/0!</v>
      </c>
      <c r="O24" s="40">
        <f t="shared" si="3"/>
        <v>0</v>
      </c>
      <c r="P24" s="40">
        <f t="shared" si="4"/>
        <v>0</v>
      </c>
      <c r="Q24" s="17" t="e">
        <f t="shared" si="5"/>
        <v>#DIV/0!</v>
      </c>
      <c r="R24" s="40">
        <f t="shared" si="6"/>
        <v>0</v>
      </c>
      <c r="S24" s="40">
        <f t="shared" si="7"/>
        <v>0</v>
      </c>
      <c r="T24" s="41">
        <f>IF(B24="",0,M24*(1-P24)*(1-S24))</f>
        <v>10.071393349379795</v>
      </c>
      <c r="U24" s="42">
        <f>H24/L24*$C$8+I24/L24*(1-$C$8)</f>
        <v>0.12929734750870239</v>
      </c>
      <c r="V24" s="1">
        <v>2.88</v>
      </c>
      <c r="W24" s="1">
        <f t="shared" si="8"/>
        <v>2.88</v>
      </c>
      <c r="X24" s="6">
        <v>1</v>
      </c>
      <c r="Y24" s="11">
        <f>IF(B24="",0,(W24*(1+($C$2*0.04006-0.001)/100)*X24*$N$9)/T24)</f>
        <v>0.42562627148943344</v>
      </c>
      <c r="AA24" s="1" t="s">
        <v>274</v>
      </c>
      <c r="AB24" s="1">
        <f>((0.032*9)*((1+($C$2*0.04006-0.001)/100)*X25*$N$9)/T25+14/ROUNDDOWN(T25,0))</f>
        <v>1.4425626271489433</v>
      </c>
      <c r="AE24" s="16"/>
    </row>
    <row r="25" spans="2:31">
      <c r="B25" s="43" t="s">
        <v>278</v>
      </c>
      <c r="C25" s="1" t="s">
        <v>287</v>
      </c>
      <c r="D25" s="1">
        <v>1.3</v>
      </c>
      <c r="E25" s="1">
        <f t="shared" si="0"/>
        <v>1.3</v>
      </c>
      <c r="F25" s="44">
        <v>1</v>
      </c>
      <c r="G25" s="45">
        <v>1</v>
      </c>
      <c r="H25" s="2">
        <f>E25/F25/G25/$C$6</f>
        <v>0.92857142857142871</v>
      </c>
      <c r="I25" s="2">
        <f>E25/F25/G25/$C$5</f>
        <v>0.92920864460969277</v>
      </c>
      <c r="J25" s="1">
        <v>24</v>
      </c>
      <c r="K25" s="6">
        <v>10</v>
      </c>
      <c r="L25" s="2">
        <f>J25*$C$7*(1-K25*0.02)</f>
        <v>11.779407426175197</v>
      </c>
      <c r="M25" s="2">
        <f t="shared" si="1"/>
        <v>10.071393349379795</v>
      </c>
      <c r="N25" s="1" t="e">
        <f t="shared" si="2"/>
        <v>#DIV/0!</v>
      </c>
      <c r="O25" s="40">
        <f t="shared" si="3"/>
        <v>0</v>
      </c>
      <c r="P25" s="40">
        <f t="shared" si="4"/>
        <v>0</v>
      </c>
      <c r="Q25" s="17" t="e">
        <f t="shared" si="5"/>
        <v>#DIV/0!</v>
      </c>
      <c r="R25" s="40">
        <f t="shared" si="6"/>
        <v>0</v>
      </c>
      <c r="S25" s="40">
        <f t="shared" si="7"/>
        <v>0</v>
      </c>
      <c r="T25" s="41">
        <f>IF(B25="",0,M25*(1-P25)*(1-S25))</f>
        <v>10.071393349379795</v>
      </c>
      <c r="U25" s="42">
        <f>H25/L25*$C$8+I25/L25*(1-$C$8)</f>
        <v>7.8839846041891717E-2</v>
      </c>
      <c r="V25" s="1">
        <v>14.288</v>
      </c>
      <c r="W25" s="1">
        <f t="shared" si="8"/>
        <v>14.288</v>
      </c>
      <c r="X25" s="6">
        <v>1</v>
      </c>
      <c r="Y25" s="11">
        <f>IF(B25="",0,IF(T25&gt;14.899,AB24,AB25))</f>
        <v>1.0287713913685481</v>
      </c>
      <c r="Z25" s="18" t="s">
        <v>286</v>
      </c>
      <c r="AA25" s="1" t="s">
        <v>285</v>
      </c>
      <c r="AB25" s="1">
        <f>((0.032*9)*((1+($C$2*0.04006-0.001)/100)*X25*$N$9)/14.899+14/14)</f>
        <v>1.0287713913685481</v>
      </c>
      <c r="AE25" s="16"/>
    </row>
    <row r="26" spans="2:31">
      <c r="B26" s="43" t="s">
        <v>282</v>
      </c>
      <c r="C26" s="1" t="s">
        <v>284</v>
      </c>
      <c r="D26" s="1">
        <v>1.4319999999999999</v>
      </c>
      <c r="E26" s="1">
        <f t="shared" si="0"/>
        <v>1.4319999999999999</v>
      </c>
      <c r="F26" s="44">
        <v>1</v>
      </c>
      <c r="G26" s="45">
        <v>1</v>
      </c>
      <c r="I26" s="2">
        <f>E26/F26/G26/$C$5</f>
        <v>1.0235590608315999</v>
      </c>
      <c r="J26" s="1">
        <v>24</v>
      </c>
      <c r="K26" s="6">
        <v>10</v>
      </c>
      <c r="L26" s="2">
        <f>J26*$C$7*(1-K26*0.02)</f>
        <v>11.779407426175197</v>
      </c>
      <c r="M26" s="2">
        <f t="shared" si="1"/>
        <v>10.071393349379795</v>
      </c>
      <c r="N26" s="1" t="e">
        <f t="shared" si="2"/>
        <v>#DIV/0!</v>
      </c>
      <c r="O26" s="40">
        <f t="shared" si="3"/>
        <v>0</v>
      </c>
      <c r="P26" s="40">
        <f t="shared" si="4"/>
        <v>0</v>
      </c>
      <c r="Q26" s="17" t="e">
        <f t="shared" si="5"/>
        <v>#DIV/0!</v>
      </c>
      <c r="R26" s="40">
        <f t="shared" si="6"/>
        <v>0</v>
      </c>
      <c r="S26" s="40">
        <f t="shared" si="7"/>
        <v>0</v>
      </c>
      <c r="T26" s="41">
        <f>IF(B26="",0,V7*(1-P26)*(1-S26))</f>
        <v>10.071393349379795</v>
      </c>
      <c r="U26" s="42">
        <f>I26/T26</f>
        <v>0.10163033309533398</v>
      </c>
      <c r="V26" s="1">
        <v>2.4849999999999999</v>
      </c>
      <c r="W26" s="1">
        <f t="shared" si="8"/>
        <v>2.4849999999999999</v>
      </c>
      <c r="X26" s="6">
        <v>1</v>
      </c>
      <c r="Y26" s="11">
        <f t="shared" ref="Y26:Y34" si="9">IF(B26="",0,(W26*(1+($C$2*0.04006-0.001)/100)*X26*$N$9)/T26)</f>
        <v>0.36725044605945911</v>
      </c>
      <c r="Z26" s="18" t="s">
        <v>283</v>
      </c>
      <c r="AA26" s="1" t="s">
        <v>270</v>
      </c>
      <c r="AB26" s="1">
        <f>IF(B25="",0,IF(T25&gt;14.899,AB24,AB25))</f>
        <v>1.0287713913685481</v>
      </c>
      <c r="AE26" s="16"/>
    </row>
    <row r="27" spans="2:31">
      <c r="B27" s="43" t="s">
        <v>282</v>
      </c>
      <c r="C27" s="1" t="s">
        <v>281</v>
      </c>
      <c r="D27" s="1">
        <v>1.4319999999999999</v>
      </c>
      <c r="E27" s="1">
        <f t="shared" si="0"/>
        <v>1.4319999999999999</v>
      </c>
      <c r="F27" s="44">
        <v>1</v>
      </c>
      <c r="G27" s="45">
        <v>1</v>
      </c>
      <c r="H27" s="2">
        <f>E27/F27/G27/$C$6</f>
        <v>1.0228571428571429</v>
      </c>
      <c r="I27" s="2">
        <f>E27/F27/G27/$C$5</f>
        <v>1.0235590608315999</v>
      </c>
      <c r="J27" s="1">
        <v>30</v>
      </c>
      <c r="K27" s="6">
        <v>10</v>
      </c>
      <c r="L27" s="2">
        <f>J27*$C$7*(1-K27*0.02)</f>
        <v>14.724259282718997</v>
      </c>
      <c r="M27" s="2">
        <f t="shared" si="1"/>
        <v>12.589241686724742</v>
      </c>
      <c r="N27" s="1" t="e">
        <f t="shared" si="2"/>
        <v>#DIV/0!</v>
      </c>
      <c r="O27" s="40">
        <f t="shared" si="3"/>
        <v>0</v>
      </c>
      <c r="P27" s="40">
        <f t="shared" si="4"/>
        <v>0</v>
      </c>
      <c r="Q27" s="17" t="e">
        <f t="shared" si="5"/>
        <v>#DIV/0!</v>
      </c>
      <c r="R27" s="40">
        <f t="shared" si="6"/>
        <v>0</v>
      </c>
      <c r="S27" s="40">
        <f t="shared" si="7"/>
        <v>0</v>
      </c>
      <c r="T27" s="41">
        <f t="shared" ref="T27:T34" si="10">IF(B27="",0,M27*(1-P27)*(1-S27))</f>
        <v>12.589241686724742</v>
      </c>
      <c r="U27" s="42">
        <f>H27/L27*$C$8+I27/L27*(1-$C$8)</f>
        <v>6.9476098173531647E-2</v>
      </c>
      <c r="V27" s="1">
        <v>0</v>
      </c>
      <c r="W27" s="1">
        <f t="shared" si="8"/>
        <v>0</v>
      </c>
      <c r="X27" s="6">
        <v>1</v>
      </c>
      <c r="Y27" s="11">
        <f t="shared" si="9"/>
        <v>0</v>
      </c>
      <c r="Z27" s="18" t="s">
        <v>280</v>
      </c>
      <c r="AE27" s="16"/>
    </row>
    <row r="28" spans="2:31">
      <c r="B28" s="43"/>
      <c r="C28" s="1" t="s">
        <v>279</v>
      </c>
      <c r="D28" s="1">
        <v>1.4319999999999999</v>
      </c>
      <c r="E28" s="1">
        <f t="shared" si="0"/>
        <v>0</v>
      </c>
      <c r="F28" s="44">
        <v>1</v>
      </c>
      <c r="G28" s="45">
        <v>1</v>
      </c>
      <c r="H28" s="2">
        <f>E28/F28/G28/$C$6</f>
        <v>0</v>
      </c>
      <c r="I28" s="2">
        <f>E28/F28/G28/$C$5</f>
        <v>0</v>
      </c>
      <c r="J28" s="1">
        <v>15</v>
      </c>
      <c r="K28" s="6">
        <v>10</v>
      </c>
      <c r="L28" s="2">
        <f>J28*$C$7*(1-K28*0.02)</f>
        <v>7.3621296413594983</v>
      </c>
      <c r="M28" s="2">
        <f t="shared" si="1"/>
        <v>6.2946208433623712</v>
      </c>
      <c r="N28" s="1">
        <f t="shared" si="2"/>
        <v>0</v>
      </c>
      <c r="O28" s="40">
        <f t="shared" si="3"/>
        <v>0</v>
      </c>
      <c r="P28" s="40">
        <f t="shared" si="4"/>
        <v>0</v>
      </c>
      <c r="Q28" s="17">
        <f t="shared" si="5"/>
        <v>0</v>
      </c>
      <c r="R28" s="40">
        <f t="shared" si="6"/>
        <v>0</v>
      </c>
      <c r="S28" s="40">
        <f t="shared" si="7"/>
        <v>0</v>
      </c>
      <c r="T28" s="41">
        <f t="shared" si="10"/>
        <v>0</v>
      </c>
      <c r="U28" s="42">
        <f>H28/L28*$C$8+I28/L28*(1-$C$8)</f>
        <v>0</v>
      </c>
      <c r="V28" s="1">
        <v>0</v>
      </c>
      <c r="W28" s="1">
        <f t="shared" si="8"/>
        <v>0</v>
      </c>
      <c r="X28" s="6">
        <v>1</v>
      </c>
      <c r="Y28" s="11">
        <f t="shared" si="9"/>
        <v>0</v>
      </c>
      <c r="AE28" s="16"/>
    </row>
    <row r="29" spans="2:31">
      <c r="B29" s="43" t="s">
        <v>278</v>
      </c>
      <c r="C29" s="1" t="s">
        <v>277</v>
      </c>
      <c r="D29" s="1">
        <v>1.4319999999999999</v>
      </c>
      <c r="E29" s="1">
        <f t="shared" si="0"/>
        <v>1.4319999999999999</v>
      </c>
      <c r="F29" s="44">
        <v>1</v>
      </c>
      <c r="G29" s="45">
        <v>1</v>
      </c>
      <c r="H29" s="2">
        <f>E29/F29/G29/$C$6</f>
        <v>1.0228571428571429</v>
      </c>
      <c r="I29" s="2">
        <f>E29/F29/G29/$C$5</f>
        <v>1.0235590608315999</v>
      </c>
      <c r="J29" s="1">
        <v>13</v>
      </c>
      <c r="K29" s="6">
        <v>10</v>
      </c>
      <c r="L29" s="2">
        <f>J29*$C$7*(1-K29*0.02)</f>
        <v>6.380512355844898</v>
      </c>
      <c r="M29" s="2">
        <f t="shared" si="1"/>
        <v>5.4553380642473881</v>
      </c>
      <c r="N29" s="1" t="e">
        <f t="shared" si="2"/>
        <v>#DIV/0!</v>
      </c>
      <c r="O29" s="40">
        <f t="shared" si="3"/>
        <v>0</v>
      </c>
      <c r="P29" s="40">
        <f t="shared" si="4"/>
        <v>0</v>
      </c>
      <c r="Q29" s="17" t="e">
        <f t="shared" si="5"/>
        <v>#DIV/0!</v>
      </c>
      <c r="R29" s="40">
        <f t="shared" si="6"/>
        <v>0</v>
      </c>
      <c r="S29" s="40">
        <f t="shared" si="7"/>
        <v>0</v>
      </c>
      <c r="T29" s="41">
        <f t="shared" si="10"/>
        <v>5.4553380642473881</v>
      </c>
      <c r="U29" s="42">
        <f>H29/L29*$C$8+I29/L29*(1-$C$8)</f>
        <v>0.16032945732353457</v>
      </c>
      <c r="V29" s="1">
        <v>12.414999999999999</v>
      </c>
      <c r="W29" s="1">
        <f t="shared" si="8"/>
        <v>12.414999999999999</v>
      </c>
      <c r="X29" s="6">
        <v>1.4</v>
      </c>
      <c r="Y29" s="11">
        <f t="shared" si="9"/>
        <v>4.7421860415114381</v>
      </c>
      <c r="AB29" s="1" t="s">
        <v>276</v>
      </c>
      <c r="AE29" s="16"/>
    </row>
    <row r="30" spans="2:31">
      <c r="B30" s="43"/>
      <c r="C30" s="1" t="s">
        <v>275</v>
      </c>
      <c r="D30" s="1">
        <v>2.25</v>
      </c>
      <c r="E30" s="1">
        <f t="shared" si="0"/>
        <v>0</v>
      </c>
      <c r="F30" s="44">
        <v>1</v>
      </c>
      <c r="G30" s="45">
        <v>1</v>
      </c>
      <c r="H30" s="2">
        <f>_xlfn.CEILING.MATH(E30/F30/G30/$C$6,0.05)</f>
        <v>0</v>
      </c>
      <c r="I30" s="2">
        <f>_xlfn.CEILING.MATH(E30/F30/G30/$C$5,0.05)</f>
        <v>0</v>
      </c>
      <c r="J30" s="1">
        <v>24</v>
      </c>
      <c r="K30" s="6">
        <v>0</v>
      </c>
      <c r="L30" s="2">
        <f>J30*$C$7*(1-K30*0.02)</f>
        <v>14.724259282718995</v>
      </c>
      <c r="M30" s="2">
        <f t="shared" si="1"/>
        <v>12.589241686724741</v>
      </c>
      <c r="N30" s="1">
        <f t="shared" si="2"/>
        <v>0</v>
      </c>
      <c r="O30" s="40">
        <f t="shared" si="3"/>
        <v>0</v>
      </c>
      <c r="P30" s="40">
        <f t="shared" si="4"/>
        <v>0</v>
      </c>
      <c r="Q30" s="17">
        <f t="shared" si="5"/>
        <v>0</v>
      </c>
      <c r="R30" s="40">
        <f t="shared" si="6"/>
        <v>0</v>
      </c>
      <c r="S30" s="40">
        <f t="shared" si="7"/>
        <v>0</v>
      </c>
      <c r="T30" s="41">
        <f t="shared" si="10"/>
        <v>0</v>
      </c>
      <c r="U30" s="42">
        <f>I30/L30</f>
        <v>0</v>
      </c>
      <c r="V30" s="1">
        <v>6.72</v>
      </c>
      <c r="W30" s="1">
        <f t="shared" si="8"/>
        <v>0</v>
      </c>
      <c r="X30" s="6">
        <v>1</v>
      </c>
      <c r="Y30" s="11">
        <f t="shared" si="9"/>
        <v>0</v>
      </c>
      <c r="AA30" s="1" t="s">
        <v>274</v>
      </c>
      <c r="AB30" s="1">
        <f>((0.032*6)*((1+($C$2*0.04006-0.001)/100)*X25*$N$9)/T25+10/ROUNDDOWN(T25,0))</f>
        <v>1.0283750847659623</v>
      </c>
      <c r="AE30" s="16"/>
    </row>
    <row r="31" spans="2:31">
      <c r="B31" s="43"/>
      <c r="C31" s="1" t="s">
        <v>273</v>
      </c>
      <c r="D31" s="1">
        <v>4.5</v>
      </c>
      <c r="E31" s="1">
        <f t="shared" si="0"/>
        <v>0</v>
      </c>
      <c r="F31" s="44">
        <v>1</v>
      </c>
      <c r="G31" s="45">
        <v>1</v>
      </c>
      <c r="H31" s="2">
        <f>_xlfn.CEILING.MATH(E31/F31/G31/$C$6,0.05)</f>
        <v>0</v>
      </c>
      <c r="I31" s="2">
        <f>_xlfn.CEILING.MATH(E31/F31/G31/$C$5,0.05)</f>
        <v>0</v>
      </c>
      <c r="J31" s="1">
        <v>24</v>
      </c>
      <c r="K31" s="6">
        <v>10</v>
      </c>
      <c r="L31" s="2">
        <f>J31*$C$7*(1-K31*0.02)</f>
        <v>11.779407426175197</v>
      </c>
      <c r="M31" s="2">
        <f t="shared" si="1"/>
        <v>10.071393349379795</v>
      </c>
      <c r="N31" s="1">
        <f t="shared" si="2"/>
        <v>0</v>
      </c>
      <c r="O31" s="40">
        <f t="shared" si="3"/>
        <v>0</v>
      </c>
      <c r="P31" s="40">
        <f t="shared" si="4"/>
        <v>0</v>
      </c>
      <c r="Q31" s="17">
        <f t="shared" si="5"/>
        <v>0</v>
      </c>
      <c r="R31" s="40">
        <f t="shared" si="6"/>
        <v>0</v>
      </c>
      <c r="S31" s="40">
        <f t="shared" si="7"/>
        <v>0</v>
      </c>
      <c r="T31" s="41">
        <f t="shared" si="10"/>
        <v>0</v>
      </c>
      <c r="U31" s="42">
        <f>I31/L31</f>
        <v>0</v>
      </c>
      <c r="V31" s="1">
        <v>14.91</v>
      </c>
      <c r="W31" s="1">
        <f t="shared" si="8"/>
        <v>0</v>
      </c>
      <c r="X31" s="6">
        <v>1</v>
      </c>
      <c r="Y31" s="11">
        <f t="shared" si="9"/>
        <v>0</v>
      </c>
      <c r="AA31" s="1" t="s">
        <v>272</v>
      </c>
      <c r="AB31" s="1">
        <f>((0.032*9)*((1+($C$2*0.04006-0.001)/100)*X25*$N$9)/10.499+10/10)</f>
        <v>1.0408291227735975</v>
      </c>
      <c r="AE31" s="16"/>
    </row>
    <row r="32" spans="2:31">
      <c r="B32" s="43"/>
      <c r="C32" s="1" t="s">
        <v>271</v>
      </c>
      <c r="D32" s="1">
        <v>1.0660000000000001</v>
      </c>
      <c r="E32" s="1">
        <f t="shared" si="0"/>
        <v>0</v>
      </c>
      <c r="F32" s="44">
        <v>1</v>
      </c>
      <c r="G32" s="45">
        <v>1</v>
      </c>
      <c r="H32" s="2">
        <f>E32/F32/G32/$C$6</f>
        <v>0</v>
      </c>
      <c r="I32" s="2">
        <f>E32/F32/G32/$C$5</f>
        <v>0</v>
      </c>
      <c r="J32" s="1">
        <v>6</v>
      </c>
      <c r="K32" s="6">
        <v>0</v>
      </c>
      <c r="L32" s="2">
        <f>J32*$C$7*(1-K32*0.02)</f>
        <v>3.6810648206797487</v>
      </c>
      <c r="M32" s="2">
        <f t="shared" si="1"/>
        <v>3.1473104216811851</v>
      </c>
      <c r="N32" s="1">
        <f t="shared" si="2"/>
        <v>0</v>
      </c>
      <c r="O32" s="40">
        <f t="shared" si="3"/>
        <v>0</v>
      </c>
      <c r="P32" s="40">
        <f t="shared" si="4"/>
        <v>0</v>
      </c>
      <c r="Q32" s="17">
        <f t="shared" si="5"/>
        <v>0</v>
      </c>
      <c r="R32" s="40">
        <f t="shared" si="6"/>
        <v>0</v>
      </c>
      <c r="S32" s="40">
        <f t="shared" si="7"/>
        <v>0</v>
      </c>
      <c r="T32" s="41">
        <f t="shared" si="10"/>
        <v>0</v>
      </c>
      <c r="U32" s="42">
        <f>H32/L32*$C$8+I32/L32*(1-$C$8)</f>
        <v>0</v>
      </c>
      <c r="V32" s="1">
        <v>2.19</v>
      </c>
      <c r="W32" s="1">
        <f t="shared" si="8"/>
        <v>0</v>
      </c>
      <c r="X32" s="6">
        <v>1</v>
      </c>
      <c r="Y32" s="11">
        <f t="shared" si="9"/>
        <v>0</v>
      </c>
      <c r="AA32" s="1" t="s">
        <v>270</v>
      </c>
      <c r="AB32" s="1">
        <f>IF(B25="",0,IF(T25&gt;10.499,AB30,AB31))</f>
        <v>1.0408291227735975</v>
      </c>
    </row>
    <row r="33" spans="2:26">
      <c r="B33" s="43" t="s">
        <v>269</v>
      </c>
      <c r="C33" s="1" t="s">
        <v>268</v>
      </c>
      <c r="D33" s="1">
        <v>0.6</v>
      </c>
      <c r="E33" s="1">
        <f t="shared" si="0"/>
        <v>0.6</v>
      </c>
      <c r="F33" s="44">
        <v>1</v>
      </c>
      <c r="G33" s="45">
        <v>1</v>
      </c>
      <c r="H33" s="2">
        <f>E33/F33/G33/$C$6</f>
        <v>0.4285714285714286</v>
      </c>
      <c r="I33" s="2">
        <f>E33/F33/G33/$C$5</f>
        <v>0.42886552828139662</v>
      </c>
      <c r="J33" s="1">
        <v>19</v>
      </c>
      <c r="K33" s="6">
        <v>10</v>
      </c>
      <c r="L33" s="2">
        <f>J33*$C$7*(1-K33*0.02)</f>
        <v>9.3253642123886973</v>
      </c>
      <c r="M33" s="2">
        <f t="shared" si="1"/>
        <v>7.9731864015923355</v>
      </c>
      <c r="N33" s="1" t="e">
        <f t="shared" si="2"/>
        <v>#DIV/0!</v>
      </c>
      <c r="O33" s="40">
        <f t="shared" si="3"/>
        <v>0</v>
      </c>
      <c r="P33" s="40">
        <f t="shared" si="4"/>
        <v>0</v>
      </c>
      <c r="Q33" s="17" t="e">
        <f t="shared" si="5"/>
        <v>#DIV/0!</v>
      </c>
      <c r="R33" s="40">
        <f t="shared" si="6"/>
        <v>0</v>
      </c>
      <c r="S33" s="40">
        <f t="shared" si="7"/>
        <v>0</v>
      </c>
      <c r="T33" s="41">
        <f t="shared" si="10"/>
        <v>7.9731864015923355</v>
      </c>
      <c r="U33" s="42">
        <f>H33/L33*$C$8+I33/L33*(1-$C$8)</f>
        <v>4.596331105276278E-2</v>
      </c>
      <c r="V33" s="1">
        <f>2.835/3</f>
        <v>0.94499999999999995</v>
      </c>
      <c r="W33" s="1">
        <f t="shared" si="8"/>
        <v>0.94499999999999995</v>
      </c>
      <c r="X33" s="6">
        <v>1</v>
      </c>
      <c r="Y33" s="11">
        <f t="shared" si="9"/>
        <v>0.17641088884101525</v>
      </c>
    </row>
    <row r="34" spans="2:26" ht="17.25" thickBot="1">
      <c r="B34" s="46"/>
      <c r="C34" s="1" t="s">
        <v>267</v>
      </c>
      <c r="D34" s="1">
        <v>1.23</v>
      </c>
      <c r="E34" s="1">
        <f t="shared" si="0"/>
        <v>0</v>
      </c>
      <c r="F34" s="47">
        <v>1</v>
      </c>
      <c r="G34" s="48">
        <v>1.2</v>
      </c>
      <c r="H34" s="2">
        <f>E34/F34/G34/$C$6</f>
        <v>0</v>
      </c>
      <c r="I34" s="2">
        <f>E34/F34/G34/$C$5</f>
        <v>0</v>
      </c>
      <c r="J34" s="1">
        <v>16</v>
      </c>
      <c r="K34" s="13">
        <v>0</v>
      </c>
      <c r="L34" s="2">
        <f>J34*$C$7*(1-K34*0.02)</f>
        <v>9.8161728551459966</v>
      </c>
      <c r="M34" s="2">
        <f t="shared" si="1"/>
        <v>8.392827791149827</v>
      </c>
      <c r="N34" s="1">
        <f t="shared" si="2"/>
        <v>0</v>
      </c>
      <c r="O34" s="40">
        <f t="shared" si="3"/>
        <v>0</v>
      </c>
      <c r="P34" s="40">
        <f t="shared" si="4"/>
        <v>0</v>
      </c>
      <c r="Q34" s="17">
        <f t="shared" si="5"/>
        <v>0</v>
      </c>
      <c r="R34" s="40">
        <f t="shared" si="6"/>
        <v>0</v>
      </c>
      <c r="S34" s="40">
        <f t="shared" si="7"/>
        <v>0</v>
      </c>
      <c r="T34" s="41">
        <f t="shared" si="10"/>
        <v>0</v>
      </c>
      <c r="U34" s="42">
        <f>H34/L34*$C$8+I34/L34*(1-$C$8)</f>
        <v>0</v>
      </c>
      <c r="V34" s="1">
        <v>2.0230000000000001</v>
      </c>
      <c r="W34" s="1">
        <f t="shared" si="8"/>
        <v>0</v>
      </c>
      <c r="X34" s="13">
        <v>1</v>
      </c>
      <c r="Y34" s="11">
        <f t="shared" si="9"/>
        <v>0</v>
      </c>
    </row>
    <row r="35" spans="2:26" hidden="1">
      <c r="B35" s="49"/>
      <c r="C35" s="1" t="s">
        <v>266</v>
      </c>
      <c r="D35" s="1">
        <v>1</v>
      </c>
      <c r="E35" s="1">
        <f t="shared" si="0"/>
        <v>0</v>
      </c>
      <c r="F35" s="50">
        <v>1</v>
      </c>
      <c r="G35" s="51">
        <v>1</v>
      </c>
      <c r="H35" s="2">
        <f>E35/F35/G35/$C$6</f>
        <v>0</v>
      </c>
      <c r="I35" s="2">
        <f>E35/F35/G35/$C$5</f>
        <v>0</v>
      </c>
      <c r="J35" s="1">
        <v>0</v>
      </c>
      <c r="K35" s="52">
        <v>10</v>
      </c>
      <c r="L35" s="2">
        <v>1</v>
      </c>
      <c r="M35" s="2">
        <v>1</v>
      </c>
      <c r="N35" s="1">
        <f>IF(B35="",0,IF(C35=$U$3,$Y$3,(M35-I35)/$V$3*$Y$3))</f>
        <v>0</v>
      </c>
      <c r="O35" s="40">
        <f>IF($U$3="속행x",0,IF(N35&lt;0.1,N35,ROUNDDOWN(N35,1)))</f>
        <v>0</v>
      </c>
      <c r="P35" s="53">
        <f>IF(B35="",1,(M35-IF(C35=$U$3,O35*$X$3*(M35-I35),O35*$X$3*(M35-I35-$W$3)/2))/M35)</f>
        <v>1</v>
      </c>
      <c r="Q35" s="1">
        <f>IF(B35="",0,IF(C35=$U$4,$Y$4,(M35-I35)/$V$4*$Y$4))</f>
        <v>0</v>
      </c>
      <c r="R35" s="40">
        <f>IF($U$4="속행x",0,IF(Q35&lt;0.1,Q35,ROUNDDOWN(Q35,1)))</f>
        <v>0</v>
      </c>
      <c r="S35" s="53">
        <f>IF(B35="",1,(M35-IF(C35=$U$4,O35*$X$4*(M35-I35),O35*$X$4*(M35-I35-$W$4)/2))/M35)</f>
        <v>1</v>
      </c>
      <c r="T35" s="54">
        <v>0</v>
      </c>
      <c r="U35" s="42">
        <f>H35/L35*$C$8+I35/L35*(1-$C$8)</f>
        <v>0</v>
      </c>
      <c r="V35" s="1">
        <v>0</v>
      </c>
      <c r="W35" s="1">
        <f t="shared" si="8"/>
        <v>0</v>
      </c>
      <c r="X35" s="52">
        <v>0</v>
      </c>
      <c r="Y35" s="11">
        <v>0</v>
      </c>
      <c r="Z35" s="18" t="s">
        <v>265</v>
      </c>
    </row>
    <row r="36" spans="2:26" hidden="1">
      <c r="B36" s="43"/>
      <c r="C36" s="1" t="s">
        <v>264</v>
      </c>
      <c r="D36" s="1">
        <v>4</v>
      </c>
      <c r="E36" s="1">
        <f t="shared" si="0"/>
        <v>0</v>
      </c>
      <c r="F36" s="55" t="s">
        <v>263</v>
      </c>
      <c r="G36" s="45">
        <v>1</v>
      </c>
      <c r="H36" s="2">
        <f>_xlfn.CEILING.MATH(E36/1/G36/$C$6,0.05)</f>
        <v>0</v>
      </c>
      <c r="I36" s="2">
        <f>_xlfn.CEILING.MATH(E36/1/G36/$C$5,0.05)</f>
        <v>0</v>
      </c>
      <c r="J36" s="1">
        <v>70</v>
      </c>
      <c r="K36" s="29" t="s">
        <v>262</v>
      </c>
      <c r="L36" s="2">
        <f>J36*$C$7*(1-0*0.02)</f>
        <v>42.945756241263737</v>
      </c>
      <c r="M36" s="2">
        <f>L36*0.95*0.9</f>
        <v>36.718621586280491</v>
      </c>
      <c r="N36" s="1">
        <f>IF(B36="",0,IF(C36=$U$3,$Y$3,(M36-I36)/$V$3*$Y$3))</f>
        <v>0</v>
      </c>
      <c r="O36" s="40">
        <f>IF($U$3="속행x",0,IF(N36&lt;$Y$3,N36,ROUNDDOWN(N36,1)))</f>
        <v>0</v>
      </c>
      <c r="P36" s="40">
        <f>IF(B36="",0,1-(M36-IF(C36=$U$3,O36*$X$3*(M36-I36),O36*$X$3*(M36-I36-$W$3)/2))/M36)</f>
        <v>0</v>
      </c>
      <c r="Q36" s="16">
        <f>IF(B36="",0,IF(C36=$U$4,$Y$4,(M36-I36)/$V$4*$Y$4))</f>
        <v>0</v>
      </c>
      <c r="R36" s="40">
        <f>IF($U$4="속행x",0,IF(Q36&lt;$Y$4,Q36,ROUNDDOWN(Q36,1)))</f>
        <v>0</v>
      </c>
      <c r="S36" s="40">
        <f>IF(B36="",0,1-(M36-IF(C36=$U$4,R36*$X$4*(M36-I36),R36*$X$4*(M36-I36-$W$4)/2))/M36)</f>
        <v>0</v>
      </c>
      <c r="T36" s="41">
        <f>IF(B36="",0,M36*(1-P36)*(1-S36))</f>
        <v>0</v>
      </c>
      <c r="U36" s="42">
        <f>H36/L36*$C$8+I36/L36*(1-$C$8)</f>
        <v>0</v>
      </c>
      <c r="V36" s="1">
        <v>4.08</v>
      </c>
      <c r="W36" s="1">
        <f t="shared" si="8"/>
        <v>0</v>
      </c>
      <c r="X36" s="29" t="s">
        <v>262</v>
      </c>
      <c r="Y36" s="11">
        <f>IF(B36="",0,(W36*(1+($C$2*0.04006-0.001)/100)*1*$N$9)/T36)</f>
        <v>0</v>
      </c>
    </row>
    <row r="37" spans="2:26">
      <c r="D37" s="56"/>
      <c r="E37" s="56"/>
      <c r="F37"/>
      <c r="P37" s="18" t="s">
        <v>261</v>
      </c>
      <c r="U37" s="57">
        <f>SUM(U21:U34)</f>
        <v>0.8696717328429967</v>
      </c>
      <c r="Y37" s="58">
        <f>SUM(Y21:Y34)</f>
        <v>11.409162558332079</v>
      </c>
      <c r="Z37" s="34"/>
    </row>
    <row r="38" spans="2:26">
      <c r="B38"/>
      <c r="C38"/>
      <c r="D38"/>
      <c r="E38"/>
      <c r="F38"/>
      <c r="P38" s="34" t="s">
        <v>260</v>
      </c>
    </row>
    <row r="39" spans="2:26">
      <c r="B39"/>
      <c r="P39" s="34" t="s">
        <v>259</v>
      </c>
    </row>
    <row r="40" spans="2:26">
      <c r="P40" s="34" t="s">
        <v>258</v>
      </c>
    </row>
    <row r="41" spans="2:26">
      <c r="P41" s="34" t="s">
        <v>257</v>
      </c>
    </row>
    <row r="42" spans="2:26">
      <c r="P42" s="34" t="s">
        <v>256</v>
      </c>
    </row>
    <row r="44" spans="2:26">
      <c r="C44" s="56"/>
      <c r="D44" s="59"/>
      <c r="E44" s="59"/>
    </row>
    <row r="45" spans="2:26">
      <c r="C45" s="56"/>
      <c r="D45" s="59"/>
      <c r="E45" s="59"/>
      <c r="L45" s="60"/>
    </row>
    <row r="46" spans="2:26">
      <c r="L46" s="60"/>
    </row>
    <row r="47" spans="2:26">
      <c r="G47" s="2"/>
      <c r="L47" s="61"/>
      <c r="M47" s="61"/>
    </row>
    <row r="48" spans="2:26">
      <c r="L48" s="2"/>
    </row>
    <row r="49" spans="2:12">
      <c r="B49"/>
      <c r="C49" s="62"/>
      <c r="F49"/>
      <c r="H49" s="1"/>
      <c r="J49" s="2"/>
    </row>
    <row r="50" spans="2:12">
      <c r="B50"/>
      <c r="C50" s="63"/>
      <c r="D50" s="59"/>
      <c r="E50"/>
      <c r="F50" s="2"/>
      <c r="G50" s="2"/>
      <c r="H50" s="1"/>
      <c r="J50" s="2"/>
    </row>
    <row r="51" spans="2:12">
      <c r="B51"/>
      <c r="C51" s="63"/>
      <c r="D51" s="59"/>
      <c r="E51" s="64"/>
      <c r="F51" s="2"/>
      <c r="G51" s="2"/>
      <c r="H51" s="1"/>
      <c r="J51" s="2"/>
    </row>
    <row r="52" spans="2:12">
      <c r="B52"/>
      <c r="C52"/>
      <c r="H52" s="1"/>
      <c r="J52" s="2"/>
    </row>
    <row r="53" spans="2:12">
      <c r="B53"/>
      <c r="C53"/>
      <c r="H53" s="1"/>
      <c r="J53" s="2"/>
    </row>
    <row r="54" spans="2:12">
      <c r="B54"/>
      <c r="C54" s="65"/>
      <c r="H54" s="1"/>
      <c r="J54" s="2"/>
    </row>
    <row r="57" spans="2:12">
      <c r="L57" s="2"/>
    </row>
  </sheetData>
  <mergeCells count="3">
    <mergeCell ref="H2:I2"/>
    <mergeCell ref="H4:I4"/>
    <mergeCell ref="O10:O11"/>
  </mergeCells>
  <phoneticPr fontId="3" type="noConversion"/>
  <conditionalFormatting sqref="Q41:R41 P37:R40">
    <cfRule type="duplicateValues" dxfId="19" priority="20"/>
  </conditionalFormatting>
  <conditionalFormatting sqref="C20">
    <cfRule type="expression" dxfId="18" priority="19">
      <formula>$B$20="ㅁ"</formula>
    </cfRule>
  </conditionalFormatting>
  <conditionalFormatting sqref="C21">
    <cfRule type="expression" dxfId="17" priority="18">
      <formula>$B$21="ㅁ"</formula>
    </cfRule>
  </conditionalFormatting>
  <conditionalFormatting sqref="C22">
    <cfRule type="expression" dxfId="16" priority="17">
      <formula>$B$22="ㅁ"</formula>
    </cfRule>
  </conditionalFormatting>
  <conditionalFormatting sqref="C23">
    <cfRule type="expression" dxfId="15" priority="16">
      <formula>$B$23="ㅁ"</formula>
    </cfRule>
  </conditionalFormatting>
  <conditionalFormatting sqref="C24">
    <cfRule type="expression" dxfId="14" priority="15">
      <formula>$B$24="ㅁ"</formula>
    </cfRule>
  </conditionalFormatting>
  <conditionalFormatting sqref="C25">
    <cfRule type="expression" dxfId="13" priority="14">
      <formula>$B$25="ㅁ"</formula>
    </cfRule>
  </conditionalFormatting>
  <conditionalFormatting sqref="C26">
    <cfRule type="expression" dxfId="12" priority="13">
      <formula>$B$26="ㅁ"</formula>
    </cfRule>
  </conditionalFormatting>
  <conditionalFormatting sqref="C27">
    <cfRule type="expression" dxfId="11" priority="12">
      <formula>$B$27="ㅁ"</formula>
    </cfRule>
  </conditionalFormatting>
  <conditionalFormatting sqref="C28">
    <cfRule type="expression" dxfId="10" priority="11">
      <formula>$B$28="ㅁ"</formula>
    </cfRule>
  </conditionalFormatting>
  <conditionalFormatting sqref="C29">
    <cfRule type="expression" dxfId="9" priority="10">
      <formula>$B$29="ㅁ"</formula>
    </cfRule>
  </conditionalFormatting>
  <conditionalFormatting sqref="C30">
    <cfRule type="expression" dxfId="8" priority="9">
      <formula>$B$30="ㅁ"</formula>
    </cfRule>
  </conditionalFormatting>
  <conditionalFormatting sqref="C31">
    <cfRule type="expression" dxfId="7" priority="8">
      <formula>$B$31="ㅁ"</formula>
    </cfRule>
  </conditionalFormatting>
  <conditionalFormatting sqref="C32">
    <cfRule type="expression" dxfId="6" priority="7">
      <formula>$B$32="ㅁ"</formula>
    </cfRule>
  </conditionalFormatting>
  <conditionalFormatting sqref="C33">
    <cfRule type="expression" dxfId="5" priority="6">
      <formula>$B$33="ㅁ"</formula>
    </cfRule>
  </conditionalFormatting>
  <conditionalFormatting sqref="C34">
    <cfRule type="expression" dxfId="4" priority="5">
      <formula>$B$34="ㅁ"</formula>
    </cfRule>
  </conditionalFormatting>
  <conditionalFormatting sqref="C36">
    <cfRule type="expression" dxfId="3" priority="4">
      <formula>$B$36="ㅁ"</formula>
    </cfRule>
  </conditionalFormatting>
  <conditionalFormatting sqref="Y20:Y34 Y36 N36:U36 N20:U34">
    <cfRule type="cellIs" dxfId="2" priority="3" operator="greaterThan">
      <formula>0</formula>
    </cfRule>
  </conditionalFormatting>
  <conditionalFormatting sqref="P41">
    <cfRule type="duplicateValues" dxfId="1" priority="2"/>
  </conditionalFormatting>
  <conditionalFormatting sqref="P42">
    <cfRule type="duplicateValues" dxfId="0" priority="1"/>
  </conditionalFormatting>
  <dataValidations count="1">
    <dataValidation type="list" allowBlank="1" showInputMessage="1" showErrorMessage="1" sqref="U3:U4">
      <formula1>$C$21:$C$35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4"/>
  <sheetViews>
    <sheetView topLeftCell="B1" zoomScale="70" zoomScaleNormal="70" workbookViewId="0">
      <selection activeCell="Y30" sqref="Y30"/>
    </sheetView>
  </sheetViews>
  <sheetFormatPr defaultRowHeight="16.5"/>
  <cols>
    <col min="1" max="1" width="5" customWidth="1"/>
    <col min="2" max="2" width="6.75" customWidth="1"/>
    <col min="3" max="3" width="10.375" bestFit="1" customWidth="1"/>
    <col min="4" max="4" width="12.375" bestFit="1" customWidth="1"/>
    <col min="5" max="7" width="10.125" bestFit="1" customWidth="1"/>
    <col min="8" max="8" width="7.375" bestFit="1" customWidth="1"/>
    <col min="9" max="9" width="5.75" style="64" bestFit="1" customWidth="1"/>
    <col min="10" max="10" width="6.5" bestFit="1" customWidth="1"/>
    <col min="11" max="11" width="10.375" customWidth="1"/>
    <col min="12" max="12" width="11.625" bestFit="1" customWidth="1"/>
    <col min="13" max="15" width="10.125" customWidth="1"/>
    <col min="17" max="17" width="13.25" style="68" bestFit="1" customWidth="1"/>
    <col min="18" max="18" width="5.375" style="68" bestFit="1" customWidth="1"/>
    <col min="19" max="21" width="10.25" style="68" customWidth="1"/>
    <col min="22" max="22" width="10.25" style="68" bestFit="1" customWidth="1"/>
    <col min="23" max="23" width="13.125" bestFit="1" customWidth="1"/>
    <col min="24" max="24" width="5.375" bestFit="1" customWidth="1"/>
    <col min="25" max="28" width="10.125" customWidth="1"/>
    <col min="31" max="31" width="8.125" customWidth="1"/>
  </cols>
  <sheetData>
    <row r="1" spans="1:33" ht="17.25" thickBot="1">
      <c r="A1" s="281"/>
      <c r="B1" s="281"/>
      <c r="C1" t="s">
        <v>5</v>
      </c>
      <c r="D1" t="s">
        <v>6</v>
      </c>
      <c r="F1" t="s">
        <v>7</v>
      </c>
      <c r="G1" t="s">
        <v>8</v>
      </c>
      <c r="H1" s="281"/>
      <c r="I1" s="281"/>
      <c r="J1" s="66"/>
      <c r="K1" s="67"/>
      <c r="R1" s="69"/>
      <c r="Y1" s="70"/>
      <c r="Z1" s="70"/>
      <c r="AD1" s="282" t="s">
        <v>9</v>
      </c>
      <c r="AE1" s="282"/>
      <c r="AF1" s="282"/>
      <c r="AG1" s="282"/>
    </row>
    <row r="2" spans="1:33" ht="17.25" thickBot="1">
      <c r="Q2" s="265" t="s">
        <v>10</v>
      </c>
      <c r="R2" s="266"/>
      <c r="S2" s="266"/>
      <c r="T2" s="266"/>
      <c r="U2" s="267"/>
      <c r="W2" s="268" t="s">
        <v>11</v>
      </c>
      <c r="X2" s="269"/>
      <c r="Y2" s="269"/>
      <c r="Z2" s="269"/>
      <c r="AA2" s="269"/>
      <c r="AB2" s="270"/>
      <c r="AD2">
        <v>50</v>
      </c>
      <c r="AE2">
        <v>650</v>
      </c>
      <c r="AF2">
        <v>1000</v>
      </c>
      <c r="AG2">
        <v>1800</v>
      </c>
    </row>
    <row r="3" spans="1:33" ht="17.25" thickBot="1">
      <c r="A3" s="252" t="s">
        <v>12</v>
      </c>
      <c r="B3" s="253"/>
      <c r="C3" s="71" t="s">
        <v>13</v>
      </c>
      <c r="D3" s="71" t="s">
        <v>14</v>
      </c>
      <c r="E3" s="72" t="s">
        <v>15</v>
      </c>
      <c r="F3" s="73" t="s">
        <v>16</v>
      </c>
      <c r="G3" s="74" t="s">
        <v>17</v>
      </c>
      <c r="H3" s="75"/>
      <c r="I3" s="252" t="s">
        <v>12</v>
      </c>
      <c r="J3" s="253"/>
      <c r="K3" s="71" t="s">
        <v>13</v>
      </c>
      <c r="L3" s="71" t="s">
        <v>14</v>
      </c>
      <c r="M3" s="72" t="s">
        <v>15</v>
      </c>
      <c r="N3" s="73" t="s">
        <v>16</v>
      </c>
      <c r="O3" s="74" t="s">
        <v>17</v>
      </c>
      <c r="Q3" s="71" t="s">
        <v>18</v>
      </c>
      <c r="R3" s="71" t="s">
        <v>19</v>
      </c>
      <c r="S3" s="72" t="s">
        <v>15</v>
      </c>
      <c r="T3" s="73" t="s">
        <v>16</v>
      </c>
      <c r="U3" s="76" t="s">
        <v>17</v>
      </c>
      <c r="W3" s="71" t="s">
        <v>18</v>
      </c>
      <c r="X3" s="74" t="s">
        <v>19</v>
      </c>
      <c r="Y3" s="72" t="s">
        <v>20</v>
      </c>
      <c r="Z3" s="73" t="s">
        <v>21</v>
      </c>
      <c r="AA3" s="73" t="s">
        <v>22</v>
      </c>
      <c r="AB3" s="76" t="s">
        <v>23</v>
      </c>
      <c r="AD3" s="77">
        <f>(AD2*0.04006-0.001)/100</f>
        <v>2.0020000000000003E-2</v>
      </c>
      <c r="AE3" s="77">
        <f>(AE2*0.04006-0.001)/100</f>
        <v>0.26037999999999994</v>
      </c>
      <c r="AF3" s="77">
        <f>(AF2*0.04006-0.001)/100</f>
        <v>0.40059</v>
      </c>
      <c r="AG3" s="77">
        <f>(AG2*0.04006-0.001)/100</f>
        <v>0.72106999999999999</v>
      </c>
    </row>
    <row r="4" spans="1:33">
      <c r="A4" s="246" t="s">
        <v>24</v>
      </c>
      <c r="B4" s="247"/>
      <c r="C4" s="78" t="s">
        <v>25</v>
      </c>
      <c r="D4" s="78" t="s">
        <v>26</v>
      </c>
      <c r="E4" s="79">
        <v>1</v>
      </c>
      <c r="F4" s="80">
        <v>1.4</v>
      </c>
      <c r="G4" s="81">
        <v>2</v>
      </c>
      <c r="H4" s="75"/>
      <c r="I4" s="246" t="s">
        <v>24</v>
      </c>
      <c r="J4" s="247"/>
      <c r="K4" s="78" t="s">
        <v>25</v>
      </c>
      <c r="L4" s="78" t="s">
        <v>27</v>
      </c>
      <c r="M4" s="82">
        <v>0.3</v>
      </c>
      <c r="N4" s="83">
        <v>0.45</v>
      </c>
      <c r="O4" s="84">
        <v>0.6</v>
      </c>
      <c r="Q4" s="258" t="s">
        <v>28</v>
      </c>
      <c r="R4" s="85" t="s">
        <v>29</v>
      </c>
      <c r="S4" s="272">
        <v>1.65</v>
      </c>
      <c r="T4" s="273"/>
      <c r="U4" s="274"/>
      <c r="W4" s="258" t="s">
        <v>28</v>
      </c>
      <c r="X4" s="86" t="s">
        <v>29</v>
      </c>
      <c r="Y4" s="87">
        <f t="shared" ref="Y4:AB5" si="0">$S4*(1+AD$3)</f>
        <v>1.6830329999999998</v>
      </c>
      <c r="Z4" s="88">
        <f t="shared" si="0"/>
        <v>2.0796269999999999</v>
      </c>
      <c r="AA4" s="88">
        <f t="shared" si="0"/>
        <v>2.3109734999999998</v>
      </c>
      <c r="AB4" s="89">
        <f t="shared" si="0"/>
        <v>2.8397654999999999</v>
      </c>
    </row>
    <row r="5" spans="1:33" ht="17.25" thickBot="1">
      <c r="A5" s="248"/>
      <c r="B5" s="249"/>
      <c r="C5" s="90" t="s">
        <v>30</v>
      </c>
      <c r="D5" s="90" t="s">
        <v>31</v>
      </c>
      <c r="E5" s="91" t="s">
        <v>31</v>
      </c>
      <c r="F5" s="92" t="s">
        <v>32</v>
      </c>
      <c r="G5" s="93" t="s">
        <v>31</v>
      </c>
      <c r="H5" s="75"/>
      <c r="I5" s="248"/>
      <c r="J5" s="249"/>
      <c r="K5" s="90" t="s">
        <v>30</v>
      </c>
      <c r="L5" s="90" t="s">
        <v>31</v>
      </c>
      <c r="M5" s="91" t="s">
        <v>32</v>
      </c>
      <c r="N5" s="92" t="s">
        <v>31</v>
      </c>
      <c r="O5" s="93" t="s">
        <v>31</v>
      </c>
      <c r="Q5" s="271"/>
      <c r="R5" s="94" t="s">
        <v>33</v>
      </c>
      <c r="S5" s="275">
        <v>2.19</v>
      </c>
      <c r="T5" s="276"/>
      <c r="U5" s="277"/>
      <c r="W5" s="271"/>
      <c r="X5" s="95" t="s">
        <v>33</v>
      </c>
      <c r="Y5" s="96">
        <f t="shared" si="0"/>
        <v>2.2338437999999998</v>
      </c>
      <c r="Z5" s="97">
        <f t="shared" si="0"/>
        <v>2.7602321999999999</v>
      </c>
      <c r="AA5" s="97">
        <f t="shared" si="0"/>
        <v>3.0672921</v>
      </c>
      <c r="AB5" s="98">
        <f t="shared" si="0"/>
        <v>3.7691433000000001</v>
      </c>
    </row>
    <row r="6" spans="1:33" ht="17.25" thickBot="1">
      <c r="A6" s="99">
        <v>315</v>
      </c>
      <c r="B6" s="100" t="s">
        <v>34</v>
      </c>
      <c r="C6" s="101" t="s">
        <v>35</v>
      </c>
      <c r="D6" s="102" t="s">
        <v>36</v>
      </c>
      <c r="E6" s="103">
        <v>1</v>
      </c>
      <c r="F6" s="104">
        <v>1</v>
      </c>
      <c r="G6" s="105">
        <v>1</v>
      </c>
      <c r="H6" s="75"/>
      <c r="I6" s="99">
        <v>315</v>
      </c>
      <c r="J6" s="100" t="s">
        <v>34</v>
      </c>
      <c r="K6" s="101" t="s">
        <v>35</v>
      </c>
      <c r="L6" s="102" t="s">
        <v>36</v>
      </c>
      <c r="M6" s="103">
        <v>1</v>
      </c>
      <c r="N6" s="104">
        <v>1</v>
      </c>
      <c r="O6" s="105">
        <v>1</v>
      </c>
      <c r="Q6" s="106" t="s">
        <v>37</v>
      </c>
      <c r="R6" s="94" t="s">
        <v>38</v>
      </c>
      <c r="S6" s="107">
        <v>2.262</v>
      </c>
      <c r="T6" s="108">
        <v>2.4359999999999999</v>
      </c>
      <c r="U6" s="109">
        <v>2.61</v>
      </c>
      <c r="W6" s="106" t="s">
        <v>37</v>
      </c>
      <c r="X6" s="95" t="s">
        <v>39</v>
      </c>
      <c r="Y6" s="96">
        <f t="shared" ref="Y6:AB8" si="1">$U6*(1+AD$3)</f>
        <v>2.6622521999999997</v>
      </c>
      <c r="Z6" s="97">
        <f t="shared" si="1"/>
        <v>3.2895918000000002</v>
      </c>
      <c r="AA6" s="97">
        <f t="shared" si="1"/>
        <v>3.6555399</v>
      </c>
      <c r="AB6" s="98">
        <f t="shared" si="1"/>
        <v>4.4919926999999999</v>
      </c>
    </row>
    <row r="7" spans="1:33" ht="17.25" thickBot="1">
      <c r="A7" s="250" t="s">
        <v>40</v>
      </c>
      <c r="B7" s="251"/>
      <c r="C7" s="110" t="s">
        <v>41</v>
      </c>
      <c r="D7" s="110">
        <v>0.82499999999999996</v>
      </c>
      <c r="E7" s="111">
        <f>$D$7*(1+E6)</f>
        <v>1.65</v>
      </c>
      <c r="F7" s="111">
        <f>$D$7*(1+F6)</f>
        <v>1.65</v>
      </c>
      <c r="G7" s="112">
        <f>$D$7*(1+G6)</f>
        <v>1.65</v>
      </c>
      <c r="H7" s="75"/>
      <c r="I7" s="250" t="s">
        <v>40</v>
      </c>
      <c r="J7" s="251"/>
      <c r="K7" s="110" t="s">
        <v>42</v>
      </c>
      <c r="L7" s="110">
        <v>1.095</v>
      </c>
      <c r="M7" s="111">
        <f>1.095*(M6+1)</f>
        <v>2.19</v>
      </c>
      <c r="N7" s="111">
        <f>1.095*(N6+1)</f>
        <v>2.19</v>
      </c>
      <c r="O7" s="112">
        <f>1.095*(O6+1)</f>
        <v>2.19</v>
      </c>
      <c r="Q7" s="106" t="s">
        <v>43</v>
      </c>
      <c r="R7" s="94" t="s">
        <v>44</v>
      </c>
      <c r="S7" s="107">
        <v>1.56</v>
      </c>
      <c r="T7" s="108">
        <v>1.6848000000000001</v>
      </c>
      <c r="U7" s="109">
        <v>1.82</v>
      </c>
      <c r="W7" s="106" t="s">
        <v>45</v>
      </c>
      <c r="X7" s="113" t="s">
        <v>46</v>
      </c>
      <c r="Y7" s="114">
        <f t="shared" si="1"/>
        <v>1.8564364</v>
      </c>
      <c r="Z7" s="108">
        <f t="shared" si="1"/>
        <v>2.2938916000000003</v>
      </c>
      <c r="AA7" s="108">
        <f t="shared" si="1"/>
        <v>2.5490737999999999</v>
      </c>
      <c r="AB7" s="109">
        <f t="shared" si="1"/>
        <v>3.1323474000000004</v>
      </c>
    </row>
    <row r="8" spans="1:33" ht="17.25" thickBot="1">
      <c r="A8" s="115">
        <v>6</v>
      </c>
      <c r="B8" s="116" t="s">
        <v>47</v>
      </c>
      <c r="C8" s="110" t="s">
        <v>48</v>
      </c>
      <c r="D8" s="117">
        <f>D7/$A8</f>
        <v>0.13749999999999998</v>
      </c>
      <c r="E8" s="111">
        <f>E7/(6-E4)</f>
        <v>0.32999999999999996</v>
      </c>
      <c r="F8" s="111">
        <f>F7/(6-F4)</f>
        <v>0.35869565217391303</v>
      </c>
      <c r="G8" s="112">
        <f>G7/(6-G4)</f>
        <v>0.41249999999999998</v>
      </c>
      <c r="H8" s="64"/>
      <c r="I8" s="115">
        <v>6</v>
      </c>
      <c r="J8" s="116" t="s">
        <v>47</v>
      </c>
      <c r="K8" s="110" t="s">
        <v>48</v>
      </c>
      <c r="L8" s="117">
        <f>L7/$A8</f>
        <v>0.1825</v>
      </c>
      <c r="M8" s="111">
        <f>M7/$I8</f>
        <v>0.36499999999999999</v>
      </c>
      <c r="N8" s="118">
        <f>N7/$I8</f>
        <v>0.36499999999999999</v>
      </c>
      <c r="O8" s="112">
        <f>O7/$I8</f>
        <v>0.36499999999999999</v>
      </c>
      <c r="Q8" s="106" t="s">
        <v>49</v>
      </c>
      <c r="R8" s="94" t="s">
        <v>50</v>
      </c>
      <c r="S8" s="107">
        <v>8.9879999999999995</v>
      </c>
      <c r="T8" s="108">
        <v>10.486000000000001</v>
      </c>
      <c r="U8" s="109">
        <v>11.984</v>
      </c>
      <c r="W8" s="106" t="s">
        <v>51</v>
      </c>
      <c r="X8" s="119" t="s">
        <v>50</v>
      </c>
      <c r="Y8" s="120">
        <f t="shared" si="1"/>
        <v>12.22391968</v>
      </c>
      <c r="Z8" s="121">
        <f t="shared" si="1"/>
        <v>15.104393920000001</v>
      </c>
      <c r="AA8" s="121">
        <f t="shared" si="1"/>
        <v>16.784670559999999</v>
      </c>
      <c r="AB8" s="122">
        <f t="shared" si="1"/>
        <v>20.62530288</v>
      </c>
      <c r="AE8" s="77"/>
    </row>
    <row r="9" spans="1:33" ht="17.25" thickBot="1">
      <c r="H9" s="64"/>
      <c r="I9"/>
      <c r="Q9" s="257" t="s">
        <v>52</v>
      </c>
      <c r="R9" s="94" t="s">
        <v>39</v>
      </c>
      <c r="S9" s="259">
        <v>2.835</v>
      </c>
      <c r="T9" s="260"/>
      <c r="U9" s="261"/>
      <c r="W9" s="257" t="s">
        <v>52</v>
      </c>
      <c r="X9" s="113" t="s">
        <v>38</v>
      </c>
      <c r="Y9" s="114">
        <f t="shared" ref="Y9:AB10" si="2">$S9*(1+AD$3)</f>
        <v>2.8917566999999997</v>
      </c>
      <c r="Z9" s="107">
        <f t="shared" si="2"/>
        <v>3.5731773000000002</v>
      </c>
      <c r="AA9" s="107">
        <f t="shared" si="2"/>
        <v>3.97067265</v>
      </c>
      <c r="AB9" s="123">
        <f t="shared" si="2"/>
        <v>4.8792334500000001</v>
      </c>
    </row>
    <row r="10" spans="1:33" ht="17.25" thickBot="1">
      <c r="A10" s="252" t="s">
        <v>12</v>
      </c>
      <c r="B10" s="253"/>
      <c r="C10" s="71" t="s">
        <v>13</v>
      </c>
      <c r="D10" s="71" t="s">
        <v>14</v>
      </c>
      <c r="E10" s="72" t="s">
        <v>15</v>
      </c>
      <c r="F10" s="73" t="s">
        <v>16</v>
      </c>
      <c r="G10" s="74" t="s">
        <v>17</v>
      </c>
      <c r="H10" s="64"/>
      <c r="Q10" s="258"/>
      <c r="R10" s="94" t="s">
        <v>53</v>
      </c>
      <c r="S10" s="259">
        <v>3.78</v>
      </c>
      <c r="T10" s="260"/>
      <c r="U10" s="261"/>
      <c r="W10" s="258"/>
      <c r="X10" s="124" t="s">
        <v>54</v>
      </c>
      <c r="Y10" s="125">
        <f t="shared" si="2"/>
        <v>3.8556755999999996</v>
      </c>
      <c r="Z10" s="126">
        <f t="shared" si="2"/>
        <v>4.7642363999999997</v>
      </c>
      <c r="AA10" s="126">
        <f t="shared" si="2"/>
        <v>5.2942301999999994</v>
      </c>
      <c r="AB10" s="127">
        <f t="shared" si="2"/>
        <v>6.5056446000000001</v>
      </c>
    </row>
    <row r="11" spans="1:33">
      <c r="A11" s="246" t="s">
        <v>37</v>
      </c>
      <c r="B11" s="247"/>
      <c r="C11" s="78" t="s">
        <v>25</v>
      </c>
      <c r="D11" s="78" t="s">
        <v>55</v>
      </c>
      <c r="E11" s="82">
        <v>0.3</v>
      </c>
      <c r="F11" s="83">
        <v>0.4</v>
      </c>
      <c r="G11" s="84">
        <v>0.5</v>
      </c>
      <c r="H11" s="64"/>
      <c r="Q11" s="257" t="s">
        <v>2</v>
      </c>
      <c r="R11" s="94">
        <v>211</v>
      </c>
      <c r="S11" s="107">
        <v>12.989999999999998</v>
      </c>
      <c r="T11" s="108">
        <v>14.912520000000001</v>
      </c>
      <c r="U11" s="109">
        <v>16.887</v>
      </c>
      <c r="W11" s="257" t="s">
        <v>56</v>
      </c>
      <c r="X11" s="119">
        <v>211</v>
      </c>
      <c r="Y11" s="120">
        <f t="shared" ref="Y11:AB12" si="3">$U11*(1+AD$3)</f>
        <v>17.22507774</v>
      </c>
      <c r="Z11" s="121">
        <f t="shared" si="3"/>
        <v>21.284037060000003</v>
      </c>
      <c r="AA11" s="121">
        <f t="shared" si="3"/>
        <v>23.651763330000001</v>
      </c>
      <c r="AB11" s="122">
        <f t="shared" si="3"/>
        <v>29.063709090000003</v>
      </c>
    </row>
    <row r="12" spans="1:33" ht="17.25" thickBot="1">
      <c r="A12" s="248"/>
      <c r="B12" s="249"/>
      <c r="C12" s="90" t="s">
        <v>31</v>
      </c>
      <c r="D12" s="90" t="s">
        <v>32</v>
      </c>
      <c r="E12" s="91" t="s">
        <v>31</v>
      </c>
      <c r="F12" s="128" t="s">
        <v>31</v>
      </c>
      <c r="G12" s="129" t="s">
        <v>31</v>
      </c>
      <c r="H12" s="64"/>
      <c r="Q12" s="258"/>
      <c r="R12" s="94">
        <v>212</v>
      </c>
      <c r="S12" s="107">
        <v>5.4124999999999996</v>
      </c>
      <c r="T12" s="108">
        <v>6.2135500000000006</v>
      </c>
      <c r="U12" s="109">
        <v>7.0362499999999999</v>
      </c>
      <c r="W12" s="258"/>
      <c r="X12" s="130">
        <v>212</v>
      </c>
      <c r="Y12" s="131">
        <f t="shared" si="3"/>
        <v>7.1771157249999993</v>
      </c>
      <c r="Z12" s="132">
        <f t="shared" si="3"/>
        <v>8.8683487749999994</v>
      </c>
      <c r="AA12" s="132">
        <f t="shared" si="3"/>
        <v>9.8549013875</v>
      </c>
      <c r="AB12" s="133">
        <f t="shared" si="3"/>
        <v>12.109878787500001</v>
      </c>
    </row>
    <row r="13" spans="1:33" ht="17.25" thickBot="1">
      <c r="A13" s="134">
        <v>349</v>
      </c>
      <c r="B13" s="135" t="s">
        <v>34</v>
      </c>
      <c r="C13" s="136" t="s">
        <v>31</v>
      </c>
      <c r="D13" s="137" t="s">
        <v>31</v>
      </c>
      <c r="E13" s="138" t="s">
        <v>31</v>
      </c>
      <c r="F13" s="139" t="s">
        <v>32</v>
      </c>
      <c r="G13" s="140" t="s">
        <v>32</v>
      </c>
      <c r="H13" s="64"/>
      <c r="Q13" s="257" t="s">
        <v>3</v>
      </c>
      <c r="R13" s="94" t="s">
        <v>57</v>
      </c>
      <c r="S13" s="259">
        <v>2.88</v>
      </c>
      <c r="T13" s="260"/>
      <c r="U13" s="261"/>
      <c r="W13" s="257" t="s">
        <v>58</v>
      </c>
      <c r="X13" s="113" t="s">
        <v>57</v>
      </c>
      <c r="Y13" s="114">
        <f t="shared" ref="Y13:AB14" si="4">$S13*(1+AD$3)</f>
        <v>2.9376575999999996</v>
      </c>
      <c r="Z13" s="108">
        <f t="shared" si="4"/>
        <v>3.6298944</v>
      </c>
      <c r="AA13" s="108">
        <f t="shared" si="4"/>
        <v>4.0336992</v>
      </c>
      <c r="AB13" s="109">
        <f t="shared" si="4"/>
        <v>4.9566816000000005</v>
      </c>
    </row>
    <row r="14" spans="1:33" ht="17.25" thickBot="1">
      <c r="A14" s="250" t="s">
        <v>40</v>
      </c>
      <c r="B14" s="251"/>
      <c r="C14" s="110" t="s">
        <v>41</v>
      </c>
      <c r="D14" s="117">
        <v>1.74</v>
      </c>
      <c r="E14" s="111">
        <f>$D14*(1+E11)</f>
        <v>2.262</v>
      </c>
      <c r="F14" s="111">
        <f>$D14*(1+F11)</f>
        <v>2.4359999999999999</v>
      </c>
      <c r="G14" s="112">
        <f>$D14*(1+G11)</f>
        <v>2.61</v>
      </c>
      <c r="H14" s="75"/>
      <c r="Q14" s="258"/>
      <c r="R14" s="94" t="s">
        <v>59</v>
      </c>
      <c r="S14" s="259">
        <v>7.0449999999999999</v>
      </c>
      <c r="T14" s="260"/>
      <c r="U14" s="261"/>
      <c r="W14" s="258"/>
      <c r="X14" s="130" t="s">
        <v>60</v>
      </c>
      <c r="Y14" s="131">
        <f t="shared" si="4"/>
        <v>7.1860408999999992</v>
      </c>
      <c r="Z14" s="132">
        <f t="shared" si="4"/>
        <v>8.879377100000001</v>
      </c>
      <c r="AA14" s="132">
        <f t="shared" si="4"/>
        <v>9.8671565500000007</v>
      </c>
      <c r="AB14" s="133">
        <f t="shared" si="4"/>
        <v>12.12493815</v>
      </c>
    </row>
    <row r="15" spans="1:33" ht="17.25" thickBot="1">
      <c r="A15" s="115">
        <v>8</v>
      </c>
      <c r="B15" s="116" t="s">
        <v>47</v>
      </c>
      <c r="C15" s="110" t="s">
        <v>61</v>
      </c>
      <c r="D15" s="117">
        <f>D14/$A15</f>
        <v>0.2175</v>
      </c>
      <c r="E15" s="111">
        <f>E14/$A15</f>
        <v>0.28275</v>
      </c>
      <c r="F15" s="118">
        <f>F14/$A15</f>
        <v>0.30449999999999999</v>
      </c>
      <c r="G15" s="112">
        <f>G14/$A15</f>
        <v>0.32624999999999998</v>
      </c>
      <c r="H15" s="64"/>
      <c r="I15" s="141"/>
      <c r="J15" s="141"/>
      <c r="Q15" s="106" t="s">
        <v>62</v>
      </c>
      <c r="R15" s="94" t="s">
        <v>63</v>
      </c>
      <c r="S15" s="107">
        <v>1.8135000000000001</v>
      </c>
      <c r="T15" s="108">
        <v>1.9111500000000001</v>
      </c>
      <c r="U15" s="109">
        <v>2.0227499999999998</v>
      </c>
      <c r="W15" s="106" t="s">
        <v>62</v>
      </c>
      <c r="X15" s="113" t="s">
        <v>63</v>
      </c>
      <c r="Y15" s="114">
        <f t="shared" ref="Y15:AB16" si="5">$U15*(1+AD$3)</f>
        <v>2.0632454549999997</v>
      </c>
      <c r="Z15" s="108">
        <f t="shared" si="5"/>
        <v>2.5494336449999997</v>
      </c>
      <c r="AA15" s="108">
        <f t="shared" si="5"/>
        <v>2.8330434224999999</v>
      </c>
      <c r="AB15" s="109">
        <f t="shared" si="5"/>
        <v>3.4812943425</v>
      </c>
    </row>
    <row r="16" spans="1:33" ht="17.25" thickBot="1">
      <c r="H16" s="64"/>
      <c r="I16" s="141"/>
      <c r="J16" s="141"/>
      <c r="K16" s="70"/>
      <c r="Q16" s="257" t="s">
        <v>64</v>
      </c>
      <c r="R16" s="94" t="s">
        <v>65</v>
      </c>
      <c r="S16" s="107">
        <v>11.182500000000001</v>
      </c>
      <c r="T16" s="108">
        <v>13.046250000000001</v>
      </c>
      <c r="U16" s="109">
        <v>14.91</v>
      </c>
      <c r="W16" s="257" t="s">
        <v>64</v>
      </c>
      <c r="X16" s="119" t="s">
        <v>66</v>
      </c>
      <c r="Y16" s="120">
        <f t="shared" si="5"/>
        <v>15.208498199999999</v>
      </c>
      <c r="Z16" s="121">
        <f t="shared" si="5"/>
        <v>18.792265800000003</v>
      </c>
      <c r="AA16" s="121">
        <f t="shared" si="5"/>
        <v>20.882796899999999</v>
      </c>
      <c r="AB16" s="122">
        <f t="shared" si="5"/>
        <v>25.661153700000003</v>
      </c>
    </row>
    <row r="17" spans="1:30" ht="17.25" thickBot="1">
      <c r="A17" s="252" t="s">
        <v>12</v>
      </c>
      <c r="B17" s="253"/>
      <c r="C17" s="71" t="s">
        <v>13</v>
      </c>
      <c r="D17" s="71" t="s">
        <v>14</v>
      </c>
      <c r="E17" s="72" t="s">
        <v>15</v>
      </c>
      <c r="F17" s="73" t="s">
        <v>67</v>
      </c>
      <c r="G17" s="74" t="s">
        <v>17</v>
      </c>
      <c r="H17" s="64"/>
      <c r="I17" s="141"/>
      <c r="J17" s="141"/>
      <c r="K17" s="142"/>
      <c r="L17" s="142"/>
      <c r="M17" s="142"/>
      <c r="N17" s="142"/>
      <c r="O17" s="142"/>
      <c r="Q17" s="258"/>
      <c r="R17" s="94" t="s">
        <v>68</v>
      </c>
      <c r="S17" s="259">
        <v>6.72</v>
      </c>
      <c r="T17" s="260"/>
      <c r="U17" s="261"/>
      <c r="W17" s="258"/>
      <c r="X17" s="130" t="s">
        <v>69</v>
      </c>
      <c r="Y17" s="131">
        <f>$S17*(1+AD$3)</f>
        <v>6.8545343999999995</v>
      </c>
      <c r="Z17" s="143">
        <f>$S17*(1+AE$3)</f>
        <v>8.4697536000000007</v>
      </c>
      <c r="AA17" s="143">
        <f>$S17*(1+AF$3)</f>
        <v>9.4119647999999998</v>
      </c>
      <c r="AB17" s="144">
        <f>$S17*(1+AG$3)</f>
        <v>11.5655904</v>
      </c>
    </row>
    <row r="18" spans="1:30">
      <c r="A18" s="246" t="s">
        <v>45</v>
      </c>
      <c r="B18" s="247"/>
      <c r="C18" s="145" t="s">
        <v>32</v>
      </c>
      <c r="D18" s="145" t="s">
        <v>32</v>
      </c>
      <c r="E18" s="146" t="s">
        <v>32</v>
      </c>
      <c r="F18" s="147" t="s">
        <v>31</v>
      </c>
      <c r="G18" s="148" t="s">
        <v>32</v>
      </c>
      <c r="H18" s="64"/>
      <c r="I18" s="141"/>
      <c r="J18" s="141"/>
      <c r="K18" s="142"/>
      <c r="L18" s="142"/>
      <c r="M18" s="149"/>
      <c r="N18" s="149"/>
      <c r="O18" s="149"/>
      <c r="Q18" s="257" t="s">
        <v>70</v>
      </c>
      <c r="R18" s="94">
        <v>221</v>
      </c>
      <c r="S18" s="107">
        <v>9.5499999999999989</v>
      </c>
      <c r="T18" s="108">
        <v>10.9634</v>
      </c>
      <c r="U18" s="109">
        <v>12.414999999999999</v>
      </c>
      <c r="W18" s="257" t="s">
        <v>70</v>
      </c>
      <c r="X18" s="119">
        <v>221</v>
      </c>
      <c r="Y18" s="120">
        <f t="shared" ref="Y18:AB19" si="6">$U18*(1+AD$3)</f>
        <v>12.663548299999999</v>
      </c>
      <c r="Z18" s="121">
        <f t="shared" si="6"/>
        <v>15.6476177</v>
      </c>
      <c r="AA18" s="121">
        <f t="shared" si="6"/>
        <v>17.38832485</v>
      </c>
      <c r="AB18" s="122">
        <f t="shared" si="6"/>
        <v>21.367084049999999</v>
      </c>
    </row>
    <row r="19" spans="1:30" ht="17.25" thickBot="1">
      <c r="A19" s="248"/>
      <c r="B19" s="249"/>
      <c r="C19" s="150" t="s">
        <v>71</v>
      </c>
      <c r="D19" s="150" t="s">
        <v>72</v>
      </c>
      <c r="E19" s="151">
        <v>0.5</v>
      </c>
      <c r="F19" s="152">
        <v>0.62</v>
      </c>
      <c r="G19" s="153">
        <v>0.75</v>
      </c>
      <c r="H19" s="64"/>
      <c r="I19" s="141"/>
      <c r="J19" s="141"/>
      <c r="K19" s="142"/>
      <c r="L19" s="142"/>
      <c r="M19" s="149"/>
      <c r="N19" s="154"/>
      <c r="O19" s="154"/>
      <c r="Q19" s="258"/>
      <c r="R19" s="94">
        <v>222</v>
      </c>
      <c r="S19" s="107">
        <v>4.7749999999999995</v>
      </c>
      <c r="T19" s="108">
        <v>5.4817</v>
      </c>
      <c r="U19" s="109">
        <v>6.2074999999999996</v>
      </c>
      <c r="W19" s="258"/>
      <c r="X19" s="130">
        <v>222</v>
      </c>
      <c r="Y19" s="131">
        <f t="shared" si="6"/>
        <v>6.3317741499999993</v>
      </c>
      <c r="Z19" s="132">
        <f t="shared" si="6"/>
        <v>7.8238088499999998</v>
      </c>
      <c r="AA19" s="132">
        <f t="shared" si="6"/>
        <v>8.694162425</v>
      </c>
      <c r="AB19" s="133">
        <f t="shared" si="6"/>
        <v>10.683542024999999</v>
      </c>
    </row>
    <row r="20" spans="1:30" ht="17.25" thickBot="1">
      <c r="A20" s="134">
        <v>349</v>
      </c>
      <c r="B20" s="135" t="s">
        <v>73</v>
      </c>
      <c r="C20" s="136" t="s">
        <v>31</v>
      </c>
      <c r="D20" s="137" t="s">
        <v>32</v>
      </c>
      <c r="E20" s="138" t="s">
        <v>32</v>
      </c>
      <c r="F20" s="139" t="s">
        <v>32</v>
      </c>
      <c r="G20" s="140" t="s">
        <v>32</v>
      </c>
      <c r="H20" s="64"/>
      <c r="I20" s="141"/>
      <c r="J20" s="141"/>
      <c r="K20" s="142"/>
      <c r="L20" s="142"/>
      <c r="M20" s="149"/>
      <c r="N20" s="149"/>
      <c r="O20" s="149"/>
      <c r="Q20" s="106" t="s">
        <v>4</v>
      </c>
      <c r="R20" s="94" t="s">
        <v>74</v>
      </c>
      <c r="S20" s="278">
        <v>2.4849999999999999</v>
      </c>
      <c r="T20" s="279"/>
      <c r="U20" s="280"/>
      <c r="W20" s="106" t="s">
        <v>4</v>
      </c>
      <c r="X20" s="113" t="s">
        <v>63</v>
      </c>
      <c r="Y20" s="114">
        <f t="shared" ref="Y20:AB22" si="7">$S20*(1+AD$3)</f>
        <v>2.5347496999999999</v>
      </c>
      <c r="Z20" s="107">
        <f t="shared" si="7"/>
        <v>3.1320443</v>
      </c>
      <c r="AA20" s="107">
        <f t="shared" si="7"/>
        <v>3.4804661499999998</v>
      </c>
      <c r="AB20" s="123">
        <f t="shared" si="7"/>
        <v>4.2768589500000003</v>
      </c>
    </row>
    <row r="21" spans="1:30" ht="17.25" thickBot="1">
      <c r="A21" s="250" t="s">
        <v>40</v>
      </c>
      <c r="B21" s="251"/>
      <c r="C21" s="110" t="s">
        <v>42</v>
      </c>
      <c r="D21" s="117">
        <v>1.04</v>
      </c>
      <c r="E21" s="111">
        <f>$D$21*(1+E19)</f>
        <v>1.56</v>
      </c>
      <c r="F21" s="111">
        <f>$D$21*(1+F19)</f>
        <v>1.6848000000000001</v>
      </c>
      <c r="G21" s="112">
        <f>$D$21*(1+G19)</f>
        <v>1.82</v>
      </c>
      <c r="H21" s="75"/>
      <c r="I21" s="141"/>
      <c r="J21" s="141"/>
      <c r="K21" s="142"/>
      <c r="L21" s="155"/>
      <c r="M21" s="155"/>
      <c r="N21" s="155"/>
      <c r="O21" s="155"/>
      <c r="Q21" s="257" t="s">
        <v>75</v>
      </c>
      <c r="R21" s="94" t="s">
        <v>76</v>
      </c>
      <c r="S21" s="259">
        <v>2.9750000000000001</v>
      </c>
      <c r="T21" s="260"/>
      <c r="U21" s="261"/>
      <c r="W21" s="257" t="s">
        <v>77</v>
      </c>
      <c r="X21" s="113" t="s">
        <v>78</v>
      </c>
      <c r="Y21" s="114">
        <f t="shared" si="7"/>
        <v>3.0345594999999999</v>
      </c>
      <c r="Z21" s="108">
        <f t="shared" si="7"/>
        <v>3.7496305000000003</v>
      </c>
      <c r="AA21" s="108">
        <f t="shared" si="7"/>
        <v>4.1667552500000005</v>
      </c>
      <c r="AB21" s="109">
        <f t="shared" si="7"/>
        <v>5.1201832500000002</v>
      </c>
    </row>
    <row r="22" spans="1:30" ht="17.25" thickBot="1">
      <c r="A22" s="115">
        <v>8</v>
      </c>
      <c r="B22" s="116" t="s">
        <v>47</v>
      </c>
      <c r="C22" s="110" t="s">
        <v>61</v>
      </c>
      <c r="D22" s="117">
        <f>D21/$A22</f>
        <v>0.13</v>
      </c>
      <c r="E22" s="111">
        <f>E21/$A22</f>
        <v>0.19500000000000001</v>
      </c>
      <c r="F22" s="118">
        <f>F21/$A22</f>
        <v>0.21060000000000001</v>
      </c>
      <c r="G22" s="112">
        <f>G21/$A22</f>
        <v>0.22750000000000001</v>
      </c>
      <c r="H22" s="64"/>
      <c r="I22" s="141"/>
      <c r="J22" s="141"/>
      <c r="K22" s="142"/>
      <c r="L22" s="155"/>
      <c r="M22" s="155"/>
      <c r="N22" s="155"/>
      <c r="O22" s="155"/>
      <c r="Q22" s="258"/>
      <c r="R22" s="94" t="s">
        <v>79</v>
      </c>
      <c r="S22" s="259">
        <v>3.57</v>
      </c>
      <c r="T22" s="260"/>
      <c r="U22" s="261"/>
      <c r="W22" s="258"/>
      <c r="X22" s="124" t="s">
        <v>79</v>
      </c>
      <c r="Y22" s="125">
        <f t="shared" si="7"/>
        <v>3.6414713999999995</v>
      </c>
      <c r="Z22" s="156">
        <f t="shared" si="7"/>
        <v>4.4995566</v>
      </c>
      <c r="AA22" s="156">
        <f t="shared" si="7"/>
        <v>5.0001062999999997</v>
      </c>
      <c r="AB22" s="157">
        <f t="shared" si="7"/>
        <v>6.1442199000000004</v>
      </c>
      <c r="AD22" s="158"/>
    </row>
    <row r="23" spans="1:30" ht="17.25" thickBot="1">
      <c r="C23" s="159"/>
      <c r="E23" s="70"/>
      <c r="H23" s="64"/>
      <c r="I23" s="141"/>
      <c r="J23" s="141"/>
      <c r="M23" s="64"/>
      <c r="Q23" s="257" t="s">
        <v>80</v>
      </c>
      <c r="R23" s="94" t="s">
        <v>81</v>
      </c>
      <c r="S23" s="107">
        <v>4.2250000000000005</v>
      </c>
      <c r="T23" s="108">
        <v>4.4525000000000006</v>
      </c>
      <c r="U23" s="109">
        <v>4.7125000000000004</v>
      </c>
      <c r="W23" s="257" t="s">
        <v>80</v>
      </c>
      <c r="X23" s="160" t="s">
        <v>82</v>
      </c>
      <c r="Y23" s="125">
        <f>$U23*(1+AD$3)</f>
        <v>4.8068442500000002</v>
      </c>
      <c r="Z23" s="156">
        <f>$U23*(1+AE$3)</f>
        <v>5.9395407500000008</v>
      </c>
      <c r="AA23" s="156">
        <f>$U23*(1+AF$3)</f>
        <v>6.6002803750000005</v>
      </c>
      <c r="AB23" s="157">
        <f>$U23*(1+AG$3)</f>
        <v>8.1105423750000014</v>
      </c>
      <c r="AD23" s="158"/>
    </row>
    <row r="24" spans="1:30" ht="17.25" thickBot="1">
      <c r="A24" s="252" t="s">
        <v>12</v>
      </c>
      <c r="B24" s="253"/>
      <c r="C24" s="71" t="s">
        <v>13</v>
      </c>
      <c r="D24" s="71" t="s">
        <v>14</v>
      </c>
      <c r="E24" s="72" t="s">
        <v>15</v>
      </c>
      <c r="F24" s="73" t="s">
        <v>16</v>
      </c>
      <c r="G24" s="74" t="s">
        <v>17</v>
      </c>
      <c r="H24" s="64"/>
      <c r="Q24" s="258"/>
      <c r="R24" s="94" t="s">
        <v>54</v>
      </c>
      <c r="S24" s="259">
        <v>3.2500000000000004</v>
      </c>
      <c r="T24" s="260"/>
      <c r="U24" s="261"/>
      <c r="W24" s="258"/>
      <c r="X24" s="94" t="s">
        <v>54</v>
      </c>
      <c r="Y24" s="114">
        <f>$S24*(1+AD$3)</f>
        <v>3.3150650000000002</v>
      </c>
      <c r="Z24" s="107">
        <f>$S24*(1+AE$3)</f>
        <v>4.096235000000001</v>
      </c>
      <c r="AA24" s="107">
        <f>$S24*(1+AF$3)</f>
        <v>4.5519175000000009</v>
      </c>
      <c r="AB24" s="123">
        <f>$S24*(1+AG$3)</f>
        <v>5.5934775000000014</v>
      </c>
    </row>
    <row r="25" spans="1:30">
      <c r="A25" s="246" t="s">
        <v>83</v>
      </c>
      <c r="B25" s="247"/>
      <c r="C25" s="78" t="s">
        <v>25</v>
      </c>
      <c r="D25" s="78" t="s">
        <v>84</v>
      </c>
      <c r="E25" s="161">
        <v>2</v>
      </c>
      <c r="F25" s="162">
        <v>2</v>
      </c>
      <c r="G25" s="163">
        <v>2</v>
      </c>
      <c r="H25" s="64"/>
      <c r="Q25" s="106" t="s">
        <v>85</v>
      </c>
      <c r="R25" s="164" t="s">
        <v>86</v>
      </c>
      <c r="S25" s="165">
        <v>12.224</v>
      </c>
      <c r="T25" s="166">
        <v>13.256</v>
      </c>
      <c r="U25" s="167">
        <v>14.288</v>
      </c>
      <c r="W25" s="106" t="s">
        <v>85</v>
      </c>
      <c r="X25" s="144" t="s">
        <v>87</v>
      </c>
      <c r="Y25" s="131">
        <f>($U25-14)*(1+AD$3)+14</f>
        <v>14.293765759999999</v>
      </c>
      <c r="Z25" s="143">
        <f>($U25-14)*(1+AE$3)+14</f>
        <v>14.36298944</v>
      </c>
      <c r="AA25" s="143">
        <f>($U25-14)*(1+AF$3)+14</f>
        <v>14.403369920000001</v>
      </c>
      <c r="AB25" s="144">
        <f>($U25-14)*(1+AG$3)+14</f>
        <v>14.495668160000001</v>
      </c>
    </row>
    <row r="26" spans="1:30" ht="17.25" thickBot="1">
      <c r="A26" s="248"/>
      <c r="B26" s="249"/>
      <c r="C26" s="90" t="s">
        <v>30</v>
      </c>
      <c r="D26" s="90" t="s">
        <v>88</v>
      </c>
      <c r="E26" s="91" t="s">
        <v>31</v>
      </c>
      <c r="F26" s="168" t="s">
        <v>89</v>
      </c>
      <c r="G26" s="169" t="s">
        <v>90</v>
      </c>
      <c r="H26" s="64"/>
      <c r="Q26" s="257" t="s">
        <v>91</v>
      </c>
      <c r="R26" s="94" t="s">
        <v>92</v>
      </c>
      <c r="S26" s="107">
        <v>9.8550000000000004</v>
      </c>
      <c r="T26" s="108">
        <v>11.4975</v>
      </c>
      <c r="U26" s="109">
        <v>13.14</v>
      </c>
      <c r="W26" s="257" t="s">
        <v>93</v>
      </c>
      <c r="X26" s="119" t="s">
        <v>92</v>
      </c>
      <c r="Y26" s="120">
        <f t="shared" ref="Y26:AB29" si="8">$U26*(1+AD$3)</f>
        <v>13.403062799999999</v>
      </c>
      <c r="Z26" s="121">
        <f t="shared" si="8"/>
        <v>16.561393200000001</v>
      </c>
      <c r="AA26" s="121">
        <f t="shared" si="8"/>
        <v>18.403752600000001</v>
      </c>
      <c r="AB26" s="122">
        <f t="shared" si="8"/>
        <v>22.614859800000001</v>
      </c>
    </row>
    <row r="27" spans="1:30" ht="17.25" thickBot="1">
      <c r="A27" s="134">
        <v>469</v>
      </c>
      <c r="B27" s="135" t="s">
        <v>34</v>
      </c>
      <c r="C27" s="101" t="s">
        <v>35</v>
      </c>
      <c r="D27" s="102" t="s">
        <v>94</v>
      </c>
      <c r="E27" s="170">
        <v>2</v>
      </c>
      <c r="F27" s="171">
        <v>2.5</v>
      </c>
      <c r="G27" s="172">
        <v>3</v>
      </c>
      <c r="H27" s="64"/>
      <c r="Q27" s="258"/>
      <c r="R27" s="94" t="s">
        <v>95</v>
      </c>
      <c r="S27" s="173">
        <v>9.8550000000000004</v>
      </c>
      <c r="T27" s="108">
        <v>11.4975</v>
      </c>
      <c r="U27" s="109">
        <v>13.14</v>
      </c>
      <c r="W27" s="258"/>
      <c r="X27" s="119" t="s">
        <v>96</v>
      </c>
      <c r="Y27" s="120">
        <f t="shared" si="8"/>
        <v>13.403062799999999</v>
      </c>
      <c r="Z27" s="121">
        <f t="shared" si="8"/>
        <v>16.561393200000001</v>
      </c>
      <c r="AA27" s="121">
        <f t="shared" si="8"/>
        <v>18.403752600000001</v>
      </c>
      <c r="AB27" s="122">
        <f t="shared" si="8"/>
        <v>22.614859800000001</v>
      </c>
    </row>
    <row r="28" spans="1:30" ht="17.25" thickBot="1">
      <c r="A28" s="250" t="s">
        <v>40</v>
      </c>
      <c r="B28" s="251"/>
      <c r="C28" s="110" t="s">
        <v>42</v>
      </c>
      <c r="D28" s="117">
        <f>0.428*5</f>
        <v>2.14</v>
      </c>
      <c r="E28" s="111">
        <f>$D$28*(1+E27)*(5+E25)/5</f>
        <v>8.9879999999999995</v>
      </c>
      <c r="F28" s="111">
        <f>$D$28*(1+F27)*(5+F25)/5</f>
        <v>10.486000000000001</v>
      </c>
      <c r="G28" s="112">
        <f>$D$28*(1+G27)*(5+G25)/5</f>
        <v>11.984</v>
      </c>
      <c r="H28" s="75"/>
      <c r="Q28" s="257" t="s">
        <v>97</v>
      </c>
      <c r="R28" s="94" t="s">
        <v>98</v>
      </c>
      <c r="S28" s="259">
        <v>2.1970000000000001</v>
      </c>
      <c r="T28" s="260"/>
      <c r="U28" s="261"/>
      <c r="W28" s="257" t="s">
        <v>99</v>
      </c>
      <c r="X28" s="130" t="s">
        <v>100</v>
      </c>
      <c r="Y28" s="131">
        <f t="shared" si="8"/>
        <v>0</v>
      </c>
      <c r="Z28" s="132">
        <f t="shared" si="8"/>
        <v>0</v>
      </c>
      <c r="AA28" s="132">
        <f t="shared" si="8"/>
        <v>0</v>
      </c>
      <c r="AB28" s="133">
        <f t="shared" si="8"/>
        <v>0</v>
      </c>
    </row>
    <row r="29" spans="1:30" ht="17.25" thickBot="1">
      <c r="A29" s="115">
        <v>16</v>
      </c>
      <c r="B29" s="116" t="s">
        <v>47</v>
      </c>
      <c r="C29" s="110" t="s">
        <v>101</v>
      </c>
      <c r="D29" s="174">
        <f>D28/$A29</f>
        <v>0.13375000000000001</v>
      </c>
      <c r="E29" s="111">
        <f>E28/$A29</f>
        <v>0.56174999999999997</v>
      </c>
      <c r="F29" s="118">
        <f>F28/$A29</f>
        <v>0.65537500000000004</v>
      </c>
      <c r="G29" s="112">
        <f>G28/$A29</f>
        <v>0.749</v>
      </c>
      <c r="H29" s="64"/>
      <c r="Q29" s="258"/>
      <c r="R29" s="94" t="s">
        <v>102</v>
      </c>
      <c r="S29" s="107">
        <v>5.4930000000000003</v>
      </c>
      <c r="T29" s="108">
        <v>6.3049999999999997</v>
      </c>
      <c r="U29" s="109">
        <v>7.14</v>
      </c>
      <c r="W29" s="258"/>
      <c r="X29" s="130" t="s">
        <v>103</v>
      </c>
      <c r="Y29" s="131">
        <f t="shared" si="8"/>
        <v>7.2829427999999989</v>
      </c>
      <c r="Z29" s="132">
        <f t="shared" si="8"/>
        <v>8.9991132</v>
      </c>
      <c r="AA29" s="132">
        <f t="shared" si="8"/>
        <v>10.000212599999999</v>
      </c>
      <c r="AB29" s="133">
        <f t="shared" si="8"/>
        <v>12.288439800000001</v>
      </c>
    </row>
    <row r="30" spans="1:30" ht="17.25" thickBot="1">
      <c r="H30" s="64"/>
      <c r="I30"/>
      <c r="Q30" s="175" t="s">
        <v>104</v>
      </c>
      <c r="R30" s="94" t="s">
        <v>105</v>
      </c>
      <c r="S30" s="259">
        <v>3.6</v>
      </c>
      <c r="T30" s="260"/>
      <c r="U30" s="261"/>
      <c r="W30" s="176" t="s">
        <v>106</v>
      </c>
      <c r="X30" s="86" t="s">
        <v>107</v>
      </c>
      <c r="Y30" s="177">
        <f>$S30*(1+AD$3)</f>
        <v>3.672072</v>
      </c>
      <c r="Z30" s="178">
        <f t="shared" ref="Z30:AB30" si="9">$S30*(1+AE$3)</f>
        <v>4.5373680000000007</v>
      </c>
      <c r="AA30" s="178">
        <f t="shared" si="9"/>
        <v>5.0421240000000003</v>
      </c>
      <c r="AB30" s="179">
        <f t="shared" si="9"/>
        <v>6.1958520000000004</v>
      </c>
    </row>
    <row r="31" spans="1:30" ht="17.25" thickBot="1">
      <c r="A31" s="252" t="s">
        <v>12</v>
      </c>
      <c r="B31" s="253"/>
      <c r="C31" s="71" t="s">
        <v>13</v>
      </c>
      <c r="D31" s="71" t="s">
        <v>14</v>
      </c>
      <c r="E31" s="72" t="s">
        <v>15</v>
      </c>
      <c r="F31" s="73" t="s">
        <v>16</v>
      </c>
      <c r="G31" s="74" t="s">
        <v>108</v>
      </c>
      <c r="H31" s="64"/>
      <c r="I31"/>
      <c r="Q31" s="175" t="s">
        <v>109</v>
      </c>
      <c r="R31" s="94" t="s">
        <v>105</v>
      </c>
      <c r="S31" s="259">
        <v>4.08</v>
      </c>
      <c r="T31" s="260"/>
      <c r="U31" s="261"/>
      <c r="W31" s="176" t="s">
        <v>110</v>
      </c>
      <c r="X31" s="86" t="s">
        <v>105</v>
      </c>
      <c r="Y31" s="177">
        <f>$S31*(1+AD$3)</f>
        <v>4.1616815999999996</v>
      </c>
      <c r="Z31" s="178">
        <f t="shared" ref="Z31:AB32" si="10">$S31*(1+AE$3)</f>
        <v>5.1423504000000007</v>
      </c>
      <c r="AA31" s="178">
        <f t="shared" si="10"/>
        <v>5.7144072000000001</v>
      </c>
      <c r="AB31" s="179">
        <f t="shared" si="10"/>
        <v>7.0219656000000006</v>
      </c>
    </row>
    <row r="32" spans="1:30" ht="17.25" thickBot="1">
      <c r="A32" s="246" t="s">
        <v>99</v>
      </c>
      <c r="B32" s="247"/>
      <c r="C32" s="78" t="s">
        <v>25</v>
      </c>
      <c r="D32" s="78" t="s">
        <v>111</v>
      </c>
      <c r="E32" s="180">
        <v>4</v>
      </c>
      <c r="F32" s="162">
        <v>5.4</v>
      </c>
      <c r="G32" s="163">
        <v>7</v>
      </c>
      <c r="H32" s="64"/>
      <c r="I32"/>
      <c r="Q32" s="181" t="s">
        <v>112</v>
      </c>
      <c r="R32" s="182" t="s">
        <v>113</v>
      </c>
      <c r="S32" s="262">
        <v>0.16</v>
      </c>
      <c r="T32" s="263"/>
      <c r="U32" s="264"/>
      <c r="W32" s="181" t="s">
        <v>112</v>
      </c>
      <c r="X32" s="183" t="s">
        <v>113</v>
      </c>
      <c r="Y32" s="184">
        <f>$S32*(1+AD$3)</f>
        <v>0.16320319999999999</v>
      </c>
      <c r="Z32" s="185">
        <f t="shared" si="10"/>
        <v>0.2016608</v>
      </c>
      <c r="AA32" s="185">
        <f t="shared" si="10"/>
        <v>0.2240944</v>
      </c>
      <c r="AB32" s="186">
        <f t="shared" si="10"/>
        <v>0.27537120000000004</v>
      </c>
    </row>
    <row r="33" spans="1:28" ht="17.25" thickBot="1">
      <c r="A33" s="248"/>
      <c r="B33" s="249"/>
      <c r="C33" s="90" t="s">
        <v>30</v>
      </c>
      <c r="D33" s="90" t="s">
        <v>89</v>
      </c>
      <c r="E33" s="91" t="s">
        <v>114</v>
      </c>
      <c r="F33" s="168" t="s">
        <v>31</v>
      </c>
      <c r="G33" s="169" t="s">
        <v>31</v>
      </c>
      <c r="H33" s="64"/>
      <c r="I33"/>
    </row>
    <row r="34" spans="1:28" ht="17.25" thickBot="1">
      <c r="A34" s="134">
        <v>521</v>
      </c>
      <c r="B34" s="135" t="s">
        <v>115</v>
      </c>
      <c r="C34" s="101" t="s">
        <v>35</v>
      </c>
      <c r="D34" s="102" t="s">
        <v>116</v>
      </c>
      <c r="E34" s="170">
        <v>1.5</v>
      </c>
      <c r="F34" s="171">
        <v>1.87</v>
      </c>
      <c r="G34" s="172">
        <v>2.25</v>
      </c>
      <c r="H34" s="64"/>
      <c r="I34"/>
    </row>
    <row r="35" spans="1:28" ht="17.25" thickBot="1">
      <c r="A35" s="250" t="s">
        <v>40</v>
      </c>
      <c r="B35" s="251"/>
      <c r="C35" s="110" t="s">
        <v>42</v>
      </c>
      <c r="D35" s="117">
        <v>2.1970000000000001</v>
      </c>
      <c r="E35" s="111">
        <f>$D$35*(1+E34)</f>
        <v>5.4924999999999997</v>
      </c>
      <c r="F35" s="111">
        <f t="shared" ref="F35" si="11">$D$35*(1+F34)</f>
        <v>6.3053900000000001</v>
      </c>
      <c r="G35" s="111">
        <f>$D$35*(1+G34)</f>
        <v>7.14025</v>
      </c>
      <c r="H35" s="75"/>
      <c r="I35"/>
    </row>
    <row r="36" spans="1:28" ht="17.25" thickBot="1">
      <c r="A36" s="115">
        <v>21</v>
      </c>
      <c r="B36" s="116" t="s">
        <v>47</v>
      </c>
      <c r="C36" s="110" t="s">
        <v>117</v>
      </c>
      <c r="D36" s="117">
        <f>D35/$A36</f>
        <v>0.10461904761904763</v>
      </c>
      <c r="E36" s="111">
        <f>E35/($A36-E32)</f>
        <v>0.32308823529411762</v>
      </c>
      <c r="F36" s="118">
        <f>F35/($A36-F32)</f>
        <v>0.40419166666666667</v>
      </c>
      <c r="G36" s="112">
        <f>G35/($A36-G32)</f>
        <v>0.51001785714285719</v>
      </c>
      <c r="H36" s="64"/>
      <c r="I36"/>
      <c r="Q36" s="265" t="s">
        <v>118</v>
      </c>
      <c r="R36" s="266"/>
      <c r="S36" s="266"/>
      <c r="T36" s="266"/>
      <c r="U36" s="267"/>
      <c r="W36" s="268" t="s">
        <v>119</v>
      </c>
      <c r="X36" s="269"/>
      <c r="Y36" s="269"/>
      <c r="Z36" s="269"/>
      <c r="AA36" s="269"/>
      <c r="AB36" s="270"/>
    </row>
    <row r="37" spans="1:28" ht="17.25" thickBot="1">
      <c r="H37" s="64"/>
      <c r="I37"/>
      <c r="Q37" s="71" t="s">
        <v>120</v>
      </c>
      <c r="R37" s="71" t="s">
        <v>19</v>
      </c>
      <c r="S37" s="72" t="s">
        <v>121</v>
      </c>
      <c r="T37" s="73" t="s">
        <v>122</v>
      </c>
      <c r="U37" s="76" t="s">
        <v>17</v>
      </c>
      <c r="W37" s="71" t="s">
        <v>123</v>
      </c>
      <c r="X37" s="74" t="s">
        <v>124</v>
      </c>
      <c r="Y37" s="72" t="s">
        <v>125</v>
      </c>
      <c r="Z37" s="73" t="s">
        <v>21</v>
      </c>
      <c r="AA37" s="73" t="s">
        <v>22</v>
      </c>
      <c r="AB37" s="76" t="s">
        <v>126</v>
      </c>
    </row>
    <row r="38" spans="1:28" ht="17.25" thickBot="1">
      <c r="A38" s="252" t="s">
        <v>12</v>
      </c>
      <c r="B38" s="253"/>
      <c r="C38" s="71" t="s">
        <v>13</v>
      </c>
      <c r="D38" s="71" t="s">
        <v>14</v>
      </c>
      <c r="E38" s="72" t="s">
        <v>127</v>
      </c>
      <c r="F38" s="73" t="s">
        <v>67</v>
      </c>
      <c r="G38" s="74" t="s">
        <v>17</v>
      </c>
      <c r="H38" s="64"/>
      <c r="I38" s="252" t="s">
        <v>12</v>
      </c>
      <c r="J38" s="253"/>
      <c r="K38" s="71" t="s">
        <v>13</v>
      </c>
      <c r="L38" s="71" t="s">
        <v>14</v>
      </c>
      <c r="M38" s="72" t="s">
        <v>121</v>
      </c>
      <c r="N38" s="73" t="s">
        <v>122</v>
      </c>
      <c r="O38" s="74" t="s">
        <v>17</v>
      </c>
      <c r="Q38" s="258" t="s">
        <v>28</v>
      </c>
      <c r="R38" s="85" t="s">
        <v>128</v>
      </c>
      <c r="S38" s="272">
        <v>0.32999999999999996</v>
      </c>
      <c r="T38" s="273">
        <v>0.35869565217391303</v>
      </c>
      <c r="U38" s="274">
        <v>0.41249999999999998</v>
      </c>
      <c r="W38" s="258" t="s">
        <v>129</v>
      </c>
      <c r="X38" s="86" t="s">
        <v>130</v>
      </c>
      <c r="Y38" s="87">
        <f>$U38*(1+AD$3)</f>
        <v>0.42075824999999994</v>
      </c>
      <c r="Z38" s="88">
        <f>$U38*(1+AE$3)</f>
        <v>0.51990674999999997</v>
      </c>
      <c r="AA38" s="88">
        <f>$U38*(1+AF$3)</f>
        <v>0.57774337499999995</v>
      </c>
      <c r="AB38" s="89">
        <f>$U38*(1+AG$3)</f>
        <v>0.70994137499999999</v>
      </c>
    </row>
    <row r="39" spans="1:28">
      <c r="A39" s="246" t="s">
        <v>131</v>
      </c>
      <c r="B39" s="247"/>
      <c r="C39" s="187" t="s">
        <v>25</v>
      </c>
      <c r="D39" s="187" t="s">
        <v>26</v>
      </c>
      <c r="E39" s="188">
        <v>2</v>
      </c>
      <c r="F39" s="189">
        <v>3.4</v>
      </c>
      <c r="G39" s="190">
        <v>5</v>
      </c>
      <c r="H39" s="64"/>
      <c r="I39" s="246" t="s">
        <v>132</v>
      </c>
      <c r="J39" s="247"/>
      <c r="K39" s="187" t="s">
        <v>25</v>
      </c>
      <c r="L39" s="187" t="s">
        <v>133</v>
      </c>
      <c r="M39" s="188">
        <v>2</v>
      </c>
      <c r="N39" s="189">
        <v>3.4</v>
      </c>
      <c r="O39" s="190">
        <v>5</v>
      </c>
      <c r="Q39" s="271"/>
      <c r="R39" s="94" t="s">
        <v>134</v>
      </c>
      <c r="S39" s="275">
        <v>0.36499999999999999</v>
      </c>
      <c r="T39" s="276"/>
      <c r="U39" s="277"/>
      <c r="W39" s="271"/>
      <c r="X39" s="95" t="s">
        <v>33</v>
      </c>
      <c r="Y39" s="96">
        <f>$S39*(1+AD$3)</f>
        <v>0.37230729999999995</v>
      </c>
      <c r="Z39" s="97">
        <f>$S39*(1+AE$3)</f>
        <v>0.46003870000000002</v>
      </c>
      <c r="AA39" s="97">
        <f>$S39*(1+AF$3)</f>
        <v>0.51121534999999996</v>
      </c>
      <c r="AB39" s="98">
        <f>$S39*(1+AG$3)</f>
        <v>0.62819055000000001</v>
      </c>
    </row>
    <row r="40" spans="1:28" ht="17.25" thickBot="1">
      <c r="A40" s="248"/>
      <c r="B40" s="249"/>
      <c r="C40" s="150" t="s">
        <v>30</v>
      </c>
      <c r="D40" s="150" t="s">
        <v>31</v>
      </c>
      <c r="E40" s="191" t="s">
        <v>32</v>
      </c>
      <c r="F40" s="192" t="s">
        <v>32</v>
      </c>
      <c r="G40" s="193" t="s">
        <v>32</v>
      </c>
      <c r="H40" s="64"/>
      <c r="I40" s="248"/>
      <c r="J40" s="249"/>
      <c r="K40" s="150" t="s">
        <v>30</v>
      </c>
      <c r="L40" s="150" t="s">
        <v>135</v>
      </c>
      <c r="M40" s="191">
        <v>1</v>
      </c>
      <c r="N40" s="192">
        <v>1</v>
      </c>
      <c r="O40" s="193">
        <v>1</v>
      </c>
      <c r="Q40" s="106" t="s">
        <v>37</v>
      </c>
      <c r="R40" s="94" t="s">
        <v>38</v>
      </c>
      <c r="S40" s="107">
        <v>0.28275</v>
      </c>
      <c r="T40" s="108">
        <v>0.30449999999999999</v>
      </c>
      <c r="U40" s="109">
        <v>0.32624999999999998</v>
      </c>
      <c r="W40" s="106" t="s">
        <v>136</v>
      </c>
      <c r="X40" s="95" t="s">
        <v>137</v>
      </c>
      <c r="Y40" s="96">
        <f t="shared" ref="Y40:AB46" si="12">$U40*(1+AD$3)</f>
        <v>0.33278152499999997</v>
      </c>
      <c r="Z40" s="97">
        <f t="shared" si="12"/>
        <v>0.41119897500000002</v>
      </c>
      <c r="AA40" s="97">
        <f t="shared" si="12"/>
        <v>0.45694248749999999</v>
      </c>
      <c r="AB40" s="98">
        <f t="shared" si="12"/>
        <v>0.56149908749999999</v>
      </c>
    </row>
    <row r="41" spans="1:28" ht="17.25" thickBot="1">
      <c r="A41" s="134">
        <v>569</v>
      </c>
      <c r="B41" s="135" t="s">
        <v>138</v>
      </c>
      <c r="C41" s="136" t="s">
        <v>32</v>
      </c>
      <c r="D41" s="137" t="s">
        <v>32</v>
      </c>
      <c r="E41" s="138" t="s">
        <v>32</v>
      </c>
      <c r="F41" s="139" t="s">
        <v>32</v>
      </c>
      <c r="G41" s="140" t="s">
        <v>89</v>
      </c>
      <c r="H41" s="64"/>
      <c r="I41" s="134">
        <v>569</v>
      </c>
      <c r="J41" s="135" t="s">
        <v>73</v>
      </c>
      <c r="K41" s="136" t="s">
        <v>89</v>
      </c>
      <c r="L41" s="137" t="s">
        <v>32</v>
      </c>
      <c r="M41" s="138" t="s">
        <v>32</v>
      </c>
      <c r="N41" s="139" t="s">
        <v>32</v>
      </c>
      <c r="O41" s="140" t="s">
        <v>114</v>
      </c>
      <c r="Q41" s="106" t="s">
        <v>45</v>
      </c>
      <c r="R41" s="94" t="s">
        <v>46</v>
      </c>
      <c r="S41" s="107">
        <v>0.19500000000000001</v>
      </c>
      <c r="T41" s="108">
        <v>0.21060000000000001</v>
      </c>
      <c r="U41" s="109">
        <v>0.22750000000000001</v>
      </c>
      <c r="W41" s="106" t="s">
        <v>45</v>
      </c>
      <c r="X41" s="113" t="s">
        <v>46</v>
      </c>
      <c r="Y41" s="114">
        <f t="shared" si="12"/>
        <v>0.23205455</v>
      </c>
      <c r="Z41" s="108">
        <f t="shared" si="12"/>
        <v>0.28673645000000003</v>
      </c>
      <c r="AA41" s="108">
        <f t="shared" si="12"/>
        <v>0.31863422499999999</v>
      </c>
      <c r="AB41" s="109">
        <f t="shared" si="12"/>
        <v>0.39154342500000006</v>
      </c>
    </row>
    <row r="42" spans="1:28" ht="17.25" thickBot="1">
      <c r="A42" s="250" t="s">
        <v>40</v>
      </c>
      <c r="B42" s="251"/>
      <c r="C42" s="110" t="s">
        <v>41</v>
      </c>
      <c r="D42" s="110">
        <v>2.835</v>
      </c>
      <c r="E42" s="111">
        <f>$D$42</f>
        <v>2.835</v>
      </c>
      <c r="F42" s="111">
        <f>$D$42</f>
        <v>2.835</v>
      </c>
      <c r="G42" s="112">
        <f>$D$42</f>
        <v>2.835</v>
      </c>
      <c r="H42" s="75"/>
      <c r="I42" s="250" t="s">
        <v>40</v>
      </c>
      <c r="J42" s="251"/>
      <c r="K42" s="110" t="s">
        <v>139</v>
      </c>
      <c r="L42" s="110">
        <v>2.835</v>
      </c>
      <c r="M42" s="111">
        <f>$D$42*(3+M40)/3</f>
        <v>3.78</v>
      </c>
      <c r="N42" s="111">
        <f>$D$42*(3+N40)/3</f>
        <v>3.78</v>
      </c>
      <c r="O42" s="112">
        <f>$D$42*(3+O40)/3</f>
        <v>3.78</v>
      </c>
      <c r="Q42" s="106" t="s">
        <v>140</v>
      </c>
      <c r="R42" s="94" t="s">
        <v>79</v>
      </c>
      <c r="S42" s="107">
        <v>0.56174999999999997</v>
      </c>
      <c r="T42" s="108">
        <v>0.65537500000000004</v>
      </c>
      <c r="U42" s="109">
        <v>0.749</v>
      </c>
      <c r="W42" s="106" t="s">
        <v>49</v>
      </c>
      <c r="X42" s="119" t="s">
        <v>79</v>
      </c>
      <c r="Y42" s="120">
        <f t="shared" si="12"/>
        <v>0.76399497999999999</v>
      </c>
      <c r="Z42" s="121">
        <f t="shared" si="12"/>
        <v>0.94402462000000009</v>
      </c>
      <c r="AA42" s="121">
        <f t="shared" si="12"/>
        <v>1.0490419099999999</v>
      </c>
      <c r="AB42" s="122">
        <f t="shared" si="12"/>
        <v>1.28908143</v>
      </c>
    </row>
    <row r="43" spans="1:28" ht="17.25" thickBot="1">
      <c r="A43" s="115">
        <v>24</v>
      </c>
      <c r="B43" s="116" t="s">
        <v>47</v>
      </c>
      <c r="C43" s="110" t="s">
        <v>48</v>
      </c>
      <c r="D43" s="117">
        <f>D42/$A43</f>
        <v>0.11812499999999999</v>
      </c>
      <c r="E43" s="111">
        <f>E42/($A43-E39)</f>
        <v>0.12886363636363637</v>
      </c>
      <c r="F43" s="118">
        <f>F42/($A43-F39)</f>
        <v>0.13762135922330096</v>
      </c>
      <c r="G43" s="112">
        <f>G42/($A43-G39)</f>
        <v>0.14921052631578946</v>
      </c>
      <c r="H43" s="64"/>
      <c r="I43" s="115">
        <v>24</v>
      </c>
      <c r="J43" s="116" t="s">
        <v>47</v>
      </c>
      <c r="K43" s="110" t="s">
        <v>61</v>
      </c>
      <c r="L43" s="117">
        <f>L42/$A43</f>
        <v>0.11812499999999999</v>
      </c>
      <c r="M43" s="111">
        <f>M42/($A43-M39)</f>
        <v>0.17181818181818181</v>
      </c>
      <c r="N43" s="118">
        <f>N42/($A43-N39)</f>
        <v>0.18349514563106795</v>
      </c>
      <c r="O43" s="112">
        <f>O42/($A43-O39)</f>
        <v>0.19894736842105262</v>
      </c>
      <c r="Q43" s="257" t="s">
        <v>52</v>
      </c>
      <c r="R43" s="94" t="s">
        <v>141</v>
      </c>
      <c r="S43" s="107">
        <v>0.12886363636363637</v>
      </c>
      <c r="T43" s="108">
        <v>0.13762135922330096</v>
      </c>
      <c r="U43" s="109">
        <v>0.14921052631578946</v>
      </c>
      <c r="W43" s="257" t="s">
        <v>142</v>
      </c>
      <c r="X43" s="113" t="s">
        <v>38</v>
      </c>
      <c r="Y43" s="114">
        <f t="shared" si="12"/>
        <v>0.15219772105263155</v>
      </c>
      <c r="Z43" s="107">
        <f t="shared" si="12"/>
        <v>0.18806196315789472</v>
      </c>
      <c r="AA43" s="107">
        <f t="shared" si="12"/>
        <v>0.20898277105263155</v>
      </c>
      <c r="AB43" s="123">
        <f t="shared" si="12"/>
        <v>0.25680176052631576</v>
      </c>
    </row>
    <row r="44" spans="1:28" ht="17.25" thickBot="1">
      <c r="H44" s="64"/>
      <c r="Q44" s="258"/>
      <c r="R44" s="94" t="s">
        <v>143</v>
      </c>
      <c r="S44" s="107">
        <v>0.17181818181818181</v>
      </c>
      <c r="T44" s="108">
        <v>0.18349514563106795</v>
      </c>
      <c r="U44" s="109">
        <v>0.19894736842105262</v>
      </c>
      <c r="W44" s="258"/>
      <c r="X44" s="124" t="s">
        <v>53</v>
      </c>
      <c r="Y44" s="125">
        <f t="shared" si="12"/>
        <v>0.20293029473684207</v>
      </c>
      <c r="Z44" s="126">
        <f t="shared" si="12"/>
        <v>0.25074928421052634</v>
      </c>
      <c r="AA44" s="126">
        <f t="shared" si="12"/>
        <v>0.27864369473684208</v>
      </c>
      <c r="AB44" s="127">
        <f t="shared" si="12"/>
        <v>0.34240234736842107</v>
      </c>
    </row>
    <row r="45" spans="1:28" ht="17.25" thickBot="1">
      <c r="A45" s="252" t="s">
        <v>12</v>
      </c>
      <c r="B45" s="253"/>
      <c r="C45" s="71" t="s">
        <v>13</v>
      </c>
      <c r="D45" s="71" t="s">
        <v>14</v>
      </c>
      <c r="E45" s="72" t="s">
        <v>144</v>
      </c>
      <c r="F45" s="73" t="s">
        <v>145</v>
      </c>
      <c r="G45" s="74" t="s">
        <v>146</v>
      </c>
      <c r="H45" s="64"/>
      <c r="I45" s="252" t="s">
        <v>12</v>
      </c>
      <c r="J45" s="253"/>
      <c r="K45" s="71" t="s">
        <v>13</v>
      </c>
      <c r="L45" s="71" t="s">
        <v>14</v>
      </c>
      <c r="M45" s="72" t="s">
        <v>127</v>
      </c>
      <c r="N45" s="73" t="s">
        <v>145</v>
      </c>
      <c r="O45" s="74" t="s">
        <v>147</v>
      </c>
      <c r="Q45" s="257" t="s">
        <v>2</v>
      </c>
      <c r="R45" s="94">
        <v>211</v>
      </c>
      <c r="S45" s="107">
        <v>0.59045454545454534</v>
      </c>
      <c r="T45" s="108">
        <v>0.71012000000000008</v>
      </c>
      <c r="U45" s="109">
        <v>0.84435000000000004</v>
      </c>
      <c r="W45" s="257" t="s">
        <v>148</v>
      </c>
      <c r="X45" s="119">
        <v>211</v>
      </c>
      <c r="Y45" s="120">
        <f t="shared" si="12"/>
        <v>0.86125388699999994</v>
      </c>
      <c r="Z45" s="121">
        <f t="shared" si="12"/>
        <v>1.0642018530000001</v>
      </c>
      <c r="AA45" s="121">
        <f t="shared" si="12"/>
        <v>1.1825881665</v>
      </c>
      <c r="AB45" s="122">
        <f t="shared" si="12"/>
        <v>1.4531854545000003</v>
      </c>
    </row>
    <row r="46" spans="1:28">
      <c r="A46" s="246" t="s">
        <v>2</v>
      </c>
      <c r="B46" s="247"/>
      <c r="C46" s="194" t="s">
        <v>25</v>
      </c>
      <c r="D46" s="194" t="s">
        <v>149</v>
      </c>
      <c r="E46" s="195">
        <v>2</v>
      </c>
      <c r="F46" s="196">
        <v>3</v>
      </c>
      <c r="G46" s="197">
        <v>4</v>
      </c>
      <c r="H46" s="64"/>
      <c r="I46" s="246" t="s">
        <v>150</v>
      </c>
      <c r="J46" s="247"/>
      <c r="K46" s="194" t="s">
        <v>25</v>
      </c>
      <c r="L46" s="194" t="s">
        <v>151</v>
      </c>
      <c r="M46" s="195">
        <v>2</v>
      </c>
      <c r="N46" s="196">
        <v>3</v>
      </c>
      <c r="O46" s="197">
        <v>4</v>
      </c>
      <c r="Q46" s="258"/>
      <c r="R46" s="94">
        <v>212</v>
      </c>
      <c r="S46" s="107">
        <v>0.33828124999999998</v>
      </c>
      <c r="T46" s="108">
        <v>0.4142366666666667</v>
      </c>
      <c r="U46" s="109">
        <v>0.50258928571428574</v>
      </c>
      <c r="W46" s="258"/>
      <c r="X46" s="130">
        <v>212</v>
      </c>
      <c r="Y46" s="131">
        <f t="shared" si="12"/>
        <v>0.51265112321428574</v>
      </c>
      <c r="Z46" s="132">
        <f t="shared" si="12"/>
        <v>0.63345348392857148</v>
      </c>
      <c r="AA46" s="132">
        <f t="shared" si="12"/>
        <v>0.70392152767857141</v>
      </c>
      <c r="AB46" s="133">
        <f t="shared" si="12"/>
        <v>0.86499134196428584</v>
      </c>
    </row>
    <row r="47" spans="1:28" ht="17.25" thickBot="1">
      <c r="A47" s="248"/>
      <c r="B47" s="249"/>
      <c r="C47" s="150" t="s">
        <v>30</v>
      </c>
      <c r="D47" s="150" t="s">
        <v>116</v>
      </c>
      <c r="E47" s="151">
        <v>1.5</v>
      </c>
      <c r="F47" s="198">
        <v>1.87</v>
      </c>
      <c r="G47" s="199">
        <v>2.25</v>
      </c>
      <c r="H47" s="64"/>
      <c r="I47" s="248"/>
      <c r="J47" s="249"/>
      <c r="K47" s="150" t="s">
        <v>30</v>
      </c>
      <c r="L47" s="150" t="s">
        <v>116</v>
      </c>
      <c r="M47" s="151">
        <v>1.5</v>
      </c>
      <c r="N47" s="198">
        <v>1.87</v>
      </c>
      <c r="O47" s="199">
        <v>2.25</v>
      </c>
      <c r="Q47" s="257" t="s">
        <v>3</v>
      </c>
      <c r="R47" s="94" t="s">
        <v>152</v>
      </c>
      <c r="S47" s="259">
        <v>0.12</v>
      </c>
      <c r="T47" s="260"/>
      <c r="U47" s="261"/>
      <c r="W47" s="257" t="s">
        <v>3</v>
      </c>
      <c r="X47" s="113" t="s">
        <v>152</v>
      </c>
      <c r="Y47" s="114">
        <f t="shared" ref="Y47:AB48" si="13">$S47*(1+AD$3)</f>
        <v>0.12240239999999998</v>
      </c>
      <c r="Z47" s="108">
        <f t="shared" si="13"/>
        <v>0.15124560000000001</v>
      </c>
      <c r="AA47" s="108">
        <f t="shared" si="13"/>
        <v>0.16807079999999999</v>
      </c>
      <c r="AB47" s="109">
        <f t="shared" si="13"/>
        <v>0.2065284</v>
      </c>
    </row>
    <row r="48" spans="1:28" ht="17.25" thickBot="1">
      <c r="A48" s="134">
        <v>495</v>
      </c>
      <c r="B48" s="135" t="s">
        <v>153</v>
      </c>
      <c r="C48" s="101" t="s">
        <v>35</v>
      </c>
      <c r="D48" s="102" t="s">
        <v>154</v>
      </c>
      <c r="E48" s="170" t="s">
        <v>155</v>
      </c>
      <c r="F48" s="171" t="s">
        <v>32</v>
      </c>
      <c r="G48" s="200" t="s">
        <v>32</v>
      </c>
      <c r="H48" s="64"/>
      <c r="I48" s="134">
        <v>495</v>
      </c>
      <c r="J48" s="135" t="s">
        <v>115</v>
      </c>
      <c r="K48" s="101" t="s">
        <v>35</v>
      </c>
      <c r="L48" s="102" t="s">
        <v>156</v>
      </c>
      <c r="M48" s="170" t="s">
        <v>157</v>
      </c>
      <c r="N48" s="171" t="s">
        <v>32</v>
      </c>
      <c r="O48" s="200" t="s">
        <v>32</v>
      </c>
      <c r="Q48" s="258"/>
      <c r="R48" s="94" t="s">
        <v>59</v>
      </c>
      <c r="S48" s="259">
        <v>0.29354166666666665</v>
      </c>
      <c r="T48" s="260"/>
      <c r="U48" s="261"/>
      <c r="W48" s="258"/>
      <c r="X48" s="130" t="s">
        <v>158</v>
      </c>
      <c r="Y48" s="131">
        <f t="shared" si="13"/>
        <v>0.29941837083333328</v>
      </c>
      <c r="Z48" s="132">
        <f t="shared" si="13"/>
        <v>0.36997404583333332</v>
      </c>
      <c r="AA48" s="132">
        <f t="shared" si="13"/>
        <v>0.41113152291666666</v>
      </c>
      <c r="AB48" s="133">
        <f t="shared" si="13"/>
        <v>0.50520575624999997</v>
      </c>
    </row>
    <row r="49" spans="1:28" ht="17.25" thickBot="1">
      <c r="A49" s="250" t="s">
        <v>40</v>
      </c>
      <c r="B49" s="251"/>
      <c r="C49" s="110" t="s">
        <v>41</v>
      </c>
      <c r="D49" s="110">
        <f>2.165</f>
        <v>2.165</v>
      </c>
      <c r="E49" s="111">
        <f>$D$49*(1+E47)*2.4</f>
        <v>12.989999999999998</v>
      </c>
      <c r="F49" s="111">
        <f>$D$49*(1+F47)*2.4</f>
        <v>14.912520000000001</v>
      </c>
      <c r="G49" s="112">
        <f>$D$49*(1+G47)*2.4</f>
        <v>16.887</v>
      </c>
      <c r="H49" s="75"/>
      <c r="I49" s="250" t="s">
        <v>40</v>
      </c>
      <c r="J49" s="251"/>
      <c r="K49" s="110" t="s">
        <v>41</v>
      </c>
      <c r="L49" s="110">
        <f>2.165</f>
        <v>2.165</v>
      </c>
      <c r="M49" s="111">
        <f>$L$49*(1+M47)</f>
        <v>5.4124999999999996</v>
      </c>
      <c r="N49" s="111">
        <f>$L$49*(1+N47)</f>
        <v>6.2135500000000006</v>
      </c>
      <c r="O49" s="112">
        <f>$L$49*(1+O47)</f>
        <v>7.0362499999999999</v>
      </c>
      <c r="Q49" s="106" t="s">
        <v>159</v>
      </c>
      <c r="R49" s="94" t="s">
        <v>74</v>
      </c>
      <c r="S49" s="107">
        <v>0.11334375000000001</v>
      </c>
      <c r="T49" s="108">
        <v>0.11944687500000001</v>
      </c>
      <c r="U49" s="109">
        <v>0.12642187499999999</v>
      </c>
      <c r="W49" s="106" t="s">
        <v>159</v>
      </c>
      <c r="X49" s="113" t="s">
        <v>74</v>
      </c>
      <c r="Y49" s="114">
        <f t="shared" ref="Y49:AB54" si="14">$U49*(1+AD$3)</f>
        <v>0.12895284093749998</v>
      </c>
      <c r="Z49" s="108">
        <f t="shared" si="14"/>
        <v>0.15933960281249998</v>
      </c>
      <c r="AA49" s="108">
        <f t="shared" si="14"/>
        <v>0.17706521390624999</v>
      </c>
      <c r="AB49" s="109">
        <f t="shared" si="14"/>
        <v>0.21758089640625</v>
      </c>
    </row>
    <row r="50" spans="1:28" ht="17.25" thickBot="1">
      <c r="A50" s="115">
        <v>18</v>
      </c>
      <c r="B50" s="116" t="s">
        <v>47</v>
      </c>
      <c r="C50" s="110" t="s">
        <v>160</v>
      </c>
      <c r="D50" s="174">
        <f>D49/$A50</f>
        <v>0.12027777777777778</v>
      </c>
      <c r="E50" s="111">
        <f>E49/($A50-E46+6)</f>
        <v>0.59045454545454534</v>
      </c>
      <c r="F50" s="118">
        <f>F49/($A50-F46+6)</f>
        <v>0.71012000000000008</v>
      </c>
      <c r="G50" s="112">
        <f>G49/($A50-G46+6)</f>
        <v>0.84435000000000004</v>
      </c>
      <c r="H50" s="64"/>
      <c r="I50" s="115">
        <v>18</v>
      </c>
      <c r="J50" s="116" t="s">
        <v>47</v>
      </c>
      <c r="K50" s="110" t="s">
        <v>61</v>
      </c>
      <c r="L50" s="174">
        <f>L49/$I50</f>
        <v>0.12027777777777778</v>
      </c>
      <c r="M50" s="111">
        <f>M49/($I50-M46)</f>
        <v>0.33828124999999998</v>
      </c>
      <c r="N50" s="118">
        <f>N49/($I50-N46)</f>
        <v>0.4142366666666667</v>
      </c>
      <c r="O50" s="112">
        <f>O49/($I50-O46)</f>
        <v>0.50258928571428574</v>
      </c>
      <c r="Q50" s="257" t="s">
        <v>64</v>
      </c>
      <c r="R50" s="94" t="s">
        <v>66</v>
      </c>
      <c r="S50" s="107">
        <v>0.41416666666666668</v>
      </c>
      <c r="T50" s="108">
        <v>0.50961914062500002</v>
      </c>
      <c r="U50" s="109">
        <v>0.62124999999999997</v>
      </c>
      <c r="W50" s="257" t="s">
        <v>161</v>
      </c>
      <c r="X50" s="119" t="s">
        <v>66</v>
      </c>
      <c r="Y50" s="120">
        <f t="shared" si="14"/>
        <v>0.63368742499999997</v>
      </c>
      <c r="Z50" s="121">
        <f t="shared" si="14"/>
        <v>0.783011075</v>
      </c>
      <c r="AA50" s="121">
        <f t="shared" si="14"/>
        <v>0.87011653749999995</v>
      </c>
      <c r="AB50" s="122">
        <f t="shared" si="14"/>
        <v>1.0692147375000001</v>
      </c>
    </row>
    <row r="51" spans="1:28" ht="17.25" thickBot="1">
      <c r="H51" s="64"/>
      <c r="I51"/>
      <c r="Q51" s="258"/>
      <c r="R51" s="94" t="s">
        <v>162</v>
      </c>
      <c r="S51" s="201">
        <v>0.24888888888888888</v>
      </c>
      <c r="T51" s="202">
        <v>0.26249999999999996</v>
      </c>
      <c r="U51" s="123">
        <v>0.27999999999999997</v>
      </c>
      <c r="W51" s="258"/>
      <c r="X51" s="130" t="s">
        <v>162</v>
      </c>
      <c r="Y51" s="131">
        <f t="shared" si="14"/>
        <v>0.28560559999999996</v>
      </c>
      <c r="Z51" s="143">
        <f t="shared" si="14"/>
        <v>0.35290639999999995</v>
      </c>
      <c r="AA51" s="143">
        <f t="shared" si="14"/>
        <v>0.39216519999999994</v>
      </c>
      <c r="AB51" s="144">
        <f t="shared" si="14"/>
        <v>0.48189959999999998</v>
      </c>
    </row>
    <row r="52" spans="1:28" ht="17.25" thickBot="1">
      <c r="A52" s="252" t="s">
        <v>12</v>
      </c>
      <c r="B52" s="253"/>
      <c r="C52" s="71" t="s">
        <v>13</v>
      </c>
      <c r="D52" s="71" t="s">
        <v>14</v>
      </c>
      <c r="E52" s="72" t="s">
        <v>163</v>
      </c>
      <c r="F52" s="73" t="s">
        <v>164</v>
      </c>
      <c r="G52" s="74" t="s">
        <v>165</v>
      </c>
      <c r="H52" s="64"/>
      <c r="I52" s="252" t="s">
        <v>12</v>
      </c>
      <c r="J52" s="253"/>
      <c r="K52" s="71" t="s">
        <v>13</v>
      </c>
      <c r="L52" s="71" t="s">
        <v>14</v>
      </c>
      <c r="M52" s="72" t="s">
        <v>166</v>
      </c>
      <c r="N52" s="73" t="s">
        <v>16</v>
      </c>
      <c r="O52" s="74" t="s">
        <v>167</v>
      </c>
      <c r="Q52" s="257" t="s">
        <v>168</v>
      </c>
      <c r="R52" s="94">
        <v>221</v>
      </c>
      <c r="S52" s="107">
        <v>0.68214285714285705</v>
      </c>
      <c r="T52" s="108">
        <v>0.80613235294117647</v>
      </c>
      <c r="U52" s="109">
        <v>0.95499999999999996</v>
      </c>
      <c r="W52" s="257" t="s">
        <v>169</v>
      </c>
      <c r="X52" s="119">
        <v>221</v>
      </c>
      <c r="Y52" s="120">
        <f t="shared" si="14"/>
        <v>0.9741190999999999</v>
      </c>
      <c r="Z52" s="121">
        <f t="shared" si="14"/>
        <v>1.2036629000000001</v>
      </c>
      <c r="AA52" s="121">
        <f t="shared" si="14"/>
        <v>1.33756345</v>
      </c>
      <c r="AB52" s="122">
        <f t="shared" si="14"/>
        <v>1.6436218499999999</v>
      </c>
    </row>
    <row r="53" spans="1:28">
      <c r="A53" s="246" t="s">
        <v>170</v>
      </c>
      <c r="B53" s="247"/>
      <c r="C53" s="145" t="s">
        <v>25</v>
      </c>
      <c r="D53" s="145" t="s">
        <v>31</v>
      </c>
      <c r="E53" s="203" t="s">
        <v>31</v>
      </c>
      <c r="F53" s="204" t="s">
        <v>89</v>
      </c>
      <c r="G53" s="205" t="s">
        <v>31</v>
      </c>
      <c r="H53" s="64"/>
      <c r="I53" s="246" t="s">
        <v>171</v>
      </c>
      <c r="J53" s="247"/>
      <c r="K53" s="145" t="s">
        <v>25</v>
      </c>
      <c r="L53" s="145" t="s">
        <v>172</v>
      </c>
      <c r="M53" s="203" t="s">
        <v>32</v>
      </c>
      <c r="N53" s="204" t="s">
        <v>155</v>
      </c>
      <c r="O53" s="205" t="s">
        <v>173</v>
      </c>
      <c r="Q53" s="258"/>
      <c r="R53" s="94">
        <v>222</v>
      </c>
      <c r="S53" s="107">
        <v>0.34107142857142853</v>
      </c>
      <c r="T53" s="108">
        <v>0.40306617647058823</v>
      </c>
      <c r="U53" s="109">
        <v>0.47749999999999998</v>
      </c>
      <c r="W53" s="258"/>
      <c r="X53" s="130">
        <v>222</v>
      </c>
      <c r="Y53" s="131">
        <f t="shared" si="14"/>
        <v>0.48705954999999995</v>
      </c>
      <c r="Z53" s="132">
        <f t="shared" si="14"/>
        <v>0.60183145000000005</v>
      </c>
      <c r="AA53" s="132">
        <f t="shared" si="14"/>
        <v>0.66878172499999999</v>
      </c>
      <c r="AB53" s="133">
        <f t="shared" si="14"/>
        <v>0.82181092499999997</v>
      </c>
    </row>
    <row r="54" spans="1:28" ht="17.25" thickBot="1">
      <c r="A54" s="248"/>
      <c r="B54" s="249"/>
      <c r="C54" s="150" t="s">
        <v>30</v>
      </c>
      <c r="D54" s="150" t="s">
        <v>174</v>
      </c>
      <c r="E54" s="151" t="s">
        <v>157</v>
      </c>
      <c r="F54" s="198" t="s">
        <v>32</v>
      </c>
      <c r="G54" s="199" t="s">
        <v>175</v>
      </c>
      <c r="H54" s="64"/>
      <c r="I54" s="248"/>
      <c r="J54" s="249"/>
      <c r="K54" s="150" t="s">
        <v>30</v>
      </c>
      <c r="L54" s="150" t="s">
        <v>176</v>
      </c>
      <c r="M54" s="151" t="s">
        <v>32</v>
      </c>
      <c r="N54" s="198" t="s">
        <v>32</v>
      </c>
      <c r="O54" s="199" t="s">
        <v>32</v>
      </c>
      <c r="Q54" s="106" t="s">
        <v>4</v>
      </c>
      <c r="R54" s="94" t="s">
        <v>74</v>
      </c>
      <c r="S54" s="107">
        <v>9.2037037037037028E-2</v>
      </c>
      <c r="T54" s="108">
        <v>9.7070312499999992E-2</v>
      </c>
      <c r="U54" s="109">
        <v>0.10354166666666666</v>
      </c>
      <c r="W54" s="106" t="s">
        <v>177</v>
      </c>
      <c r="X54" s="113" t="s">
        <v>74</v>
      </c>
      <c r="Y54" s="114">
        <f t="shared" si="14"/>
        <v>0.10561457083333331</v>
      </c>
      <c r="Z54" s="107">
        <f t="shared" si="14"/>
        <v>0.13050184583333332</v>
      </c>
      <c r="AA54" s="107">
        <f t="shared" si="14"/>
        <v>0.14501942291666664</v>
      </c>
      <c r="AB54" s="123">
        <f t="shared" si="14"/>
        <v>0.17820245625</v>
      </c>
    </row>
    <row r="55" spans="1:28" ht="17.25" thickBot="1">
      <c r="A55" s="134">
        <v>569</v>
      </c>
      <c r="B55" s="135" t="s">
        <v>178</v>
      </c>
      <c r="C55" s="101" t="s">
        <v>35</v>
      </c>
      <c r="D55" s="102" t="s">
        <v>179</v>
      </c>
      <c r="E55" s="170" t="s">
        <v>31</v>
      </c>
      <c r="F55" s="171" t="s">
        <v>32</v>
      </c>
      <c r="G55" s="200" t="s">
        <v>180</v>
      </c>
      <c r="H55" s="64"/>
      <c r="I55" s="134">
        <v>569</v>
      </c>
      <c r="J55" s="135" t="s">
        <v>115</v>
      </c>
      <c r="K55" s="101" t="s">
        <v>35</v>
      </c>
      <c r="L55" s="102" t="s">
        <v>181</v>
      </c>
      <c r="M55" s="170" t="s">
        <v>32</v>
      </c>
      <c r="N55" s="171" t="s">
        <v>32</v>
      </c>
      <c r="O55" s="200" t="s">
        <v>31</v>
      </c>
      <c r="Q55" s="257" t="s">
        <v>77</v>
      </c>
      <c r="R55" s="94" t="s">
        <v>78</v>
      </c>
      <c r="S55" s="259">
        <v>0.19800000000000001</v>
      </c>
      <c r="T55" s="260"/>
      <c r="U55" s="261"/>
      <c r="W55" s="257" t="s">
        <v>77</v>
      </c>
      <c r="X55" s="113" t="s">
        <v>78</v>
      </c>
      <c r="Y55" s="114">
        <f t="shared" ref="Y55:AB56" si="15">$S55*(1+AD$3)</f>
        <v>0.20196396</v>
      </c>
      <c r="Z55" s="108">
        <f t="shared" si="15"/>
        <v>0.24955524000000001</v>
      </c>
      <c r="AA55" s="108">
        <f t="shared" si="15"/>
        <v>0.27731682000000002</v>
      </c>
      <c r="AB55" s="109">
        <f t="shared" si="15"/>
        <v>0.34077186000000004</v>
      </c>
    </row>
    <row r="56" spans="1:28" ht="17.25" thickBot="1">
      <c r="A56" s="250" t="s">
        <v>40</v>
      </c>
      <c r="B56" s="251"/>
      <c r="C56" s="110" t="s">
        <v>41</v>
      </c>
      <c r="D56" s="117">
        <v>2.88</v>
      </c>
      <c r="E56" s="111">
        <f>$D$56</f>
        <v>2.88</v>
      </c>
      <c r="F56" s="111">
        <f>$D$56</f>
        <v>2.88</v>
      </c>
      <c r="G56" s="112">
        <f>$D$56</f>
        <v>2.88</v>
      </c>
      <c r="H56" s="64"/>
      <c r="I56" s="250" t="s">
        <v>40</v>
      </c>
      <c r="J56" s="251"/>
      <c r="K56" s="110" t="s">
        <v>41</v>
      </c>
      <c r="L56" s="117">
        <v>2.88</v>
      </c>
      <c r="M56" s="111">
        <v>3.52</v>
      </c>
      <c r="N56" s="118">
        <v>3.52</v>
      </c>
      <c r="O56" s="112">
        <v>3.52</v>
      </c>
      <c r="Q56" s="258"/>
      <c r="R56" s="94" t="s">
        <v>79</v>
      </c>
      <c r="S56" s="259">
        <v>0.29799999999999999</v>
      </c>
      <c r="T56" s="260"/>
      <c r="U56" s="261"/>
      <c r="W56" s="258"/>
      <c r="X56" s="124" t="s">
        <v>79</v>
      </c>
      <c r="Y56" s="125">
        <f t="shared" si="15"/>
        <v>0.30396595999999998</v>
      </c>
      <c r="Z56" s="156">
        <f t="shared" si="15"/>
        <v>0.37559323999999999</v>
      </c>
      <c r="AA56" s="156">
        <f t="shared" si="15"/>
        <v>0.41737582000000001</v>
      </c>
      <c r="AB56" s="157">
        <f t="shared" si="15"/>
        <v>0.51287886000000005</v>
      </c>
    </row>
    <row r="57" spans="1:28" ht="17.25" thickBot="1">
      <c r="A57" s="115">
        <v>24</v>
      </c>
      <c r="B57" s="116" t="s">
        <v>47</v>
      </c>
      <c r="C57" s="110" t="s">
        <v>61</v>
      </c>
      <c r="D57" s="117">
        <f>D56/$A57</f>
        <v>0.12</v>
      </c>
      <c r="E57" s="111">
        <f>E56/($A57)</f>
        <v>0.12</v>
      </c>
      <c r="F57" s="118">
        <f>F56/($A57)</f>
        <v>0.12</v>
      </c>
      <c r="G57" s="112">
        <f>G56/($A57)</f>
        <v>0.12</v>
      </c>
      <c r="H57" s="64"/>
      <c r="I57" s="115">
        <v>24</v>
      </c>
      <c r="J57" s="116" t="s">
        <v>47</v>
      </c>
      <c r="K57" s="110" t="s">
        <v>61</v>
      </c>
      <c r="L57" s="117">
        <f>L56/$I57</f>
        <v>0.12</v>
      </c>
      <c r="M57" s="111">
        <f>M56/$I57</f>
        <v>0.14666666666666667</v>
      </c>
      <c r="N57" s="118">
        <f>N56/$I57</f>
        <v>0.14666666666666667</v>
      </c>
      <c r="O57" s="112">
        <f>O56/$I57</f>
        <v>0.14666666666666667</v>
      </c>
      <c r="Q57" s="257" t="s">
        <v>80</v>
      </c>
      <c r="R57" s="94" t="s">
        <v>182</v>
      </c>
      <c r="S57" s="107">
        <v>0.17604166666666668</v>
      </c>
      <c r="T57" s="108">
        <v>0.18552083333333336</v>
      </c>
      <c r="U57" s="109">
        <v>0.19635416666666669</v>
      </c>
      <c r="W57" s="257" t="s">
        <v>80</v>
      </c>
      <c r="X57" s="160" t="s">
        <v>82</v>
      </c>
      <c r="Y57" s="125">
        <f t="shared" ref="Y57:AB58" si="16">$U57*(1+AD$3)</f>
        <v>0.20028517708333335</v>
      </c>
      <c r="Z57" s="156">
        <f t="shared" si="16"/>
        <v>0.24748086458333338</v>
      </c>
      <c r="AA57" s="156">
        <f t="shared" si="16"/>
        <v>0.27501168229166673</v>
      </c>
      <c r="AB57" s="157">
        <f t="shared" si="16"/>
        <v>0.33793926562500004</v>
      </c>
    </row>
    <row r="58" spans="1:28" ht="17.25" thickBot="1">
      <c r="H58" s="64"/>
      <c r="I58"/>
      <c r="Q58" s="258"/>
      <c r="R58" s="94" t="s">
        <v>53</v>
      </c>
      <c r="S58" s="108">
        <v>0.14772727272727273</v>
      </c>
      <c r="T58" s="108">
        <v>0.15776699029126215</v>
      </c>
      <c r="U58" s="108">
        <v>0.1710526315789474</v>
      </c>
      <c r="W58" s="258"/>
      <c r="X58" s="94" t="s">
        <v>183</v>
      </c>
      <c r="Y58" s="114">
        <f t="shared" si="16"/>
        <v>0.17447710526315791</v>
      </c>
      <c r="Z58" s="107">
        <f t="shared" si="16"/>
        <v>0.21559131578947374</v>
      </c>
      <c r="AA58" s="107">
        <f t="shared" si="16"/>
        <v>0.23957460526315794</v>
      </c>
      <c r="AB58" s="123">
        <f t="shared" si="16"/>
        <v>0.29439355263157901</v>
      </c>
    </row>
    <row r="59" spans="1:28" ht="17.25" thickBot="1">
      <c r="H59" s="64"/>
      <c r="I59" s="252" t="s">
        <v>12</v>
      </c>
      <c r="J59" s="253"/>
      <c r="K59" s="71" t="s">
        <v>13</v>
      </c>
      <c r="L59" s="71" t="s">
        <v>14</v>
      </c>
      <c r="M59" s="72" t="s">
        <v>127</v>
      </c>
      <c r="N59" s="73" t="s">
        <v>184</v>
      </c>
      <c r="O59" s="74" t="s">
        <v>146</v>
      </c>
      <c r="Q59" s="106" t="s">
        <v>185</v>
      </c>
      <c r="R59" s="164" t="s">
        <v>82</v>
      </c>
      <c r="S59" s="165">
        <v>0.5093333333333333</v>
      </c>
      <c r="T59" s="166">
        <v>0.55233333333333334</v>
      </c>
      <c r="U59" s="167">
        <v>0.59533333333333305</v>
      </c>
      <c r="W59" s="106" t="s">
        <v>186</v>
      </c>
      <c r="X59" s="144" t="s">
        <v>187</v>
      </c>
      <c r="Y59" s="131">
        <f>($U59-14/24)*(1+AD$3)+14/24</f>
        <v>0.59557357333333305</v>
      </c>
      <c r="Z59" s="143">
        <f>($U59-14/24)*(1+AE$3)+14/24</f>
        <v>0.59845789333333299</v>
      </c>
      <c r="AA59" s="143">
        <f>($U59-14/24)*(1+AF$3)+14/24</f>
        <v>0.6001404133333329</v>
      </c>
      <c r="AB59" s="144">
        <f>($U59-14/24)*(1+AG$3)+14/24</f>
        <v>0.60398617333333282</v>
      </c>
    </row>
    <row r="60" spans="1:28">
      <c r="H60" s="64"/>
      <c r="I60" s="246" t="s">
        <v>188</v>
      </c>
      <c r="J60" s="247"/>
      <c r="K60" s="145" t="s">
        <v>25</v>
      </c>
      <c r="L60" s="145" t="s">
        <v>189</v>
      </c>
      <c r="M60" s="203" t="s">
        <v>32</v>
      </c>
      <c r="N60" s="204" t="s">
        <v>32</v>
      </c>
      <c r="O60" s="205" t="s">
        <v>32</v>
      </c>
      <c r="Q60" s="257" t="s">
        <v>190</v>
      </c>
      <c r="R60" s="94" t="s">
        <v>191</v>
      </c>
      <c r="S60" s="107">
        <v>0.61593750000000003</v>
      </c>
      <c r="T60" s="108">
        <v>0.78750000000000009</v>
      </c>
      <c r="U60" s="109">
        <v>1.0107692307692309</v>
      </c>
      <c r="W60" s="257" t="s">
        <v>192</v>
      </c>
      <c r="X60" s="119" t="s">
        <v>191</v>
      </c>
      <c r="Y60" s="120">
        <f t="shared" ref="Y60:AB63" si="17">$U60*(1+AD$3)</f>
        <v>1.0310048307692308</v>
      </c>
      <c r="Z60" s="121">
        <f t="shared" si="17"/>
        <v>1.2739533230769233</v>
      </c>
      <c r="AA60" s="121">
        <f t="shared" si="17"/>
        <v>1.4156732769230771</v>
      </c>
      <c r="AB60" s="122">
        <f t="shared" si="17"/>
        <v>1.7396046000000003</v>
      </c>
    </row>
    <row r="61" spans="1:28" ht="17.25" thickBot="1">
      <c r="H61" s="64"/>
      <c r="I61" s="248"/>
      <c r="J61" s="249"/>
      <c r="K61" s="150" t="s">
        <v>30</v>
      </c>
      <c r="L61" s="150" t="s">
        <v>193</v>
      </c>
      <c r="M61" s="151" t="s">
        <v>32</v>
      </c>
      <c r="N61" s="198" t="s">
        <v>175</v>
      </c>
      <c r="O61" s="199" t="s">
        <v>32</v>
      </c>
      <c r="Q61" s="258"/>
      <c r="R61" s="94" t="s">
        <v>79</v>
      </c>
      <c r="S61" s="107">
        <v>0.49275000000000002</v>
      </c>
      <c r="T61" s="108">
        <v>0.57487500000000002</v>
      </c>
      <c r="U61" s="109">
        <v>0.65700000000000003</v>
      </c>
      <c r="W61" s="258"/>
      <c r="X61" s="119" t="s">
        <v>79</v>
      </c>
      <c r="Y61" s="120">
        <f t="shared" si="17"/>
        <v>0.67015314000000004</v>
      </c>
      <c r="Z61" s="121">
        <f t="shared" si="17"/>
        <v>0.82806966000000004</v>
      </c>
      <c r="AA61" s="121">
        <f t="shared" si="17"/>
        <v>0.92018763000000003</v>
      </c>
      <c r="AB61" s="122">
        <f t="shared" si="17"/>
        <v>1.1307429900000001</v>
      </c>
    </row>
    <row r="62" spans="1:28" ht="17.25" thickBot="1">
      <c r="H62" s="64"/>
      <c r="I62" s="134">
        <v>569</v>
      </c>
      <c r="J62" s="135" t="s">
        <v>115</v>
      </c>
      <c r="K62" s="101" t="s">
        <v>35</v>
      </c>
      <c r="L62" s="102" t="s">
        <v>194</v>
      </c>
      <c r="M62" s="170" t="s">
        <v>175</v>
      </c>
      <c r="N62" s="171" t="s">
        <v>31</v>
      </c>
      <c r="O62" s="200" t="s">
        <v>32</v>
      </c>
      <c r="Q62" s="257" t="s">
        <v>1</v>
      </c>
      <c r="R62" s="94" t="s">
        <v>98</v>
      </c>
      <c r="S62" s="259">
        <v>0.105</v>
      </c>
      <c r="T62" s="260"/>
      <c r="U62" s="261"/>
      <c r="W62" s="257" t="s">
        <v>1</v>
      </c>
      <c r="X62" s="130" t="s">
        <v>191</v>
      </c>
      <c r="Y62" s="131">
        <f t="shared" si="17"/>
        <v>0</v>
      </c>
      <c r="Z62" s="132">
        <f t="shared" si="17"/>
        <v>0</v>
      </c>
      <c r="AA62" s="132">
        <f t="shared" si="17"/>
        <v>0</v>
      </c>
      <c r="AB62" s="133">
        <f t="shared" si="17"/>
        <v>0</v>
      </c>
    </row>
    <row r="63" spans="1:28" ht="17.25" thickBot="1">
      <c r="H63" s="75"/>
      <c r="I63" s="250" t="s">
        <v>40</v>
      </c>
      <c r="J63" s="251"/>
      <c r="K63" s="110" t="s">
        <v>41</v>
      </c>
      <c r="L63" s="117">
        <v>2.88</v>
      </c>
      <c r="M63" s="111">
        <v>7.0449999999999999</v>
      </c>
      <c r="N63" s="118">
        <v>7.0449999999999999</v>
      </c>
      <c r="O63" s="112">
        <v>7.0449999999999999</v>
      </c>
      <c r="Q63" s="258"/>
      <c r="R63" s="94" t="s">
        <v>191</v>
      </c>
      <c r="S63" s="107">
        <v>0.32300000000000001</v>
      </c>
      <c r="T63" s="108">
        <v>0.40400000000000003</v>
      </c>
      <c r="U63" s="109">
        <v>0.51</v>
      </c>
      <c r="W63" s="258"/>
      <c r="X63" s="130" t="s">
        <v>103</v>
      </c>
      <c r="Y63" s="131">
        <f t="shared" si="17"/>
        <v>0.52021019999999996</v>
      </c>
      <c r="Z63" s="132">
        <f t="shared" si="17"/>
        <v>0.64279380000000008</v>
      </c>
      <c r="AA63" s="132">
        <f t="shared" si="17"/>
        <v>0.71430090000000002</v>
      </c>
      <c r="AB63" s="133">
        <f t="shared" si="17"/>
        <v>0.87774570000000007</v>
      </c>
    </row>
    <row r="64" spans="1:28" ht="17.25" thickBot="1">
      <c r="H64" s="64"/>
      <c r="I64" s="115">
        <v>24</v>
      </c>
      <c r="J64" s="116" t="s">
        <v>47</v>
      </c>
      <c r="K64" s="110" t="s">
        <v>61</v>
      </c>
      <c r="L64" s="117">
        <f>L63/$I64</f>
        <v>0.12</v>
      </c>
      <c r="M64" s="111">
        <f>M63/$I64</f>
        <v>0.29354166666666665</v>
      </c>
      <c r="N64" s="118">
        <f>N63/$I64</f>
        <v>0.29354166666666665</v>
      </c>
      <c r="O64" s="112">
        <f>O63/$I64</f>
        <v>0.29354166666666665</v>
      </c>
      <c r="Q64" s="175" t="s">
        <v>195</v>
      </c>
      <c r="R64" s="94" t="s">
        <v>196</v>
      </c>
      <c r="S64" s="259">
        <v>4.4444444444444446E-2</v>
      </c>
      <c r="T64" s="260"/>
      <c r="U64" s="261"/>
      <c r="W64" s="176" t="s">
        <v>197</v>
      </c>
      <c r="X64" s="86" t="s">
        <v>196</v>
      </c>
      <c r="Y64" s="177">
        <f>$S64*(1+AD$3)</f>
        <v>4.533422222222222E-2</v>
      </c>
      <c r="Z64" s="178">
        <f t="shared" ref="Z64:AA64" si="18">$S64*(1+AE$3)</f>
        <v>5.6016888888888894E-2</v>
      </c>
      <c r="AA64" s="178">
        <f t="shared" si="18"/>
        <v>6.2248444444444447E-2</v>
      </c>
      <c r="AB64" s="179">
        <f>$S64*(1+AG$3)</f>
        <v>7.6492000000000004E-2</v>
      </c>
    </row>
    <row r="65" spans="1:28" ht="17.25" thickBot="1">
      <c r="H65" s="64"/>
      <c r="I65" s="206"/>
      <c r="J65" s="207"/>
      <c r="K65" s="66"/>
      <c r="L65" s="208"/>
      <c r="M65" s="208"/>
      <c r="N65" s="208"/>
      <c r="O65" s="208"/>
      <c r="Q65" s="175" t="s">
        <v>198</v>
      </c>
      <c r="R65" s="94" t="s">
        <v>199</v>
      </c>
      <c r="S65" s="259">
        <v>6.4761904761904757E-2</v>
      </c>
      <c r="T65" s="260"/>
      <c r="U65" s="261"/>
      <c r="W65" s="176" t="s">
        <v>200</v>
      </c>
      <c r="X65" s="86" t="s">
        <v>201</v>
      </c>
      <c r="Y65" s="177">
        <f>$S65*(1+AD$3)</f>
        <v>6.6058438095238078E-2</v>
      </c>
      <c r="Z65" s="178">
        <f>$S65*(1+AE$3)</f>
        <v>8.1624609523809524E-2</v>
      </c>
      <c r="AA65" s="178">
        <f>$S65*(1+AF$3)</f>
        <v>9.070487619047618E-2</v>
      </c>
      <c r="AB65" s="179">
        <f>$S65*(1+AG$3)</f>
        <v>0.11145977142857143</v>
      </c>
    </row>
    <row r="66" spans="1:28" ht="17.25" thickBot="1">
      <c r="A66" s="252" t="s">
        <v>12</v>
      </c>
      <c r="B66" s="253"/>
      <c r="C66" s="71" t="s">
        <v>13</v>
      </c>
      <c r="D66" s="71" t="s">
        <v>14</v>
      </c>
      <c r="E66" s="72" t="s">
        <v>127</v>
      </c>
      <c r="F66" s="73" t="s">
        <v>67</v>
      </c>
      <c r="G66" s="74" t="s">
        <v>146</v>
      </c>
      <c r="H66" s="64"/>
      <c r="I66"/>
      <c r="Q66" s="181" t="s">
        <v>202</v>
      </c>
      <c r="R66" s="182" t="s">
        <v>203</v>
      </c>
      <c r="S66" s="254">
        <f>0.16*3/1.5</f>
        <v>0.32</v>
      </c>
      <c r="T66" s="255"/>
      <c r="U66" s="256"/>
      <c r="W66" s="181" t="s">
        <v>202</v>
      </c>
      <c r="X66" s="183" t="s">
        <v>203</v>
      </c>
      <c r="Y66" s="184">
        <f>$S66*(1+AD$3)</f>
        <v>0.32640639999999999</v>
      </c>
      <c r="Z66" s="185">
        <f>$S66*(1+AE$3)</f>
        <v>0.4033216</v>
      </c>
      <c r="AA66" s="185">
        <f>$S66*(1+AF$3)</f>
        <v>0.4481888</v>
      </c>
      <c r="AB66" s="186">
        <f>$S66*(1+AG$3)</f>
        <v>0.55074240000000008</v>
      </c>
    </row>
    <row r="67" spans="1:28">
      <c r="A67" s="246" t="s">
        <v>204</v>
      </c>
      <c r="B67" s="247"/>
      <c r="C67" s="187" t="s">
        <v>25</v>
      </c>
      <c r="D67" s="187" t="s">
        <v>205</v>
      </c>
      <c r="E67" s="209">
        <v>0.3</v>
      </c>
      <c r="F67" s="210">
        <v>0.37</v>
      </c>
      <c r="G67" s="211">
        <v>0.45</v>
      </c>
      <c r="H67" s="64"/>
      <c r="I67"/>
    </row>
    <row r="68" spans="1:28" ht="17.25" thickBot="1">
      <c r="A68" s="248"/>
      <c r="B68" s="249"/>
      <c r="C68" s="90" t="s">
        <v>206</v>
      </c>
      <c r="D68" s="90" t="s">
        <v>32</v>
      </c>
      <c r="E68" s="91" t="s">
        <v>32</v>
      </c>
      <c r="F68" s="92" t="s">
        <v>32</v>
      </c>
      <c r="G68" s="93" t="s">
        <v>32</v>
      </c>
      <c r="H68" s="64"/>
      <c r="I68"/>
    </row>
    <row r="69" spans="1:28" ht="17.25" thickBot="1">
      <c r="A69" s="134">
        <v>469</v>
      </c>
      <c r="B69" s="135" t="s">
        <v>115</v>
      </c>
      <c r="C69" s="136" t="s">
        <v>32</v>
      </c>
      <c r="D69" s="137" t="s">
        <v>32</v>
      </c>
      <c r="E69" s="138" t="s">
        <v>32</v>
      </c>
      <c r="F69" s="139" t="s">
        <v>32</v>
      </c>
      <c r="G69" s="212" t="s">
        <v>32</v>
      </c>
      <c r="H69" s="64"/>
      <c r="I69"/>
    </row>
    <row r="70" spans="1:28" ht="17.25" thickBot="1">
      <c r="A70" s="250" t="s">
        <v>40</v>
      </c>
      <c r="B70" s="251"/>
      <c r="C70" s="110" t="s">
        <v>41</v>
      </c>
      <c r="D70" s="110">
        <v>1.395</v>
      </c>
      <c r="E70" s="111">
        <f>$D$70*(1+E67)</f>
        <v>1.8135000000000001</v>
      </c>
      <c r="F70" s="111">
        <f>$D$70*(1+F67)</f>
        <v>1.9111500000000001</v>
      </c>
      <c r="G70" s="112">
        <f>$D$70*(1+G67)</f>
        <v>2.0227499999999998</v>
      </c>
      <c r="H70" s="75"/>
      <c r="I70"/>
    </row>
    <row r="71" spans="1:28" ht="17.25" thickBot="1">
      <c r="A71" s="115">
        <v>16</v>
      </c>
      <c r="B71" s="116" t="s">
        <v>47</v>
      </c>
      <c r="C71" s="110" t="s">
        <v>207</v>
      </c>
      <c r="D71" s="117">
        <f>D70/$A71</f>
        <v>8.7187500000000001E-2</v>
      </c>
      <c r="E71" s="111">
        <f>E70/($A71)</f>
        <v>0.11334375000000001</v>
      </c>
      <c r="F71" s="118">
        <f>F70/($A71)</f>
        <v>0.11944687500000001</v>
      </c>
      <c r="G71" s="112">
        <f>G70/($A71)</f>
        <v>0.12642187499999999</v>
      </c>
      <c r="H71" s="64"/>
      <c r="I71"/>
    </row>
    <row r="72" spans="1:28" ht="17.25" thickBot="1">
      <c r="H72" s="64"/>
      <c r="I72"/>
    </row>
    <row r="73" spans="1:28" ht="17.25" thickBot="1">
      <c r="A73" s="252" t="s">
        <v>12</v>
      </c>
      <c r="B73" s="253"/>
      <c r="C73" s="71" t="s">
        <v>13</v>
      </c>
      <c r="D73" s="71" t="s">
        <v>14</v>
      </c>
      <c r="E73" s="72" t="s">
        <v>208</v>
      </c>
      <c r="F73" s="73" t="s">
        <v>209</v>
      </c>
      <c r="G73" s="74" t="s">
        <v>210</v>
      </c>
      <c r="H73" s="64"/>
      <c r="I73" s="252" t="s">
        <v>12</v>
      </c>
      <c r="J73" s="253"/>
      <c r="K73" s="71" t="s">
        <v>13</v>
      </c>
      <c r="L73" s="71" t="s">
        <v>14</v>
      </c>
      <c r="M73" s="72" t="s">
        <v>208</v>
      </c>
      <c r="N73" s="73" t="s">
        <v>209</v>
      </c>
      <c r="O73" s="74" t="s">
        <v>210</v>
      </c>
    </row>
    <row r="74" spans="1:28">
      <c r="A74" s="246" t="s">
        <v>211</v>
      </c>
      <c r="B74" s="247"/>
      <c r="C74" s="145" t="s">
        <v>25</v>
      </c>
      <c r="D74" s="145" t="s">
        <v>172</v>
      </c>
      <c r="E74" s="146" t="s">
        <v>32</v>
      </c>
      <c r="F74" s="147" t="s">
        <v>32</v>
      </c>
      <c r="G74" s="148" t="s">
        <v>189</v>
      </c>
      <c r="H74" s="64"/>
      <c r="I74" s="246" t="s">
        <v>212</v>
      </c>
      <c r="J74" s="247"/>
      <c r="K74" s="145" t="s">
        <v>25</v>
      </c>
      <c r="L74" s="145" t="s">
        <v>32</v>
      </c>
      <c r="M74" s="146" t="s">
        <v>32</v>
      </c>
      <c r="N74" s="147" t="s">
        <v>32</v>
      </c>
      <c r="O74" s="148" t="s">
        <v>32</v>
      </c>
    </row>
    <row r="75" spans="1:28" ht="17.25" thickBot="1">
      <c r="A75" s="248"/>
      <c r="B75" s="249"/>
      <c r="C75" s="213" t="s">
        <v>30</v>
      </c>
      <c r="D75" s="213" t="s">
        <v>135</v>
      </c>
      <c r="E75" s="214">
        <v>3</v>
      </c>
      <c r="F75" s="215">
        <v>1.6</v>
      </c>
      <c r="G75" s="216">
        <v>0</v>
      </c>
      <c r="H75" s="64"/>
      <c r="I75" s="248"/>
      <c r="J75" s="249"/>
      <c r="K75" s="213" t="s">
        <v>30</v>
      </c>
      <c r="L75" s="213" t="s">
        <v>135</v>
      </c>
      <c r="M75" s="214">
        <v>3</v>
      </c>
      <c r="N75" s="215">
        <v>1.6</v>
      </c>
      <c r="O75" s="216">
        <v>0</v>
      </c>
    </row>
    <row r="76" spans="1:28" ht="17.25" thickBot="1">
      <c r="A76" s="134">
        <v>569</v>
      </c>
      <c r="B76" s="135" t="s">
        <v>178</v>
      </c>
      <c r="C76" s="101" t="s">
        <v>35</v>
      </c>
      <c r="D76" s="102" t="s">
        <v>116</v>
      </c>
      <c r="E76" s="170">
        <v>2</v>
      </c>
      <c r="F76" s="171">
        <v>2.5</v>
      </c>
      <c r="G76" s="217">
        <v>3</v>
      </c>
      <c r="H76" s="64"/>
      <c r="I76" s="134">
        <v>569</v>
      </c>
      <c r="J76" s="135" t="s">
        <v>115</v>
      </c>
      <c r="K76" s="101" t="s">
        <v>35</v>
      </c>
      <c r="L76" s="102" t="s">
        <v>213</v>
      </c>
      <c r="M76" s="170" t="s">
        <v>32</v>
      </c>
      <c r="N76" s="171" t="s">
        <v>32</v>
      </c>
      <c r="O76" s="217" t="s">
        <v>172</v>
      </c>
    </row>
    <row r="77" spans="1:28" ht="17.25" thickBot="1">
      <c r="A77" s="250" t="s">
        <v>40</v>
      </c>
      <c r="B77" s="251"/>
      <c r="C77" s="110" t="s">
        <v>41</v>
      </c>
      <c r="D77" s="110">
        <v>2.4849999999999999</v>
      </c>
      <c r="E77" s="111">
        <f>$D$77*1.5*(1+E76)</f>
        <v>11.182500000000001</v>
      </c>
      <c r="F77" s="111">
        <f>$D$77*1.5*(1+F76)</f>
        <v>13.046250000000001</v>
      </c>
      <c r="G77" s="112">
        <f>$D$77*1.5*(1+G76)</f>
        <v>14.91</v>
      </c>
      <c r="H77" s="75"/>
      <c r="I77" s="250" t="s">
        <v>40</v>
      </c>
      <c r="J77" s="251"/>
      <c r="K77" s="110" t="s">
        <v>41</v>
      </c>
      <c r="L77" s="110">
        <v>2.4849999999999999</v>
      </c>
      <c r="M77" s="111">
        <v>6.72</v>
      </c>
      <c r="N77" s="118">
        <v>6.72</v>
      </c>
      <c r="O77" s="112">
        <v>6.72</v>
      </c>
    </row>
    <row r="78" spans="1:28" ht="17.25" thickBot="1">
      <c r="A78" s="115">
        <v>24</v>
      </c>
      <c r="B78" s="116" t="s">
        <v>47</v>
      </c>
      <c r="C78" s="110" t="s">
        <v>61</v>
      </c>
      <c r="D78" s="117">
        <f>D77/$A78</f>
        <v>0.10354166666666666</v>
      </c>
      <c r="E78" s="111">
        <f>E77/($A78+E75)</f>
        <v>0.41416666666666668</v>
      </c>
      <c r="F78" s="118">
        <f>F77/($A78+F75)</f>
        <v>0.50961914062500002</v>
      </c>
      <c r="G78" s="112">
        <f>G77/($A78+G75)</f>
        <v>0.62124999999999997</v>
      </c>
      <c r="H78" s="64"/>
      <c r="I78" s="115">
        <v>24</v>
      </c>
      <c r="J78" s="116" t="s">
        <v>47</v>
      </c>
      <c r="K78" s="110" t="s">
        <v>214</v>
      </c>
      <c r="L78" s="117">
        <f>L77/$A78</f>
        <v>0.10354166666666666</v>
      </c>
      <c r="M78" s="111">
        <f>M77/($I78+M75)</f>
        <v>0.24888888888888888</v>
      </c>
      <c r="N78" s="118">
        <f>N77/($I78+N75)</f>
        <v>0.26249999999999996</v>
      </c>
      <c r="O78" s="112">
        <f>O77/($I78+O75)</f>
        <v>0.27999999999999997</v>
      </c>
    </row>
    <row r="79" spans="1:28" ht="17.25" thickBot="1">
      <c r="A79" s="206"/>
      <c r="B79" s="207"/>
      <c r="C79" s="66"/>
      <c r="D79" s="218"/>
      <c r="E79" s="218"/>
      <c r="F79" s="218"/>
      <c r="G79" s="218"/>
      <c r="H79" s="64"/>
      <c r="I79" s="206"/>
      <c r="J79" s="207"/>
      <c r="K79" s="66"/>
      <c r="L79" s="218"/>
      <c r="M79" s="218"/>
      <c r="N79" s="218"/>
      <c r="O79" s="218"/>
    </row>
    <row r="80" spans="1:28" ht="17.25" thickBot="1">
      <c r="A80" s="252" t="s">
        <v>12</v>
      </c>
      <c r="B80" s="253"/>
      <c r="C80" s="71" t="s">
        <v>13</v>
      </c>
      <c r="D80" s="71" t="s">
        <v>14</v>
      </c>
      <c r="E80" s="72" t="s">
        <v>208</v>
      </c>
      <c r="F80" s="73" t="s">
        <v>209</v>
      </c>
      <c r="G80" s="74" t="s">
        <v>210</v>
      </c>
      <c r="H80" s="64"/>
      <c r="I80" s="252" t="s">
        <v>12</v>
      </c>
      <c r="J80" s="253"/>
      <c r="K80" s="71" t="s">
        <v>13</v>
      </c>
      <c r="L80" s="71" t="s">
        <v>14</v>
      </c>
      <c r="M80" s="72" t="s">
        <v>208</v>
      </c>
      <c r="N80" s="73" t="s">
        <v>209</v>
      </c>
      <c r="O80" s="74" t="s">
        <v>210</v>
      </c>
    </row>
    <row r="81" spans="1:15">
      <c r="A81" s="246" t="s">
        <v>215</v>
      </c>
      <c r="B81" s="247"/>
      <c r="C81" s="187" t="s">
        <v>25</v>
      </c>
      <c r="D81" s="187" t="s">
        <v>216</v>
      </c>
      <c r="E81" s="188">
        <v>2</v>
      </c>
      <c r="F81" s="189">
        <v>2.4</v>
      </c>
      <c r="G81" s="190">
        <v>3</v>
      </c>
      <c r="H81" s="64"/>
      <c r="I81" s="246" t="s">
        <v>215</v>
      </c>
      <c r="J81" s="247"/>
      <c r="K81" s="187" t="s">
        <v>25</v>
      </c>
      <c r="L81" s="187" t="s">
        <v>217</v>
      </c>
      <c r="M81" s="188">
        <v>2</v>
      </c>
      <c r="N81" s="189">
        <v>2.4</v>
      </c>
      <c r="O81" s="190">
        <v>3</v>
      </c>
    </row>
    <row r="82" spans="1:15" ht="17.25" thickBot="1">
      <c r="A82" s="248"/>
      <c r="B82" s="249"/>
      <c r="C82" s="150" t="s">
        <v>30</v>
      </c>
      <c r="D82" s="150" t="s">
        <v>218</v>
      </c>
      <c r="E82" s="151">
        <v>1.5</v>
      </c>
      <c r="F82" s="198">
        <v>1.87</v>
      </c>
      <c r="G82" s="199">
        <v>2.25</v>
      </c>
      <c r="H82" s="64"/>
      <c r="I82" s="248"/>
      <c r="J82" s="249"/>
      <c r="K82" s="150" t="s">
        <v>30</v>
      </c>
      <c r="L82" s="150" t="s">
        <v>218</v>
      </c>
      <c r="M82" s="151">
        <v>1.5</v>
      </c>
      <c r="N82" s="198">
        <v>1.87</v>
      </c>
      <c r="O82" s="199">
        <v>2.25</v>
      </c>
    </row>
    <row r="83" spans="1:15" ht="17.25" thickBot="1">
      <c r="A83" s="134">
        <v>469</v>
      </c>
      <c r="B83" s="135" t="s">
        <v>178</v>
      </c>
      <c r="C83" s="101" t="s">
        <v>35</v>
      </c>
      <c r="D83" s="102" t="s">
        <v>219</v>
      </c>
      <c r="E83" s="219"/>
      <c r="F83" s="220" t="s">
        <v>172</v>
      </c>
      <c r="G83" s="221" t="s">
        <v>172</v>
      </c>
      <c r="H83" s="64"/>
      <c r="I83" s="134">
        <v>469</v>
      </c>
      <c r="J83" s="135" t="s">
        <v>115</v>
      </c>
      <c r="K83" s="101" t="s">
        <v>220</v>
      </c>
      <c r="L83" s="102" t="s">
        <v>221</v>
      </c>
      <c r="M83" s="170" t="s">
        <v>172</v>
      </c>
      <c r="N83" s="171" t="s">
        <v>172</v>
      </c>
      <c r="O83" s="217" t="s">
        <v>172</v>
      </c>
    </row>
    <row r="84" spans="1:15" ht="17.25" thickBot="1">
      <c r="A84" s="250" t="s">
        <v>40</v>
      </c>
      <c r="B84" s="251"/>
      <c r="C84" s="110" t="s">
        <v>41</v>
      </c>
      <c r="D84" s="117">
        <v>1.91</v>
      </c>
      <c r="E84" s="111">
        <f>$D$84*(1+E82)*2</f>
        <v>9.5499999999999989</v>
      </c>
      <c r="F84" s="111">
        <f>$D$84*(1+F82)*2</f>
        <v>10.9634</v>
      </c>
      <c r="G84" s="112">
        <f>$D$84*(1+G82)*2</f>
        <v>12.414999999999999</v>
      </c>
      <c r="H84" s="75"/>
      <c r="I84" s="250" t="s">
        <v>40</v>
      </c>
      <c r="J84" s="251"/>
      <c r="K84" s="110" t="s">
        <v>41</v>
      </c>
      <c r="L84" s="117">
        <v>1.91</v>
      </c>
      <c r="M84" s="111">
        <f>$L$84*(1+M82)</f>
        <v>4.7749999999999995</v>
      </c>
      <c r="N84" s="111">
        <f>$L$84*(1+N82)</f>
        <v>5.4817</v>
      </c>
      <c r="O84" s="112">
        <f>$L$84*(1+O82)</f>
        <v>6.2074999999999996</v>
      </c>
    </row>
    <row r="85" spans="1:15" ht="17.25" thickBot="1">
      <c r="A85" s="115">
        <v>16</v>
      </c>
      <c r="B85" s="116" t="s">
        <v>47</v>
      </c>
      <c r="C85" s="110" t="s">
        <v>48</v>
      </c>
      <c r="D85" s="117">
        <f>D84/$A85</f>
        <v>0.119375</v>
      </c>
      <c r="E85" s="111">
        <f>E84/($A85-E81)</f>
        <v>0.68214285714285705</v>
      </c>
      <c r="F85" s="118">
        <f>F84/($A85-F81)</f>
        <v>0.80613235294117647</v>
      </c>
      <c r="G85" s="112">
        <f>G84/($A85-G81)</f>
        <v>0.95499999999999996</v>
      </c>
      <c r="H85" s="64"/>
      <c r="I85" s="115">
        <v>16</v>
      </c>
      <c r="J85" s="116" t="s">
        <v>47</v>
      </c>
      <c r="K85" s="110" t="s">
        <v>48</v>
      </c>
      <c r="L85" s="117">
        <f>L84/$I85</f>
        <v>0.119375</v>
      </c>
      <c r="M85" s="111">
        <f>M84/($I85-M81)</f>
        <v>0.34107142857142853</v>
      </c>
      <c r="N85" s="118">
        <f>N84/($I85-N81)</f>
        <v>0.40306617647058823</v>
      </c>
      <c r="O85" s="112">
        <f>O84/($I85-O81)</f>
        <v>0.47749999999999998</v>
      </c>
    </row>
    <row r="86" spans="1:15" ht="17.25" thickBot="1">
      <c r="H86" s="64"/>
      <c r="I86"/>
    </row>
    <row r="87" spans="1:15" ht="17.25" thickBot="1">
      <c r="A87" s="252" t="s">
        <v>12</v>
      </c>
      <c r="B87" s="253"/>
      <c r="C87" s="71" t="s">
        <v>13</v>
      </c>
      <c r="D87" s="71" t="s">
        <v>14</v>
      </c>
      <c r="E87" s="222" t="s">
        <v>15</v>
      </c>
      <c r="F87" s="223" t="s">
        <v>16</v>
      </c>
      <c r="G87" s="224" t="s">
        <v>222</v>
      </c>
      <c r="H87" s="64"/>
    </row>
    <row r="88" spans="1:15">
      <c r="A88" s="246" t="s">
        <v>177</v>
      </c>
      <c r="B88" s="247"/>
      <c r="C88" s="78" t="s">
        <v>223</v>
      </c>
      <c r="D88" s="78" t="s">
        <v>26</v>
      </c>
      <c r="E88" s="180">
        <v>3</v>
      </c>
      <c r="F88" s="162">
        <v>4.4000000000000004</v>
      </c>
      <c r="G88" s="163">
        <v>6</v>
      </c>
      <c r="H88" s="64"/>
    </row>
    <row r="89" spans="1:15" ht="17.25" thickBot="1">
      <c r="A89" s="248"/>
      <c r="B89" s="249"/>
      <c r="C89" s="90" t="s">
        <v>30</v>
      </c>
      <c r="D89" s="90" t="s">
        <v>157</v>
      </c>
      <c r="E89" s="91" t="s">
        <v>157</v>
      </c>
      <c r="F89" s="92" t="s">
        <v>32</v>
      </c>
      <c r="G89" s="93" t="s">
        <v>31</v>
      </c>
      <c r="H89" s="64"/>
    </row>
    <row r="90" spans="1:15" ht="17.25" thickBot="1">
      <c r="A90" s="134">
        <v>636</v>
      </c>
      <c r="B90" s="135" t="s">
        <v>115</v>
      </c>
      <c r="C90" s="136" t="s">
        <v>35</v>
      </c>
      <c r="D90" s="137" t="s">
        <v>157</v>
      </c>
      <c r="E90" s="225" t="s">
        <v>31</v>
      </c>
      <c r="F90" s="226" t="s">
        <v>31</v>
      </c>
      <c r="G90" s="227" t="s">
        <v>31</v>
      </c>
      <c r="H90" s="64"/>
    </row>
    <row r="91" spans="1:15" ht="17.25" thickBot="1">
      <c r="A91" s="250" t="s">
        <v>40</v>
      </c>
      <c r="B91" s="251"/>
      <c r="C91" s="110" t="s">
        <v>41</v>
      </c>
      <c r="D91" s="110">
        <v>2.4849999999999999</v>
      </c>
      <c r="E91" s="111">
        <f>$D$91</f>
        <v>2.4849999999999999</v>
      </c>
      <c r="F91" s="111">
        <f>$D$91</f>
        <v>2.4849999999999999</v>
      </c>
      <c r="G91" s="112">
        <f>$D$91</f>
        <v>2.4849999999999999</v>
      </c>
      <c r="H91" s="75"/>
    </row>
    <row r="92" spans="1:15" ht="17.25" thickBot="1">
      <c r="A92" s="115">
        <v>30</v>
      </c>
      <c r="B92" s="116" t="s">
        <v>47</v>
      </c>
      <c r="C92" s="110" t="s">
        <v>61</v>
      </c>
      <c r="D92" s="117">
        <f>D91/$A92</f>
        <v>8.2833333333333328E-2</v>
      </c>
      <c r="E92" s="111">
        <f>E91/($A92-E88)</f>
        <v>9.2037037037037028E-2</v>
      </c>
      <c r="F92" s="111">
        <f>F91/($A92-F88)</f>
        <v>9.7070312499999992E-2</v>
      </c>
      <c r="G92" s="112">
        <f>G91/($A92-G88)</f>
        <v>0.10354166666666666</v>
      </c>
      <c r="H92" s="64"/>
    </row>
    <row r="93" spans="1:15" ht="17.25" thickBot="1">
      <c r="H93" s="64"/>
      <c r="I93"/>
    </row>
    <row r="94" spans="1:15" ht="17.25" thickBot="1">
      <c r="A94" s="252" t="s">
        <v>12</v>
      </c>
      <c r="B94" s="253"/>
      <c r="C94" s="71" t="s">
        <v>13</v>
      </c>
      <c r="D94" s="71" t="s">
        <v>14</v>
      </c>
      <c r="E94" s="222" t="s">
        <v>15</v>
      </c>
      <c r="F94" s="223" t="s">
        <v>67</v>
      </c>
      <c r="G94" s="224" t="s">
        <v>146</v>
      </c>
      <c r="H94" s="64"/>
      <c r="I94" s="252" t="s">
        <v>12</v>
      </c>
      <c r="J94" s="253"/>
      <c r="K94" s="71" t="s">
        <v>13</v>
      </c>
      <c r="L94" s="71" t="s">
        <v>14</v>
      </c>
      <c r="M94" s="222" t="s">
        <v>15</v>
      </c>
      <c r="N94" s="223" t="s">
        <v>224</v>
      </c>
      <c r="O94" s="224" t="s">
        <v>108</v>
      </c>
    </row>
    <row r="95" spans="1:15">
      <c r="A95" s="246" t="s">
        <v>75</v>
      </c>
      <c r="B95" s="247"/>
      <c r="C95" s="78" t="s">
        <v>223</v>
      </c>
      <c r="D95" s="78" t="s">
        <v>225</v>
      </c>
      <c r="E95" s="180">
        <v>1</v>
      </c>
      <c r="F95" s="162">
        <v>1</v>
      </c>
      <c r="G95" s="163">
        <v>1</v>
      </c>
      <c r="H95" s="64"/>
      <c r="I95" s="246" t="s">
        <v>77</v>
      </c>
      <c r="J95" s="247"/>
      <c r="K95" s="78" t="s">
        <v>226</v>
      </c>
      <c r="L95" s="78" t="s">
        <v>227</v>
      </c>
      <c r="M95" s="180" t="s">
        <v>32</v>
      </c>
      <c r="N95" s="162" t="s">
        <v>31</v>
      </c>
      <c r="O95" s="163" t="s">
        <v>32</v>
      </c>
    </row>
    <row r="96" spans="1:15" ht="17.25" thickBot="1">
      <c r="A96" s="248"/>
      <c r="B96" s="249"/>
      <c r="C96" s="90" t="s">
        <v>30</v>
      </c>
      <c r="D96" s="90" t="s">
        <v>32</v>
      </c>
      <c r="E96" s="91" t="s">
        <v>32</v>
      </c>
      <c r="F96" s="92" t="s">
        <v>32</v>
      </c>
      <c r="G96" s="93" t="s">
        <v>32</v>
      </c>
      <c r="H96" s="64"/>
      <c r="I96" s="248"/>
      <c r="J96" s="249"/>
      <c r="K96" s="90" t="s">
        <v>30</v>
      </c>
      <c r="L96" s="90" t="s">
        <v>32</v>
      </c>
      <c r="M96" s="91" t="s">
        <v>32</v>
      </c>
      <c r="N96" s="92" t="s">
        <v>32</v>
      </c>
      <c r="O96" s="93" t="s">
        <v>32</v>
      </c>
    </row>
    <row r="97" spans="1:15" ht="17.25" thickBot="1">
      <c r="A97" s="134">
        <v>412</v>
      </c>
      <c r="B97" s="135" t="s">
        <v>115</v>
      </c>
      <c r="C97" s="101" t="s">
        <v>35</v>
      </c>
      <c r="D97" s="102" t="s">
        <v>228</v>
      </c>
      <c r="E97" s="219">
        <v>1</v>
      </c>
      <c r="F97" s="220">
        <v>1</v>
      </c>
      <c r="G97" s="221">
        <v>1</v>
      </c>
      <c r="H97" s="64"/>
      <c r="I97" s="134">
        <v>412</v>
      </c>
      <c r="J97" s="135" t="s">
        <v>115</v>
      </c>
      <c r="K97" s="101" t="s">
        <v>35</v>
      </c>
      <c r="L97" s="102" t="s">
        <v>228</v>
      </c>
      <c r="M97" s="219">
        <v>1</v>
      </c>
      <c r="N97" s="220">
        <v>1</v>
      </c>
      <c r="O97" s="221">
        <v>1</v>
      </c>
    </row>
    <row r="98" spans="1:15" ht="17.25" thickBot="1">
      <c r="A98" s="250" t="s">
        <v>40</v>
      </c>
      <c r="B98" s="251"/>
      <c r="C98" s="110" t="s">
        <v>41</v>
      </c>
      <c r="D98" s="117">
        <v>2.38</v>
      </c>
      <c r="E98" s="111">
        <f>$D$98*10/8</f>
        <v>2.9749999999999996</v>
      </c>
      <c r="F98" s="118">
        <f>$D$98*10/8</f>
        <v>2.9749999999999996</v>
      </c>
      <c r="G98" s="112">
        <f>$D$98*10/8</f>
        <v>2.9749999999999996</v>
      </c>
      <c r="H98" s="75"/>
      <c r="I98" s="250" t="s">
        <v>40</v>
      </c>
      <c r="J98" s="251"/>
      <c r="K98" s="110" t="s">
        <v>41</v>
      </c>
      <c r="L98" s="117">
        <v>2.38</v>
      </c>
      <c r="M98" s="111">
        <f>$D$98*12/8</f>
        <v>3.57</v>
      </c>
      <c r="N98" s="111">
        <f>$D$98*12/8</f>
        <v>3.57</v>
      </c>
      <c r="O98" s="112">
        <f>$D$98*12/8</f>
        <v>3.57</v>
      </c>
    </row>
    <row r="99" spans="1:15" ht="17.25" thickBot="1">
      <c r="A99" s="115">
        <v>12</v>
      </c>
      <c r="B99" s="116" t="s">
        <v>47</v>
      </c>
      <c r="C99" s="110" t="s">
        <v>61</v>
      </c>
      <c r="D99" s="117">
        <f>D98/$A99</f>
        <v>0.19833333333333333</v>
      </c>
      <c r="E99" s="111">
        <f>E98/($A99+3)</f>
        <v>0.19833333333333331</v>
      </c>
      <c r="F99" s="118">
        <f>F98/($A99+3)</f>
        <v>0.19833333333333331</v>
      </c>
      <c r="G99" s="112">
        <f>G98/($A99+3)</f>
        <v>0.19833333333333331</v>
      </c>
      <c r="H99" s="64"/>
      <c r="I99" s="115">
        <v>12</v>
      </c>
      <c r="J99" s="116" t="s">
        <v>47</v>
      </c>
      <c r="K99" s="110" t="s">
        <v>48</v>
      </c>
      <c r="L99" s="117">
        <f>L98/$A99</f>
        <v>0.19833333333333333</v>
      </c>
      <c r="M99" s="111">
        <f>M98/($I99)</f>
        <v>0.29749999999999999</v>
      </c>
      <c r="N99" s="111">
        <f>N98/($I99)</f>
        <v>0.29749999999999999</v>
      </c>
      <c r="O99" s="112">
        <f>O98/($I99)</f>
        <v>0.29749999999999999</v>
      </c>
    </row>
    <row r="100" spans="1:15" ht="17.25" thickBot="1">
      <c r="H100" s="64"/>
      <c r="I100"/>
    </row>
    <row r="101" spans="1:15" ht="17.25" thickBot="1">
      <c r="A101" s="252" t="s">
        <v>12</v>
      </c>
      <c r="B101" s="253"/>
      <c r="C101" s="71" t="s">
        <v>13</v>
      </c>
      <c r="D101" s="71" t="s">
        <v>14</v>
      </c>
      <c r="E101" s="222" t="s">
        <v>15</v>
      </c>
      <c r="F101" s="223" t="s">
        <v>16</v>
      </c>
      <c r="G101" s="224" t="s">
        <v>17</v>
      </c>
      <c r="H101" s="64"/>
      <c r="I101" s="252" t="s">
        <v>12</v>
      </c>
      <c r="J101" s="253"/>
      <c r="K101" s="71" t="s">
        <v>13</v>
      </c>
      <c r="L101" s="71" t="s">
        <v>14</v>
      </c>
      <c r="M101" s="222" t="s">
        <v>15</v>
      </c>
      <c r="N101" s="223" t="s">
        <v>16</v>
      </c>
      <c r="O101" s="224" t="s">
        <v>17</v>
      </c>
    </row>
    <row r="102" spans="1:15">
      <c r="A102" s="246" t="s">
        <v>229</v>
      </c>
      <c r="B102" s="247"/>
      <c r="C102" s="187" t="s">
        <v>223</v>
      </c>
      <c r="D102" s="187" t="s">
        <v>230</v>
      </c>
      <c r="E102" s="228">
        <v>0.3</v>
      </c>
      <c r="F102" s="229">
        <v>0.37</v>
      </c>
      <c r="G102" s="230">
        <v>0.45</v>
      </c>
      <c r="H102" s="64"/>
      <c r="I102" s="246" t="s">
        <v>229</v>
      </c>
      <c r="J102" s="247"/>
      <c r="K102" s="187" t="s">
        <v>223</v>
      </c>
      <c r="L102" s="187" t="s">
        <v>26</v>
      </c>
      <c r="M102" s="188">
        <v>2</v>
      </c>
      <c r="N102" s="189">
        <v>3.4</v>
      </c>
      <c r="O102" s="190">
        <v>5</v>
      </c>
    </row>
    <row r="103" spans="1:15" ht="17.25" thickBot="1">
      <c r="A103" s="248"/>
      <c r="B103" s="249"/>
      <c r="C103" s="150" t="s">
        <v>30</v>
      </c>
      <c r="D103" s="150" t="s">
        <v>231</v>
      </c>
      <c r="E103" s="191">
        <v>1</v>
      </c>
      <c r="F103" s="192">
        <v>1</v>
      </c>
      <c r="G103" s="193">
        <v>1</v>
      </c>
      <c r="H103" s="64"/>
      <c r="I103" s="248"/>
      <c r="J103" s="249"/>
      <c r="K103" s="150" t="s">
        <v>30</v>
      </c>
      <c r="L103" s="150" t="s">
        <v>231</v>
      </c>
      <c r="M103" s="191">
        <v>1</v>
      </c>
      <c r="N103" s="192">
        <v>1</v>
      </c>
      <c r="O103" s="193">
        <v>1</v>
      </c>
    </row>
    <row r="104" spans="1:15" ht="17.25" thickBot="1">
      <c r="A104" s="134">
        <v>569</v>
      </c>
      <c r="B104" s="135" t="s">
        <v>34</v>
      </c>
      <c r="C104" s="136" t="s">
        <v>35</v>
      </c>
      <c r="D104" s="137" t="s">
        <v>31</v>
      </c>
      <c r="E104" s="138" t="s">
        <v>31</v>
      </c>
      <c r="F104" s="139" t="s">
        <v>31</v>
      </c>
      <c r="G104" s="140" t="s">
        <v>31</v>
      </c>
      <c r="H104" s="64"/>
      <c r="I104" s="134">
        <v>569</v>
      </c>
      <c r="J104" s="135" t="s">
        <v>115</v>
      </c>
      <c r="K104" s="136" t="s">
        <v>35</v>
      </c>
      <c r="L104" s="137" t="s">
        <v>31</v>
      </c>
      <c r="M104" s="138" t="s">
        <v>31</v>
      </c>
      <c r="N104" s="139" t="s">
        <v>31</v>
      </c>
      <c r="O104" s="140" t="s">
        <v>31</v>
      </c>
    </row>
    <row r="105" spans="1:15" ht="17.25" thickBot="1">
      <c r="A105" s="250" t="s">
        <v>40</v>
      </c>
      <c r="B105" s="251"/>
      <c r="C105" s="110" t="s">
        <v>42</v>
      </c>
      <c r="D105" s="117">
        <f>(0.925*2+0.475)</f>
        <v>2.3250000000000002</v>
      </c>
      <c r="E105" s="111">
        <f>(0.925*3+0.475)*(E102+1)</f>
        <v>4.2250000000000005</v>
      </c>
      <c r="F105" s="111">
        <f>(0.925*3+0.475)*(F102+1)</f>
        <v>4.4525000000000006</v>
      </c>
      <c r="G105" s="112">
        <f>(0.925*3+0.475)*(G102+1)</f>
        <v>4.7125000000000004</v>
      </c>
      <c r="H105" s="75"/>
      <c r="I105" s="250" t="s">
        <v>40</v>
      </c>
      <c r="J105" s="251"/>
      <c r="K105" s="110" t="s">
        <v>41</v>
      </c>
      <c r="L105" s="117">
        <f>(0.925*2+0.475)</f>
        <v>2.3250000000000002</v>
      </c>
      <c r="M105" s="111">
        <f>(0.925*3+0.475)</f>
        <v>3.2500000000000004</v>
      </c>
      <c r="N105" s="111">
        <f>(0.925*3+0.475)</f>
        <v>3.2500000000000004</v>
      </c>
      <c r="O105" s="112">
        <f>(0.925*3+0.475)</f>
        <v>3.2500000000000004</v>
      </c>
    </row>
    <row r="106" spans="1:15" ht="17.25" thickBot="1">
      <c r="A106" s="115">
        <v>24</v>
      </c>
      <c r="B106" s="116" t="s">
        <v>47</v>
      </c>
      <c r="C106" s="110" t="s">
        <v>48</v>
      </c>
      <c r="D106" s="117">
        <f>D105/$A106</f>
        <v>9.6875000000000003E-2</v>
      </c>
      <c r="E106" s="111">
        <f>E105/($A106)</f>
        <v>0.17604166666666668</v>
      </c>
      <c r="F106" s="111">
        <f>F105/($A106)</f>
        <v>0.18552083333333336</v>
      </c>
      <c r="G106" s="112">
        <f>G105/($A106)</f>
        <v>0.19635416666666669</v>
      </c>
      <c r="H106" s="64"/>
      <c r="I106" s="115">
        <v>24</v>
      </c>
      <c r="J106" s="116" t="s">
        <v>47</v>
      </c>
      <c r="K106" s="110" t="s">
        <v>48</v>
      </c>
      <c r="L106" s="117">
        <f>L105/$A106</f>
        <v>9.6875000000000003E-2</v>
      </c>
      <c r="M106" s="111">
        <f>M105/($I106-M102)</f>
        <v>0.14772727272727273</v>
      </c>
      <c r="N106" s="118">
        <f>N105/($I106-N102)</f>
        <v>0.15776699029126215</v>
      </c>
      <c r="O106" s="112">
        <f>O105/($I106-O102)</f>
        <v>0.1710526315789474</v>
      </c>
    </row>
    <row r="107" spans="1:15" ht="17.25" thickBot="1">
      <c r="H107" s="64"/>
    </row>
    <row r="108" spans="1:15" ht="17.25" thickBot="1">
      <c r="A108" s="252" t="s">
        <v>12</v>
      </c>
      <c r="B108" s="253"/>
      <c r="C108" s="71" t="s">
        <v>13</v>
      </c>
      <c r="D108" s="71" t="s">
        <v>14</v>
      </c>
      <c r="E108" s="222" t="s">
        <v>15</v>
      </c>
      <c r="F108" s="223" t="s">
        <v>16</v>
      </c>
      <c r="G108" s="224" t="s">
        <v>17</v>
      </c>
      <c r="H108" s="64"/>
      <c r="I108"/>
    </row>
    <row r="109" spans="1:15">
      <c r="A109" s="246" t="s">
        <v>85</v>
      </c>
      <c r="B109" s="247"/>
      <c r="C109" s="78" t="s">
        <v>223</v>
      </c>
      <c r="D109" s="78" t="s">
        <v>232</v>
      </c>
      <c r="E109" s="180">
        <v>2</v>
      </c>
      <c r="F109" s="162">
        <v>3.2</v>
      </c>
      <c r="G109" s="163">
        <v>4.5</v>
      </c>
      <c r="H109" s="64"/>
      <c r="I109"/>
    </row>
    <row r="110" spans="1:15" ht="17.25" thickBot="1">
      <c r="A110" s="248"/>
      <c r="B110" s="249"/>
      <c r="C110" s="150" t="s">
        <v>30</v>
      </c>
      <c r="D110" s="150" t="s">
        <v>55</v>
      </c>
      <c r="E110" s="151" t="s">
        <v>31</v>
      </c>
      <c r="F110" s="198" t="s">
        <v>31</v>
      </c>
      <c r="G110" s="199" t="s">
        <v>31</v>
      </c>
      <c r="H110" s="64"/>
      <c r="I110"/>
    </row>
    <row r="111" spans="1:15" ht="17.25" thickBot="1">
      <c r="A111" s="134">
        <v>569</v>
      </c>
      <c r="B111" s="135" t="s">
        <v>34</v>
      </c>
      <c r="C111" s="136" t="s">
        <v>35</v>
      </c>
      <c r="D111" s="137" t="s">
        <v>31</v>
      </c>
      <c r="E111" s="138" t="s">
        <v>32</v>
      </c>
      <c r="F111" s="139" t="s">
        <v>32</v>
      </c>
      <c r="G111" s="140" t="s">
        <v>31</v>
      </c>
      <c r="H111" s="64"/>
      <c r="I111"/>
    </row>
    <row r="112" spans="1:15" ht="17.25" thickBot="1">
      <c r="A112" s="250" t="s">
        <v>40</v>
      </c>
      <c r="B112" s="251"/>
      <c r="C112" s="110" t="s">
        <v>41</v>
      </c>
      <c r="D112" s="117">
        <v>3.2000000000000001E-2</v>
      </c>
      <c r="E112" s="111">
        <f>10+ROUNDDOWN(E109,0)+$D$112*7</f>
        <v>12.224</v>
      </c>
      <c r="F112" s="111">
        <f>10+ROUNDDOWN(F109,0)+$D$112*8</f>
        <v>13.256</v>
      </c>
      <c r="G112" s="112">
        <f>10+ROUNDDOWN(G109,0)+$D$112*9</f>
        <v>14.288</v>
      </c>
      <c r="H112" s="75"/>
      <c r="I112"/>
    </row>
    <row r="113" spans="1:15" ht="17.25" thickBot="1">
      <c r="A113" s="115">
        <v>24</v>
      </c>
      <c r="B113" s="116" t="s">
        <v>47</v>
      </c>
      <c r="C113" s="110" t="s">
        <v>48</v>
      </c>
      <c r="D113" s="117">
        <f>D112/$A113</f>
        <v>1.3333333333333333E-3</v>
      </c>
      <c r="E113" s="111">
        <f>E112/($A113)</f>
        <v>0.5093333333333333</v>
      </c>
      <c r="F113" s="118">
        <f>F112/($A113)</f>
        <v>0.55233333333333334</v>
      </c>
      <c r="G113" s="112">
        <f>G112/($A113)</f>
        <v>0.59533333333333338</v>
      </c>
      <c r="H113" s="64"/>
      <c r="I113"/>
    </row>
    <row r="114" spans="1:15" ht="17.25" thickBot="1">
      <c r="H114" s="64"/>
      <c r="I114"/>
    </row>
    <row r="115" spans="1:15" ht="17.25" thickBot="1">
      <c r="A115" s="252" t="s">
        <v>12</v>
      </c>
      <c r="B115" s="253"/>
      <c r="C115" s="71" t="s">
        <v>13</v>
      </c>
      <c r="D115" s="71" t="s">
        <v>14</v>
      </c>
      <c r="E115" s="222" t="s">
        <v>127</v>
      </c>
      <c r="F115" s="223" t="s">
        <v>67</v>
      </c>
      <c r="G115" s="224" t="s">
        <v>17</v>
      </c>
      <c r="H115" s="64"/>
      <c r="I115" s="252" t="s">
        <v>12</v>
      </c>
      <c r="J115" s="253"/>
      <c r="K115" s="71" t="s">
        <v>13</v>
      </c>
      <c r="L115" s="71" t="s">
        <v>14</v>
      </c>
      <c r="M115" s="222" t="s">
        <v>127</v>
      </c>
      <c r="N115" s="223" t="s">
        <v>67</v>
      </c>
      <c r="O115" s="224" t="s">
        <v>146</v>
      </c>
    </row>
    <row r="116" spans="1:15">
      <c r="A116" s="246" t="s">
        <v>192</v>
      </c>
      <c r="B116" s="247"/>
      <c r="C116" s="187" t="s">
        <v>226</v>
      </c>
      <c r="D116" s="187" t="s">
        <v>233</v>
      </c>
      <c r="E116" s="188">
        <v>4</v>
      </c>
      <c r="F116" s="189">
        <v>5.4</v>
      </c>
      <c r="G116" s="190">
        <v>7</v>
      </c>
      <c r="H116" s="64"/>
      <c r="I116" s="246" t="s">
        <v>234</v>
      </c>
      <c r="J116" s="247"/>
      <c r="K116" s="187" t="s">
        <v>223</v>
      </c>
      <c r="L116" s="187" t="s">
        <v>235</v>
      </c>
      <c r="M116" s="188" t="s">
        <v>31</v>
      </c>
      <c r="N116" s="189" t="s">
        <v>32</v>
      </c>
      <c r="O116" s="190" t="s">
        <v>31</v>
      </c>
    </row>
    <row r="117" spans="1:15" ht="17.25" thickBot="1">
      <c r="A117" s="248"/>
      <c r="B117" s="249"/>
      <c r="C117" s="90" t="s">
        <v>30</v>
      </c>
      <c r="D117" s="90" t="s">
        <v>31</v>
      </c>
      <c r="E117" s="91" t="s">
        <v>31</v>
      </c>
      <c r="F117" s="92" t="s">
        <v>31</v>
      </c>
      <c r="G117" s="93" t="s">
        <v>32</v>
      </c>
      <c r="H117" s="64"/>
      <c r="I117" s="248"/>
      <c r="J117" s="249"/>
      <c r="K117" s="90" t="s">
        <v>30</v>
      </c>
      <c r="L117" s="90" t="s">
        <v>31</v>
      </c>
      <c r="M117" s="91" t="s">
        <v>31</v>
      </c>
      <c r="N117" s="92" t="s">
        <v>31</v>
      </c>
      <c r="O117" s="93" t="s">
        <v>31</v>
      </c>
    </row>
    <row r="118" spans="1:15" ht="17.25" thickBot="1">
      <c r="A118" s="134">
        <v>521</v>
      </c>
      <c r="B118" s="135" t="s">
        <v>115</v>
      </c>
      <c r="C118" s="101" t="s">
        <v>35</v>
      </c>
      <c r="D118" s="102" t="s">
        <v>116</v>
      </c>
      <c r="E118" s="170">
        <v>2</v>
      </c>
      <c r="F118" s="171">
        <v>2.5</v>
      </c>
      <c r="G118" s="172">
        <v>3</v>
      </c>
      <c r="H118" s="64"/>
      <c r="I118" s="134">
        <v>521</v>
      </c>
      <c r="J118" s="135" t="s">
        <v>115</v>
      </c>
      <c r="K118" s="101" t="s">
        <v>35</v>
      </c>
      <c r="L118" s="102" t="s">
        <v>116</v>
      </c>
      <c r="M118" s="170">
        <v>2</v>
      </c>
      <c r="N118" s="171">
        <v>2.5</v>
      </c>
      <c r="O118" s="172">
        <v>3</v>
      </c>
    </row>
    <row r="119" spans="1:15" ht="17.25" thickBot="1">
      <c r="A119" s="250" t="s">
        <v>40</v>
      </c>
      <c r="B119" s="251"/>
      <c r="C119" s="110" t="s">
        <v>41</v>
      </c>
      <c r="D119" s="117">
        <v>3.2850000000000001</v>
      </c>
      <c r="E119" s="111">
        <f>$D$119*(1+E118)</f>
        <v>9.8550000000000004</v>
      </c>
      <c r="F119" s="111">
        <f>$D$119*(1+F118)</f>
        <v>11.4975</v>
      </c>
      <c r="G119" s="112">
        <f>$D$119*(1+G118)</f>
        <v>13.14</v>
      </c>
      <c r="H119" s="64"/>
      <c r="I119" s="250" t="s">
        <v>40</v>
      </c>
      <c r="J119" s="251"/>
      <c r="K119" s="110" t="s">
        <v>42</v>
      </c>
      <c r="L119" s="117">
        <v>3.2850000000000001</v>
      </c>
      <c r="M119" s="111">
        <f>$D$119*(1+M118)</f>
        <v>9.8550000000000004</v>
      </c>
      <c r="N119" s="111">
        <f>$D$119*(1+N118)</f>
        <v>11.4975</v>
      </c>
      <c r="O119" s="112">
        <f>$D$119*(1+O118)</f>
        <v>13.14</v>
      </c>
    </row>
    <row r="120" spans="1:15" ht="17.25" thickBot="1">
      <c r="A120" s="115">
        <v>20</v>
      </c>
      <c r="B120" s="116" t="s">
        <v>47</v>
      </c>
      <c r="C120" s="110" t="s">
        <v>236</v>
      </c>
      <c r="D120" s="117">
        <f>D119/$A120</f>
        <v>0.16425000000000001</v>
      </c>
      <c r="E120" s="111">
        <f>E119/($A120-E116)</f>
        <v>0.61593750000000003</v>
      </c>
      <c r="F120" s="118">
        <f>F119/($A120-F116)</f>
        <v>0.78750000000000009</v>
      </c>
      <c r="G120" s="112">
        <f>G119/($A120-G116)</f>
        <v>1.0107692307692309</v>
      </c>
      <c r="H120" s="64"/>
      <c r="I120" s="115">
        <v>20</v>
      </c>
      <c r="J120" s="116" t="s">
        <v>47</v>
      </c>
      <c r="K120" s="110" t="s">
        <v>237</v>
      </c>
      <c r="L120" s="117">
        <f>L119/$I120</f>
        <v>0.16425000000000001</v>
      </c>
      <c r="M120" s="111">
        <f>M119/($I120)</f>
        <v>0.49275000000000002</v>
      </c>
      <c r="N120" s="118">
        <f>N119/($I120)</f>
        <v>0.57487500000000002</v>
      </c>
      <c r="O120" s="112">
        <f>O119/($I120)</f>
        <v>0.65700000000000003</v>
      </c>
    </row>
    <row r="121" spans="1:15" ht="17.25" thickBot="1">
      <c r="H121" s="64"/>
      <c r="I121"/>
    </row>
    <row r="122" spans="1:15" ht="17.25" thickBot="1">
      <c r="A122" s="252" t="s">
        <v>12</v>
      </c>
      <c r="B122" s="253"/>
      <c r="C122" s="71" t="s">
        <v>13</v>
      </c>
      <c r="D122" s="71" t="s">
        <v>14</v>
      </c>
      <c r="E122" s="222" t="s">
        <v>238</v>
      </c>
      <c r="F122" s="223" t="s">
        <v>224</v>
      </c>
      <c r="G122" s="224" t="s">
        <v>239</v>
      </c>
      <c r="H122" s="64"/>
      <c r="I122"/>
    </row>
    <row r="123" spans="1:15">
      <c r="A123" s="246" t="s">
        <v>240</v>
      </c>
      <c r="B123" s="247"/>
      <c r="C123" s="187" t="s">
        <v>241</v>
      </c>
      <c r="D123" s="187" t="s">
        <v>242</v>
      </c>
      <c r="E123" s="228">
        <v>0.02</v>
      </c>
      <c r="F123" s="229">
        <v>0.06</v>
      </c>
      <c r="G123" s="230">
        <v>0.1</v>
      </c>
      <c r="H123" s="64"/>
      <c r="I123"/>
    </row>
    <row r="124" spans="1:15" ht="17.25" thickBot="1">
      <c r="A124" s="248"/>
      <c r="B124" s="249"/>
      <c r="C124" s="90" t="s">
        <v>30</v>
      </c>
      <c r="D124" s="90" t="s">
        <v>157</v>
      </c>
      <c r="E124" s="91" t="s">
        <v>206</v>
      </c>
      <c r="F124" s="92" t="s">
        <v>206</v>
      </c>
      <c r="G124" s="93" t="s">
        <v>206</v>
      </c>
      <c r="H124" s="64"/>
      <c r="I124"/>
    </row>
    <row r="125" spans="1:15" ht="17.25" thickBot="1">
      <c r="A125" s="134">
        <v>521</v>
      </c>
      <c r="B125" s="135" t="s">
        <v>243</v>
      </c>
      <c r="C125" s="101" t="s">
        <v>35</v>
      </c>
      <c r="D125" s="102" t="s">
        <v>116</v>
      </c>
      <c r="E125" s="170"/>
      <c r="F125" s="171"/>
      <c r="G125" s="172"/>
      <c r="H125" s="64"/>
      <c r="I125"/>
    </row>
    <row r="126" spans="1:15" ht="17.25" thickBot="1">
      <c r="A126" s="250" t="s">
        <v>40</v>
      </c>
      <c r="B126" s="251"/>
      <c r="C126" s="110" t="s">
        <v>41</v>
      </c>
      <c r="D126" s="117">
        <v>3.6</v>
      </c>
      <c r="E126" s="111">
        <f>$D$126*(1+E125)</f>
        <v>3.6</v>
      </c>
      <c r="F126" s="111">
        <f t="shared" ref="F126:G126" si="19">$D$126*(1+F125)</f>
        <v>3.6</v>
      </c>
      <c r="G126" s="111">
        <f t="shared" si="19"/>
        <v>3.6</v>
      </c>
      <c r="H126" s="64"/>
      <c r="I126"/>
    </row>
    <row r="127" spans="1:15" ht="17.25" thickBot="1">
      <c r="A127" s="115">
        <v>90</v>
      </c>
      <c r="B127" s="116" t="s">
        <v>47</v>
      </c>
      <c r="C127" s="110" t="s">
        <v>244</v>
      </c>
      <c r="D127" s="117">
        <f>D126/$A127</f>
        <v>0.04</v>
      </c>
      <c r="E127" s="111">
        <f>E126/($A127*(1-E123))</f>
        <v>4.0816326530612242E-2</v>
      </c>
      <c r="F127" s="111">
        <f t="shared" ref="F127:G127" si="20">F126/($A127*(1-F123))</f>
        <v>4.2553191489361708E-2</v>
      </c>
      <c r="G127" s="111">
        <f t="shared" si="20"/>
        <v>4.4444444444444446E-2</v>
      </c>
    </row>
    <row r="128" spans="1:15" ht="17.25" thickBot="1"/>
    <row r="129" spans="1:7" ht="17.25" thickBot="1">
      <c r="A129" s="252" t="s">
        <v>12</v>
      </c>
      <c r="B129" s="253"/>
      <c r="C129" s="71" t="s">
        <v>13</v>
      </c>
      <c r="D129" s="71" t="s">
        <v>14</v>
      </c>
      <c r="E129" s="222" t="s">
        <v>245</v>
      </c>
      <c r="F129" s="223" t="s">
        <v>246</v>
      </c>
      <c r="G129" s="224" t="s">
        <v>247</v>
      </c>
    </row>
    <row r="130" spans="1:7">
      <c r="A130" s="246" t="s">
        <v>248</v>
      </c>
      <c r="B130" s="247"/>
      <c r="C130" s="187" t="s">
        <v>249</v>
      </c>
      <c r="D130" s="187" t="s">
        <v>250</v>
      </c>
      <c r="E130" s="228">
        <v>0.02</v>
      </c>
      <c r="F130" s="229">
        <v>0.06</v>
      </c>
      <c r="G130" s="230">
        <v>0.1</v>
      </c>
    </row>
    <row r="131" spans="1:7" ht="17.25" thickBot="1">
      <c r="A131" s="248"/>
      <c r="B131" s="249"/>
      <c r="C131" s="90" t="s">
        <v>30</v>
      </c>
      <c r="D131" s="90" t="s">
        <v>251</v>
      </c>
      <c r="E131" s="91" t="s">
        <v>206</v>
      </c>
      <c r="F131" s="92" t="s">
        <v>252</v>
      </c>
      <c r="G131" s="93" t="s">
        <v>32</v>
      </c>
    </row>
    <row r="132" spans="1:7" ht="17.25" thickBot="1">
      <c r="A132" s="134">
        <v>521</v>
      </c>
      <c r="B132" s="135" t="s">
        <v>253</v>
      </c>
      <c r="C132" s="101" t="s">
        <v>35</v>
      </c>
      <c r="D132" s="102" t="s">
        <v>254</v>
      </c>
      <c r="E132" s="170"/>
      <c r="F132" s="171"/>
      <c r="G132" s="172"/>
    </row>
    <row r="133" spans="1:7" ht="17.25" thickBot="1">
      <c r="A133" s="250" t="s">
        <v>40</v>
      </c>
      <c r="B133" s="251"/>
      <c r="C133" s="110" t="s">
        <v>255</v>
      </c>
      <c r="D133" s="117">
        <v>4.08</v>
      </c>
      <c r="E133" s="111">
        <f>$D$133*(1+E132)</f>
        <v>4.08</v>
      </c>
      <c r="F133" s="111">
        <f t="shared" ref="F133:G133" si="21">$D$133*(1+F132)</f>
        <v>4.08</v>
      </c>
      <c r="G133" s="111">
        <f t="shared" si="21"/>
        <v>4.08</v>
      </c>
    </row>
    <row r="134" spans="1:7" ht="17.25" thickBot="1">
      <c r="A134" s="115">
        <v>70</v>
      </c>
      <c r="B134" s="116" t="s">
        <v>47</v>
      </c>
      <c r="C134" s="110" t="s">
        <v>207</v>
      </c>
      <c r="D134" s="117">
        <f>D133/$A134</f>
        <v>5.8285714285714288E-2</v>
      </c>
      <c r="E134" s="111">
        <f>E133/($A134*(1-E130))</f>
        <v>5.9475218658892132E-2</v>
      </c>
      <c r="F134" s="111">
        <f t="shared" ref="F134:G134" si="22">F133/($A134*(1-F130))</f>
        <v>6.200607902735563E-2</v>
      </c>
      <c r="G134" s="111">
        <f t="shared" si="22"/>
        <v>6.4761904761904757E-2</v>
      </c>
    </row>
  </sheetData>
  <mergeCells count="156">
    <mergeCell ref="A1:B1"/>
    <mergeCell ref="H1:I1"/>
    <mergeCell ref="AD1:AG1"/>
    <mergeCell ref="Q2:U2"/>
    <mergeCell ref="W2:AB2"/>
    <mergeCell ref="A3:B3"/>
    <mergeCell ref="I3:J3"/>
    <mergeCell ref="A7:B7"/>
    <mergeCell ref="I7:J7"/>
    <mergeCell ref="Q9:Q10"/>
    <mergeCell ref="S9:U9"/>
    <mergeCell ref="W9:W10"/>
    <mergeCell ref="A10:B10"/>
    <mergeCell ref="S10:U10"/>
    <mergeCell ref="A4:B5"/>
    <mergeCell ref="I4:J5"/>
    <mergeCell ref="Q4:Q5"/>
    <mergeCell ref="S4:U4"/>
    <mergeCell ref="W4:W5"/>
    <mergeCell ref="S5:U5"/>
    <mergeCell ref="Q16:Q17"/>
    <mergeCell ref="W16:W17"/>
    <mergeCell ref="A17:B17"/>
    <mergeCell ref="S17:U17"/>
    <mergeCell ref="A18:B19"/>
    <mergeCell ref="Q18:Q19"/>
    <mergeCell ref="W18:W19"/>
    <mergeCell ref="A11:B12"/>
    <mergeCell ref="Q11:Q12"/>
    <mergeCell ref="W11:W12"/>
    <mergeCell ref="Q13:Q14"/>
    <mergeCell ref="S13:U13"/>
    <mergeCell ref="W13:W14"/>
    <mergeCell ref="A14:B14"/>
    <mergeCell ref="S14:U14"/>
    <mergeCell ref="Q23:Q24"/>
    <mergeCell ref="W23:W24"/>
    <mergeCell ref="A24:B24"/>
    <mergeCell ref="S24:U24"/>
    <mergeCell ref="A25:B26"/>
    <mergeCell ref="Q26:Q27"/>
    <mergeCell ref="W26:W27"/>
    <mergeCell ref="S20:U20"/>
    <mergeCell ref="A21:B21"/>
    <mergeCell ref="Q21:Q22"/>
    <mergeCell ref="S21:U21"/>
    <mergeCell ref="W21:W22"/>
    <mergeCell ref="S22:U22"/>
    <mergeCell ref="A28:B28"/>
    <mergeCell ref="Q28:Q29"/>
    <mergeCell ref="S28:U28"/>
    <mergeCell ref="W28:W29"/>
    <mergeCell ref="S30:U30"/>
    <mergeCell ref="A31:B31"/>
    <mergeCell ref="S31:U31"/>
    <mergeCell ref="A39:B40"/>
    <mergeCell ref="I39:J40"/>
    <mergeCell ref="S39:U39"/>
    <mergeCell ref="A42:B42"/>
    <mergeCell ref="I42:J42"/>
    <mergeCell ref="Q43:Q44"/>
    <mergeCell ref="A32:B33"/>
    <mergeCell ref="S32:U32"/>
    <mergeCell ref="A35:B35"/>
    <mergeCell ref="Q36:U36"/>
    <mergeCell ref="W43:W44"/>
    <mergeCell ref="A45:B45"/>
    <mergeCell ref="I45:J45"/>
    <mergeCell ref="Q45:Q46"/>
    <mergeCell ref="W45:W46"/>
    <mergeCell ref="A46:B47"/>
    <mergeCell ref="I46:J47"/>
    <mergeCell ref="Q47:Q48"/>
    <mergeCell ref="S47:U47"/>
    <mergeCell ref="W47:W48"/>
    <mergeCell ref="W36:AB36"/>
    <mergeCell ref="A38:B38"/>
    <mergeCell ref="I38:J38"/>
    <mergeCell ref="Q38:Q39"/>
    <mergeCell ref="S38:U38"/>
    <mergeCell ref="W38:W39"/>
    <mergeCell ref="A56:B56"/>
    <mergeCell ref="I56:J56"/>
    <mergeCell ref="S56:U56"/>
    <mergeCell ref="S48:U48"/>
    <mergeCell ref="A49:B49"/>
    <mergeCell ref="I49:J49"/>
    <mergeCell ref="Q50:Q51"/>
    <mergeCell ref="W50:W51"/>
    <mergeCell ref="A52:B52"/>
    <mergeCell ref="I52:J52"/>
    <mergeCell ref="Q52:Q53"/>
    <mergeCell ref="W52:W53"/>
    <mergeCell ref="A53:B54"/>
    <mergeCell ref="Q57:Q58"/>
    <mergeCell ref="W57:W58"/>
    <mergeCell ref="I59:J59"/>
    <mergeCell ref="I60:J61"/>
    <mergeCell ref="Q60:Q61"/>
    <mergeCell ref="W60:W61"/>
    <mergeCell ref="I53:J54"/>
    <mergeCell ref="Q55:Q56"/>
    <mergeCell ref="S55:U55"/>
    <mergeCell ref="W55:W56"/>
    <mergeCell ref="A66:B66"/>
    <mergeCell ref="S66:U66"/>
    <mergeCell ref="A67:B68"/>
    <mergeCell ref="A70:B70"/>
    <mergeCell ref="A73:B73"/>
    <mergeCell ref="I73:J73"/>
    <mergeCell ref="Q62:Q63"/>
    <mergeCell ref="S62:U62"/>
    <mergeCell ref="W62:W63"/>
    <mergeCell ref="I63:J63"/>
    <mergeCell ref="S64:U64"/>
    <mergeCell ref="S65:U65"/>
    <mergeCell ref="A81:B82"/>
    <mergeCell ref="I81:J82"/>
    <mergeCell ref="A84:B84"/>
    <mergeCell ref="I84:J84"/>
    <mergeCell ref="A87:B87"/>
    <mergeCell ref="A88:B89"/>
    <mergeCell ref="A74:B75"/>
    <mergeCell ref="I74:J75"/>
    <mergeCell ref="A77:B77"/>
    <mergeCell ref="I77:J77"/>
    <mergeCell ref="A80:B80"/>
    <mergeCell ref="I80:J80"/>
    <mergeCell ref="A101:B101"/>
    <mergeCell ref="I101:J101"/>
    <mergeCell ref="A102:B103"/>
    <mergeCell ref="I102:J103"/>
    <mergeCell ref="A105:B105"/>
    <mergeCell ref="I105:J105"/>
    <mergeCell ref="A91:B91"/>
    <mergeCell ref="A94:B94"/>
    <mergeCell ref="I94:J94"/>
    <mergeCell ref="A95:B96"/>
    <mergeCell ref="I95:J96"/>
    <mergeCell ref="A98:B98"/>
    <mergeCell ref="I98:J98"/>
    <mergeCell ref="A130:B131"/>
    <mergeCell ref="A133:B133"/>
    <mergeCell ref="A119:B119"/>
    <mergeCell ref="I119:J119"/>
    <mergeCell ref="A122:B122"/>
    <mergeCell ref="A123:B124"/>
    <mergeCell ref="A126:B126"/>
    <mergeCell ref="A129:B129"/>
    <mergeCell ref="A108:B108"/>
    <mergeCell ref="A109:B110"/>
    <mergeCell ref="A112:B112"/>
    <mergeCell ref="A115:B115"/>
    <mergeCell ref="I115:J115"/>
    <mergeCell ref="A116:B117"/>
    <mergeCell ref="I116:J117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시전시간</vt:lpstr>
      <vt:lpstr>바드세레수급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yoon jong yoon</dc:creator>
  <cp:lastModifiedBy>yoon jong yoon</cp:lastModifiedBy>
  <dcterms:created xsi:type="dcterms:W3CDTF">2024-08-28T03:51:04Z</dcterms:created>
  <dcterms:modified xsi:type="dcterms:W3CDTF">2024-09-22T09:35:17Z</dcterms:modified>
</cp:coreProperties>
</file>