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c21\Downloads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E31" i="1"/>
  <c r="D31" i="1"/>
  <c r="C31" i="1"/>
  <c r="E27" i="1"/>
  <c r="D27" i="1"/>
  <c r="C27" i="1"/>
  <c r="E26" i="1"/>
  <c r="D26" i="1"/>
  <c r="C26" i="1"/>
  <c r="E13" i="1"/>
  <c r="D13" i="1"/>
  <c r="C13" i="1"/>
  <c r="E12" i="1"/>
  <c r="D12" i="1"/>
  <c r="C12" i="1"/>
  <c r="E8" i="1"/>
  <c r="D8" i="1"/>
  <c r="C8" i="1"/>
  <c r="E7" i="1"/>
  <c r="D7" i="1"/>
  <c r="C7" i="1"/>
  <c r="E38" i="1"/>
  <c r="D38" i="1"/>
  <c r="C38" i="1"/>
  <c r="E30" i="1"/>
  <c r="D30" i="1"/>
  <c r="C30" i="1"/>
  <c r="E29" i="1"/>
  <c r="D29" i="1"/>
  <c r="C29" i="1"/>
  <c r="E25" i="1"/>
  <c r="D25" i="1"/>
  <c r="C25" i="1"/>
  <c r="C4" i="1"/>
  <c r="E6" i="1"/>
  <c r="D6" i="1"/>
  <c r="C6" i="1"/>
  <c r="E4" i="1"/>
  <c r="D4" i="1"/>
  <c r="E11" i="1"/>
  <c r="D11" i="1"/>
  <c r="C11" i="1"/>
  <c r="E10" i="1"/>
  <c r="D10" i="1"/>
  <c r="C10" i="1"/>
  <c r="L16" i="1"/>
  <c r="E40" i="1" l="1"/>
  <c r="D40" i="1"/>
  <c r="C40" i="1"/>
  <c r="E39" i="1"/>
  <c r="D39" i="1"/>
  <c r="C39" i="1"/>
  <c r="E37" i="1"/>
  <c r="D37" i="1"/>
  <c r="C37" i="1"/>
  <c r="E35" i="1"/>
  <c r="D35" i="1"/>
  <c r="C35" i="1"/>
  <c r="E34" i="1"/>
  <c r="D34" i="1"/>
  <c r="C34" i="1"/>
  <c r="E33" i="1"/>
  <c r="D33" i="1"/>
  <c r="C33" i="1"/>
  <c r="E28" i="1"/>
  <c r="D28" i="1"/>
  <c r="C28" i="1"/>
  <c r="E24" i="1"/>
  <c r="D24" i="1"/>
  <c r="C24" i="1"/>
  <c r="E19" i="1"/>
  <c r="E18" i="1"/>
  <c r="E9" i="1"/>
  <c r="E5" i="1"/>
  <c r="D19" i="1"/>
  <c r="D18" i="1"/>
  <c r="C19" i="1"/>
  <c r="C18" i="1"/>
  <c r="D5" i="1"/>
  <c r="C5" i="1"/>
  <c r="E20" i="1"/>
  <c r="C20" i="1"/>
  <c r="D20" i="1"/>
  <c r="E16" i="1"/>
  <c r="D16" i="1"/>
  <c r="C16" i="1"/>
  <c r="E15" i="1"/>
  <c r="D15" i="1"/>
  <c r="C15" i="1"/>
  <c r="E14" i="1"/>
  <c r="D14" i="1"/>
  <c r="C14" i="1"/>
  <c r="D9" i="1"/>
  <c r="C9" i="1"/>
</calcChain>
</file>

<file path=xl/sharedStrings.xml><?xml version="1.0" encoding="utf-8"?>
<sst xmlns="http://schemas.openxmlformats.org/spreadsheetml/2006/main" count="88" uniqueCount="54">
  <si>
    <t>옵션</t>
    <phoneticPr fontId="2" type="noConversion"/>
  </si>
  <si>
    <t>하</t>
    <phoneticPr fontId="2" type="noConversion"/>
  </si>
  <si>
    <t>중</t>
    <phoneticPr fontId="2" type="noConversion"/>
  </si>
  <si>
    <t>상</t>
    <phoneticPr fontId="2" type="noConversion"/>
  </si>
  <si>
    <t>비고</t>
    <phoneticPr fontId="2" type="noConversion"/>
  </si>
  <si>
    <t>추피 2.5%/3%/3.5%
+악마/대악마 2.5%</t>
    <phoneticPr fontId="2" type="noConversion"/>
  </si>
  <si>
    <t>치피 6.8%/8.4%/10%
+치명타 적중 시 피증 1.5%</t>
    <phoneticPr fontId="2" type="noConversion"/>
  </si>
  <si>
    <t>치적 3.4%/4.2%/5%
+치명타 적중 시 피증 1.5%</t>
    <phoneticPr fontId="2" type="noConversion"/>
  </si>
  <si>
    <t>적주피 4.5%/5%/5.5%
+재사용 대기 시간 2% 증가</t>
    <phoneticPr fontId="2" type="noConversion"/>
  </si>
  <si>
    <t>무공 6900/7800/8700
+30초마다 120초 동안
130/140/150(최대30)</t>
    <phoneticPr fontId="2" type="noConversion"/>
  </si>
  <si>
    <t>치피 6.8%/8.4%/10%</t>
    <phoneticPr fontId="2" type="noConversion"/>
  </si>
  <si>
    <t>치적 3.4%/4.2%/5%</t>
    <phoneticPr fontId="2" type="noConversion"/>
  </si>
  <si>
    <t>무공 7200/8100/9000</t>
    <phoneticPr fontId="2" type="noConversion"/>
  </si>
  <si>
    <t>비방향성 공격 2.5%/3%/3.5%
각성기X</t>
    <phoneticPr fontId="2" type="noConversion"/>
  </si>
  <si>
    <t>적주피 2%/2.5%/3%
+무력화 대상 4%/4.5%/5%</t>
    <phoneticPr fontId="2" type="noConversion"/>
  </si>
  <si>
    <t>추피 3%/3.5%/4%</t>
    <phoneticPr fontId="2" type="noConversion"/>
  </si>
  <si>
    <t>적중 시 무공 1160/1320/1480
+공이속1% (최대6중첩)</t>
    <phoneticPr fontId="2" type="noConversion"/>
  </si>
  <si>
    <t>힘민지 10000/13000/16000</t>
    <phoneticPr fontId="2" type="noConversion"/>
  </si>
  <si>
    <t>공이속 4%/5%/6%</t>
    <phoneticPr fontId="2" type="noConversion"/>
  </si>
  <si>
    <t>악마/대악마
전용</t>
    <phoneticPr fontId="2" type="noConversion"/>
  </si>
  <si>
    <t>상시유지기준</t>
    <phoneticPr fontId="2" type="noConversion"/>
  </si>
  <si>
    <t>쿨감효율70%</t>
    <phoneticPr fontId="2" type="noConversion"/>
  </si>
  <si>
    <t>딜지분 90%</t>
    <phoneticPr fontId="2" type="noConversion"/>
  </si>
  <si>
    <t>P-상세정보-무기 공격력</t>
    <phoneticPr fontId="2" type="noConversion"/>
  </si>
  <si>
    <t>무품추피(%)</t>
    <phoneticPr fontId="2" type="noConversion"/>
  </si>
  <si>
    <t>달인추피(%)</t>
    <phoneticPr fontId="2" type="noConversion"/>
  </si>
  <si>
    <t>목걸이 추피(%)</t>
    <phoneticPr fontId="2" type="noConversion"/>
  </si>
  <si>
    <t>귀걸이 무공(%)</t>
    <phoneticPr fontId="2" type="noConversion"/>
  </si>
  <si>
    <t>P-상세정보-힘민지</t>
    <phoneticPr fontId="2" type="noConversion"/>
  </si>
  <si>
    <t>카드 악추피(%)</t>
    <phoneticPr fontId="2" type="noConversion"/>
  </si>
  <si>
    <t>20분 레이드 기준</t>
    <phoneticPr fontId="2" type="noConversion"/>
  </si>
  <si>
    <t>풀스택 기준
공이속 무시</t>
    <phoneticPr fontId="2" type="noConversion"/>
  </si>
  <si>
    <t>펫 방범대 추피(%)</t>
    <phoneticPr fontId="2" type="noConversion"/>
  </si>
  <si>
    <t>펫 방범대 힘민지(%)</t>
    <phoneticPr fontId="2" type="noConversion"/>
  </si>
  <si>
    <r>
      <t>무공 7200/8100/9000
+생명력50%</t>
    </r>
    <r>
      <rPr>
        <b/>
        <sz val="11"/>
        <color theme="7"/>
        <rFont val="맑은 고딕"/>
        <family val="3"/>
        <charset val="129"/>
      </rPr>
      <t>↑ 2000/2200/2400</t>
    </r>
    <phoneticPr fontId="2" type="noConversion"/>
  </si>
  <si>
    <t>백어택 스킬 2.5%/3%/3.5%</t>
    <phoneticPr fontId="2" type="noConversion"/>
  </si>
  <si>
    <t>헤드어택 스킬 2.5%/3%/3.5%</t>
    <phoneticPr fontId="2" type="noConversion"/>
  </si>
  <si>
    <t>뭉가X</t>
    <phoneticPr fontId="2" type="noConversion"/>
  </si>
  <si>
    <t>치신뭉가</t>
    <phoneticPr fontId="2" type="noConversion"/>
  </si>
  <si>
    <t>치명1당치적</t>
    <phoneticPr fontId="2" type="noConversion"/>
  </si>
  <si>
    <t>신속1당쿨감</t>
    <phoneticPr fontId="2" type="noConversion"/>
  </si>
  <si>
    <r>
      <t>치명</t>
    </r>
    <r>
      <rPr>
        <b/>
        <sz val="11"/>
        <color theme="1"/>
        <rFont val="맑은 고딕"/>
        <family val="3"/>
        <charset val="129"/>
      </rPr>
      <t>→신속노드</t>
    </r>
    <phoneticPr fontId="2" type="noConversion"/>
  </si>
  <si>
    <t>+X% 시 돌대전각
풀효율 기준</t>
    <phoneticPr fontId="2" type="noConversion"/>
  </si>
  <si>
    <t>팔찌 특옵 제외 치적(%)</t>
    <phoneticPr fontId="2" type="noConversion"/>
  </si>
  <si>
    <t>팔찌 특옵 제외 치피(%)</t>
    <phoneticPr fontId="2" type="noConversion"/>
  </si>
  <si>
    <t>1번 특옵 효율(%)</t>
    <phoneticPr fontId="2" type="noConversion"/>
  </si>
  <si>
    <t>2번 특옵 효율(%)</t>
    <phoneticPr fontId="2" type="noConversion"/>
  </si>
  <si>
    <t>3번 특옵 효율(%)</t>
    <phoneticPr fontId="2" type="noConversion"/>
  </si>
  <si>
    <t>계산 기준: 쿨감효율 70%, 절임만찬(무공1800), 뭉가 사용할 경우 최대수치(치적 119.29%)
아래 노란색 칸 본인 캐릭터 정보로 수정 후,
파란색 칸에 효율 입력하면 초록색 칸에 팔찌 효율 표시</t>
    <phoneticPr fontId="2" type="noConversion"/>
  </si>
  <si>
    <t>신속(팔찌포함)
(뭉가 아니면 안 써도 됨)</t>
    <phoneticPr fontId="2" type="noConversion"/>
  </si>
  <si>
    <t>회심 치적 시 피증(%)</t>
    <phoneticPr fontId="2" type="noConversion"/>
  </si>
  <si>
    <t>깨달음 카르마 무공(%)</t>
    <phoneticPr fontId="2" type="noConversion"/>
  </si>
  <si>
    <r>
      <t>팔찌 특옵 효율
(무공/추피/치피/치적은
겹칠수록 실제효율</t>
    </r>
    <r>
      <rPr>
        <b/>
        <sz val="11"/>
        <color theme="1"/>
        <rFont val="맑은 고딕"/>
        <family val="3"/>
        <charset val="129"/>
      </rPr>
      <t>↓,
치피특옵과 치적특옵이
같이 있으면 실제효율↑,
공이속은 알잘딱)</t>
    </r>
    <phoneticPr fontId="2" type="noConversion"/>
  </si>
  <si>
    <t>펫 방범대 악추피(%)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</si>
</sst>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"/>
    <numFmt numFmtId="177" formatCode="0.0%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7"/>
      <name val="맑은 고딕"/>
      <family val="3"/>
      <charset val="129"/>
      <scheme val="minor"/>
    </font>
    <font>
      <b/>
      <sz val="11"/>
      <color rgb="FF99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theme="7"/>
      <name val="맑은 고딕"/>
      <family val="3"/>
      <charset val="129"/>
    </font>
    <font>
      <b/>
      <sz val="11"/>
      <color rgb="FFFF33CC"/>
      <name val="맑은 고딕"/>
      <family val="3"/>
      <charset val="129"/>
      <scheme val="minor"/>
    </font>
    <font>
      <b/>
      <sz val="11"/>
      <color theme="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0" fontId="3" fillId="0" borderId="1" xfId="0" applyNumberFormat="1" applyFont="1" applyBorder="1">
      <alignment vertical="center"/>
    </xf>
    <xf numFmtId="10" fontId="8" fillId="0" borderId="1" xfId="0" applyNumberFormat="1" applyFont="1" applyBorder="1">
      <alignment vertical="center"/>
    </xf>
    <xf numFmtId="10" fontId="3" fillId="0" borderId="1" xfId="1" applyNumberFormat="1" applyFont="1" applyBorder="1">
      <alignment vertical="center"/>
    </xf>
    <xf numFmtId="9" fontId="3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10" fontId="5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10" fontId="6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10" fontId="10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10" fontId="7" fillId="0" borderId="1" xfId="0" applyNumberFormat="1" applyFont="1" applyBorder="1">
      <alignment vertical="center"/>
    </xf>
    <xf numFmtId="9" fontId="7" fillId="0" borderId="1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10" fontId="11" fillId="0" borderId="1" xfId="0" applyNumberFormat="1" applyFont="1" applyBorder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4" borderId="1" xfId="1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0000FF"/>
      <color rgb="FFFF33CC"/>
      <color rgb="FF9900FF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456885</xdr:colOff>
      <xdr:row>2</xdr:row>
      <xdr:rowOff>206450</xdr:rowOff>
    </xdr:from>
    <xdr:to>
      <xdr:col>8</xdr:col>
      <xdr:colOff>853115</xdr:colOff>
      <xdr:row>3</xdr:row>
      <xdr:rowOff>4251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잉크 5">
              <a:extLst>
                <a:ext uri="{FF2B5EF4-FFF2-40B4-BE49-F238E27FC236}">
                  <a16:creationId xmlns:a16="http://schemas.microsoft.com/office/drawing/2014/main" xmlns="" id="{700C2A9D-EF9F-4549-886D-9A187BAEA9DD}"/>
                </a:ext>
              </a:extLst>
            </xdr14:cNvPr>
            <xdr14:cNvContentPartPr/>
          </xdr14:nvContentPartPr>
          <xdr14:nvPr macro=""/>
          <xdr14:xfrm>
            <a:off x="9172260" y="625550"/>
            <a:ext cx="396230" cy="3535"/>
          </xdr14:xfrm>
        </xdr:contentPart>
      </mc:Choice>
      <mc:Fallback xmlns="">
        <xdr:pic>
          <xdr:nvPicPr>
            <xdr:cNvPr id="6" name="잉크 5">
              <a:extLst>
                <a:ext uri="{FF2B5EF4-FFF2-40B4-BE49-F238E27FC236}">
                  <a16:creationId xmlns:a16="http://schemas.microsoft.com/office/drawing/2014/main" id="{700C2A9D-EF9F-4549-886D-9A187BAEA9D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117746" y="-434950"/>
              <a:ext cx="505623" cy="2121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371220</xdr:colOff>
      <xdr:row>3</xdr:row>
      <xdr:rowOff>199710</xdr:rowOff>
    </xdr:from>
    <xdr:to>
      <xdr:col>10</xdr:col>
      <xdr:colOff>71930</xdr:colOff>
      <xdr:row>3</xdr:row>
      <xdr:rowOff>209790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2" name="잉크 11">
              <a:extLst>
                <a:ext uri="{FF2B5EF4-FFF2-40B4-BE49-F238E27FC236}">
                  <a16:creationId xmlns:a16="http://schemas.microsoft.com/office/drawing/2014/main" xmlns="" id="{7EC63706-4516-41F7-A1BA-D6294A0D701C}"/>
                </a:ext>
              </a:extLst>
            </xdr14:cNvPr>
            <xdr14:cNvContentPartPr/>
          </xdr14:nvContentPartPr>
          <xdr14:nvPr macro=""/>
          <xdr14:xfrm>
            <a:off x="10239120" y="828360"/>
            <a:ext cx="380160" cy="10080"/>
          </xdr14:xfrm>
        </xdr:contentPart>
      </mc:Choice>
      <mc:Fallback xmlns="">
        <xdr:pic>
          <xdr:nvPicPr>
            <xdr:cNvPr id="12" name="잉크 11">
              <a:extLst>
                <a:ext uri="{FF2B5EF4-FFF2-40B4-BE49-F238E27FC236}">
                  <a16:creationId xmlns:a16="http://schemas.microsoft.com/office/drawing/2014/main" id="{7EC63706-4516-41F7-A1BA-D6294A0D701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85480" y="720720"/>
              <a:ext cx="487800" cy="225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1476180</xdr:colOff>
      <xdr:row>3</xdr:row>
      <xdr:rowOff>199350</xdr:rowOff>
    </xdr:from>
    <xdr:to>
      <xdr:col>8</xdr:col>
      <xdr:colOff>148055</xdr:colOff>
      <xdr:row>3</xdr:row>
      <xdr:rowOff>210150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3" name="잉크 12">
              <a:extLst>
                <a:ext uri="{FF2B5EF4-FFF2-40B4-BE49-F238E27FC236}">
                  <a16:creationId xmlns:a16="http://schemas.microsoft.com/office/drawing/2014/main" xmlns="" id="{394B93FC-719A-40A0-9D6F-E5D90F7ACEBC}"/>
                </a:ext>
              </a:extLst>
            </xdr14:cNvPr>
            <xdr14:cNvContentPartPr/>
          </xdr14:nvContentPartPr>
          <xdr14:nvPr macro=""/>
          <xdr14:xfrm>
            <a:off x="8448480" y="828000"/>
            <a:ext cx="408600" cy="10800"/>
          </xdr14:xfrm>
        </xdr:contentPart>
      </mc:Choice>
      <mc:Fallback xmlns="">
        <xdr:pic>
          <xdr:nvPicPr>
            <xdr:cNvPr id="13" name="잉크 12">
              <a:extLst>
                <a:ext uri="{FF2B5EF4-FFF2-40B4-BE49-F238E27FC236}">
                  <a16:creationId xmlns:a16="http://schemas.microsoft.com/office/drawing/2014/main" id="{394B93FC-719A-40A0-9D6F-E5D90F7ACEB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394840" y="720000"/>
              <a:ext cx="516240" cy="226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27T20:05:54.942"/>
    </inkml:context>
    <inkml:brush xml:id="br0">
      <inkml:brushProperty name="width" value="0.3" units="cm"/>
      <inkml:brushProperty name="height" value="0.6" units="cm"/>
      <inkml:brushProperty name="color" value="#FFCC66"/>
      <inkml:brushProperty name="tip" value="rectangle"/>
      <inkml:brushProperty name="rasterOp" value="maskPen"/>
      <inkml:brushProperty name="ignorePressure" value="1"/>
    </inkml:brush>
  </inkml:definitions>
  <inkml:trace contextRef="#ctx0" brushRef="#br0">1 0,'1077'0,"-1054"0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27T20:09:31.955"/>
    </inkml:context>
    <inkml:brush xml:id="br0">
      <inkml:brushProperty name="width" value="0.3" units="cm"/>
      <inkml:brushProperty name="height" value="0.6" units="cm"/>
      <inkml:brushProperty name="color" value="#A2D762"/>
      <inkml:brushProperty name="tip" value="rectangle"/>
      <inkml:brushProperty name="rasterOp" value="maskPen"/>
      <inkml:brushProperty name="ignorePressure" value="1"/>
    </inkml:brush>
  </inkml:definitions>
  <inkml:trace contextRef="#ctx0" brushRef="#br0">1 28,'647'0,"-627"-1,2-1,32-9,-31 6,-1 1,25 0,168 4,-192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27T20:09:38.929"/>
    </inkml:context>
    <inkml:brush xml:id="br0">
      <inkml:brushProperty name="width" value="0.3" units="cm"/>
      <inkml:brushProperty name="height" value="0.6" units="cm"/>
      <inkml:brushProperty name="color" value="#A9D8FF"/>
      <inkml:brushProperty name="tip" value="rectangle"/>
      <inkml:brushProperty name="rasterOp" value="maskPen"/>
      <inkml:brushProperty name="ignorePressure" value="1"/>
    </inkml:brush>
  </inkml:definitions>
  <inkml:trace contextRef="#ctx0" brushRef="#br0">1 2,'105'-2,"113"5,-146 9,-52-8,1 0,28 1,375-4,-203-3,-199 2</inkml:trace>
</inkml: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abSelected="1" zoomScaleNormal="100" workbookViewId="0">
      <selection activeCell="M5" sqref="M5"/>
    </sheetView>
  </sheetViews>
  <sheetFormatPr defaultRowHeight="16.5" x14ac:dyDescent="0.3"/>
  <cols>
    <col min="1" max="1" width="9" style="23"/>
    <col min="2" max="2" width="30" style="23" bestFit="1" customWidth="1"/>
    <col min="3" max="3" width="9" style="23" customWidth="1"/>
    <col min="4" max="5" width="9" style="23"/>
    <col min="6" max="6" width="16.5" style="23" bestFit="1" customWidth="1"/>
    <col min="7" max="7" width="9" style="23"/>
    <col min="8" max="8" width="22.875" style="23" bestFit="1" customWidth="1"/>
    <col min="9" max="9" width="15.125" style="23" bestFit="1" customWidth="1"/>
    <col min="10" max="10" width="9" style="23"/>
    <col min="11" max="11" width="22.75" style="23" bestFit="1" customWidth="1"/>
    <col min="12" max="12" width="15.125" style="23" bestFit="1" customWidth="1"/>
    <col min="13" max="16384" width="9" style="23"/>
  </cols>
  <sheetData>
    <row r="1" spans="2:16" ht="17.25" thickBot="1" x14ac:dyDescent="0.35"/>
    <row r="2" spans="2:16" ht="16.5" customHeight="1" thickTop="1" x14ac:dyDescent="0.3">
      <c r="B2" s="35" t="s">
        <v>37</v>
      </c>
      <c r="C2" s="35"/>
      <c r="D2" s="35"/>
      <c r="E2" s="35"/>
      <c r="F2" s="35"/>
      <c r="H2" s="36" t="s">
        <v>48</v>
      </c>
      <c r="I2" s="37"/>
      <c r="J2" s="37"/>
      <c r="K2" s="37"/>
      <c r="L2" s="38"/>
      <c r="M2" s="25"/>
      <c r="N2" s="25"/>
      <c r="O2" s="25"/>
      <c r="P2" s="24"/>
    </row>
    <row r="3" spans="2:16" x14ac:dyDescent="0.3">
      <c r="B3" s="1" t="s">
        <v>0</v>
      </c>
      <c r="C3" s="5" t="s">
        <v>1</v>
      </c>
      <c r="D3" s="4" t="s">
        <v>2</v>
      </c>
      <c r="E3" s="3" t="s">
        <v>3</v>
      </c>
      <c r="F3" s="1" t="s">
        <v>4</v>
      </c>
      <c r="H3" s="39"/>
      <c r="I3" s="40"/>
      <c r="J3" s="40"/>
      <c r="K3" s="40"/>
      <c r="L3" s="41"/>
      <c r="M3" s="25"/>
      <c r="N3" s="25"/>
      <c r="O3" s="25"/>
      <c r="P3" s="24"/>
    </row>
    <row r="4" spans="2:16" ht="33.75" thickBot="1" x14ac:dyDescent="0.35">
      <c r="B4" s="6" t="s">
        <v>7</v>
      </c>
      <c r="C4" s="7">
        <f>($L$7*($L$6+3.4)*(100+$I$9+1.5)/100+100*(100-$L$6-3.4))/($L$7*$L$6*(100+$I$9)/100+100*(100-$L$6))-1</f>
        <v>3.8470474137930921E-2</v>
      </c>
      <c r="D4" s="7">
        <f>($L$7*($L$6+4.2)*(100+$I$9+1.5)/100+100*(100-$L$6-4.2))/($L$7*$L$6*(100+$I$9)/100+100*(100-$L$6))-1</f>
        <v>4.4297198275861982E-2</v>
      </c>
      <c r="E4" s="8">
        <f>($L$7*($L$6+5)*(100+$I$9+1.5)/100+100*(100-$L$6-5))/($L$7*$L$6*(100+$I$9)/100+100*(100-$L$6))-1</f>
        <v>5.0123922413793043E-2</v>
      </c>
      <c r="F4" s="1"/>
      <c r="H4" s="42"/>
      <c r="I4" s="43"/>
      <c r="J4" s="43"/>
      <c r="K4" s="43"/>
      <c r="L4" s="44"/>
      <c r="M4" s="25"/>
      <c r="N4" s="25"/>
      <c r="O4" s="25"/>
    </row>
    <row r="5" spans="2:16" ht="33.75" thickTop="1" x14ac:dyDescent="0.3">
      <c r="B5" s="6" t="s">
        <v>5</v>
      </c>
      <c r="C5" s="9">
        <f>(100+$L$9+$L$10+$L$11+$L$12+2.5)/(100+$L$9+$L$10+$L$11+$L$12)*(100+$I$6+$I$7+2.5)/(100+$I$6+$I$7)-1</f>
        <v>4.1840057287370724E-2</v>
      </c>
      <c r="D5" s="7">
        <f>(100+$L$9+$L$10+$L$11+$L$12+3)/(100+$L$9+$L$10+$L$11+$L$12)*(100+$I$6+$I$7+2.5)/(100+$I$6+$I$7)-1</f>
        <v>4.5526420804769874E-2</v>
      </c>
      <c r="E5" s="8">
        <f>(100+$L$9+$L$10+$L$11+$L$12+3.5)/(100+$L$9+$L$10+$L$11+$L$12)*(100+$I$6+$I$7+2.5)/(100+$I$6+$I$7)-1</f>
        <v>4.9212784322169245E-2</v>
      </c>
      <c r="F5" s="2" t="s">
        <v>19</v>
      </c>
      <c r="H5" s="31"/>
      <c r="I5" s="31"/>
      <c r="J5" s="31"/>
      <c r="K5" s="31"/>
      <c r="L5" s="31"/>
      <c r="M5" s="25"/>
      <c r="N5" s="25"/>
      <c r="O5" s="25"/>
    </row>
    <row r="6" spans="2:16" ht="33" x14ac:dyDescent="0.3">
      <c r="B6" s="6" t="s">
        <v>6</v>
      </c>
      <c r="C6" s="7">
        <f>(($L$7+6.8)*$L$6*(100+$I$9+1.5)/100+100*(100-$L$6))/($L$7*$L$6*(100+$I$9)/100+100*(100-$L$6))-1</f>
        <v>3.7506896551724234E-2</v>
      </c>
      <c r="D6" s="7">
        <f>(($L$7+8.4)*$L$6*(100+$I$9+1.5)/100+100*(100-$L$6))/($L$7*$L$6*(100+$I$9)/100+100*(100-$L$6))-1</f>
        <v>4.3106896551724283E-2</v>
      </c>
      <c r="E6" s="8">
        <f>(($L$7+10)*$L$6*(100+$I$9+1.5)/100+100*(100-$L$6))/($L$7*$L$6*(100+$I$9)/100+100*(100-$L$6))-1</f>
        <v>4.870689655172411E-2</v>
      </c>
      <c r="F6" s="1"/>
      <c r="G6" s="26"/>
      <c r="H6" s="1" t="s">
        <v>29</v>
      </c>
      <c r="I6" s="29">
        <v>6.3</v>
      </c>
      <c r="K6" s="1" t="s">
        <v>43</v>
      </c>
      <c r="L6" s="29">
        <v>80</v>
      </c>
    </row>
    <row r="7" spans="2:16" ht="49.5" x14ac:dyDescent="0.3">
      <c r="B7" s="11" t="s">
        <v>9</v>
      </c>
      <c r="C7" s="7">
        <f>POWER(($I$11/(100+$I$12+$I$13)*100+6900+2426)/($I$11/(100+$I$12+$I$13)*100),0.5)-1</f>
        <v>3.4226404251648246E-2</v>
      </c>
      <c r="D7" s="7">
        <f>POWER(($I$11/(100+$I$12+$I$13)*100+7800+2612)/($I$11/(100+$I$12+$I$13)*100),0.5)-1</f>
        <v>3.8138673281220337E-2</v>
      </c>
      <c r="E7" s="12">
        <f>POWER(($I$11/(100+$I$12+$I$13)*100+8700+2799)/($I$11/(100+$I$12+$I$13)*100),0.5)-1</f>
        <v>4.2039836225256311E-2</v>
      </c>
      <c r="F7" s="1" t="s">
        <v>30</v>
      </c>
      <c r="G7" s="26"/>
      <c r="H7" s="1" t="s">
        <v>53</v>
      </c>
      <c r="I7" s="29">
        <v>0.5</v>
      </c>
      <c r="K7" s="1" t="s">
        <v>44</v>
      </c>
      <c r="L7" s="29">
        <v>265</v>
      </c>
    </row>
    <row r="8" spans="2:16" ht="33" x14ac:dyDescent="0.3">
      <c r="B8" s="11" t="s">
        <v>34</v>
      </c>
      <c r="C8" s="7">
        <f>POWER(($I$11/(100+$I$12+$I$13)*100+7200+2000)/($I$11/(100+$I$12+$I$13)*100),0.5)-1</f>
        <v>3.3771536032145777E-2</v>
      </c>
      <c r="D8" s="7">
        <f>POWER(($I$11/(100+$I$12+$I$13)*100+8100+2200)/($I$11/(100+$I$12+$I$13)*100),0.5)-1</f>
        <v>3.7735880137918176E-2</v>
      </c>
      <c r="E8" s="12">
        <f>POWER(($I$11/(100+$I$12+$I$13)*100+9000+2400)/($I$11/(100+$I$12+$I$13)*100),0.5)-1</f>
        <v>4.168513723724443E-2</v>
      </c>
      <c r="F8" s="1" t="s">
        <v>20</v>
      </c>
      <c r="G8" s="26"/>
    </row>
    <row r="9" spans="2:16" ht="33" x14ac:dyDescent="0.3">
      <c r="B9" s="11" t="s">
        <v>8</v>
      </c>
      <c r="C9" s="7">
        <f>(100+4.5)/100*(1+(1/1.02-1)*0.7)-1</f>
        <v>3.0656862745097824E-2</v>
      </c>
      <c r="D9" s="7">
        <f>(100+5)/100*(1+(1/1.02-1)*0.7)-1</f>
        <v>3.5588235294117698E-2</v>
      </c>
      <c r="E9" s="12">
        <f>(100+5.5)/100*(1+(1/1.02-1)*0.7)-1</f>
        <v>4.0519607843137129E-2</v>
      </c>
      <c r="F9" s="1" t="s">
        <v>21</v>
      </c>
      <c r="G9" s="26"/>
      <c r="H9" s="1" t="s">
        <v>50</v>
      </c>
      <c r="I9" s="29">
        <v>0</v>
      </c>
      <c r="K9" s="1" t="s">
        <v>24</v>
      </c>
      <c r="L9" s="29">
        <v>29.61</v>
      </c>
    </row>
    <row r="10" spans="2:16" x14ac:dyDescent="0.3">
      <c r="B10" s="13" t="s">
        <v>11</v>
      </c>
      <c r="C10" s="7">
        <f>($L$7*($L$6+3.4)*(100+$I$9)/100+100*(100-$L$6-3.4))/($L$7*$L$6*(100+$I$9)/100+100*(100-$L$6))-1</f>
        <v>2.4181034482758657E-2</v>
      </c>
      <c r="D10" s="7">
        <f>($L$7*($L$6+4.2)*(100+$I$9)/100+100*(100-$L$6-4.2))/($L$7*$L$6*(100+$I$9)/100+100*(100-$L$6))-1</f>
        <v>2.9870689655172367E-2</v>
      </c>
      <c r="E10" s="14">
        <f>($L$7*($L$6+5)*(100+$I$9)/100+100*(100-$L$6-5))/($L$7*$L$6*(100+$I$9)/100+100*(100-$L$6))-1</f>
        <v>3.5560344827586299E-2</v>
      </c>
      <c r="F10" s="1"/>
      <c r="G10" s="26"/>
      <c r="K10" s="1" t="s">
        <v>25</v>
      </c>
      <c r="L10" s="29">
        <v>8.5</v>
      </c>
    </row>
    <row r="11" spans="2:16" x14ac:dyDescent="0.3">
      <c r="B11" s="13" t="s">
        <v>10</v>
      </c>
      <c r="C11" s="7">
        <f>(($L$7+6.8)*$L$6*(100+$I$9)/100+100*(100-$L$6))/($L$7*$L$6*(100+$I$9)/100+100*(100-$L$6))-1</f>
        <v>2.3448275862068879E-2</v>
      </c>
      <c r="D11" s="7">
        <f>(($L$7+8.4)*$L$6*(100+$I$9)/100+100*(100-$L$6))/($L$7*$L$6*(100+$I$9)/100+100*(100-$L$6))-1</f>
        <v>2.8965517241379413E-2</v>
      </c>
      <c r="E11" s="14">
        <f>(($L$7+10)*$L$6*(100+$I$9)/100+100*(100-$L$6))/($L$7*$L$6*(100+$I$9)/100+100*(100-$L$6))-1</f>
        <v>3.4482758620689724E-2</v>
      </c>
      <c r="F11" s="1"/>
      <c r="G11" s="26"/>
      <c r="H11" s="1" t="s">
        <v>23</v>
      </c>
      <c r="I11" s="29">
        <v>137966</v>
      </c>
      <c r="K11" s="1" t="s">
        <v>26</v>
      </c>
      <c r="L11" s="29">
        <v>0</v>
      </c>
    </row>
    <row r="12" spans="2:16" x14ac:dyDescent="0.3">
      <c r="B12" s="13" t="s">
        <v>12</v>
      </c>
      <c r="C12" s="7">
        <f>POWER(($I$11/(100+$I$12+$I$13)*100+7200)/($I$11/(100+$I$12+$I$13)*100),0.5)-1</f>
        <v>2.652441460164412E-2</v>
      </c>
      <c r="D12" s="7">
        <f>POWER(($I$11/(100+$I$12+$I$13)*100+8100)/($I$11/(100+$I$12+$I$13)*100),0.5)-1</f>
        <v>2.9791930680613143E-2</v>
      </c>
      <c r="E12" s="14">
        <f>POWER(($I$11/(100+$I$12+$I$13)*100+9000)/($I$11/(100+$I$12+$I$13)*100),0.5)-1</f>
        <v>3.3049111715682589E-2</v>
      </c>
      <c r="F12" s="1"/>
      <c r="G12" s="26"/>
      <c r="H12" s="1" t="s">
        <v>27</v>
      </c>
      <c r="I12" s="29">
        <v>3</v>
      </c>
      <c r="K12" s="1" t="s">
        <v>32</v>
      </c>
      <c r="L12" s="29">
        <v>0.7</v>
      </c>
    </row>
    <row r="13" spans="2:16" ht="33" x14ac:dyDescent="0.3">
      <c r="B13" s="13" t="s">
        <v>16</v>
      </c>
      <c r="C13" s="7">
        <f>POWER(($I$11/(100+$I$12+$I$13)*100+1160*6)/($I$11/(100+$I$12+$I$13)*100),0.5)-1</f>
        <v>2.5651318909504894E-2</v>
      </c>
      <c r="D13" s="7">
        <f>POWER(($I$11/(100+$I$12+$I$13)*100+1320*6)/($I$11/(100+$I$12+$I$13)*100),0.5)-1</f>
        <v>2.9139257413967945E-2</v>
      </c>
      <c r="E13" s="14">
        <f>POWER(($I$11/(100+$I$12+$I$13)*100+1480*6)/($I$11/(100+$I$12+$I$13)*100),0.5)-1</f>
        <v>3.2615414527761066E-2</v>
      </c>
      <c r="F13" s="2" t="s">
        <v>31</v>
      </c>
      <c r="G13" s="26"/>
      <c r="H13" s="1" t="s">
        <v>51</v>
      </c>
      <c r="I13" s="29">
        <v>0</v>
      </c>
    </row>
    <row r="14" spans="2:16" ht="33" x14ac:dyDescent="0.3">
      <c r="B14" s="15" t="s">
        <v>13</v>
      </c>
      <c r="C14" s="7">
        <f>(100+2.5)/100*0.9+0.1-1</f>
        <v>2.2499999999999964E-2</v>
      </c>
      <c r="D14" s="7">
        <f>(100+3)/100*0.9+0.1-1</f>
        <v>2.7000000000000135E-2</v>
      </c>
      <c r="E14" s="16">
        <f>(100+3.5)/100*0.9+0.1-1</f>
        <v>3.1500000000000083E-2</v>
      </c>
      <c r="F14" s="1" t="s">
        <v>22</v>
      </c>
      <c r="G14" s="26"/>
      <c r="K14" s="2" t="s">
        <v>49</v>
      </c>
      <c r="L14" s="29">
        <v>844</v>
      </c>
    </row>
    <row r="15" spans="2:16" x14ac:dyDescent="0.3">
      <c r="B15" s="15" t="s">
        <v>35</v>
      </c>
      <c r="C15" s="7">
        <f>(100+2.5)/100*0.9+0.1-1</f>
        <v>2.2499999999999964E-2</v>
      </c>
      <c r="D15" s="7">
        <f>(100+3)/100*0.9+0.1-1</f>
        <v>2.7000000000000135E-2</v>
      </c>
      <c r="E15" s="16">
        <f>(100+3.5)/100*0.9+0.1-1</f>
        <v>3.1500000000000083E-2</v>
      </c>
      <c r="F15" s="1" t="s">
        <v>22</v>
      </c>
      <c r="G15" s="26"/>
      <c r="H15" s="1" t="s">
        <v>28</v>
      </c>
      <c r="I15" s="29">
        <v>439305</v>
      </c>
    </row>
    <row r="16" spans="2:16" ht="16.5" customHeight="1" x14ac:dyDescent="0.3">
      <c r="B16" s="15" t="s">
        <v>36</v>
      </c>
      <c r="C16" s="7">
        <f>(100+2.5)/100*0.9+0.1-1</f>
        <v>2.2499999999999964E-2</v>
      </c>
      <c r="D16" s="7">
        <f>(100+3)/100*0.9+0.1-1</f>
        <v>2.7000000000000135E-2</v>
      </c>
      <c r="E16" s="16">
        <f>(100+3.5)/100*0.9+0.1-1</f>
        <v>3.1500000000000083E-2</v>
      </c>
      <c r="F16" s="1" t="s">
        <v>22</v>
      </c>
      <c r="G16" s="26"/>
      <c r="H16" s="1" t="s">
        <v>33</v>
      </c>
      <c r="I16" s="29">
        <v>1</v>
      </c>
      <c r="K16" s="45" t="s">
        <v>52</v>
      </c>
      <c r="L16" s="46">
        <f>(100+I18)/100*(100+I19)/100*(100+I20)/100-1</f>
        <v>0.11171135825</v>
      </c>
    </row>
    <row r="17" spans="2:12" ht="33" x14ac:dyDescent="0.3">
      <c r="B17" s="17" t="s">
        <v>14</v>
      </c>
      <c r="C17" s="10">
        <v>0.02</v>
      </c>
      <c r="D17" s="47">
        <v>2.5000000000000001E-2</v>
      </c>
      <c r="E17" s="19">
        <v>0.03</v>
      </c>
      <c r="F17" s="1"/>
      <c r="G17" s="26"/>
      <c r="K17" s="45"/>
      <c r="L17" s="46"/>
    </row>
    <row r="18" spans="2:12" x14ac:dyDescent="0.3">
      <c r="B18" s="17" t="s">
        <v>15</v>
      </c>
      <c r="C18" s="7">
        <f>(100+$L$9+$L$10+$L$11+$L$12+3)/(100+$L$9+$L$10+$L$11+$L$12)-1</f>
        <v>2.1612275772638911E-2</v>
      </c>
      <c r="D18" s="7">
        <f>(100+$L$9+$L$10+$L$11+$L$12+3.5)/(100+$L$9+$L$10+$L$11+$L$12)-1</f>
        <v>2.521432173474536E-2</v>
      </c>
      <c r="E18" s="18">
        <f>(100+$L$9+$L$10+$L$11+$L$12+4)/(100+$L$9+$L$10+$L$11+$L$12)-1</f>
        <v>2.8816367696851808E-2</v>
      </c>
      <c r="F18" s="1"/>
      <c r="G18" s="26"/>
      <c r="H18" s="1" t="s">
        <v>45</v>
      </c>
      <c r="I18" s="30">
        <v>3.26</v>
      </c>
      <c r="K18" s="45"/>
      <c r="L18" s="46"/>
    </row>
    <row r="19" spans="2:12" x14ac:dyDescent="0.3">
      <c r="B19" s="20" t="s">
        <v>17</v>
      </c>
      <c r="C19" s="7">
        <f>POWER(($I$15/(100+$I$16)*100+10000)/($I$15/(100+$I$16)*100),0.5)-1</f>
        <v>1.1430106613326663E-2</v>
      </c>
      <c r="D19" s="7">
        <f>POWER(($I$15/(100+$I$16)*100+13000)/($I$15/(100+$I$16)*100),0.5)-1</f>
        <v>1.4834035068295615E-2</v>
      </c>
      <c r="E19" s="21">
        <f>POWER(($I$15/(100+$I$16)*100+16000)/($I$15/(100+$I$16)*100),0.5)-1</f>
        <v>1.8226584264107837E-2</v>
      </c>
      <c r="F19" s="1"/>
      <c r="G19" s="26"/>
      <c r="H19" s="1" t="s">
        <v>46</v>
      </c>
      <c r="I19" s="30">
        <v>3.75</v>
      </c>
      <c r="K19" s="45"/>
      <c r="L19" s="46"/>
    </row>
    <row r="20" spans="2:12" ht="33" x14ac:dyDescent="0.3">
      <c r="B20" s="20" t="s">
        <v>18</v>
      </c>
      <c r="C20" s="7">
        <f>116/(100+(40-4)*0.4)-1</f>
        <v>1.3986013986013957E-2</v>
      </c>
      <c r="D20" s="7">
        <f>116/(100+(40-5)*0.4)-1</f>
        <v>1.7543859649122862E-2</v>
      </c>
      <c r="E20" s="21">
        <f>116/(100+(40-6)*0.4)-1</f>
        <v>2.1126760563380254E-2</v>
      </c>
      <c r="F20" s="22" t="s">
        <v>42</v>
      </c>
      <c r="G20" s="26"/>
      <c r="H20" s="1" t="s">
        <v>47</v>
      </c>
      <c r="I20" s="30">
        <v>3.77</v>
      </c>
      <c r="K20" s="45"/>
      <c r="L20" s="46"/>
    </row>
    <row r="22" spans="2:12" x14ac:dyDescent="0.3">
      <c r="B22" s="32" t="s">
        <v>38</v>
      </c>
      <c r="C22" s="33"/>
      <c r="D22" s="33"/>
      <c r="E22" s="33"/>
      <c r="F22" s="34"/>
    </row>
    <row r="23" spans="2:12" x14ac:dyDescent="0.3">
      <c r="B23" s="1" t="s">
        <v>0</v>
      </c>
      <c r="C23" s="5" t="s">
        <v>1</v>
      </c>
      <c r="D23" s="4" t="s">
        <v>2</v>
      </c>
      <c r="E23" s="3" t="s">
        <v>3</v>
      </c>
      <c r="F23" s="1" t="s">
        <v>4</v>
      </c>
    </row>
    <row r="24" spans="2:12" ht="33" x14ac:dyDescent="0.3">
      <c r="B24" s="6" t="s">
        <v>5</v>
      </c>
      <c r="C24" s="9">
        <f>(100+$L$9+$L$10+$L$11+$L$12+2.5)/(100+$L$9+$L$10+$L$11+$L$12)*(100+$I$6+$I$7+2.5)/(100+$I$6+$I$7)-1</f>
        <v>4.1840057287370724E-2</v>
      </c>
      <c r="D24" s="7">
        <f>(100+$L$9+$L$10+$L$11+$L$12+3)/(100+$L$9+$L$10+$L$11+$L$12)*(100+$I$6+$I$7+2.5)/(100+$I$6+$I$7)-1</f>
        <v>4.5526420804769874E-2</v>
      </c>
      <c r="E24" s="8">
        <f>(100+$L$9+$L$10+$L$11+$L$12+3.5)/(100+$L$9+$L$10+$L$11+$L$12)*(100+$I$6+$I$7+2.5)/(100+$I$6+$I$7)-1</f>
        <v>4.9212784322169245E-2</v>
      </c>
      <c r="F24" s="2" t="s">
        <v>19</v>
      </c>
    </row>
    <row r="25" spans="2:12" ht="33" x14ac:dyDescent="0.3">
      <c r="B25" s="6" t="s">
        <v>6</v>
      </c>
      <c r="C25" s="7">
        <f>(($L$7+6.8)*$L$6*(100+$I$9+1.5)/100+100*(100-$L$6))/($L$7*$L$6*(100+$I$9)/100+100*(100-$L$6))-1</f>
        <v>3.7506896551724234E-2</v>
      </c>
      <c r="D25" s="7">
        <f>(($L$7+8.4)*$L$6*(100+$I$9+1.5)/100+100*(100-$L$6))/($L$7*$L$6*(100+$I$9)/100+100*(100-$L$6))-1</f>
        <v>4.3106896551724283E-2</v>
      </c>
      <c r="E25" s="8">
        <f>(($L$7+10)*$L$6*(100+$I$9+1.5)/100+100*(100-$L$6))/($L$7*$L$6*(100+$I$9)/100+100*(100-$L$6))-1</f>
        <v>4.870689655172411E-2</v>
      </c>
      <c r="F25" s="1"/>
    </row>
    <row r="26" spans="2:12" ht="49.5" x14ac:dyDescent="0.3">
      <c r="B26" s="11" t="s">
        <v>9</v>
      </c>
      <c r="C26" s="7">
        <f>POWER(($I$11/(100+$I$12+$I$13)*100+6900+2426)/($I$11/(100+$I$12+$I$13)*100),0.5)-1</f>
        <v>3.4226404251648246E-2</v>
      </c>
      <c r="D26" s="7">
        <f>POWER(($I$11/(100+$I$12+$I$13)*100+7800+2612)/($I$11/(100+$I$12+$I$13)*100),0.5)-1</f>
        <v>3.8138673281220337E-2</v>
      </c>
      <c r="E26" s="12">
        <f>POWER(($I$11/(100+$I$12+$I$13)*100+8700+2799)/($I$11/(100+$I$12+$I$13)*100),0.5)-1</f>
        <v>4.2039836225256311E-2</v>
      </c>
      <c r="F26" s="1" t="s">
        <v>30</v>
      </c>
      <c r="H26" s="27" t="s">
        <v>39</v>
      </c>
      <c r="I26" s="28">
        <v>3.5790989999999999E-4</v>
      </c>
    </row>
    <row r="27" spans="2:12" ht="33" x14ac:dyDescent="0.3">
      <c r="B27" s="11" t="s">
        <v>34</v>
      </c>
      <c r="C27" s="7">
        <f>POWER(($I$11/(100+$I$12+$I$13)*100+7200+2000)/($I$11/(100+$I$12+$I$13)*100),0.5)-1</f>
        <v>3.3771536032145777E-2</v>
      </c>
      <c r="D27" s="7">
        <f>POWER(($I$11/(100+$I$12+$I$13)*100+8100+2200)/($I$11/(100+$I$12+$I$13)*100),0.5)-1</f>
        <v>3.7735880137918176E-2</v>
      </c>
      <c r="E27" s="12">
        <f>POWER(($I$11/(100+$I$12+$I$13)*100+9000+2400)/($I$11/(100+$I$12+$I$13)*100),0.5)-1</f>
        <v>4.168513723724443E-2</v>
      </c>
      <c r="F27" s="1" t="s">
        <v>20</v>
      </c>
      <c r="H27" s="27" t="s">
        <v>40</v>
      </c>
      <c r="I27" s="27">
        <v>2.1473900000000001E-4</v>
      </c>
    </row>
    <row r="28" spans="2:12" ht="33" x14ac:dyDescent="0.3">
      <c r="B28" s="11" t="s">
        <v>8</v>
      </c>
      <c r="C28" s="7">
        <f>(100+4.5)/100*(1+(1/1.02-1)*0.7)-1</f>
        <v>3.0656862745097824E-2</v>
      </c>
      <c r="D28" s="7">
        <f>(100+5)/100*(1+(1/1.02-1)*0.7)-1</f>
        <v>3.5588235294117698E-2</v>
      </c>
      <c r="E28" s="12">
        <f>(100+5.5)/100*(1+(1/1.02-1)*0.7)-1</f>
        <v>4.0519607843137129E-2</v>
      </c>
      <c r="F28" s="1" t="s">
        <v>21</v>
      </c>
    </row>
    <row r="29" spans="2:12" ht="33" x14ac:dyDescent="0.3">
      <c r="B29" s="11" t="s">
        <v>7</v>
      </c>
      <c r="C29" s="7">
        <f>(($L$7*$L$6*(100+$I$9+1.5)/100+100*(100-$L$6))/(1-$I$27*($L$14+3.4/$I$26/100)*0.7))/(($L$7*$L$6*(100+$I$9)/100+100*(100-$L$6))/(1-$I$27*$L$14*0.7))-1</f>
        <v>3.0561087422849686E-2</v>
      </c>
      <c r="D29" s="7">
        <f>(($L$7*$L$6*(100+$I$9+1.5)/100+100*(100-$L$6))/(1-$I$27*($L$14+4.2/$I$26/100)*0.7))/(($L$7*$L$6*(100+$I$9)/100+100*(100-$L$6))/(1-$I$27*$L$14*0.7))-1</f>
        <v>3.4608548108922665E-2</v>
      </c>
      <c r="E29" s="12">
        <f>(($L$7*$L$6*(100+$I$9+1.5)/100+100*(100-$L$6))/(1-$I$27*($L$14+5/$I$26/100)*0.7))/(($L$7*$L$6*(100+$I$9)/100+100*(100-$L$6))/(1-$I$27*$L$14*0.7))-1</f>
        <v>3.8687926419036289E-2</v>
      </c>
      <c r="F29" s="2" t="s">
        <v>41</v>
      </c>
    </row>
    <row r="30" spans="2:12" x14ac:dyDescent="0.3">
      <c r="B30" s="13" t="s">
        <v>10</v>
      </c>
      <c r="C30" s="7">
        <f>(($L$7+6.8)*$L$6*(100+$I$9)/100+100*(100-$L$6))/($L$7*$L$6*(100+$I$9)/100+100*(100-$L$6))-1</f>
        <v>2.3448275862068879E-2</v>
      </c>
      <c r="D30" s="7">
        <f>(($L$7+8.4)*$L$6*(100+$I$9)/100+100*(100-$L$6))/($L$7*$L$6*(100+$I$9)/100+100*(100-$L$6))-1</f>
        <v>2.8965517241379413E-2</v>
      </c>
      <c r="E30" s="14">
        <f>(($L$7+10)*$L$6*(100+$I$9)/100+100*(100-$L$6))/($L$7*$L$6*(100+$I$9)/100+100*(100-$L$6))-1</f>
        <v>3.4482758620689724E-2</v>
      </c>
      <c r="F30" s="1"/>
    </row>
    <row r="31" spans="2:12" x14ac:dyDescent="0.3">
      <c r="B31" s="13" t="s">
        <v>12</v>
      </c>
      <c r="C31" s="7">
        <f>POWER(($I$11/(100+$I$12+$I$13)*100+7200)/($I$11/(100+$I$12+$I$13)*100),0.5)-1</f>
        <v>2.652441460164412E-2</v>
      </c>
      <c r="D31" s="7">
        <f>POWER(($I$11/(100+$I$12+$I$13)*100+8100)/($I$11/(100+$I$12+$I$13)*100),0.5)-1</f>
        <v>2.9791930680613143E-2</v>
      </c>
      <c r="E31" s="14">
        <f>POWER(($I$11/(100+$I$12+$I$13)*100+9000)/($I$11/(100+$I$12+$I$13)*100),0.5)-1</f>
        <v>3.3049111715682589E-2</v>
      </c>
      <c r="F31" s="1"/>
    </row>
    <row r="32" spans="2:12" ht="33" x14ac:dyDescent="0.3">
      <c r="B32" s="13" t="s">
        <v>16</v>
      </c>
      <c r="C32" s="7">
        <f>POWER(($I$11/(100+$I$12+$I$13)*100+1160*6)/($I$11/(100+$I$12+$I$13)*100),0.5)-1</f>
        <v>2.5651318909504894E-2</v>
      </c>
      <c r="D32" s="7">
        <f>POWER(($I$11/(100+$I$12+$I$13)*100+1320*6)/($I$11/(100+$I$12+$I$13)*100),0.5)-1</f>
        <v>2.9139257413967945E-2</v>
      </c>
      <c r="E32" s="14">
        <f>POWER(($I$11/(100+$I$12+$I$13)*100+1480*6)/($I$11/(100+$I$12+$I$13)*100),0.5)-1</f>
        <v>3.2615414527761066E-2</v>
      </c>
      <c r="F32" s="2" t="s">
        <v>31</v>
      </c>
    </row>
    <row r="33" spans="2:6" ht="33" x14ac:dyDescent="0.3">
      <c r="B33" s="15" t="s">
        <v>13</v>
      </c>
      <c r="C33" s="7">
        <f>(100+2.5)/100*0.9+0.1-1</f>
        <v>2.2499999999999964E-2</v>
      </c>
      <c r="D33" s="7">
        <f>(100+3)/100*0.9+0.1-1</f>
        <v>2.7000000000000135E-2</v>
      </c>
      <c r="E33" s="16">
        <f>(100+3.5)/100*0.9+0.1-1</f>
        <v>3.1500000000000083E-2</v>
      </c>
      <c r="F33" s="1" t="s">
        <v>22</v>
      </c>
    </row>
    <row r="34" spans="2:6" x14ac:dyDescent="0.3">
      <c r="B34" s="15" t="s">
        <v>35</v>
      </c>
      <c r="C34" s="7">
        <f>(100+2.5)/100*0.9+0.1-1</f>
        <v>2.2499999999999964E-2</v>
      </c>
      <c r="D34" s="7">
        <f>(100+3)/100*0.9+0.1-1</f>
        <v>2.7000000000000135E-2</v>
      </c>
      <c r="E34" s="16">
        <f>(100+3.5)/100*0.9+0.1-1</f>
        <v>3.1500000000000083E-2</v>
      </c>
      <c r="F34" s="1" t="s">
        <v>22</v>
      </c>
    </row>
    <row r="35" spans="2:6" x14ac:dyDescent="0.3">
      <c r="B35" s="15" t="s">
        <v>36</v>
      </c>
      <c r="C35" s="7">
        <f>(100+2.5)/100*0.9+0.1-1</f>
        <v>2.2499999999999964E-2</v>
      </c>
      <c r="D35" s="7">
        <f>(100+3)/100*0.9+0.1-1</f>
        <v>2.7000000000000135E-2</v>
      </c>
      <c r="E35" s="16">
        <f>(100+3.5)/100*0.9+0.1-1</f>
        <v>3.1500000000000083E-2</v>
      </c>
      <c r="F35" s="1" t="s">
        <v>22</v>
      </c>
    </row>
    <row r="36" spans="2:6" ht="33" x14ac:dyDescent="0.3">
      <c r="B36" s="17" t="s">
        <v>14</v>
      </c>
      <c r="C36" s="10">
        <v>0.02</v>
      </c>
      <c r="D36" s="47">
        <v>2.5000000000000001E-2</v>
      </c>
      <c r="E36" s="19">
        <v>0.03</v>
      </c>
      <c r="F36" s="1"/>
    </row>
    <row r="37" spans="2:6" x14ac:dyDescent="0.3">
      <c r="B37" s="17" t="s">
        <v>15</v>
      </c>
      <c r="C37" s="7">
        <f>(100+$L$9+$L$10+$L$11+$L$12+3)/(100+$L$9+$L$10+$L$11+$L$12)-1</f>
        <v>2.1612275772638911E-2</v>
      </c>
      <c r="D37" s="7">
        <f>(100+$L$9+$L$10+$L$11+$L$12+3.5)/(100+$L$9+$L$10+$L$11+$L$12)-1</f>
        <v>2.521432173474536E-2</v>
      </c>
      <c r="E37" s="18">
        <f>(100+$L$9+$L$10+$L$11+$L$12+4)/(100+$L$9+$L$10+$L$11+$L$12)-1</f>
        <v>2.8816367696851808E-2</v>
      </c>
      <c r="F37" s="1"/>
    </row>
    <row r="38" spans="2:6" x14ac:dyDescent="0.3">
      <c r="B38" s="17" t="s">
        <v>11</v>
      </c>
      <c r="C38" s="7">
        <f>(($L$7*$L$6*(100+$I$9)/100+100*(100-$L$6))/(1-$I$27*($L$14+3.4/$I$26/100)*0.7))/(($L$7*$L$6*(100+$I$9)/100+100*(100-$L$6))/(1-$I$27*$L$14*0.7))-1</f>
        <v>1.6626295952466563E-2</v>
      </c>
      <c r="D38" s="7">
        <f>(($L$7*$L$6*(100+$I$9)/100+100*(100-$L$6))/(1-$I$27*($L$14+4.2/$I$26/100)*0.7))/(($L$7*$L$6*(100+$I$9)/100+100*(100-$L$6))/(1-$I$27*$L$14*0.7))-1</f>
        <v>2.0619028664299988E-2</v>
      </c>
      <c r="E38" s="18">
        <f>(($L$7*$L$6*(100+$I$9)/100+100*(100-$L$6))/(1-$I$27*($L$14+5/$I$26/100)*0.7))/(($L$7*$L$6*(100+$I$9)/100+100*(100-$L$6))/(1-$I$27*$L$14*0.7))-1</f>
        <v>2.4643247424170456E-2</v>
      </c>
      <c r="F38" s="2" t="s">
        <v>41</v>
      </c>
    </row>
    <row r="39" spans="2:6" x14ac:dyDescent="0.3">
      <c r="B39" s="20" t="s">
        <v>17</v>
      </c>
      <c r="C39" s="7">
        <f>POWER(($I$15/(100+$I$16)*100+10000)/($I$15/(100+$I$16)*100),0.5)-1</f>
        <v>1.1430106613326663E-2</v>
      </c>
      <c r="D39" s="7">
        <f>POWER(($I$15/(100+$I$16)*100+13000)/($I$15/(100+$I$16)*100),0.5)-1</f>
        <v>1.4834035068295615E-2</v>
      </c>
      <c r="E39" s="21">
        <f>POWER(($I$15/(100+$I$16)*100+16000)/($I$15/(100+$I$16)*100),0.5)-1</f>
        <v>1.8226584264107837E-2</v>
      </c>
      <c r="F39" s="1"/>
    </row>
    <row r="40" spans="2:6" ht="33" x14ac:dyDescent="0.3">
      <c r="B40" s="20" t="s">
        <v>18</v>
      </c>
      <c r="C40" s="7">
        <f>116/(100+(40-4)*0.4)-1</f>
        <v>1.3986013986013957E-2</v>
      </c>
      <c r="D40" s="7">
        <f>116/(100+(40-5)*0.4)-1</f>
        <v>1.7543859649122862E-2</v>
      </c>
      <c r="E40" s="21">
        <f>116/(100+(40-6)*0.4)-1</f>
        <v>2.1126760563380254E-2</v>
      </c>
      <c r="F40" s="22" t="s">
        <v>42</v>
      </c>
    </row>
  </sheetData>
  <mergeCells count="5">
    <mergeCell ref="B22:F22"/>
    <mergeCell ref="B2:F2"/>
    <mergeCell ref="H2:L4"/>
    <mergeCell ref="K16:K20"/>
    <mergeCell ref="L16:L2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성훈 최</dc:creator>
  <cp:lastModifiedBy>최성훈</cp:lastModifiedBy>
  <dcterms:created xsi:type="dcterms:W3CDTF">2024-09-27T17:37:49Z</dcterms:created>
  <dcterms:modified xsi:type="dcterms:W3CDTF">2024-10-02T04:01:21Z</dcterms:modified>
</cp:coreProperties>
</file>