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dc7ff66661da45b/바탕 화면/"/>
    </mc:Choice>
  </mc:AlternateContent>
  <xr:revisionPtr revIDLastSave="1891" documentId="8_{D36677E9-CD3C-498F-972D-1DD4028066AA}" xr6:coauthVersionLast="47" xr6:coauthVersionMax="47" xr10:uidLastSave="{30BA987C-3AB7-423A-964C-19B01716CD01}"/>
  <bookViews>
    <workbookView xWindow="-108" yWindow="-108" windowWidth="30936" windowHeight="16776" xr2:uid="{5CF9FA87-E78D-4D96-8B45-3CB1B47F3E31}"/>
  </bookViews>
  <sheets>
    <sheet name="아비도스 제작 효율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2" l="1"/>
  <c r="F37" i="2"/>
  <c r="Q49" i="2"/>
  <c r="Q48" i="2"/>
  <c r="Q47" i="2"/>
  <c r="K49" i="2"/>
  <c r="K48" i="2"/>
  <c r="M48" i="2"/>
  <c r="L48" i="2"/>
  <c r="J42" i="2"/>
  <c r="G41" i="2"/>
  <c r="I41" i="2" s="1"/>
  <c r="G44" i="2"/>
  <c r="I44" i="2" s="1"/>
  <c r="F38" i="2"/>
  <c r="L38" i="2" s="1"/>
  <c r="C36" i="2" s="1"/>
  <c r="K38" i="2"/>
  <c r="J38" i="2"/>
  <c r="T6" i="2"/>
  <c r="T4" i="2"/>
  <c r="T5" i="2"/>
  <c r="H36" i="2"/>
  <c r="F36" i="2"/>
  <c r="G43" i="2"/>
  <c r="G42" i="2"/>
  <c r="G40" i="2"/>
  <c r="G39" i="2"/>
  <c r="O20" i="2"/>
  <c r="O22" i="2" s="1"/>
  <c r="O28" i="2"/>
  <c r="O30" i="2" s="1"/>
  <c r="E28" i="2"/>
  <c r="E30" i="2" s="1"/>
  <c r="E20" i="2"/>
  <c r="E22" i="2" s="1"/>
  <c r="E12" i="2"/>
  <c r="E14" i="2" s="1"/>
  <c r="O12" i="2"/>
  <c r="V11" i="2"/>
  <c r="V12" i="2" s="1"/>
  <c r="M21" i="2"/>
  <c r="P21" i="2" s="1"/>
  <c r="M22" i="2"/>
  <c r="N22" i="2" s="1"/>
  <c r="P22" i="2" s="1"/>
  <c r="M29" i="2"/>
  <c r="N29" i="2" s="1"/>
  <c r="M30" i="2"/>
  <c r="N30" i="2" s="1"/>
  <c r="C29" i="2"/>
  <c r="D29" i="2" s="1"/>
  <c r="C30" i="2"/>
  <c r="D30" i="2" s="1"/>
  <c r="F30" i="2" s="1"/>
  <c r="C28" i="2"/>
  <c r="M28" i="2"/>
  <c r="M20" i="2"/>
  <c r="C21" i="2"/>
  <c r="F21" i="2" s="1"/>
  <c r="C22" i="2"/>
  <c r="D22" i="2" s="1"/>
  <c r="F22" i="2" s="1"/>
  <c r="C20" i="2"/>
  <c r="M13" i="2"/>
  <c r="P13" i="2" s="1"/>
  <c r="M14" i="2"/>
  <c r="N14" i="2" s="1"/>
  <c r="P14" i="2" s="1"/>
  <c r="M12" i="2"/>
  <c r="C13" i="2"/>
  <c r="D13" i="2" s="1"/>
  <c r="C14" i="2"/>
  <c r="D14" i="2" s="1"/>
  <c r="C12" i="2"/>
  <c r="D12" i="2" s="1"/>
  <c r="K6" i="2"/>
  <c r="K5" i="2"/>
  <c r="K4" i="2"/>
  <c r="I40" i="2" l="1"/>
  <c r="N43" i="2"/>
  <c r="N40" i="2"/>
  <c r="C38" i="2"/>
  <c r="H37" i="2"/>
  <c r="M38" i="2"/>
  <c r="F14" i="2"/>
  <c r="G14" i="2" s="1"/>
  <c r="N13" i="2"/>
  <c r="L36" i="2"/>
  <c r="I42" i="2" s="1"/>
  <c r="D21" i="2"/>
  <c r="G21" i="2" s="1"/>
  <c r="P30" i="2"/>
  <c r="Q30" i="2" s="1"/>
  <c r="L37" i="2"/>
  <c r="I43" i="2" s="1"/>
  <c r="P28" i="2"/>
  <c r="P29" i="2"/>
  <c r="Q29" i="2" s="1"/>
  <c r="F29" i="2"/>
  <c r="G29" i="2" s="1"/>
  <c r="E15" i="2"/>
  <c r="F12" i="2"/>
  <c r="G12" i="2" s="1"/>
  <c r="F13" i="2"/>
  <c r="G13" i="2" s="1"/>
  <c r="O23" i="2"/>
  <c r="O31" i="2"/>
  <c r="E31" i="2"/>
  <c r="E23" i="2"/>
  <c r="O14" i="2"/>
  <c r="O15" i="2" s="1"/>
  <c r="G30" i="2"/>
  <c r="N21" i="2"/>
  <c r="Q21" i="2" s="1"/>
  <c r="Q22" i="2"/>
  <c r="D28" i="2"/>
  <c r="F28" i="2" s="1"/>
  <c r="N28" i="2"/>
  <c r="N20" i="2"/>
  <c r="P20" i="2" s="1"/>
  <c r="P23" i="2" s="1"/>
  <c r="G22" i="2"/>
  <c r="D20" i="2"/>
  <c r="F20" i="2" s="1"/>
  <c r="N12" i="2"/>
  <c r="N15" i="2" s="1"/>
  <c r="D15" i="2"/>
  <c r="C40" i="2" l="1"/>
  <c r="C42" i="2"/>
  <c r="B36" i="2"/>
  <c r="B38" i="2" s="1"/>
  <c r="M37" i="2"/>
  <c r="L43" i="2"/>
  <c r="A36" i="2"/>
  <c r="A38" i="2" s="1"/>
  <c r="M36" i="2"/>
  <c r="I39" i="2"/>
  <c r="M40" i="2"/>
  <c r="M43" i="2"/>
  <c r="P12" i="2"/>
  <c r="Q12" i="2" s="1"/>
  <c r="Q14" i="2"/>
  <c r="F31" i="2"/>
  <c r="F23" i="2"/>
  <c r="D31" i="2"/>
  <c r="G28" i="2"/>
  <c r="H28" i="2" s="1"/>
  <c r="P31" i="2"/>
  <c r="N31" i="2"/>
  <c r="Q28" i="2"/>
  <c r="R28" i="2" s="1"/>
  <c r="R29" i="2" s="1"/>
  <c r="N23" i="2"/>
  <c r="Q20" i="2"/>
  <c r="R20" i="2" s="1"/>
  <c r="D23" i="2"/>
  <c r="G20" i="2"/>
  <c r="H20" i="2" s="1"/>
  <c r="Q13" i="2"/>
  <c r="F15" i="2"/>
  <c r="H12" i="2"/>
  <c r="H13" i="2" s="1"/>
  <c r="C44" i="2" l="1"/>
  <c r="J48" i="2"/>
  <c r="O42" i="2"/>
  <c r="B42" i="2"/>
  <c r="A42" i="2"/>
  <c r="A40" i="2"/>
  <c r="A44" i="2" s="1"/>
  <c r="L40" i="2"/>
  <c r="O39" i="2" s="1"/>
  <c r="R21" i="2"/>
  <c r="Z11" i="2" s="1"/>
  <c r="H29" i="2"/>
  <c r="X12" i="2" s="1"/>
  <c r="H21" i="2"/>
  <c r="X11" i="2" s="1"/>
  <c r="P15" i="2"/>
  <c r="Z12" i="2"/>
  <c r="R12" i="2"/>
  <c r="R13" i="2" s="1"/>
  <c r="Z10" i="2" s="1"/>
  <c r="X10" i="2"/>
  <c r="B44" i="2" l="1"/>
  <c r="L49" i="2"/>
  <c r="M49" i="2" l="1"/>
  <c r="J50" i="2" s="1"/>
  <c r="K50" i="2" s="1"/>
  <c r="M50" i="2" l="1"/>
  <c r="L50" i="2"/>
</calcChain>
</file>

<file path=xl/sharedStrings.xml><?xml version="1.0" encoding="utf-8"?>
<sst xmlns="http://schemas.openxmlformats.org/spreadsheetml/2006/main" count="202" uniqueCount="88">
  <si>
    <t>아비도스</t>
    <phoneticPr fontId="1" type="noConversion"/>
  </si>
  <si>
    <t>벌목</t>
    <phoneticPr fontId="1" type="noConversion"/>
  </si>
  <si>
    <t>낚시</t>
    <phoneticPr fontId="1" type="noConversion"/>
  </si>
  <si>
    <t>수렵</t>
    <phoneticPr fontId="1" type="noConversion"/>
  </si>
  <si>
    <t>채집</t>
    <phoneticPr fontId="1" type="noConversion"/>
  </si>
  <si>
    <t>고고학</t>
    <phoneticPr fontId="1" type="noConversion"/>
  </si>
  <si>
    <t>일반</t>
    <phoneticPr fontId="1" type="noConversion"/>
  </si>
  <si>
    <t>고급</t>
    <phoneticPr fontId="1" type="noConversion"/>
  </si>
  <si>
    <t>희귀</t>
    <phoneticPr fontId="1" type="noConversion"/>
  </si>
  <si>
    <t>채광</t>
    <phoneticPr fontId="1" type="noConversion"/>
  </si>
  <si>
    <t>아비도스 융화재료</t>
    <phoneticPr fontId="1" type="noConversion"/>
  </si>
  <si>
    <t>거래소</t>
    <phoneticPr fontId="1" type="noConversion"/>
  </si>
  <si>
    <t>수수료-</t>
    <phoneticPr fontId="1" type="noConversion"/>
  </si>
  <si>
    <t>10개 기준</t>
    <phoneticPr fontId="1" type="noConversion"/>
  </si>
  <si>
    <t>재료종류</t>
    <phoneticPr fontId="1" type="noConversion"/>
  </si>
  <si>
    <t>아비도스</t>
    <phoneticPr fontId="1" type="noConversion"/>
  </si>
  <si>
    <t>가격</t>
    <phoneticPr fontId="1" type="noConversion"/>
  </si>
  <si>
    <t>제작 개수</t>
    <phoneticPr fontId="1" type="noConversion"/>
  </si>
  <si>
    <t>교환비</t>
    <phoneticPr fontId="1" type="noConversion"/>
  </si>
  <si>
    <t>제작비용</t>
    <phoneticPr fontId="1" type="noConversion"/>
  </si>
  <si>
    <t>최고는?</t>
    <phoneticPr fontId="1" type="noConversion"/>
  </si>
  <si>
    <t>들꽃</t>
    <phoneticPr fontId="1" type="noConversion"/>
  </si>
  <si>
    <t>수줍은</t>
    <phoneticPr fontId="1" type="noConversion"/>
  </si>
  <si>
    <t>묵직</t>
    <phoneticPr fontId="1" type="noConversion"/>
  </si>
  <si>
    <t>철광</t>
    <phoneticPr fontId="1" type="noConversion"/>
  </si>
  <si>
    <t>고대</t>
    <phoneticPr fontId="1" type="noConversion"/>
  </si>
  <si>
    <t>희귀한</t>
    <phoneticPr fontId="1" type="noConversion"/>
  </si>
  <si>
    <t>목재</t>
    <phoneticPr fontId="1" type="noConversion"/>
  </si>
  <si>
    <t>부드러운</t>
    <phoneticPr fontId="1" type="noConversion"/>
  </si>
  <si>
    <t>생선</t>
    <phoneticPr fontId="1" type="noConversion"/>
  </si>
  <si>
    <t>붉은살</t>
    <phoneticPr fontId="1" type="noConversion"/>
  </si>
  <si>
    <t>두툼한</t>
    <phoneticPr fontId="1" type="noConversion"/>
  </si>
  <si>
    <t>다듬은</t>
    <phoneticPr fontId="1" type="noConversion"/>
  </si>
  <si>
    <t>노란색 칠한것 중 값이 싼 것을 택해서 교환하거나 
사거나 하면 될 듯?</t>
    <phoneticPr fontId="1" type="noConversion"/>
  </si>
  <si>
    <t>구매</t>
    <phoneticPr fontId="1" type="noConversion"/>
  </si>
  <si>
    <t>교환</t>
    <phoneticPr fontId="1" type="noConversion"/>
  </si>
  <si>
    <t>100개기준</t>
    <phoneticPr fontId="1" type="noConversion"/>
  </si>
  <si>
    <t>고급 재료 -&gt; 일반 재료</t>
    <phoneticPr fontId="1" type="noConversion"/>
  </si>
  <si>
    <t>고급 재료 -&gt; 가루 80개</t>
    <phoneticPr fontId="1" type="noConversion"/>
  </si>
  <si>
    <t>가루 100개 -&gt; 아비도스 10개</t>
    <phoneticPr fontId="1" type="noConversion"/>
  </si>
  <si>
    <t>주의사항</t>
    <phoneticPr fontId="1" type="noConversion"/>
  </si>
  <si>
    <t>참고사항</t>
    <phoneticPr fontId="1" type="noConversion"/>
  </si>
  <si>
    <t>결과들</t>
    <phoneticPr fontId="1" type="noConversion"/>
  </si>
  <si>
    <t>기입란</t>
    <phoneticPr fontId="1" type="noConversion"/>
  </si>
  <si>
    <t>내용</t>
    <phoneticPr fontId="1" type="noConversion"/>
  </si>
  <si>
    <t>색</t>
    <phoneticPr fontId="1" type="noConversion"/>
  </si>
  <si>
    <t>참고란</t>
    <phoneticPr fontId="1" type="noConversion"/>
  </si>
  <si>
    <t>계산용 환산</t>
    <phoneticPr fontId="1" type="noConversion"/>
  </si>
  <si>
    <t>&lt;&lt; 검색해서 입력</t>
    <phoneticPr fontId="1" type="noConversion"/>
  </si>
  <si>
    <t>&lt;&lt; 오른쪽 표만 보면 됨</t>
    <phoneticPr fontId="1" type="noConversion"/>
  </si>
  <si>
    <t>&lt;&lt; 더 나은 효율을 위해 참고용</t>
    <phoneticPr fontId="1" type="noConversion"/>
  </si>
  <si>
    <t>말 그대로 읽어 줄 것.</t>
    <phoneticPr fontId="1" type="noConversion"/>
  </si>
  <si>
    <t>설명</t>
    <phoneticPr fontId="1" type="noConversion"/>
  </si>
  <si>
    <t>종류</t>
    <phoneticPr fontId="1" type="noConversion"/>
  </si>
  <si>
    <t>비율</t>
    <phoneticPr fontId="1" type="noConversion"/>
  </si>
  <si>
    <t>x-아비도스 비율</t>
    <phoneticPr fontId="1" type="noConversion"/>
  </si>
  <si>
    <t>일반-고급 비율</t>
    <phoneticPr fontId="1" type="noConversion"/>
  </si>
  <si>
    <t>1000개당</t>
    <phoneticPr fontId="1" type="noConversion"/>
  </si>
  <si>
    <t xml:space="preserve">일반 </t>
    <phoneticPr fontId="1" type="noConversion"/>
  </si>
  <si>
    <t>아비도스 10개 값</t>
    <phoneticPr fontId="1" type="noConversion"/>
  </si>
  <si>
    <t>벌목과 채광 정리</t>
    <phoneticPr fontId="1" type="noConversion"/>
  </si>
  <si>
    <t>&lt;&lt; 만 개</t>
    <phoneticPr fontId="1" type="noConversion"/>
  </si>
  <si>
    <t>1000 단위</t>
    <phoneticPr fontId="1" type="noConversion"/>
  </si>
  <si>
    <t>결과는 아래</t>
    <phoneticPr fontId="1" type="noConversion"/>
  </si>
  <si>
    <t>아비도스 10개 가격</t>
    <phoneticPr fontId="1" type="noConversion"/>
  </si>
  <si>
    <t>비교</t>
    <phoneticPr fontId="1" type="noConversion"/>
  </si>
  <si>
    <t>어떤 원리를 이용한 지</t>
    <phoneticPr fontId="1" type="noConversion"/>
  </si>
  <si>
    <t xml:space="preserve">위는 %효율을 나타낸 것. 숫자가 가장 높은게 가장 효율 좋음.
*재료를 사서 직접 만들고 팔 때 효율
= 직접 만들어서 쓸 때 최고 효율 찾기용으로 사용 가능 </t>
    <phoneticPr fontId="1" type="noConversion"/>
  </si>
  <si>
    <t>&lt;&lt; 사야하는게 고급재료 일 때 표 (교환은 목재, 철광만 됨)</t>
    <phoneticPr fontId="1" type="noConversion"/>
  </si>
  <si>
    <t>왼쪽 위의 값은
각 재료의 분배 개수
예) 고급 1000개 사면
(입력칸에 입력해서 확인) 
153개는 고급으로 사용.
154개는 일반으로 교환.
701개는 희귀로 교환.</t>
    <phoneticPr fontId="1" type="noConversion"/>
  </si>
  <si>
    <t>3티 희귀</t>
    <phoneticPr fontId="1" type="noConversion"/>
  </si>
  <si>
    <t>3티희귀</t>
    <phoneticPr fontId="1" type="noConversion"/>
  </si>
  <si>
    <t xml:space="preserve">아비 10개당 </t>
    <phoneticPr fontId="1" type="noConversion"/>
  </si>
  <si>
    <t>4티 희귀</t>
    <phoneticPr fontId="1" type="noConversion"/>
  </si>
  <si>
    <t>3티 : 4티</t>
    <phoneticPr fontId="1" type="noConversion"/>
  </si>
  <si>
    <t>일반-희귀</t>
    <phoneticPr fontId="1" type="noConversion"/>
  </si>
  <si>
    <t>고급-희귀</t>
    <phoneticPr fontId="1" type="noConversion"/>
  </si>
  <si>
    <t>3희귀</t>
    <phoneticPr fontId="1" type="noConversion"/>
  </si>
  <si>
    <t>검산</t>
    <phoneticPr fontId="1" type="noConversion"/>
  </si>
  <si>
    <t>가장 효율 높은게 
뽑혀 나올테니 
그 효율이랑 
같은 재료를 
사면 된다.</t>
    <phoneticPr fontId="1" type="noConversion"/>
  </si>
  <si>
    <t>채광가루</t>
    <phoneticPr fontId="1" type="noConversion"/>
  </si>
  <si>
    <t>3희귀 -&gt;</t>
    <phoneticPr fontId="1" type="noConversion"/>
  </si>
  <si>
    <t>사용 총 량</t>
    <phoneticPr fontId="1" type="noConversion"/>
  </si>
  <si>
    <t xml:space="preserve">&lt;&lt;&lt;&lt;&lt;&lt; 결과 
이건 우측 상단 표를 참고해서 골라야 함.
왼쪽 결과는 재료를 사서 만들어 사용하는것에서의 효율 비교
-&gt; 지금 상황으로는 고급 재료를 사는것만 이득이다. </t>
    <phoneticPr fontId="1" type="noConversion"/>
  </si>
  <si>
    <t>x to 일반</t>
    <phoneticPr fontId="1" type="noConversion"/>
  </si>
  <si>
    <t>일반 to 고급</t>
    <phoneticPr fontId="1" type="noConversion"/>
  </si>
  <si>
    <t>일반 to 아비</t>
    <phoneticPr fontId="1" type="noConversion"/>
  </si>
  <si>
    <t>&gt;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</si>
</sst>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0" borderId="2" xfId="0" applyBorder="1">
      <alignment vertical="center"/>
    </xf>
    <xf numFmtId="0" fontId="0" fillId="3" borderId="10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3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6" borderId="10" xfId="0" applyFill="1" applyBorder="1">
      <alignment vertical="center"/>
    </xf>
    <xf numFmtId="0" fontId="0" fillId="7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452A7-2D8C-492C-A2F4-F7E80A43F20A}">
  <dimension ref="A2:AA53"/>
  <sheetViews>
    <sheetView tabSelected="1" topLeftCell="A16" zoomScaleNormal="100" workbookViewId="0">
      <selection activeCell="S48" sqref="S48"/>
    </sheetView>
  </sheetViews>
  <sheetFormatPr defaultRowHeight="17.399999999999999" x14ac:dyDescent="0.4"/>
  <cols>
    <col min="1" max="1" width="7.69921875" customWidth="1"/>
    <col min="2" max="2" width="8.19921875" customWidth="1"/>
    <col min="5" max="5" width="10.19921875" customWidth="1"/>
    <col min="9" max="9" width="10.8984375" customWidth="1"/>
    <col min="10" max="10" width="10.69921875" customWidth="1"/>
    <col min="11" max="11" width="11.5" customWidth="1"/>
    <col min="12" max="12" width="11.19921875" customWidth="1"/>
    <col min="13" max="13" width="11.59765625" customWidth="1"/>
    <col min="15" max="15" width="10" customWidth="1"/>
    <col min="19" max="19" width="13.8984375" customWidth="1"/>
  </cols>
  <sheetData>
    <row r="2" spans="1:26" x14ac:dyDescent="0.4">
      <c r="A2" s="20" t="s">
        <v>0</v>
      </c>
      <c r="B2" s="20"/>
      <c r="C2" s="20"/>
      <c r="D2" s="20"/>
      <c r="E2" s="20"/>
      <c r="F2" s="20"/>
      <c r="G2" s="20"/>
      <c r="M2" s="1" t="s">
        <v>45</v>
      </c>
      <c r="N2" s="1" t="s">
        <v>44</v>
      </c>
      <c r="O2" s="16" t="s">
        <v>52</v>
      </c>
      <c r="P2" s="16"/>
      <c r="Q2" s="16"/>
      <c r="S2" s="1" t="s">
        <v>6</v>
      </c>
      <c r="T2" s="1">
        <v>100</v>
      </c>
    </row>
    <row r="3" spans="1:26" x14ac:dyDescent="0.4">
      <c r="A3" s="20"/>
      <c r="B3" s="20"/>
      <c r="C3" s="20"/>
      <c r="D3" s="20"/>
      <c r="E3" s="20"/>
      <c r="F3" s="20"/>
      <c r="G3" s="20"/>
      <c r="I3" s="16" t="s">
        <v>47</v>
      </c>
      <c r="J3" s="16"/>
      <c r="K3" s="16"/>
      <c r="M3" s="5"/>
      <c r="N3" s="1" t="s">
        <v>40</v>
      </c>
      <c r="O3" s="16" t="s">
        <v>51</v>
      </c>
      <c r="P3" s="16"/>
      <c r="Q3" s="16"/>
      <c r="S3" s="1" t="s">
        <v>7</v>
      </c>
      <c r="T3" s="1">
        <v>200</v>
      </c>
    </row>
    <row r="4" spans="1:26" x14ac:dyDescent="0.4">
      <c r="A4" s="20"/>
      <c r="B4" s="20"/>
      <c r="C4" s="20"/>
      <c r="D4" s="20"/>
      <c r="E4" s="20"/>
      <c r="F4" s="20"/>
      <c r="G4" s="20"/>
      <c r="I4" s="1" t="s">
        <v>6</v>
      </c>
      <c r="J4" s="1">
        <v>86</v>
      </c>
      <c r="K4" s="1">
        <f>J4/100</f>
        <v>0.86</v>
      </c>
      <c r="M4" s="6"/>
      <c r="N4" s="1" t="s">
        <v>41</v>
      </c>
      <c r="O4" s="16" t="s">
        <v>66</v>
      </c>
      <c r="P4" s="16"/>
      <c r="Q4" s="16"/>
      <c r="S4" s="1" t="s">
        <v>70</v>
      </c>
      <c r="T4" s="1">
        <f>T2*10</f>
        <v>1000</v>
      </c>
    </row>
    <row r="5" spans="1:26" x14ac:dyDescent="0.4">
      <c r="A5" s="20"/>
      <c r="B5" s="20"/>
      <c r="C5" s="20"/>
      <c r="D5" s="20"/>
      <c r="E5" s="20"/>
      <c r="F5" s="20"/>
      <c r="G5" s="20"/>
      <c r="I5" s="1" t="s">
        <v>7</v>
      </c>
      <c r="J5" s="1">
        <v>45</v>
      </c>
      <c r="K5" s="1">
        <f t="shared" ref="K5:K6" si="0">J5/100</f>
        <v>0.45</v>
      </c>
      <c r="M5" s="4"/>
      <c r="N5" s="1" t="s">
        <v>43</v>
      </c>
      <c r="O5" s="16" t="s">
        <v>48</v>
      </c>
      <c r="P5" s="16"/>
      <c r="Q5" s="16"/>
      <c r="S5" s="1" t="s">
        <v>73</v>
      </c>
      <c r="T5" s="1">
        <f>T2*(100*100)/(80*10)</f>
        <v>1250</v>
      </c>
    </row>
    <row r="6" spans="1:26" x14ac:dyDescent="0.4">
      <c r="A6" s="20"/>
      <c r="B6" s="20"/>
      <c r="C6" s="20"/>
      <c r="D6" s="20"/>
      <c r="E6" s="20"/>
      <c r="F6" s="20"/>
      <c r="G6" s="20"/>
      <c r="I6" s="1" t="s">
        <v>8</v>
      </c>
      <c r="J6" s="1">
        <v>33</v>
      </c>
      <c r="K6" s="1">
        <f t="shared" si="0"/>
        <v>0.33</v>
      </c>
      <c r="M6" s="3"/>
      <c r="N6" s="1" t="s">
        <v>42</v>
      </c>
      <c r="O6" s="16" t="s">
        <v>49</v>
      </c>
      <c r="P6" s="16"/>
      <c r="Q6" s="16"/>
      <c r="S6" s="1" t="s">
        <v>74</v>
      </c>
      <c r="T6" s="1">
        <f>T5/T4</f>
        <v>1.25</v>
      </c>
    </row>
    <row r="7" spans="1:26" x14ac:dyDescent="0.4">
      <c r="M7" s="2"/>
      <c r="N7" s="1" t="s">
        <v>46</v>
      </c>
      <c r="O7" s="16" t="s">
        <v>50</v>
      </c>
      <c r="P7" s="16"/>
      <c r="Q7" s="16"/>
    </row>
    <row r="8" spans="1:26" x14ac:dyDescent="0.4">
      <c r="A8" s="7"/>
      <c r="B8" s="7"/>
    </row>
    <row r="9" spans="1:26" x14ac:dyDescent="0.4">
      <c r="A9" s="17" t="s">
        <v>1</v>
      </c>
      <c r="B9" s="17"/>
      <c r="C9" s="17"/>
      <c r="D9" s="17"/>
      <c r="E9" s="17"/>
      <c r="F9" s="17"/>
      <c r="G9" s="17"/>
      <c r="H9" s="17"/>
      <c r="I9" s="17"/>
      <c r="K9" s="17" t="s">
        <v>4</v>
      </c>
      <c r="L9" s="17"/>
      <c r="M9" s="17"/>
      <c r="N9" s="17"/>
      <c r="O9" s="17"/>
      <c r="P9" s="17"/>
      <c r="Q9" s="17"/>
      <c r="R9" s="17"/>
      <c r="S9" s="17"/>
      <c r="U9" s="17" t="s">
        <v>10</v>
      </c>
      <c r="V9" s="17"/>
      <c r="W9" s="17"/>
      <c r="X9" s="17"/>
      <c r="Y9" s="17"/>
      <c r="Z9" s="17"/>
    </row>
    <row r="10" spans="1:26" x14ac:dyDescent="0.4">
      <c r="A10" s="1"/>
      <c r="B10" s="1"/>
      <c r="C10" s="1"/>
      <c r="D10" s="2" t="s">
        <v>34</v>
      </c>
      <c r="E10" s="1" t="s">
        <v>36</v>
      </c>
      <c r="F10" s="2" t="s">
        <v>35</v>
      </c>
      <c r="G10" s="1"/>
      <c r="H10" s="1"/>
      <c r="I10" s="1"/>
      <c r="K10" s="1"/>
      <c r="L10" s="1"/>
      <c r="M10" s="1"/>
      <c r="N10" s="2" t="s">
        <v>34</v>
      </c>
      <c r="O10" s="1" t="s">
        <v>36</v>
      </c>
      <c r="P10" s="2" t="s">
        <v>35</v>
      </c>
      <c r="Q10" s="1"/>
      <c r="R10" s="1"/>
      <c r="S10" s="1"/>
      <c r="U10" s="1" t="s">
        <v>11</v>
      </c>
      <c r="V10" s="4">
        <v>66</v>
      </c>
      <c r="W10" s="1" t="s">
        <v>1</v>
      </c>
      <c r="X10" s="3">
        <f>(V12/H13 - 1)*100</f>
        <v>0.38504951208382376</v>
      </c>
      <c r="Y10" s="1" t="s">
        <v>4</v>
      </c>
      <c r="Z10" s="3">
        <f>(V12/R13 - 1)*100</f>
        <v>-4.5182511763899758</v>
      </c>
    </row>
    <row r="11" spans="1:26" x14ac:dyDescent="0.4">
      <c r="A11" s="1" t="s">
        <v>14</v>
      </c>
      <c r="B11" s="1" t="s">
        <v>16</v>
      </c>
      <c r="C11" s="1" t="s">
        <v>17</v>
      </c>
      <c r="D11" s="1" t="s">
        <v>19</v>
      </c>
      <c r="E11" s="1" t="s">
        <v>18</v>
      </c>
      <c r="F11" s="1" t="s">
        <v>19</v>
      </c>
      <c r="G11" s="1"/>
      <c r="H11" s="1" t="s">
        <v>20</v>
      </c>
      <c r="I11" s="1" t="s">
        <v>19</v>
      </c>
      <c r="K11" s="1" t="s">
        <v>14</v>
      </c>
      <c r="L11" s="1" t="s">
        <v>16</v>
      </c>
      <c r="M11" s="1" t="s">
        <v>17</v>
      </c>
      <c r="N11" s="1" t="s">
        <v>19</v>
      </c>
      <c r="O11" s="1" t="s">
        <v>18</v>
      </c>
      <c r="P11" s="1" t="s">
        <v>19</v>
      </c>
      <c r="Q11" s="1"/>
      <c r="R11" s="1" t="s">
        <v>20</v>
      </c>
      <c r="S11" s="1" t="s">
        <v>19</v>
      </c>
      <c r="U11" s="1" t="s">
        <v>12</v>
      </c>
      <c r="V11" s="1">
        <f>V10*0.95</f>
        <v>62.699999999999996</v>
      </c>
      <c r="W11" s="1" t="s">
        <v>2</v>
      </c>
      <c r="X11" s="3">
        <f>(V12/H21 - 1)*100</f>
        <v>-0.79741788494398502</v>
      </c>
      <c r="Y11" s="1" t="s">
        <v>5</v>
      </c>
      <c r="Z11" s="3">
        <f>(V12/R21 - 1)*100</f>
        <v>6.3799923440077677E-3</v>
      </c>
    </row>
    <row r="12" spans="1:26" x14ac:dyDescent="0.4">
      <c r="A12" s="1" t="s">
        <v>27</v>
      </c>
      <c r="B12" s="4">
        <v>48</v>
      </c>
      <c r="C12" s="1">
        <f>J4</f>
        <v>86</v>
      </c>
      <c r="D12" s="2">
        <f>B12*C12/100</f>
        <v>41.28</v>
      </c>
      <c r="E12" s="1">
        <f>E13/2</f>
        <v>100</v>
      </c>
      <c r="F12" s="2">
        <f>IF(E13=0,D12,(E12/E13)*B13*C12/100)</f>
        <v>40.42</v>
      </c>
      <c r="G12" s="1">
        <f>IF(D12&lt;F12, D12, F12)</f>
        <v>40.42</v>
      </c>
      <c r="H12" s="1">
        <f>SUM(G12:G14)</f>
        <v>276.59500000000003</v>
      </c>
      <c r="I12" s="1">
        <v>348</v>
      </c>
      <c r="K12" s="1" t="s">
        <v>21</v>
      </c>
      <c r="L12" s="4">
        <v>60</v>
      </c>
      <c r="M12" s="1">
        <f>J4</f>
        <v>86</v>
      </c>
      <c r="N12" s="2">
        <f>L12*M12/100</f>
        <v>51.6</v>
      </c>
      <c r="O12" s="1">
        <f>O13/2</f>
        <v>0</v>
      </c>
      <c r="P12" s="2">
        <f>IF(O13=0,N12,(O12/O13)*L13*M12/100)</f>
        <v>51.6</v>
      </c>
      <c r="Q12" s="1">
        <f>IF(N12&lt;P12, N12, P12)</f>
        <v>51.6</v>
      </c>
      <c r="R12" s="1">
        <f>SUM(Q12:Q14)</f>
        <v>308.67</v>
      </c>
      <c r="S12" s="1">
        <v>348</v>
      </c>
      <c r="U12" s="1" t="s">
        <v>13</v>
      </c>
      <c r="V12" s="3">
        <f>V11*10</f>
        <v>627</v>
      </c>
      <c r="W12" s="1" t="s">
        <v>3</v>
      </c>
      <c r="X12" s="3">
        <f>(V12/H29 - 1)*100</f>
        <v>-4.0492149481223034</v>
      </c>
      <c r="Y12" s="1" t="s">
        <v>9</v>
      </c>
      <c r="Z12" s="3">
        <f>(V12/R29 - 1)*100</f>
        <v>0.86020727013886855</v>
      </c>
    </row>
    <row r="13" spans="1:26" ht="17.399999999999999" customHeight="1" x14ac:dyDescent="0.4">
      <c r="A13" s="1" t="s">
        <v>28</v>
      </c>
      <c r="B13" s="4">
        <v>94</v>
      </c>
      <c r="C13" s="1">
        <f>J5</f>
        <v>45</v>
      </c>
      <c r="D13" s="2">
        <f t="shared" ref="D13:D14" si="1">B13*C13/100</f>
        <v>42.3</v>
      </c>
      <c r="E13" s="1">
        <v>200</v>
      </c>
      <c r="F13" s="2">
        <f>B13*C13/100</f>
        <v>42.3</v>
      </c>
      <c r="G13" s="1">
        <f>IF(D13&lt;F13, D13, F13)</f>
        <v>42.3</v>
      </c>
      <c r="H13" s="20">
        <f>H12+I12</f>
        <v>624.59500000000003</v>
      </c>
      <c r="I13" s="20"/>
      <c r="K13" s="1" t="s">
        <v>22</v>
      </c>
      <c r="L13" s="4">
        <v>154</v>
      </c>
      <c r="M13" s="1">
        <f>J5</f>
        <v>45</v>
      </c>
      <c r="N13" s="2">
        <f t="shared" ref="N13:N14" si="2">L13*M13/100</f>
        <v>69.3</v>
      </c>
      <c r="O13" s="1">
        <v>0</v>
      </c>
      <c r="P13" s="2">
        <f>L13*M13/100</f>
        <v>69.3</v>
      </c>
      <c r="Q13" s="1">
        <f>IF(N13&lt;P13, N13, P13)</f>
        <v>69.3</v>
      </c>
      <c r="R13" s="20">
        <f>R12+S12</f>
        <v>656.67000000000007</v>
      </c>
      <c r="S13" s="20"/>
      <c r="U13" s="21" t="s">
        <v>67</v>
      </c>
      <c r="V13" s="21"/>
      <c r="W13" s="21"/>
      <c r="X13" s="21"/>
      <c r="Y13" s="21"/>
      <c r="Z13" s="21"/>
    </row>
    <row r="14" spans="1:26" ht="17.399999999999999" customHeight="1" x14ac:dyDescent="0.4">
      <c r="A14" s="1" t="s">
        <v>15</v>
      </c>
      <c r="B14" s="4">
        <v>610</v>
      </c>
      <c r="C14" s="1">
        <f>J6</f>
        <v>33</v>
      </c>
      <c r="D14" s="2">
        <f t="shared" si="1"/>
        <v>201.3</v>
      </c>
      <c r="E14" s="1">
        <f>E12*(100*100)/(80*10)</f>
        <v>1250</v>
      </c>
      <c r="F14" s="2">
        <f>IF(E13=0,D14,(E14/E13)*B13*C14/100)</f>
        <v>193.875</v>
      </c>
      <c r="G14" s="1">
        <f>IF(D14&lt;F14, D14, F14)</f>
        <v>193.875</v>
      </c>
      <c r="H14" s="20"/>
      <c r="I14" s="20"/>
      <c r="K14" s="1" t="s">
        <v>15</v>
      </c>
      <c r="L14" s="4">
        <v>569</v>
      </c>
      <c r="M14" s="1">
        <f>J6</f>
        <v>33</v>
      </c>
      <c r="N14" s="2">
        <f t="shared" si="2"/>
        <v>187.77</v>
      </c>
      <c r="O14" s="1">
        <f>O12*(100*100)/(80*10)</f>
        <v>0</v>
      </c>
      <c r="P14" s="2">
        <f>IF(O13=0,N14,(O14/O13)*L13*M14/100)</f>
        <v>187.77</v>
      </c>
      <c r="Q14" s="1">
        <f>IF(N14&lt;P14, N14, P14)</f>
        <v>187.77</v>
      </c>
      <c r="R14" s="20"/>
      <c r="S14" s="20"/>
      <c r="U14" s="21"/>
      <c r="V14" s="21"/>
      <c r="W14" s="21"/>
      <c r="X14" s="21"/>
      <c r="Y14" s="21"/>
      <c r="Z14" s="21"/>
    </row>
    <row r="15" spans="1:26" ht="17.399999999999999" customHeight="1" x14ac:dyDescent="0.4">
      <c r="A15" s="1" t="s">
        <v>70</v>
      </c>
      <c r="B15" s="4">
        <v>459</v>
      </c>
      <c r="C15" s="1"/>
      <c r="D15" s="1">
        <f>SUM(D12:D14)</f>
        <v>284.88</v>
      </c>
      <c r="E15" s="1">
        <f>SUM(E12:E14)</f>
        <v>1550</v>
      </c>
      <c r="F15" s="1">
        <f>SUM(F12:F14)</f>
        <v>276.59500000000003</v>
      </c>
      <c r="G15" s="1"/>
      <c r="H15" s="1" t="s">
        <v>59</v>
      </c>
      <c r="I15" s="1"/>
      <c r="K15" s="1"/>
      <c r="L15" s="1"/>
      <c r="M15" s="1"/>
      <c r="N15" s="1">
        <f>SUM(N12:N14)</f>
        <v>308.67</v>
      </c>
      <c r="O15" s="1">
        <f>SUM(O12:O14)</f>
        <v>0</v>
      </c>
      <c r="P15" s="1">
        <f>SUM(P12:P14)</f>
        <v>308.67</v>
      </c>
      <c r="Q15" s="1"/>
      <c r="R15" s="1" t="s">
        <v>59</v>
      </c>
      <c r="S15" s="1"/>
      <c r="U15" s="21"/>
      <c r="V15" s="21"/>
      <c r="W15" s="21"/>
      <c r="X15" s="21"/>
      <c r="Y15" s="21"/>
      <c r="Z15" s="21"/>
    </row>
    <row r="16" spans="1:26" x14ac:dyDescent="0.4">
      <c r="U16" s="21"/>
      <c r="V16" s="21"/>
      <c r="W16" s="21"/>
      <c r="X16" s="21"/>
      <c r="Y16" s="21"/>
      <c r="Z16" s="21"/>
    </row>
    <row r="17" spans="1:26" x14ac:dyDescent="0.4">
      <c r="A17" s="17" t="s">
        <v>2</v>
      </c>
      <c r="B17" s="17"/>
      <c r="C17" s="17"/>
      <c r="D17" s="17"/>
      <c r="E17" s="17"/>
      <c r="F17" s="17"/>
      <c r="G17" s="17"/>
      <c r="H17" s="17"/>
      <c r="I17" s="17"/>
      <c r="K17" s="17" t="s">
        <v>5</v>
      </c>
      <c r="L17" s="17"/>
      <c r="M17" s="17"/>
      <c r="N17" s="17"/>
      <c r="O17" s="17"/>
      <c r="P17" s="17"/>
      <c r="Q17" s="17"/>
      <c r="R17" s="17"/>
      <c r="S17" s="17"/>
      <c r="U17" s="21"/>
      <c r="V17" s="21"/>
      <c r="W17" s="21"/>
      <c r="X17" s="21"/>
      <c r="Y17" s="21"/>
      <c r="Z17" s="21"/>
    </row>
    <row r="18" spans="1:26" x14ac:dyDescent="0.4">
      <c r="A18" s="1"/>
      <c r="B18" s="1"/>
      <c r="C18" s="1"/>
      <c r="D18" s="2" t="s">
        <v>34</v>
      </c>
      <c r="E18" s="1" t="s">
        <v>36</v>
      </c>
      <c r="F18" s="2" t="s">
        <v>35</v>
      </c>
      <c r="G18" s="1"/>
      <c r="H18" s="1"/>
      <c r="I18" s="1"/>
      <c r="K18" s="1"/>
      <c r="L18" s="1"/>
      <c r="M18" s="1"/>
      <c r="N18" s="2" t="s">
        <v>34</v>
      </c>
      <c r="O18" s="1" t="s">
        <v>36</v>
      </c>
      <c r="P18" s="2" t="s">
        <v>35</v>
      </c>
      <c r="Q18" s="1"/>
      <c r="R18" s="1"/>
      <c r="S18" s="1"/>
      <c r="U18" s="21"/>
      <c r="V18" s="21"/>
      <c r="W18" s="21"/>
      <c r="X18" s="21"/>
      <c r="Y18" s="21"/>
      <c r="Z18" s="21"/>
    </row>
    <row r="19" spans="1:26" x14ac:dyDescent="0.4">
      <c r="A19" s="1" t="s">
        <v>14</v>
      </c>
      <c r="B19" s="1" t="s">
        <v>16</v>
      </c>
      <c r="C19" s="1" t="s">
        <v>17</v>
      </c>
      <c r="D19" s="1" t="s">
        <v>19</v>
      </c>
      <c r="E19" s="1" t="s">
        <v>18</v>
      </c>
      <c r="F19" s="1" t="s">
        <v>19</v>
      </c>
      <c r="G19" s="1"/>
      <c r="H19" s="1" t="s">
        <v>20</v>
      </c>
      <c r="I19" s="1" t="s">
        <v>19</v>
      </c>
      <c r="K19" s="1" t="s">
        <v>14</v>
      </c>
      <c r="L19" s="1" t="s">
        <v>16</v>
      </c>
      <c r="M19" s="1" t="s">
        <v>17</v>
      </c>
      <c r="N19" s="1" t="s">
        <v>19</v>
      </c>
      <c r="O19" s="1" t="s">
        <v>18</v>
      </c>
      <c r="P19" s="1" t="s">
        <v>19</v>
      </c>
      <c r="Q19" s="1"/>
      <c r="R19" s="1" t="s">
        <v>20</v>
      </c>
      <c r="S19" s="1" t="s">
        <v>19</v>
      </c>
      <c r="U19" s="21"/>
      <c r="V19" s="21"/>
      <c r="W19" s="21"/>
      <c r="X19" s="21"/>
      <c r="Y19" s="21"/>
      <c r="Z19" s="21"/>
    </row>
    <row r="20" spans="1:26" x14ac:dyDescent="0.4">
      <c r="A20" s="1" t="s">
        <v>29</v>
      </c>
      <c r="B20" s="4">
        <v>45</v>
      </c>
      <c r="C20" s="1">
        <f>J4</f>
        <v>86</v>
      </c>
      <c r="D20" s="2">
        <f>B20*C20/100</f>
        <v>38.700000000000003</v>
      </c>
      <c r="E20" s="1">
        <f>E21/2</f>
        <v>0</v>
      </c>
      <c r="F20" s="2">
        <f>IF(E21=0,D20,(E20/E21)*B21*C20/100)</f>
        <v>38.700000000000003</v>
      </c>
      <c r="G20" s="1">
        <f>IF(D20&lt;F20, D20, F20)</f>
        <v>38.700000000000003</v>
      </c>
      <c r="H20" s="1">
        <f>SUM(G20:G22)</f>
        <v>284.03999999999996</v>
      </c>
      <c r="I20" s="1">
        <v>348</v>
      </c>
      <c r="K20" s="1" t="s">
        <v>25</v>
      </c>
      <c r="L20" s="4">
        <v>46</v>
      </c>
      <c r="M20" s="1">
        <f>J4</f>
        <v>86</v>
      </c>
      <c r="N20" s="2">
        <f>L20*M20/100</f>
        <v>39.56</v>
      </c>
      <c r="O20" s="1">
        <f>O21/2</f>
        <v>0</v>
      </c>
      <c r="P20" s="2">
        <f>IF(O21=0,N20,(O20/O21)*L21*M20/100)</f>
        <v>39.56</v>
      </c>
      <c r="Q20" s="1">
        <f>IF(N20&lt;P20, N20, P20)</f>
        <v>39.56</v>
      </c>
      <c r="R20" s="1">
        <f>SUM(Q20:Q22)</f>
        <v>278.96000000000004</v>
      </c>
      <c r="S20" s="1">
        <v>348</v>
      </c>
      <c r="U20" s="21" t="s">
        <v>33</v>
      </c>
      <c r="V20" s="22"/>
      <c r="W20" s="22"/>
      <c r="X20" s="22"/>
      <c r="Y20" s="22"/>
      <c r="Z20" s="22"/>
    </row>
    <row r="21" spans="1:26" x14ac:dyDescent="0.4">
      <c r="A21" s="1" t="s">
        <v>30</v>
      </c>
      <c r="B21" s="4">
        <v>92</v>
      </c>
      <c r="C21" s="1">
        <f>J5</f>
        <v>45</v>
      </c>
      <c r="D21" s="2">
        <f t="shared" ref="D21:D22" si="3">B21*C21/100</f>
        <v>41.4</v>
      </c>
      <c r="E21" s="1">
        <v>0</v>
      </c>
      <c r="F21" s="2">
        <f>B21*C21/100</f>
        <v>41.4</v>
      </c>
      <c r="G21" s="1">
        <f>IF(D21&lt;F21, D21, F21)</f>
        <v>41.4</v>
      </c>
      <c r="H21" s="20">
        <f>H20+I20</f>
        <v>632.04</v>
      </c>
      <c r="I21" s="20"/>
      <c r="K21" s="1" t="s">
        <v>26</v>
      </c>
      <c r="L21" s="4">
        <v>92</v>
      </c>
      <c r="M21" s="1">
        <f>J5</f>
        <v>45</v>
      </c>
      <c r="N21" s="2">
        <f t="shared" ref="N21:N22" si="4">L21*M21/100</f>
        <v>41.4</v>
      </c>
      <c r="O21" s="1">
        <v>0</v>
      </c>
      <c r="P21" s="2">
        <f>L21*M21/100</f>
        <v>41.4</v>
      </c>
      <c r="Q21" s="1">
        <f>IF(N21&lt;P21, N21, P21)</f>
        <v>41.4</v>
      </c>
      <c r="R21" s="20">
        <f>R20+S20</f>
        <v>626.96</v>
      </c>
      <c r="S21" s="20"/>
      <c r="U21" s="22"/>
      <c r="V21" s="22"/>
      <c r="W21" s="22"/>
      <c r="X21" s="22"/>
      <c r="Y21" s="22"/>
      <c r="Z21" s="22"/>
    </row>
    <row r="22" spans="1:26" x14ac:dyDescent="0.4">
      <c r="A22" s="1" t="s">
        <v>15</v>
      </c>
      <c r="B22" s="4">
        <v>618</v>
      </c>
      <c r="C22" s="1">
        <f>J6</f>
        <v>33</v>
      </c>
      <c r="D22" s="2">
        <f t="shared" si="3"/>
        <v>203.94</v>
      </c>
      <c r="E22" s="1">
        <f>E20*(100*100)/(80*10)</f>
        <v>0</v>
      </c>
      <c r="F22" s="2">
        <f>IF(E21=0,D22,(E22/E21)*B21*C22/100)</f>
        <v>203.94</v>
      </c>
      <c r="G22" s="1">
        <f>IF(D22&lt;F22, D22, F22)</f>
        <v>203.94</v>
      </c>
      <c r="H22" s="20"/>
      <c r="I22" s="20"/>
      <c r="K22" s="1" t="s">
        <v>15</v>
      </c>
      <c r="L22" s="4">
        <v>600</v>
      </c>
      <c r="M22" s="1">
        <f>J6</f>
        <v>33</v>
      </c>
      <c r="N22" s="2">
        <f t="shared" si="4"/>
        <v>198</v>
      </c>
      <c r="O22" s="1">
        <f>O20*(100*100)/(80*10)</f>
        <v>0</v>
      </c>
      <c r="P22" s="2">
        <f>IF(O21=0,N22,(O22/O21)*L21*M22/100)</f>
        <v>198</v>
      </c>
      <c r="Q22" s="1">
        <f>IF(N22&lt;P22, N22, P22)</f>
        <v>198</v>
      </c>
      <c r="R22" s="20"/>
      <c r="S22" s="20"/>
      <c r="U22" s="22"/>
      <c r="V22" s="22"/>
      <c r="W22" s="22"/>
      <c r="X22" s="22"/>
      <c r="Y22" s="22"/>
      <c r="Z22" s="22"/>
    </row>
    <row r="23" spans="1:26" x14ac:dyDescent="0.4">
      <c r="A23" s="1"/>
      <c r="B23" s="1"/>
      <c r="C23" s="1"/>
      <c r="D23" s="1">
        <f>SUM(D20:D22)</f>
        <v>284.03999999999996</v>
      </c>
      <c r="E23" s="1">
        <f>SUM(E20:E22)</f>
        <v>0</v>
      </c>
      <c r="F23" s="1">
        <f>SUM(F20:F22)</f>
        <v>284.03999999999996</v>
      </c>
      <c r="G23" s="1"/>
      <c r="H23" s="1" t="s">
        <v>59</v>
      </c>
      <c r="I23" s="1"/>
      <c r="K23" s="1"/>
      <c r="L23" s="1"/>
      <c r="M23" s="1"/>
      <c r="N23" s="1">
        <f>SUM(N20:N22)</f>
        <v>278.96000000000004</v>
      </c>
      <c r="O23" s="1">
        <f>SUM(O20:O22)</f>
        <v>0</v>
      </c>
      <c r="P23" s="1">
        <f>SUM(P20:P22)</f>
        <v>278.96000000000004</v>
      </c>
      <c r="Q23" s="1"/>
      <c r="R23" s="1" t="s">
        <v>59</v>
      </c>
      <c r="S23" s="1"/>
      <c r="U23" s="22"/>
      <c r="V23" s="22"/>
      <c r="W23" s="22"/>
      <c r="X23" s="22"/>
      <c r="Y23" s="22"/>
      <c r="Z23" s="22"/>
    </row>
    <row r="25" spans="1:26" x14ac:dyDescent="0.4">
      <c r="A25" s="17" t="s">
        <v>3</v>
      </c>
      <c r="B25" s="17"/>
      <c r="C25" s="17"/>
      <c r="D25" s="17"/>
      <c r="E25" s="17"/>
      <c r="F25" s="17"/>
      <c r="G25" s="17"/>
      <c r="H25" s="17"/>
      <c r="I25" s="17"/>
      <c r="K25" s="17" t="s">
        <v>9</v>
      </c>
      <c r="L25" s="17"/>
      <c r="M25" s="17"/>
      <c r="N25" s="17"/>
      <c r="O25" s="17"/>
      <c r="P25" s="17"/>
      <c r="Q25" s="17"/>
      <c r="R25" s="17"/>
      <c r="S25" s="17"/>
      <c r="U25" s="23" t="s">
        <v>68</v>
      </c>
      <c r="V25" s="23"/>
      <c r="W25" s="23"/>
      <c r="X25" s="23"/>
      <c r="Y25" s="23"/>
      <c r="Z25" s="23"/>
    </row>
    <row r="26" spans="1:26" x14ac:dyDescent="0.4">
      <c r="A26" s="1"/>
      <c r="B26" s="1"/>
      <c r="C26" s="1"/>
      <c r="D26" s="2" t="s">
        <v>34</v>
      </c>
      <c r="E26" s="1" t="s">
        <v>36</v>
      </c>
      <c r="F26" s="2" t="s">
        <v>35</v>
      </c>
      <c r="G26" s="1"/>
      <c r="H26" s="1"/>
      <c r="I26" s="1"/>
      <c r="K26" s="1"/>
      <c r="L26" s="1"/>
      <c r="M26" s="1"/>
      <c r="N26" s="2" t="s">
        <v>34</v>
      </c>
      <c r="O26" s="1" t="s">
        <v>36</v>
      </c>
      <c r="P26" s="2" t="s">
        <v>35</v>
      </c>
      <c r="Q26" s="1"/>
      <c r="R26" s="1"/>
      <c r="S26" s="1"/>
      <c r="U26" s="23"/>
      <c r="V26" s="23"/>
      <c r="W26" s="23"/>
      <c r="X26" s="23"/>
      <c r="Y26" s="23"/>
      <c r="Z26" s="23"/>
    </row>
    <row r="27" spans="1:26" x14ac:dyDescent="0.4">
      <c r="A27" s="1" t="s">
        <v>14</v>
      </c>
      <c r="B27" s="1" t="s">
        <v>16</v>
      </c>
      <c r="C27" s="1" t="s">
        <v>17</v>
      </c>
      <c r="D27" s="1" t="s">
        <v>19</v>
      </c>
      <c r="E27" s="1" t="s">
        <v>18</v>
      </c>
      <c r="F27" s="1" t="s">
        <v>19</v>
      </c>
      <c r="G27" s="1"/>
      <c r="H27" s="1" t="s">
        <v>20</v>
      </c>
      <c r="I27" s="1" t="s">
        <v>19</v>
      </c>
      <c r="K27" s="1" t="s">
        <v>14</v>
      </c>
      <c r="L27" s="1" t="s">
        <v>16</v>
      </c>
      <c r="M27" s="1" t="s">
        <v>17</v>
      </c>
      <c r="N27" s="1" t="s">
        <v>19</v>
      </c>
      <c r="O27" s="1" t="s">
        <v>18</v>
      </c>
      <c r="P27" s="1" t="s">
        <v>19</v>
      </c>
      <c r="Q27" s="1"/>
      <c r="R27" s="1" t="s">
        <v>20</v>
      </c>
      <c r="S27" s="1" t="s">
        <v>19</v>
      </c>
      <c r="U27" s="23" t="s">
        <v>37</v>
      </c>
      <c r="V27" s="23"/>
      <c r="W27" s="23"/>
      <c r="X27" s="23"/>
      <c r="Y27" s="23"/>
      <c r="Z27" s="23"/>
    </row>
    <row r="28" spans="1:26" x14ac:dyDescent="0.4">
      <c r="A28" s="1" t="s">
        <v>31</v>
      </c>
      <c r="B28" s="4">
        <v>45</v>
      </c>
      <c r="C28" s="1">
        <f>J4</f>
        <v>86</v>
      </c>
      <c r="D28" s="2">
        <f>B28*C28/100</f>
        <v>38.700000000000003</v>
      </c>
      <c r="E28" s="1">
        <f>E29/2</f>
        <v>0</v>
      </c>
      <c r="F28" s="2">
        <f>IF(E29=0,D28,(E28/E29)*B29*C28/100)</f>
        <v>38.700000000000003</v>
      </c>
      <c r="G28" s="1">
        <f>IF(D28&lt;F28, D28, F28)</f>
        <v>38.700000000000003</v>
      </c>
      <c r="H28" s="1">
        <f>SUM(G28:G30)</f>
        <v>305.46000000000004</v>
      </c>
      <c r="I28" s="1">
        <v>348</v>
      </c>
      <c r="K28" s="1" t="s">
        <v>24</v>
      </c>
      <c r="L28" s="4">
        <v>49</v>
      </c>
      <c r="M28" s="1">
        <f>J4</f>
        <v>86</v>
      </c>
      <c r="N28" s="2">
        <f>L28*M28/100</f>
        <v>42.14</v>
      </c>
      <c r="O28" s="1">
        <f>O29/2</f>
        <v>100</v>
      </c>
      <c r="P28" s="2">
        <f>IF(O29=0,N28,(O28/O29)*L29*M28/100)</f>
        <v>39.99</v>
      </c>
      <c r="Q28" s="1">
        <f>IF(N28&lt;P28, N28, P28)</f>
        <v>39.99</v>
      </c>
      <c r="R28" s="1">
        <f>SUM(Q28:Q30)</f>
        <v>273.65250000000003</v>
      </c>
      <c r="S28" s="1">
        <v>348</v>
      </c>
      <c r="U28" s="23"/>
      <c r="V28" s="23"/>
      <c r="W28" s="23"/>
      <c r="X28" s="23"/>
      <c r="Y28" s="23"/>
      <c r="Z28" s="23"/>
    </row>
    <row r="29" spans="1:26" x14ac:dyDescent="0.4">
      <c r="A29" s="1" t="s">
        <v>32</v>
      </c>
      <c r="B29" s="4">
        <v>89</v>
      </c>
      <c r="C29" s="1">
        <f>J5</f>
        <v>45</v>
      </c>
      <c r="D29" s="2">
        <f t="shared" ref="D29:D30" si="5">B29*C29/100</f>
        <v>40.049999999999997</v>
      </c>
      <c r="E29" s="1">
        <v>0</v>
      </c>
      <c r="F29" s="2">
        <f>B29*C29/100</f>
        <v>40.049999999999997</v>
      </c>
      <c r="G29" s="1">
        <f>IF(D29&lt;F29, D29, F29)</f>
        <v>40.049999999999997</v>
      </c>
      <c r="H29" s="20">
        <f>H28+I28</f>
        <v>653.46</v>
      </c>
      <c r="I29" s="20"/>
      <c r="K29" s="1" t="s">
        <v>23</v>
      </c>
      <c r="L29" s="4">
        <v>93</v>
      </c>
      <c r="M29" s="1">
        <f>J5</f>
        <v>45</v>
      </c>
      <c r="N29" s="2">
        <f t="shared" ref="N29:N30" si="6">L29*M29/100</f>
        <v>41.85</v>
      </c>
      <c r="O29" s="1">
        <v>200</v>
      </c>
      <c r="P29" s="2">
        <f>L29*M29/100</f>
        <v>41.85</v>
      </c>
      <c r="Q29" s="1">
        <f>IF(N29&lt;P29, N29, P29)</f>
        <v>41.85</v>
      </c>
      <c r="R29" s="20">
        <f>R28+S28</f>
        <v>621.65250000000003</v>
      </c>
      <c r="S29" s="20"/>
      <c r="U29" s="23" t="s">
        <v>38</v>
      </c>
      <c r="V29" s="23"/>
      <c r="W29" s="23"/>
      <c r="X29" s="23"/>
      <c r="Y29" s="23"/>
      <c r="Z29" s="23"/>
    </row>
    <row r="30" spans="1:26" x14ac:dyDescent="0.4">
      <c r="A30" s="1" t="s">
        <v>15</v>
      </c>
      <c r="B30" s="4">
        <v>687</v>
      </c>
      <c r="C30" s="1">
        <f>J6</f>
        <v>33</v>
      </c>
      <c r="D30" s="2">
        <f t="shared" si="5"/>
        <v>226.71</v>
      </c>
      <c r="E30" s="1">
        <f>E28*(100*100)/(80*10)</f>
        <v>0</v>
      </c>
      <c r="F30" s="2">
        <f>IF(E29=0,D30,(E30/E29)*B29*C30/100)</f>
        <v>226.71</v>
      </c>
      <c r="G30" s="1">
        <f>IF(D30&lt;F30, D30, F30)</f>
        <v>226.71</v>
      </c>
      <c r="H30" s="20"/>
      <c r="I30" s="20"/>
      <c r="K30" s="1" t="s">
        <v>15</v>
      </c>
      <c r="L30" s="4">
        <v>607</v>
      </c>
      <c r="M30" s="1">
        <f>J6</f>
        <v>33</v>
      </c>
      <c r="N30" s="2">
        <f t="shared" si="6"/>
        <v>200.31</v>
      </c>
      <c r="O30" s="1">
        <f>O28*(100*100)/(80*10)</f>
        <v>1250</v>
      </c>
      <c r="P30" s="2">
        <f>IF(O29=0,N30,(O30/O29)*L29*M30/100)</f>
        <v>191.8125</v>
      </c>
      <c r="Q30" s="1">
        <f>IF(N30&lt;P30, N30, P30)</f>
        <v>191.8125</v>
      </c>
      <c r="R30" s="20"/>
      <c r="S30" s="20"/>
      <c r="U30" s="23"/>
      <c r="V30" s="23"/>
      <c r="W30" s="23"/>
      <c r="X30" s="23"/>
      <c r="Y30" s="23"/>
      <c r="Z30" s="23"/>
    </row>
    <row r="31" spans="1:26" x14ac:dyDescent="0.4">
      <c r="A31" s="1"/>
      <c r="B31" s="1"/>
      <c r="C31" s="1"/>
      <c r="D31" s="1">
        <f>SUM(D28:D30)</f>
        <v>305.46000000000004</v>
      </c>
      <c r="E31" s="1">
        <f>SUM(E28:E30)</f>
        <v>0</v>
      </c>
      <c r="F31" s="1">
        <f>SUM(F28:F30)</f>
        <v>305.46000000000004</v>
      </c>
      <c r="G31" s="1"/>
      <c r="H31" s="1" t="s">
        <v>59</v>
      </c>
      <c r="I31" s="1"/>
      <c r="K31" s="1" t="s">
        <v>70</v>
      </c>
      <c r="L31" s="4">
        <v>487</v>
      </c>
      <c r="M31" s="1"/>
      <c r="N31" s="1">
        <f>SUM(N28:N30)</f>
        <v>284.3</v>
      </c>
      <c r="O31" s="1">
        <f>SUM(O28:O30)</f>
        <v>1550</v>
      </c>
      <c r="P31" s="1">
        <f>SUM(P28:P30)</f>
        <v>273.65250000000003</v>
      </c>
      <c r="Q31" s="1"/>
      <c r="R31" s="1" t="s">
        <v>59</v>
      </c>
      <c r="S31" s="1"/>
      <c r="U31" s="23" t="s">
        <v>39</v>
      </c>
      <c r="V31" s="23"/>
      <c r="W31" s="23"/>
      <c r="X31" s="23"/>
      <c r="Y31" s="23"/>
      <c r="Z31" s="23"/>
    </row>
    <row r="32" spans="1:26" x14ac:dyDescent="0.4">
      <c r="T32" s="10"/>
      <c r="U32" s="23"/>
      <c r="V32" s="23"/>
      <c r="W32" s="23"/>
      <c r="X32" s="23"/>
      <c r="Y32" s="23"/>
      <c r="Z32" s="23"/>
    </row>
    <row r="34" spans="1:27" ht="17.399999999999999" customHeight="1" x14ac:dyDescent="0.4">
      <c r="A34" s="2" t="s">
        <v>6</v>
      </c>
      <c r="B34" s="13" t="s">
        <v>7</v>
      </c>
      <c r="C34" s="2" t="s">
        <v>77</v>
      </c>
      <c r="D34" s="20" t="s">
        <v>60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 t="s">
        <v>79</v>
      </c>
      <c r="R34" s="21"/>
      <c r="S34" s="30" t="s">
        <v>83</v>
      </c>
      <c r="T34" s="30"/>
      <c r="U34" s="30"/>
      <c r="V34" s="30"/>
      <c r="W34" s="30"/>
      <c r="X34" s="30"/>
      <c r="Y34" s="30"/>
      <c r="Z34" s="30"/>
      <c r="AA34" s="30"/>
    </row>
    <row r="35" spans="1:27" x14ac:dyDescent="0.4">
      <c r="A35" s="4">
        <v>4300</v>
      </c>
      <c r="B35" s="14">
        <v>9973</v>
      </c>
      <c r="C35" s="15">
        <v>103</v>
      </c>
      <c r="D35" s="16" t="s">
        <v>53</v>
      </c>
      <c r="E35" s="16"/>
      <c r="F35" s="16" t="s">
        <v>55</v>
      </c>
      <c r="G35" s="16"/>
      <c r="H35" s="16" t="s">
        <v>56</v>
      </c>
      <c r="I35" s="16"/>
      <c r="J35" s="9" t="s">
        <v>75</v>
      </c>
      <c r="K35" s="9" t="s">
        <v>76</v>
      </c>
      <c r="L35" s="12" t="s">
        <v>72</v>
      </c>
      <c r="M35" s="8" t="s">
        <v>57</v>
      </c>
      <c r="N35" s="3" t="s">
        <v>62</v>
      </c>
      <c r="O35" s="24" t="s">
        <v>63</v>
      </c>
      <c r="P35" s="25"/>
      <c r="Q35" s="21"/>
      <c r="R35" s="21"/>
      <c r="S35" s="30"/>
      <c r="T35" s="30"/>
      <c r="U35" s="30"/>
      <c r="V35" s="30"/>
      <c r="W35" s="30"/>
      <c r="X35" s="30"/>
      <c r="Y35" s="30"/>
      <c r="Z35" s="30"/>
      <c r="AA35" s="30"/>
    </row>
    <row r="36" spans="1:27" x14ac:dyDescent="0.4">
      <c r="A36" s="1">
        <f>A35/L36</f>
        <v>7.0376432078559734</v>
      </c>
      <c r="B36" s="11">
        <f>B35/L37</f>
        <v>33.892948173322004</v>
      </c>
      <c r="C36" s="1">
        <f>C35/L38</f>
        <v>1.6857610474631748</v>
      </c>
      <c r="D36" s="16" t="s">
        <v>6</v>
      </c>
      <c r="E36" s="16"/>
      <c r="F36" s="16">
        <f>(33/86)*(E14/E12)</f>
        <v>4.7965116279069768</v>
      </c>
      <c r="G36" s="16"/>
      <c r="H36" s="16">
        <f>(45/86)*((100*100)/(80*50))</f>
        <v>1.308139534883721</v>
      </c>
      <c r="I36" s="16"/>
      <c r="J36" s="1">
        <v>0</v>
      </c>
      <c r="K36" s="1">
        <v>0</v>
      </c>
      <c r="L36" s="12">
        <f>J4*(1+F36+H36)</f>
        <v>611</v>
      </c>
      <c r="M36" s="8">
        <f>L36*100/10000</f>
        <v>6.11</v>
      </c>
      <c r="N36" s="3" t="s">
        <v>61</v>
      </c>
      <c r="O36" s="26"/>
      <c r="P36" s="27"/>
      <c r="Q36" s="21"/>
      <c r="R36" s="21"/>
      <c r="S36" s="30"/>
      <c r="T36" s="30"/>
      <c r="U36" s="30"/>
      <c r="V36" s="30"/>
      <c r="W36" s="30"/>
      <c r="X36" s="30"/>
      <c r="Y36" s="30"/>
      <c r="Z36" s="30"/>
      <c r="AA36" s="30"/>
    </row>
    <row r="37" spans="1:27" x14ac:dyDescent="0.4">
      <c r="A37" s="1" t="s">
        <v>6</v>
      </c>
      <c r="B37" s="11" t="s">
        <v>7</v>
      </c>
      <c r="C37" s="1" t="s">
        <v>6</v>
      </c>
      <c r="D37" s="16" t="s">
        <v>7</v>
      </c>
      <c r="E37" s="16"/>
      <c r="F37" s="16">
        <f>(33/45)*((100*50)/(80*10))</f>
        <v>4.583333333333333</v>
      </c>
      <c r="G37" s="16"/>
      <c r="H37" s="16">
        <f>(86/45)*(E12/E13)</f>
        <v>0.9555555555555556</v>
      </c>
      <c r="I37" s="16"/>
      <c r="J37" s="1">
        <v>0</v>
      </c>
      <c r="K37" s="1">
        <v>0</v>
      </c>
      <c r="L37" s="12">
        <f>J5*(1+F37+H37)</f>
        <v>294.25</v>
      </c>
      <c r="M37" s="8">
        <f>L37*100/10000</f>
        <v>2.9424999999999999</v>
      </c>
      <c r="N37" s="3" t="s">
        <v>61</v>
      </c>
      <c r="O37" s="28"/>
      <c r="P37" s="29"/>
      <c r="Q37" s="21"/>
      <c r="R37" s="21"/>
      <c r="S37" s="30"/>
      <c r="T37" s="30"/>
      <c r="U37" s="30"/>
      <c r="V37" s="30"/>
      <c r="W37" s="30"/>
      <c r="X37" s="30"/>
      <c r="Y37" s="30"/>
      <c r="Z37" s="30"/>
      <c r="AA37" s="30"/>
    </row>
    <row r="38" spans="1:27" x14ac:dyDescent="0.4">
      <c r="A38" s="3">
        <f>J4*A36</f>
        <v>605.23731587561372</v>
      </c>
      <c r="B38" s="8">
        <f>B36*J5</f>
        <v>1525.1826677994902</v>
      </c>
      <c r="C38" s="3">
        <f>J4*J38*C36</f>
        <v>14.497545008183302</v>
      </c>
      <c r="D38" s="16" t="s">
        <v>8</v>
      </c>
      <c r="E38" s="16"/>
      <c r="F38" s="16">
        <f>F36/10</f>
        <v>0.47965116279069769</v>
      </c>
      <c r="G38" s="16"/>
      <c r="H38" s="16">
        <v>0</v>
      </c>
      <c r="I38" s="16"/>
      <c r="J38" s="1">
        <f>0.1</f>
        <v>0.1</v>
      </c>
      <c r="K38" s="1">
        <f>J38*H36</f>
        <v>0.1308139534883721</v>
      </c>
      <c r="L38" s="12">
        <f>J4*(F38+J38+K38)</f>
        <v>61.100000000000009</v>
      </c>
      <c r="M38" s="8">
        <f>L38*100/10000</f>
        <v>0.6110000000000001</v>
      </c>
      <c r="N38" s="3" t="s">
        <v>61</v>
      </c>
      <c r="O38" s="16" t="s">
        <v>65</v>
      </c>
      <c r="P38" s="16"/>
      <c r="Q38" s="21"/>
      <c r="R38" s="21"/>
      <c r="S38" s="30"/>
      <c r="T38" s="30"/>
      <c r="U38" s="30"/>
      <c r="V38" s="30"/>
      <c r="W38" s="30"/>
      <c r="X38" s="30"/>
      <c r="Y38" s="30"/>
      <c r="Z38" s="30"/>
      <c r="AA38" s="30"/>
    </row>
    <row r="39" spans="1:27" x14ac:dyDescent="0.4">
      <c r="A39" s="1" t="s">
        <v>7</v>
      </c>
      <c r="B39" s="11" t="s">
        <v>6</v>
      </c>
      <c r="C39" s="1" t="s">
        <v>7</v>
      </c>
      <c r="D39" s="17" t="s">
        <v>1</v>
      </c>
      <c r="E39" s="17"/>
      <c r="F39" s="1" t="s">
        <v>6</v>
      </c>
      <c r="G39" s="1">
        <f>B12</f>
        <v>48</v>
      </c>
      <c r="H39" s="1" t="s">
        <v>58</v>
      </c>
      <c r="I39" s="1">
        <f>G39*L36/100 + I12</f>
        <v>641.28</v>
      </c>
      <c r="J39" s="16" t="s">
        <v>64</v>
      </c>
      <c r="K39" s="16"/>
      <c r="L39" s="1" t="s">
        <v>6</v>
      </c>
      <c r="M39" s="1" t="s">
        <v>7</v>
      </c>
      <c r="N39" s="1" t="s">
        <v>71</v>
      </c>
      <c r="O39" s="17">
        <f>IF(L40&gt;M40, L40, IF(M40&gt;N40, M40, N40))</f>
        <v>1.0566847317061456</v>
      </c>
      <c r="P39" s="17"/>
      <c r="Q39" s="21"/>
      <c r="R39" s="21"/>
      <c r="S39" s="30"/>
      <c r="T39" s="30"/>
      <c r="U39" s="30"/>
      <c r="V39" s="30"/>
      <c r="W39" s="30"/>
      <c r="X39" s="30"/>
      <c r="Y39" s="30"/>
      <c r="Z39" s="30"/>
      <c r="AA39" s="30"/>
    </row>
    <row r="40" spans="1:27" x14ac:dyDescent="0.4">
      <c r="A40" s="3">
        <f>A38*H36</f>
        <v>791.73486088379707</v>
      </c>
      <c r="B40" s="8">
        <f>B38*H37</f>
        <v>1457.3967714528462</v>
      </c>
      <c r="C40" s="3">
        <f>C38*H36</f>
        <v>18.964811783960716</v>
      </c>
      <c r="D40" s="17"/>
      <c r="E40" s="17"/>
      <c r="F40" s="1" t="s">
        <v>7</v>
      </c>
      <c r="G40" s="1">
        <f>B13</f>
        <v>94</v>
      </c>
      <c r="H40" s="1" t="s">
        <v>7</v>
      </c>
      <c r="I40" s="1">
        <f>G40*L37/100 + I12</f>
        <v>624.59500000000003</v>
      </c>
      <c r="J40" s="16"/>
      <c r="K40" s="16"/>
      <c r="L40" s="18">
        <f>J42 / I39</f>
        <v>1.0291916167664672</v>
      </c>
      <c r="M40" s="18">
        <f>J42/I40</f>
        <v>1.0566847317061456</v>
      </c>
      <c r="N40" s="18">
        <f>J42/I41</f>
        <v>1.0502045512046323</v>
      </c>
      <c r="O40" s="17"/>
      <c r="P40" s="17"/>
      <c r="Q40" s="21"/>
      <c r="R40" s="21"/>
      <c r="S40" s="30"/>
      <c r="T40" s="30"/>
      <c r="U40" s="30"/>
      <c r="V40" s="30"/>
      <c r="W40" s="30"/>
      <c r="X40" s="30"/>
      <c r="Y40" s="30"/>
      <c r="Z40" s="30"/>
      <c r="AA40" s="30"/>
    </row>
    <row r="41" spans="1:27" x14ac:dyDescent="0.4">
      <c r="A41" s="1" t="s">
        <v>0</v>
      </c>
      <c r="B41" s="11" t="s">
        <v>0</v>
      </c>
      <c r="C41" s="1" t="s">
        <v>0</v>
      </c>
      <c r="D41" s="17"/>
      <c r="E41" s="17"/>
      <c r="F41" s="1" t="s">
        <v>70</v>
      </c>
      <c r="G41" s="1">
        <f>B15</f>
        <v>459</v>
      </c>
      <c r="H41" s="1" t="s">
        <v>70</v>
      </c>
      <c r="I41" s="1">
        <f>G41*L38/100 + I12</f>
        <v>628.44900000000007</v>
      </c>
      <c r="J41" s="16"/>
      <c r="K41" s="16"/>
      <c r="L41" s="19"/>
      <c r="M41" s="19"/>
      <c r="N41" s="19"/>
      <c r="O41" s="17"/>
      <c r="P41" s="17"/>
      <c r="Q41" s="21"/>
      <c r="R41" s="21"/>
      <c r="S41" s="30"/>
      <c r="T41" s="30"/>
      <c r="U41" s="30"/>
      <c r="V41" s="30"/>
      <c r="W41" s="30"/>
      <c r="X41" s="30"/>
      <c r="Y41" s="30"/>
      <c r="Z41" s="30"/>
      <c r="AA41" s="30"/>
    </row>
    <row r="42" spans="1:27" x14ac:dyDescent="0.4">
      <c r="A42" s="3">
        <f>A38*F36</f>
        <v>2903.027823240589</v>
      </c>
      <c r="B42" s="8">
        <f>B38*F37</f>
        <v>6990.4205607476633</v>
      </c>
      <c r="C42" s="3">
        <f>C38*F36</f>
        <v>69.53764320785595</v>
      </c>
      <c r="D42" s="17" t="s">
        <v>9</v>
      </c>
      <c r="E42" s="17"/>
      <c r="F42" s="1" t="s">
        <v>6</v>
      </c>
      <c r="G42" s="1">
        <f>L28</f>
        <v>49</v>
      </c>
      <c r="H42" s="1" t="s">
        <v>58</v>
      </c>
      <c r="I42" s="1">
        <f>G42*L36/100 + I12</f>
        <v>647.39</v>
      </c>
      <c r="J42" s="16">
        <f>10*V10</f>
        <v>660</v>
      </c>
      <c r="K42" s="16" t="s">
        <v>54</v>
      </c>
      <c r="L42" s="1" t="s">
        <v>6</v>
      </c>
      <c r="M42" s="1" t="s">
        <v>7</v>
      </c>
      <c r="N42" s="1" t="s">
        <v>70</v>
      </c>
      <c r="O42" s="17">
        <f>IF(L43&gt;M43, L43, IF(M43&gt;N43, M43, N43))</f>
        <v>1.0616863923172513</v>
      </c>
      <c r="P42" s="17"/>
      <c r="Q42" s="21"/>
      <c r="R42" s="21"/>
      <c r="S42" s="30"/>
      <c r="T42" s="30"/>
      <c r="U42" s="30"/>
      <c r="V42" s="30"/>
      <c r="W42" s="30"/>
      <c r="X42" s="30"/>
      <c r="Y42" s="30"/>
      <c r="Z42" s="30"/>
      <c r="AA42" s="30"/>
    </row>
    <row r="43" spans="1:27" ht="17.399999999999999" customHeight="1" x14ac:dyDescent="0.4">
      <c r="A43" s="20" t="s">
        <v>78</v>
      </c>
      <c r="B43" s="20"/>
      <c r="C43" s="20"/>
      <c r="D43" s="17"/>
      <c r="E43" s="17"/>
      <c r="F43" s="1" t="s">
        <v>7</v>
      </c>
      <c r="G43" s="1">
        <f>L29</f>
        <v>93</v>
      </c>
      <c r="H43" s="1" t="s">
        <v>7</v>
      </c>
      <c r="I43" s="1">
        <f>G43*L37/100 + I12</f>
        <v>621.65249999999992</v>
      </c>
      <c r="J43" s="16"/>
      <c r="K43" s="16"/>
      <c r="L43" s="18">
        <f>J42 / I42</f>
        <v>1.0194782125148674</v>
      </c>
      <c r="M43" s="18">
        <f>J42/I43</f>
        <v>1.0616863923172513</v>
      </c>
      <c r="N43" s="18">
        <f>J42/I44</f>
        <v>1.0223729275648781</v>
      </c>
      <c r="O43" s="17"/>
      <c r="P43" s="17"/>
      <c r="Q43" s="21"/>
      <c r="R43" s="21"/>
      <c r="S43" s="30"/>
      <c r="T43" s="30"/>
      <c r="U43" s="30"/>
      <c r="V43" s="30"/>
      <c r="W43" s="30"/>
      <c r="X43" s="30"/>
      <c r="Y43" s="30"/>
      <c r="Z43" s="30"/>
      <c r="AA43" s="30"/>
    </row>
    <row r="44" spans="1:27" x14ac:dyDescent="0.4">
      <c r="A44" s="2">
        <f>A38+A40+A42</f>
        <v>4300</v>
      </c>
      <c r="B44" s="2">
        <f>B38+B40+B42</f>
        <v>9973</v>
      </c>
      <c r="C44" s="2">
        <f>C38+C40+C42</f>
        <v>102.99999999999997</v>
      </c>
      <c r="D44" s="17"/>
      <c r="E44" s="17"/>
      <c r="F44" s="1" t="s">
        <v>70</v>
      </c>
      <c r="G44" s="1">
        <f>L31</f>
        <v>487</v>
      </c>
      <c r="H44" s="1" t="s">
        <v>70</v>
      </c>
      <c r="I44" s="1">
        <f>G44*L38/100 + I12</f>
        <v>645.55700000000002</v>
      </c>
      <c r="J44" s="16"/>
      <c r="K44" s="16"/>
      <c r="L44" s="19"/>
      <c r="M44" s="19"/>
      <c r="N44" s="19"/>
      <c r="O44" s="17"/>
      <c r="P44" s="17"/>
      <c r="Q44" s="21"/>
      <c r="R44" s="21"/>
      <c r="S44" s="30"/>
      <c r="T44" s="30"/>
      <c r="U44" s="30"/>
      <c r="V44" s="30"/>
      <c r="W44" s="30"/>
      <c r="X44" s="30"/>
      <c r="Y44" s="30"/>
      <c r="Z44" s="30"/>
      <c r="AA44" s="30"/>
    </row>
    <row r="45" spans="1:27" x14ac:dyDescent="0.4">
      <c r="A45" s="30" t="s">
        <v>69</v>
      </c>
      <c r="B45" s="30"/>
      <c r="C45" s="30"/>
      <c r="D45" s="30"/>
    </row>
    <row r="46" spans="1:27" x14ac:dyDescent="0.4">
      <c r="A46" s="30"/>
      <c r="B46" s="30"/>
      <c r="C46" s="30"/>
      <c r="D46" s="30"/>
    </row>
    <row r="47" spans="1:27" x14ac:dyDescent="0.4">
      <c r="A47" s="30"/>
      <c r="B47" s="30"/>
      <c r="C47" s="30"/>
      <c r="D47" s="30"/>
      <c r="I47" s="1"/>
      <c r="J47" s="1" t="s">
        <v>82</v>
      </c>
      <c r="K47" s="1" t="s">
        <v>84</v>
      </c>
      <c r="L47" s="1" t="s">
        <v>85</v>
      </c>
      <c r="M47" s="1" t="s">
        <v>86</v>
      </c>
      <c r="O47">
        <v>820</v>
      </c>
      <c r="P47" t="s">
        <v>87</v>
      </c>
      <c r="Q47">
        <f>O47/33</f>
        <v>24.848484848484848</v>
      </c>
    </row>
    <row r="48" spans="1:27" x14ac:dyDescent="0.4">
      <c r="A48" s="30"/>
      <c r="B48" s="30"/>
      <c r="C48" s="30"/>
      <c r="D48" s="30"/>
      <c r="I48" s="1" t="s">
        <v>81</v>
      </c>
      <c r="J48" s="1">
        <f>(C40+C42)/5</f>
        <v>17.700490998363332</v>
      </c>
      <c r="K48" s="1">
        <f>C38/(C38+C40+C42)</f>
        <v>0.14075286415711946</v>
      </c>
      <c r="L48" s="1">
        <f>C40/(C38+C40+C42)</f>
        <v>0.18412438625204583</v>
      </c>
      <c r="M48" s="1">
        <f>C42/(C38+C40+C42)</f>
        <v>0.67512274959083463</v>
      </c>
      <c r="O48">
        <v>998</v>
      </c>
      <c r="P48" t="s">
        <v>87</v>
      </c>
      <c r="Q48">
        <f>O48/45</f>
        <v>22.177777777777777</v>
      </c>
    </row>
    <row r="49" spans="1:17" x14ac:dyDescent="0.4">
      <c r="A49" s="30"/>
      <c r="B49" s="30"/>
      <c r="C49" s="30"/>
      <c r="D49" s="30"/>
      <c r="I49" s="1" t="s">
        <v>6</v>
      </c>
      <c r="J49" s="4">
        <v>3359</v>
      </c>
      <c r="K49" s="3">
        <f>J49*K48</f>
        <v>472.78887070376425</v>
      </c>
      <c r="L49" s="1">
        <f>L48*J49</f>
        <v>618.47381342062192</v>
      </c>
      <c r="M49" s="1">
        <f>M48*J49</f>
        <v>2267.7373158756136</v>
      </c>
      <c r="O49">
        <v>2359</v>
      </c>
      <c r="P49" t="s">
        <v>87</v>
      </c>
      <c r="Q49">
        <f>O49/86</f>
        <v>27.430232558139537</v>
      </c>
    </row>
    <row r="50" spans="1:17" x14ac:dyDescent="0.4">
      <c r="A50" s="30"/>
      <c r="B50" s="30"/>
      <c r="C50" s="30"/>
      <c r="D50" s="30"/>
      <c r="I50" s="1" t="s">
        <v>80</v>
      </c>
      <c r="J50" s="4">
        <f>L49+M49</f>
        <v>2886.2111292962354</v>
      </c>
      <c r="K50" s="1">
        <f>J50*80/100</f>
        <v>2308.9689034369885</v>
      </c>
      <c r="L50" s="3">
        <f>K50*L48/(L48+M48)</f>
        <v>494.77905073649754</v>
      </c>
      <c r="M50" s="3">
        <f>K50*M48/(L48+M48)</f>
        <v>1814.189852700491</v>
      </c>
    </row>
    <row r="51" spans="1:17" x14ac:dyDescent="0.4">
      <c r="A51" s="30"/>
      <c r="B51" s="30"/>
      <c r="C51" s="30"/>
      <c r="D51" s="30"/>
    </row>
    <row r="52" spans="1:17" x14ac:dyDescent="0.4">
      <c r="A52" s="30"/>
      <c r="B52" s="30"/>
      <c r="C52" s="30"/>
      <c r="D52" s="30"/>
    </row>
    <row r="53" spans="1:17" x14ac:dyDescent="0.4">
      <c r="A53" s="30"/>
      <c r="B53" s="30"/>
      <c r="C53" s="30"/>
      <c r="D53" s="30"/>
    </row>
  </sheetData>
  <mergeCells count="59">
    <mergeCell ref="A45:D53"/>
    <mergeCell ref="D36:E36"/>
    <mergeCell ref="D37:E37"/>
    <mergeCell ref="D39:E41"/>
    <mergeCell ref="I3:K3"/>
    <mergeCell ref="A2:G6"/>
    <mergeCell ref="D35:E35"/>
    <mergeCell ref="J39:K41"/>
    <mergeCell ref="D38:E38"/>
    <mergeCell ref="H29:I30"/>
    <mergeCell ref="A43:C43"/>
    <mergeCell ref="D34:P34"/>
    <mergeCell ref="F37:G37"/>
    <mergeCell ref="H35:I35"/>
    <mergeCell ref="H36:I36"/>
    <mergeCell ref="H37:I37"/>
    <mergeCell ref="F35:G35"/>
    <mergeCell ref="U31:Z32"/>
    <mergeCell ref="U29:Z30"/>
    <mergeCell ref="A25:I25"/>
    <mergeCell ref="K25:S25"/>
    <mergeCell ref="R29:S30"/>
    <mergeCell ref="U25:Z26"/>
    <mergeCell ref="U27:Z28"/>
    <mergeCell ref="O35:P37"/>
    <mergeCell ref="F36:G36"/>
    <mergeCell ref="Q34:R44"/>
    <mergeCell ref="S34:AA44"/>
    <mergeCell ref="O2:Q2"/>
    <mergeCell ref="A9:I9"/>
    <mergeCell ref="A17:I17"/>
    <mergeCell ref="K9:S9"/>
    <mergeCell ref="K17:S17"/>
    <mergeCell ref="O6:Q6"/>
    <mergeCell ref="O5:Q5"/>
    <mergeCell ref="O7:Q7"/>
    <mergeCell ref="H21:I22"/>
    <mergeCell ref="H13:I14"/>
    <mergeCell ref="O3:Q3"/>
    <mergeCell ref="O4:Q4"/>
    <mergeCell ref="U9:Z9"/>
    <mergeCell ref="U20:Z23"/>
    <mergeCell ref="R21:S22"/>
    <mergeCell ref="U13:Z19"/>
    <mergeCell ref="R13:S14"/>
    <mergeCell ref="F38:G38"/>
    <mergeCell ref="H38:I38"/>
    <mergeCell ref="O38:P38"/>
    <mergeCell ref="D42:E44"/>
    <mergeCell ref="O39:P41"/>
    <mergeCell ref="O42:P44"/>
    <mergeCell ref="J42:J44"/>
    <mergeCell ref="K42:K44"/>
    <mergeCell ref="L40:L41"/>
    <mergeCell ref="M40:M41"/>
    <mergeCell ref="N40:N41"/>
    <mergeCell ref="L43:L44"/>
    <mergeCell ref="M43:M44"/>
    <mergeCell ref="N43:N4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아비도스 제작 효율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TaeYeong Kim</dc:creator>
  <cp:lastModifiedBy>TaeYeong Kim</cp:lastModifiedBy>
  <dcterms:created xsi:type="dcterms:W3CDTF">2024-10-10T03:08:28Z</dcterms:created>
  <dcterms:modified xsi:type="dcterms:W3CDTF">2024-10-25T13:35:06Z</dcterms:modified>
</cp:coreProperties>
</file>