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90F7AE5-0712-4CF9-A233-DCF556D83229}" xr6:coauthVersionLast="47" xr6:coauthVersionMax="47" xr10:uidLastSave="{00000000-0000-0000-0000-000000000000}"/>
  <bookViews>
    <workbookView xWindow="-120" yWindow="-120" windowWidth="29040" windowHeight="15720" xr2:uid="{ECDF7ADB-E023-4E19-A49C-F76F7F2D2D17}"/>
  </bookViews>
  <sheets>
    <sheet name="초신성폭발Ver.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4" i="1" l="1"/>
  <c r="E104" i="1"/>
  <c r="G103" i="1"/>
  <c r="F103" i="1"/>
  <c r="E103" i="1"/>
  <c r="F102" i="1"/>
  <c r="E102" i="1"/>
  <c r="G101" i="1"/>
  <c r="F101" i="1"/>
  <c r="E101" i="1"/>
  <c r="F100" i="1"/>
  <c r="F99" i="1"/>
  <c r="E100" i="1"/>
  <c r="E99" i="1"/>
  <c r="G98" i="1"/>
  <c r="F98" i="1"/>
  <c r="E98" i="1"/>
  <c r="F97" i="1"/>
  <c r="E97" i="1"/>
  <c r="F96" i="1"/>
  <c r="F95" i="1"/>
  <c r="E95" i="1"/>
  <c r="E96" i="1"/>
  <c r="G95" i="1"/>
  <c r="F94" i="1"/>
  <c r="E94" i="1"/>
  <c r="F93" i="1"/>
  <c r="E93" i="1"/>
  <c r="E92" i="1"/>
  <c r="G92" i="1"/>
  <c r="F92" i="1"/>
  <c r="F91" i="1"/>
  <c r="F90" i="1"/>
  <c r="E91" i="1"/>
  <c r="E90" i="1"/>
  <c r="G89" i="1"/>
  <c r="F89" i="1"/>
  <c r="E89" i="1"/>
  <c r="F88" i="1"/>
  <c r="E88" i="1"/>
  <c r="F87" i="1"/>
  <c r="G86" i="1"/>
  <c r="F86" i="1"/>
  <c r="E86" i="1"/>
  <c r="E87" i="1"/>
  <c r="F85" i="1"/>
  <c r="E85" i="1"/>
  <c r="F84" i="1"/>
  <c r="E84" i="1"/>
  <c r="G83" i="1"/>
  <c r="F83" i="1"/>
  <c r="E83" i="1"/>
  <c r="F82" i="1"/>
  <c r="E82" i="1"/>
  <c r="G81" i="1"/>
  <c r="F81" i="1"/>
  <c r="E81" i="1"/>
  <c r="F80" i="1"/>
  <c r="E80" i="1"/>
  <c r="F79" i="1"/>
  <c r="E79" i="1"/>
  <c r="G78" i="1"/>
  <c r="F78" i="1"/>
  <c r="E78" i="1"/>
  <c r="F77" i="1"/>
  <c r="E77" i="1"/>
  <c r="F76" i="1"/>
  <c r="E76" i="1"/>
  <c r="G75" i="1"/>
  <c r="F75" i="1"/>
  <c r="E75" i="1"/>
  <c r="F74" i="1"/>
  <c r="E74" i="1"/>
  <c r="F73" i="1"/>
  <c r="E73" i="1"/>
  <c r="G72" i="1"/>
  <c r="F72" i="1"/>
  <c r="E72" i="1"/>
  <c r="F71" i="1"/>
  <c r="E71" i="1"/>
  <c r="G70" i="1"/>
  <c r="F70" i="1"/>
  <c r="E70" i="1"/>
  <c r="F69" i="1"/>
  <c r="E69" i="1"/>
  <c r="F68" i="1"/>
  <c r="E68" i="1"/>
  <c r="G67" i="1"/>
  <c r="F67" i="1"/>
  <c r="E67" i="1"/>
  <c r="F66" i="1"/>
  <c r="E66" i="1"/>
  <c r="G64" i="1"/>
  <c r="F64" i="1"/>
  <c r="E64" i="1"/>
  <c r="F63" i="1"/>
  <c r="E63" i="1"/>
  <c r="F62" i="1"/>
  <c r="E62" i="1"/>
  <c r="G61" i="1"/>
  <c r="F61" i="1"/>
  <c r="E61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G52" i="1"/>
  <c r="F52" i="1"/>
  <c r="E52" i="1"/>
  <c r="E53" i="1"/>
  <c r="J60" i="1"/>
  <c r="J62" i="1" s="1"/>
  <c r="G26" i="1"/>
  <c r="I26" i="1" s="1"/>
  <c r="K4" i="1"/>
  <c r="H27" i="1" s="1"/>
  <c r="I27" i="1"/>
  <c r="F27" i="1"/>
  <c r="J27" i="1" s="1"/>
  <c r="I23" i="1"/>
  <c r="F26" i="1"/>
  <c r="K34" i="1"/>
  <c r="F14" i="1"/>
  <c r="H16" i="1"/>
  <c r="I19" i="1"/>
  <c r="I17" i="1"/>
  <c r="F13" i="1"/>
  <c r="F15" i="1"/>
  <c r="F16" i="1"/>
  <c r="F17" i="1"/>
  <c r="F18" i="1"/>
  <c r="F19" i="1"/>
  <c r="F20" i="1"/>
  <c r="F21" i="1"/>
  <c r="F22" i="1"/>
  <c r="F23" i="1"/>
  <c r="F12" i="1"/>
  <c r="E34" i="1" s="1"/>
  <c r="E13" i="1"/>
  <c r="E14" i="1"/>
  <c r="E15" i="1"/>
  <c r="E16" i="1"/>
  <c r="E17" i="1"/>
  <c r="E18" i="1"/>
  <c r="E19" i="1"/>
  <c r="E20" i="1"/>
  <c r="E21" i="1"/>
  <c r="E22" i="1"/>
  <c r="E23" i="1"/>
  <c r="E12" i="1"/>
  <c r="D31" i="1" s="1"/>
  <c r="I15" i="1"/>
  <c r="I16" i="1"/>
  <c r="I18" i="1"/>
  <c r="I20" i="1"/>
  <c r="I21" i="1"/>
  <c r="I22" i="1"/>
  <c r="I14" i="1"/>
  <c r="H18" i="1" l="1"/>
  <c r="H20" i="1"/>
  <c r="H22" i="1"/>
  <c r="H21" i="1"/>
  <c r="J26" i="1"/>
  <c r="H23" i="1"/>
  <c r="H19" i="1"/>
  <c r="H17" i="1"/>
  <c r="H15" i="1"/>
  <c r="D40" i="1"/>
  <c r="E40" i="1" s="1"/>
  <c r="K60" i="1"/>
  <c r="L60" i="1"/>
  <c r="L62" i="1" s="1"/>
  <c r="H14" i="1"/>
  <c r="H26" i="1"/>
  <c r="E60" i="1"/>
  <c r="D37" i="1"/>
  <c r="E37" i="1"/>
  <c r="F58" i="1"/>
  <c r="L15" i="1"/>
  <c r="D34" i="1"/>
  <c r="F50" i="1"/>
  <c r="E59" i="1"/>
  <c r="M21" i="1"/>
  <c r="M16" i="1"/>
  <c r="L20" i="1"/>
  <c r="L19" i="1"/>
  <c r="L18" i="1"/>
  <c r="M17" i="1"/>
  <c r="L23" i="1"/>
  <c r="L21" i="1"/>
  <c r="L17" i="1"/>
  <c r="M20" i="1"/>
  <c r="L22" i="1"/>
  <c r="L16" i="1"/>
  <c r="M14" i="1"/>
  <c r="M15" i="1"/>
  <c r="E31" i="1"/>
  <c r="K23" i="1"/>
  <c r="K19" i="1"/>
  <c r="M19" i="1"/>
  <c r="K22" i="1"/>
  <c r="K18" i="1"/>
  <c r="M18" i="1"/>
  <c r="K21" i="1"/>
  <c r="K20" i="1"/>
  <c r="K17" i="1"/>
  <c r="M22" i="1"/>
  <c r="M23" i="1"/>
  <c r="J23" i="1"/>
  <c r="J21" i="1"/>
  <c r="J17" i="1"/>
  <c r="K15" i="1"/>
  <c r="J22" i="1"/>
  <c r="J20" i="1"/>
  <c r="J19" i="1"/>
  <c r="J18" i="1"/>
  <c r="J16" i="1"/>
  <c r="K14" i="1"/>
  <c r="K16" i="1"/>
  <c r="J14" i="1"/>
  <c r="J15" i="1"/>
  <c r="L14" i="1"/>
  <c r="F59" i="1" l="1"/>
  <c r="F51" i="1"/>
  <c r="F40" i="1"/>
  <c r="G47" i="1" s="1"/>
  <c r="M60" i="1"/>
  <c r="M62" i="1" s="1"/>
  <c r="K62" i="1"/>
  <c r="E47" i="1"/>
  <c r="E48" i="1"/>
  <c r="F47" i="1"/>
  <c r="E46" i="1"/>
  <c r="F46" i="1"/>
  <c r="F49" i="1"/>
  <c r="F48" i="1"/>
  <c r="F65" i="1"/>
  <c r="E65" i="1"/>
  <c r="E49" i="1"/>
  <c r="F60" i="1"/>
  <c r="E58" i="1"/>
  <c r="E51" i="1"/>
  <c r="E50" i="1"/>
  <c r="G59" i="1"/>
  <c r="G60" i="1"/>
  <c r="G50" i="1"/>
  <c r="G51" i="1"/>
  <c r="G58" i="1"/>
  <c r="G49" i="1"/>
  <c r="G48" i="1"/>
  <c r="G4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K4" authorId="0" shapeId="0" xr:uid="{08EEF05C-742E-4C86-9F6C-ACE6DDFF6ABC}">
      <text>
        <r>
          <rPr>
            <b/>
            <sz val="9"/>
            <color indexed="81"/>
            <rFont val="돋움"/>
            <family val="3"/>
            <charset val="129"/>
          </rPr>
          <t>투지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흭득량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수치는
특화수치</t>
        </r>
        <r>
          <rPr>
            <b/>
            <sz val="9"/>
            <color indexed="81"/>
            <rFont val="Tahoma"/>
            <family val="2"/>
          </rPr>
          <t>+</t>
        </r>
        <r>
          <rPr>
            <b/>
            <sz val="9"/>
            <color indexed="81"/>
            <rFont val="돋움"/>
            <family val="3"/>
            <charset val="129"/>
          </rPr>
          <t>가속화</t>
        </r>
        <r>
          <rPr>
            <b/>
            <sz val="9"/>
            <color indexed="81"/>
            <rFont val="Tahoma"/>
            <family val="2"/>
          </rPr>
          <t>+</t>
        </r>
        <r>
          <rPr>
            <b/>
            <sz val="9"/>
            <color indexed="81"/>
            <rFont val="돋움"/>
            <family val="3"/>
            <charset val="129"/>
          </rPr>
          <t>팔찌
합연산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수치로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넣어주세요</t>
        </r>
        <r>
          <rPr>
            <b/>
            <sz val="9"/>
            <color indexed="81"/>
            <rFont val="Tahoma"/>
            <family val="2"/>
          </rPr>
          <t xml:space="preserve">.
Ex)95+10+5=110
</t>
        </r>
      </text>
    </comment>
    <comment ref="J22" authorId="0" shapeId="0" xr:uid="{3AAE972A-893F-4DAA-8D38-5FFA529EA93B}">
      <text>
        <r>
          <rPr>
            <b/>
            <sz val="9"/>
            <color indexed="81"/>
            <rFont val="돋움"/>
            <family val="3"/>
            <charset val="129"/>
          </rPr>
          <t>죽음의선고
스킬쿨타임이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풍파쿨타임보다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쿨타임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비율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계산</t>
        </r>
      </text>
    </comment>
    <comment ref="B40" authorId="0" shapeId="0" xr:uid="{99CD179E-8898-481B-8F42-AE9FB16BD680}">
      <text>
        <r>
          <rPr>
            <b/>
            <sz val="9"/>
            <color indexed="81"/>
            <rFont val="돋움"/>
            <family val="3"/>
            <charset val="129"/>
          </rPr>
          <t>일방타진은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광인</t>
        </r>
        <r>
          <rPr>
            <b/>
            <sz val="9"/>
            <color indexed="81"/>
            <rFont val="Tahoma"/>
            <family val="2"/>
          </rPr>
          <t>+</t>
        </r>
        <r>
          <rPr>
            <b/>
            <sz val="9"/>
            <color indexed="81"/>
            <rFont val="돋움"/>
            <family val="3"/>
            <charset val="129"/>
          </rPr>
          <t>보강된타격
기준의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투지수급량</t>
        </r>
      </text>
    </comment>
  </commentList>
</comments>
</file>

<file path=xl/sharedStrings.xml><?xml version="1.0" encoding="utf-8"?>
<sst xmlns="http://schemas.openxmlformats.org/spreadsheetml/2006/main" count="203" uniqueCount="144">
  <si>
    <t>심판</t>
    <phoneticPr fontId="1" type="noConversion"/>
  </si>
  <si>
    <t>무식한타격</t>
    <phoneticPr fontId="1" type="noConversion"/>
  </si>
  <si>
    <t>기본 쿨타임</t>
    <phoneticPr fontId="1" type="noConversion"/>
  </si>
  <si>
    <t>8레벨 작열(20%)</t>
    <phoneticPr fontId="1" type="noConversion"/>
  </si>
  <si>
    <t>10레벨 작열(24%)</t>
    <phoneticPr fontId="1" type="noConversion"/>
  </si>
  <si>
    <t>스킬정보</t>
    <phoneticPr fontId="1" type="noConversion"/>
  </si>
  <si>
    <t>풍신권</t>
    <phoneticPr fontId="1" type="noConversion"/>
  </si>
  <si>
    <t>파쇄격</t>
    <phoneticPr fontId="1" type="noConversion"/>
  </si>
  <si>
    <t>X</t>
    <phoneticPr fontId="1" type="noConversion"/>
  </si>
  <si>
    <t>초신성 폭발</t>
    <phoneticPr fontId="1" type="noConversion"/>
  </si>
  <si>
    <t>죽음의 선고</t>
    <phoneticPr fontId="1" type="noConversion"/>
  </si>
  <si>
    <t>진 용출권</t>
    <phoneticPr fontId="1" type="noConversion"/>
  </si>
  <si>
    <t>빠른준비</t>
    <phoneticPr fontId="1" type="noConversion"/>
  </si>
  <si>
    <t>쿨대비 투지 수급량</t>
    <phoneticPr fontId="1" type="noConversion"/>
  </si>
  <si>
    <t>-</t>
    <phoneticPr fontId="1" type="noConversion"/>
  </si>
  <si>
    <t>분노의 타격</t>
    <phoneticPr fontId="1" type="noConversion"/>
  </si>
  <si>
    <t>투지집중+분노의 타격</t>
    <phoneticPr fontId="1" type="noConversion"/>
  </si>
  <si>
    <t>투지집중</t>
    <phoneticPr fontId="1" type="noConversion"/>
  </si>
  <si>
    <r>
      <rPr>
        <b/>
        <sz val="11"/>
        <color rgb="FF00B050"/>
        <rFont val="맑은 고딕"/>
        <family val="3"/>
        <charset val="129"/>
        <scheme val="minor"/>
      </rPr>
      <t>■</t>
    </r>
    <r>
      <rPr>
        <b/>
        <sz val="11"/>
        <color theme="1"/>
        <rFont val="맑은 고딕"/>
        <family val="3"/>
        <charset val="129"/>
        <scheme val="minor"/>
      </rPr>
      <t xml:space="preserve"> 가장 높은 투지수급량</t>
    </r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</si>
  <si>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>■</t>
    </r>
    <r>
      <rPr>
        <b/>
        <sz val="11"/>
        <color theme="1"/>
        <rFont val="맑은 고딕"/>
        <family val="3"/>
        <charset val="129"/>
        <scheme val="minor"/>
      </rPr>
      <t xml:space="preserve"> 가장 낮은 투지수급량</t>
    </r>
    <phoneticPr fontId="1" type="noConversion"/>
  </si>
  <si>
    <t>가속화는 합연산 반영
ex) 95+10(가속화) = 105</t>
    <phoneticPr fontId="1" type="noConversion"/>
  </si>
  <si>
    <t>기본 투지 수급량</t>
    <phoneticPr fontId="1" type="noConversion"/>
  </si>
  <si>
    <t>투지 흭득량</t>
    <phoneticPr fontId="1" type="noConversion"/>
  </si>
  <si>
    <r>
      <rPr>
        <b/>
        <sz val="11"/>
        <color rgb="FFFFC000"/>
        <rFont val="맑은 고딕"/>
        <family val="3"/>
        <charset val="129"/>
        <scheme val="minor"/>
      </rPr>
      <t>■</t>
    </r>
    <r>
      <rPr>
        <b/>
        <sz val="11"/>
        <color theme="1"/>
        <rFont val="맑은 고딕"/>
        <family val="3"/>
        <charset val="129"/>
        <scheme val="minor"/>
      </rPr>
      <t xml:space="preserve"> 비교적 높은 투지수급량 표기</t>
    </r>
    <phoneticPr fontId="1" type="noConversion"/>
  </si>
  <si>
    <t>일망타진</t>
    <phoneticPr fontId="1" type="noConversion"/>
  </si>
  <si>
    <t>기력스킬</t>
    <phoneticPr fontId="1" type="noConversion"/>
  </si>
  <si>
    <t>흭득량 반영 투지량</t>
    <phoneticPr fontId="1" type="noConversion"/>
  </si>
  <si>
    <t>투지 손실률의 경우 %단위이며 
풍&amp;파 스킬 2회 사용기준 겹치는 구간을 반영하였습니다.</t>
    <phoneticPr fontId="1" type="noConversion"/>
  </si>
  <si>
    <t>※ 투지수급량의 경우 절대값 100을 기준 , 풍신권과 파쇄격은 투지발산에 사용하므로 반영 X / 투지수급량 95% [특화1845] 기준으로 반영 ( 흭득량 기입시 수치는 변하니 참조 )
   일망타진과 전진의 일격은 상황에 따른 스킬사용과 , 재사용 초기화로 인하여 반영하지 않았습니다.
   주력스킬들의 일정 회수 사용시 풍신권과 파쇄격의 쿨타임이 충돌하는 경우의 오차율만 반영하였습니다. ( 스킬쿨타임 겹침에 따른 실전성 반영 )</t>
    <phoneticPr fontId="1" type="noConversion"/>
  </si>
  <si>
    <t>풍파 8레벨 작열(20%)</t>
    <phoneticPr fontId="1" type="noConversion"/>
  </si>
  <si>
    <t>풍파 10레벨 작열(24%)</t>
    <phoneticPr fontId="1" type="noConversion"/>
  </si>
  <si>
    <t>투지 손실률이 낮을수록 빗나감에 따른 투지수급량 리스크 부담이 덜합니다.
투지 손실률 100에 가까울수록 쿨 정렬에 유리합니다.</t>
    <phoneticPr fontId="1" type="noConversion"/>
  </si>
  <si>
    <t>심판 홍염을 사용하지 않는 경우 딜링 손해율</t>
    <phoneticPr fontId="1" type="noConversion"/>
  </si>
  <si>
    <t>8작열 풍&amp;파 스킬회피
투지 손실율(8작열)</t>
    <phoneticPr fontId="1" type="noConversion"/>
  </si>
  <si>
    <t>8작열 풍&amp;파 스킬회피
투지 손실율(10작열)</t>
    <phoneticPr fontId="1" type="noConversion"/>
  </si>
  <si>
    <t>10작열 풍&amp;파 스킬회피
투지 손실율(8작열)</t>
    <phoneticPr fontId="1" type="noConversion"/>
  </si>
  <si>
    <t>10작열 풍&amp;파 스킬회피
투지 손실율(10작열)</t>
    <phoneticPr fontId="1" type="noConversion"/>
  </si>
  <si>
    <t>무식한 타격</t>
    <phoneticPr fontId="1" type="noConversion"/>
  </si>
  <si>
    <t>진용출권(투지)+초신성+죽음의선고+심판(무식) 적중시 일망타진 횟수</t>
    <phoneticPr fontId="1" type="noConversion"/>
  </si>
  <si>
    <t>진용출권(투지)+죽음의선고+심판(무식) 적중시 일망타진 횟수</t>
    <phoneticPr fontId="1" type="noConversion"/>
  </si>
  <si>
    <t>진용출권(투지)+초신성+심판(무식) 적중시 일망타진 횟수</t>
    <phoneticPr fontId="1" type="noConversion"/>
  </si>
  <si>
    <t>진용출권(투지)+심판(무식) 적중시 일망타진 횟수</t>
    <phoneticPr fontId="1" type="noConversion"/>
  </si>
  <si>
    <t>심판(무식) 적중시 일망타진 횟수</t>
    <phoneticPr fontId="1" type="noConversion"/>
  </si>
  <si>
    <t xml:space="preserve"> ← 여기에 투지 흭득량 기입시 자동연산됩니다.</t>
    <phoneticPr fontId="1" type="noConversion"/>
  </si>
  <si>
    <t>전설 풍요</t>
    <phoneticPr fontId="1" type="noConversion"/>
  </si>
  <si>
    <t>영웅 풍요</t>
    <phoneticPr fontId="1" type="noConversion"/>
  </si>
  <si>
    <t>풍요X</t>
    <phoneticPr fontId="1" type="noConversion"/>
  </si>
  <si>
    <t>영웅 풍요(30)</t>
    <phoneticPr fontId="1" type="noConversion"/>
  </si>
  <si>
    <t>전설 풍요(40)</t>
    <phoneticPr fontId="1" type="noConversion"/>
  </si>
  <si>
    <r>
      <t xml:space="preserve">※ 이론상 </t>
    </r>
    <r>
      <rPr>
        <b/>
        <sz val="12"/>
        <color rgb="FFFF0000"/>
        <rFont val="맑은 고딕"/>
        <family val="3"/>
        <charset val="129"/>
        <scheme val="minor"/>
      </rPr>
      <t>가속화3레벨 달성시</t>
    </r>
    <r>
      <rPr>
        <b/>
        <sz val="12"/>
        <color theme="1"/>
        <rFont val="맑은 고딕"/>
        <family val="3"/>
        <charset val="129"/>
        <scheme val="minor"/>
      </rPr>
      <t xml:space="preserve"> 투지수급량 </t>
    </r>
    <r>
      <rPr>
        <b/>
        <sz val="12"/>
        <color rgb="FF7030A0"/>
        <rFont val="맑은 고딕"/>
        <family val="3"/>
        <charset val="129"/>
        <scheme val="minor"/>
      </rPr>
      <t>진용출권+심판+일망 영웅풍요&amp;전설풍요 조합시</t>
    </r>
    <r>
      <rPr>
        <b/>
        <sz val="12"/>
        <color theme="1"/>
        <rFont val="맑은 고딕"/>
        <family val="3"/>
        <charset val="129"/>
        <scheme val="minor"/>
      </rPr>
      <t xml:space="preserve"> / </t>
    </r>
    <r>
      <rPr>
        <b/>
        <sz val="12"/>
        <color rgb="FF0070C0"/>
        <rFont val="맑은 고딕"/>
        <family val="3"/>
        <charset val="129"/>
        <scheme val="minor"/>
      </rPr>
      <t>진용출권 죽음의선고&amp;초신성+심판(무식)</t>
    </r>
    <r>
      <rPr>
        <b/>
        <sz val="12"/>
        <color theme="1"/>
        <rFont val="맑은 고딕"/>
        <family val="3"/>
        <charset val="129"/>
        <scheme val="minor"/>
      </rPr>
      <t xml:space="preserve"> 사용할 경우 </t>
    </r>
    <r>
      <rPr>
        <b/>
        <sz val="12"/>
        <color rgb="FF7030A0"/>
        <rFont val="맑은 고딕"/>
        <family val="3"/>
        <charset val="129"/>
        <scheme val="minor"/>
      </rPr>
      <t>스택형 일망 혹은 효율적인 타격 사용가능해짐</t>
    </r>
    <r>
      <rPr>
        <b/>
        <sz val="12"/>
        <color theme="1"/>
        <rFont val="맑은 고딕"/>
        <family val="3"/>
        <charset val="129"/>
        <scheme val="minor"/>
      </rPr>
      <t xml:space="preserve"> , </t>
    </r>
    <r>
      <rPr>
        <b/>
        <sz val="12"/>
        <color rgb="FFFF0000"/>
        <rFont val="맑은 고딕"/>
        <family val="3"/>
        <charset val="129"/>
        <scheme val="minor"/>
      </rPr>
      <t>가속화 쿨타임 적용시도 변동은 크게 없습니다.</t>
    </r>
    <phoneticPr fontId="1" type="noConversion"/>
  </si>
  <si>
    <t>진용출권(투지+분노)+초신성+죽음의선고+심판(무식) 적중시 일망타진 횟수</t>
    <phoneticPr fontId="1" type="noConversion"/>
  </si>
  <si>
    <t>진용출권(투지+분노)+죽음의선고+심판(무식) 적중시 일망타진 횟수</t>
    <phoneticPr fontId="1" type="noConversion"/>
  </si>
  <si>
    <t>진용출권(투지+분노)+초신성+심판(무식) 적중시 일망타진 횟수</t>
    <phoneticPr fontId="1" type="noConversion"/>
  </si>
  <si>
    <t>진용출권(투지+분노)+심판(무식) 적중시 일망타진 횟수</t>
    <phoneticPr fontId="1" type="noConversion"/>
  </si>
  <si>
    <t>즉시 파괴</t>
    <phoneticPr fontId="1" type="noConversion"/>
  </si>
  <si>
    <t>← 풍&amp;파 1회 사용 쿨정렬에 따른 손해율입니다.</t>
    <phoneticPr fontId="1" type="noConversion"/>
  </si>
  <si>
    <t>심판 즉시파괴 투지 손실율 (딜증가 보석 사용)</t>
    <phoneticPr fontId="1" type="noConversion"/>
  </si>
  <si>
    <t>← 무식한 타격과 비교하기 쉽도록 별도 표기</t>
    <phoneticPr fontId="1" type="noConversion"/>
  </si>
  <si>
    <t>쿨타임을 꾸준히 돌린다는 가정하에
최종 데미지 상승은 즉시파괴가 높습니다.</t>
    <phoneticPr fontId="1" type="noConversion"/>
  </si>
  <si>
    <t>심판 무식한타격 트라이포드 실제 딜 증가율</t>
    <phoneticPr fontId="1" type="noConversion"/>
  </si>
  <si>
    <t>심판 즉시 파괴 트라이포드 실제 딜 증가율</t>
    <phoneticPr fontId="1" type="noConversion"/>
  </si>
  <si>
    <t>충단인파 기준 주력 충격스킬 투지계산기 ( + 쿨타임 정리 )</t>
    <phoneticPr fontId="1" type="noConversion"/>
  </si>
  <si>
    <t>심판 무식한타격 트라이포드의 145퍼 데미지 증가는 처음 2타에 대한 데미지 증가율이 
다음 추가타 2타에 반영되는 구조입니다. 첫 2타다음 다음 2타가 딜이 강한걸 보시면 확인이 가능합니다.</t>
    <phoneticPr fontId="1" type="noConversion"/>
  </si>
  <si>
    <t>천지파권</t>
    <phoneticPr fontId="1" type="noConversion"/>
  </si>
  <si>
    <t>트라이포드&amp;도약</t>
    <phoneticPr fontId="1" type="noConversion"/>
  </si>
  <si>
    <t>간결화</t>
    <phoneticPr fontId="1" type="noConversion"/>
  </si>
  <si>
    <t>도약 구분</t>
    <phoneticPr fontId="1" type="noConversion"/>
  </si>
  <si>
    <t>충격폭발</t>
    <phoneticPr fontId="1" type="noConversion"/>
  </si>
  <si>
    <t>도약 X</t>
    <phoneticPr fontId="1" type="noConversion"/>
  </si>
  <si>
    <t>도약 O</t>
    <phoneticPr fontId="1" type="noConversion"/>
  </si>
  <si>
    <t>쿨대비 투지 (도약O)</t>
    <phoneticPr fontId="1" type="noConversion"/>
  </si>
  <si>
    <t>쿨대비 투지 (도약X)</t>
    <phoneticPr fontId="1" type="noConversion"/>
  </si>
  <si>
    <t>특화에 따른 투지수급량</t>
    <phoneticPr fontId="1" type="noConversion"/>
  </si>
  <si>
    <t>가속화 레벨</t>
    <phoneticPr fontId="1" type="noConversion"/>
  </si>
  <si>
    <r>
      <t xml:space="preserve">천지파권 충폭 1타 투지계수는 1.67(1타) + 3.31(중간다단히트) + 막타 11.61 ( 다단히트 포함 X )
</t>
    </r>
    <r>
      <rPr>
        <b/>
        <sz val="11"/>
        <color theme="4"/>
        <rFont val="맑은 고딕"/>
        <family val="3"/>
        <charset val="129"/>
        <scheme val="minor"/>
      </rPr>
      <t>TEST 결과 간결화 투지수급량이 풀히트기준 충폭과 흡사함</t>
    </r>
    <phoneticPr fontId="1" type="noConversion"/>
  </si>
  <si>
    <t>천지파권 쿨계산기
(가속화 3회 반영)</t>
    <phoneticPr fontId="1" type="noConversion"/>
  </si>
  <si>
    <t>전풍 불가</t>
    <phoneticPr fontId="1" type="noConversion"/>
  </si>
  <si>
    <t>신속만 적용</t>
    <phoneticPr fontId="1" type="noConversion"/>
  </si>
  <si>
    <t>신속 + 최적화훈련</t>
    <phoneticPr fontId="1" type="noConversion"/>
  </si>
  <si>
    <t>신속 + 최적화 + 도약</t>
    <phoneticPr fontId="1" type="noConversion"/>
  </si>
  <si>
    <t>최적화 레벨</t>
    <phoneticPr fontId="1" type="noConversion"/>
  </si>
  <si>
    <t>도약 쿨감 레벨</t>
    <phoneticPr fontId="1" type="noConversion"/>
  </si>
  <si>
    <t>신속 + 도약</t>
    <phoneticPr fontId="1" type="noConversion"/>
  </si>
  <si>
    <t>천지파권 쿨계산기
(가속화 미반영)</t>
    <phoneticPr fontId="1" type="noConversion"/>
  </si>
  <si>
    <t>심판 무식한 타격 + 멸화 채용 기준 한사이클에 맞춘다면 풍&amp;파 작열레벨이 오를수록 효율은 증가한다.
투지 손실률이 낮은 스킬일수록 투지수급의 안전성이 높으며 투지 손실률이 100에 가까울수록 스킬 쿨정렬에 유리하다.
심판 홍염 사용시 투지수급의 안전성이 증가하며 , 스킬을 난사해도 투지수급 사이클에 지장이 적은편에 속한다.
죽선과 초신성을 되도록 투지게이지 채우는 구간에 겹치지 않고 사용하면 일망타진의 투지수급은 일정량 고정된다.
※ 모든스킬에 너무 쿨정렬에 연연하여 스킬을 미사용해도 딜로스가 생기니 유동적으로 사용할것!</t>
    <phoneticPr fontId="1" type="noConversion"/>
  </si>
  <si>
    <t>신속쿨감 퍼센트</t>
    <phoneticPr fontId="1" type="noConversion"/>
  </si>
  <si>
    <t>← 천지파권 쿨 계산기입니다.
 수치를 기입해주세요.</t>
    <phoneticPr fontId="1" type="noConversion"/>
  </si>
  <si>
    <r>
      <t xml:space="preserve">진용출권(투지)+죽음의선고+심판(무식)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</si>
  <si>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>진용출권(투지)+초신성+죽음의선고+심판(무식) [</t>
    </r>
    <r>
      <rPr>
        <b/>
        <sz val="11"/>
        <color rgb="FF7030A0"/>
        <rFont val="맑은 고딕"/>
        <family val="3"/>
        <charset val="129"/>
        <scheme val="minor"/>
      </rPr>
      <t xml:space="preserve"> 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</si>
  <si>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>진용출권(투지)+초신성+죽음의선고+심판(무식) [</t>
    </r>
    <r>
      <rPr>
        <b/>
        <sz val="11"/>
        <color rgb="FF7030A0"/>
        <rFont val="맑은 고딕"/>
        <family val="3"/>
        <charset val="129"/>
        <scheme val="minor"/>
      </rPr>
      <t xml:space="preserve"> 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</si>
  <si>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진용출권(투지)+초신성+죽음의선고+심판(무식)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진용전풍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</si>
  <si>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진용출권(투지)+죽음의선고+심판(무식)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진용전풍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</si>
  <si>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진용출권(투지)+죽음의선고+심판(무식)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</si>
  <si>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진용출권(투지)+초신성+심판(무식)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</si>
  <si>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진용출권(투지)+초신성+심판(무식)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진용전풍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</si>
  <si>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진용출권(투지)+초신성+심판(무식)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</si>
  <si>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일망타진 광인+보강 투지수급량 4.25 / 스택형은 2.84 입니다. 
사용 트라이포드에 따라 주황색 칸의 기본 투지수급량에 기입해서 사용하세요.
</t>
    </r>
    <r>
      <rPr>
        <b/>
        <sz val="11"/>
        <color rgb="FF7030A0"/>
        <rFont val="맑은 고딕"/>
        <family val="3"/>
        <charset val="129"/>
        <scheme val="minor"/>
      </rPr>
      <t>일망 효율적인 타격은 광인+보강 및 스택형과 수급수치는 동일합니다.</t>
    </r>
    <phoneticPr fontId="1" type="noConversion"/>
  </si>
  <si>
    <t>심판 즉시파괴 계수는 무식한타격의 절반이니 참고바랍니다.</t>
    <phoneticPr fontId="1" type="noConversion"/>
  </si>
  <si>
    <r>
      <t xml:space="preserve">속행룬의 효율은 쿨감수치가 높을수록 줄어들며 , 가속화 발동전에 터질수록 효율은 증가합니다.
</t>
    </r>
    <r>
      <rPr>
        <b/>
        <sz val="13"/>
        <color rgb="FF002060"/>
        <rFont val="맑은 고딕"/>
        <family val="3"/>
        <charset val="129"/>
        <scheme val="minor"/>
      </rPr>
      <t>최적의 속행 효율은 가속화 발동전에 1~2회가 터지면 천지파권의 쿨은 약 8~12초 줄어들며
가속화의 효율은 속행 첫 발동 및 쿨타임 감소율이 높을수록 효율이 좋습니다.</t>
    </r>
    <r>
      <rPr>
        <b/>
        <sz val="13"/>
        <color rgb="FFFF0000"/>
        <rFont val="맑은 고딕"/>
        <family val="3"/>
        <charset val="129"/>
        <scheme val="minor"/>
      </rPr>
      <t xml:space="preserve">
ex) 52초 쿨타임의 속행 1회발동으로 약 8.3초의 쿨이득을 보면 가속화3렙기준 3회 쿨은
     52-8.3-9=34.7 
     65초 쿨타임의 속행 1회발동으로 약 10.4초의 쿨이득을 보면 가속화3렙기준 3회 쿨은
     65-10.4-9=45.6
  </t>
    </r>
    <r>
      <rPr>
        <b/>
        <sz val="13"/>
        <color rgb="FF002060"/>
        <rFont val="맑은 고딕"/>
        <family val="3"/>
        <charset val="129"/>
        <scheme val="minor"/>
      </rPr>
      <t xml:space="preserve">  </t>
    </r>
    <r>
      <rPr>
        <b/>
        <sz val="13"/>
        <color rgb="FF0070C0"/>
        <rFont val="맑은 고딕"/>
        <family val="3"/>
        <charset val="129"/>
        <scheme val="minor"/>
      </rPr>
      <t xml:space="preserve"> ※ 45.6-34.7 = 10.9 , 쿨타임 수치가 높을수록 가속화 쿨감효율이 증대됨을 알 수 있습니다.</t>
    </r>
    <phoneticPr fontId="1" type="noConversion"/>
  </si>
  <si>
    <r>
      <t xml:space="preserve">심판(무식) [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</si>
  <si>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</si>
  <si>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>진용출권(투지+분노)+초신성+죽선+심판(무식) [</t>
    </r>
    <r>
      <rPr>
        <b/>
        <sz val="11"/>
        <color rgb="FF7030A0"/>
        <rFont val="맑은 고딕"/>
        <family val="3"/>
        <charset val="129"/>
        <scheme val="minor"/>
      </rPr>
      <t xml:space="preserve"> 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</si>
  <si>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진용출권(투지+분노)+초신성+죽선+심판(무식)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진용전풍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</si>
  <si>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>진용출권(투지+분노)+초신성+죽선+심판(무식) [</t>
    </r>
    <r>
      <rPr>
        <b/>
        <sz val="11"/>
        <color rgb="FF7030A0"/>
        <rFont val="맑은 고딕"/>
        <family val="3"/>
        <charset val="129"/>
        <scheme val="minor"/>
      </rPr>
      <t xml:space="preserve"> 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</si>
  <si>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>진용출권(투지+분노)+죽선+심판(무식) [</t>
    </r>
    <r>
      <rPr>
        <b/>
        <sz val="11"/>
        <color rgb="FF7030A0"/>
        <rFont val="맑은 고딕"/>
        <family val="3"/>
        <charset val="129"/>
        <scheme val="minor"/>
      </rPr>
      <t xml:space="preserve"> 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</si>
  <si>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진용출권(투지+분노)+죽선+심판(무식)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진용전풍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</si>
  <si>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>진용출권(투지+분노)+죽선+심판(무식) [</t>
    </r>
    <r>
      <rPr>
        <b/>
        <sz val="11"/>
        <color rgb="FF7030A0"/>
        <rFont val="맑은 고딕"/>
        <family val="3"/>
        <charset val="129"/>
        <scheme val="minor"/>
      </rPr>
      <t xml:space="preserve"> 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</si>
  <si>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>진용출권(투지+분노)+초신성+심판(무식) [</t>
    </r>
    <r>
      <rPr>
        <b/>
        <sz val="11"/>
        <color rgb="FF7030A0"/>
        <rFont val="맑은 고딕"/>
        <family val="3"/>
        <charset val="129"/>
        <scheme val="minor"/>
      </rPr>
      <t xml:space="preserve"> 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</si>
  <si>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진용출권(투지+분노)+초신성+심판(무식)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진용전풍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</si>
  <si>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>진용출권(투지+분노)+초신성+심판(무식) [</t>
    </r>
    <r>
      <rPr>
        <b/>
        <sz val="11"/>
        <color rgb="FF7030A0"/>
        <rFont val="맑은 고딕"/>
        <family val="3"/>
        <charset val="129"/>
        <scheme val="minor"/>
      </rPr>
      <t xml:space="preserve"> 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</si>
  <si>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진용출권(투지)+심판(무식) [ </t>
    </r>
    <r>
      <rPr>
        <b/>
        <sz val="11"/>
        <color rgb="FF7030A0"/>
        <rFont val="맑은 고딕"/>
        <family val="3"/>
        <charset val="129"/>
        <scheme val="minor"/>
      </rPr>
      <t>진용영풍 , 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</si>
  <si>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진용출권(투지)+심판(무식)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7" tint="-0.249977111117893"/>
        <rFont val="맑은 고딕"/>
        <family val="3"/>
        <charset val="129"/>
        <scheme val="minor"/>
      </rPr>
      <t xml:space="preserve"> , 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</si>
  <si>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진용출권(투지+분노)+심판(무식) [ </t>
    </r>
    <r>
      <rPr>
        <b/>
        <sz val="11"/>
        <color rgb="FF7030A0"/>
        <rFont val="맑은 고딕"/>
        <family val="3"/>
        <charset val="129"/>
        <scheme val="minor"/>
      </rPr>
      <t>진용영풍 , 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</si>
  <si>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진용출권(투지+분노)+심판(무식)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7" tint="-0.249977111117893"/>
        <rFont val="맑은 고딕"/>
        <family val="3"/>
        <charset val="129"/>
        <scheme val="minor"/>
      </rPr>
      <t xml:space="preserve"> , 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</si>
  <si>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t>천지파권+진용출권(투지)+초신성+심판(무식)</t>
  </si>
  <si>
    <t>천지파권+진용출권(투지)+죽선+심판(무식)</t>
  </si>
  <si>
    <t>천지파권+진용출권(투지)+심판(무식)</t>
  </si>
  <si>
    <t>천지파권+진용출권(투지+분노)+초신성+심판(무식)</t>
  </si>
  <si>
    <t>천지파권+진용출권(투지+분노)+죽선+심판(무식)</t>
  </si>
  <si>
    <t>천지파권+진용출권(투지+분노)+심판(무식)</t>
  </si>
  <si>
    <t>※ 사용시 주의사항 ※
실전 반영시 투지발산 공격속도 5초간 증가하는 동안에는 수동으로 OFF할 수 없으니
플레이어분이 소화시킬수 있는 쿨감 및 최적의 사이클을 기입하면서 연습하는것을 권해드립니다.</t>
    <phoneticPr fontId="1" type="noConversion"/>
  </si>
  <si>
    <t>진용출 심판은 기본으로 묶었으며
천지파권 사용기준에는 투지게이지가 오버되어 죽선과 초신이 없는 경우의수 대입</t>
    <phoneticPr fontId="1" type="noConversion"/>
  </si>
  <si>
    <r>
      <t xml:space="preserve">천지파권+진용출권(투지)+초신성+심판(무식)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</si>
  <si>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>천지파권+진용출권(투지)+죽선+심판(무식) [</t>
    </r>
    <r>
      <rPr>
        <b/>
        <sz val="11"/>
        <color rgb="FF7030A0"/>
        <rFont val="맑은 고딕"/>
        <family val="3"/>
        <charset val="129"/>
        <scheme val="minor"/>
      </rPr>
      <t xml:space="preserve"> 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</si>
  <si>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천지파권+진용출권(투지)+심판(무식)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</si>
  <si>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>천지파권+진용출권(투지+분노)+초신성+심판(무식) [</t>
    </r>
    <r>
      <rPr>
        <b/>
        <sz val="11"/>
        <color rgb="FF7030A0"/>
        <rFont val="맑은 고딕"/>
        <family val="3"/>
        <charset val="129"/>
        <scheme val="minor"/>
      </rPr>
      <t xml:space="preserve"> 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</si>
  <si>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천지파권+진용출권(투지+분노)+죽선+심판(무식)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</si>
  <si>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천지파권+진용출권(투지+분노)+심판(무식)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</si>
  <si>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천지파권+심판(무식) [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</si>
  <si>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</si>
  <si>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천지파권+진용출권(투지+분노)+심판(무식)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</si>
  <si>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천지파권+진용출권(투지+분노)+심판(무식)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진용전풍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</si>
  <si>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천지파권+진용출권(투지+분노)+죽선+심판(무식)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</si>
  <si>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천지파권+진용출권(투지+분노)+죽선+심판(무식)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진용전풍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</si>
  <si>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천지파권+진용출권(투지+분노)+초신성+심판(무식)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</si>
  <si>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천지파권+진용출권(투지+분노)+초신성+심판(무식)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진용전풍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</si>
  <si>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천지파권+진용출권(투지)+심판(무식)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</si>
  <si>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천지파권+진용출권(투지)+심판(무식)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진용전풍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</si>
  <si>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천지파권+진용출권(투지)+죽선+심판(무식)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</si>
  <si>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천지파권+진용출권(투지)+죽선+심판(무식) [ </t>
    </r>
    <r>
      <rPr>
        <b/>
        <sz val="11"/>
        <color theme="7" tint="-0.249977111117893"/>
        <rFont val="맑은 고딕"/>
        <family val="3"/>
        <charset val="129"/>
        <scheme val="minor"/>
      </rPr>
      <t>진용전풍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</si>
  <si>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 xml:space="preserve">천지파권+진용출권(투지)+초신성+심판(무식) [ </t>
    </r>
    <r>
      <rPr>
        <b/>
        <sz val="11"/>
        <color rgb="FF7030A0"/>
        <rFont val="맑은 고딕"/>
        <family val="3"/>
        <charset val="129"/>
        <scheme val="minor"/>
      </rPr>
      <t>진용영풍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theme="7" tint="-0.249977111117893"/>
        <rFont val="맑은 고딕"/>
        <family val="3"/>
        <charset val="129"/>
        <scheme val="minor"/>
      </rPr>
      <t>심판전풍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</si>
  <si>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r>
      <t>천지파권+진용출권(투지)+초신성+심판(무식) [</t>
    </r>
    <r>
      <rPr>
        <b/>
        <sz val="11"/>
        <color rgb="FF7030A0"/>
        <rFont val="맑은 고딕"/>
        <family val="3"/>
        <charset val="129"/>
        <scheme val="minor"/>
      </rPr>
      <t xml:space="preserve"> </t>
    </r>
    <r>
      <rPr>
        <b/>
        <sz val="11"/>
        <color theme="7" tint="-0.249977111117893"/>
        <rFont val="맑은 고딕"/>
        <family val="3"/>
        <charset val="129"/>
        <scheme val="minor"/>
      </rPr>
      <t>진용전풍</t>
    </r>
    <r>
      <rPr>
        <b/>
        <sz val="11"/>
        <color theme="1"/>
        <rFont val="맑은 고딕"/>
        <family val="3"/>
        <charset val="129"/>
        <scheme val="minor"/>
      </rPr>
      <t xml:space="preserve"> , </t>
    </r>
    <r>
      <rPr>
        <b/>
        <sz val="11"/>
        <color rgb="FF7030A0"/>
        <rFont val="맑은 고딕"/>
        <family val="3"/>
        <charset val="129"/>
        <scheme val="minor"/>
      </rPr>
      <t>심판영풍</t>
    </r>
    <r>
      <rPr>
        <b/>
        <sz val="11"/>
        <color theme="1"/>
        <rFont val="맑은 고딕"/>
        <family val="3"/>
        <charset val="129"/>
        <scheme val="minor"/>
      </rPr>
      <t xml:space="preserve"> ]</t>
    </r>
    <phoneticPr fontId="1" type="noConversion"/>
  </si>
  <si>
    <t>※ -1로 표기되는 경우는 투지게이지가 오버된거니 크게 신경쓰기  X</t>
    <phoneticPr fontId="1" type="noConversion"/>
  </si>
  <si>
    <t>차후 업데이트 예정의 투지계산기는
연환파신권 + 파쇄격(넘쳐나는힘) 기준으로 사용하는 스킬트리로 계산예정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</si>
</sst>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_ "/>
  </numFmts>
  <fonts count="3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rgb="FFFFC000"/>
      <name val="맑은 고딕"/>
      <family val="3"/>
      <charset val="129"/>
      <scheme val="minor"/>
    </font>
    <font>
      <b/>
      <sz val="11"/>
      <color rgb="FF00B05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rgb="FF7030A0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  <scheme val="minor"/>
    </font>
    <font>
      <b/>
      <sz val="16"/>
      <color rgb="FF002060"/>
      <name val="맑은 고딕"/>
      <family val="3"/>
      <charset val="129"/>
      <scheme val="minor"/>
    </font>
    <font>
      <b/>
      <sz val="11"/>
      <color theme="4"/>
      <name val="맑은 고딕"/>
      <family val="3"/>
      <charset val="129"/>
      <scheme val="minor"/>
    </font>
    <font>
      <b/>
      <sz val="11"/>
      <color rgb="FF002060"/>
      <name val="맑은 고딕"/>
      <family val="3"/>
      <charset val="129"/>
      <scheme val="minor"/>
    </font>
    <font>
      <b/>
      <sz val="16"/>
      <color theme="4"/>
      <name val="맑은 고딕"/>
      <family val="3"/>
      <charset val="129"/>
      <scheme val="minor"/>
    </font>
    <font>
      <b/>
      <sz val="18"/>
      <color rgb="FFFF0000"/>
      <name val="맑은 고딕"/>
      <family val="3"/>
      <charset val="129"/>
      <scheme val="minor"/>
    </font>
    <font>
      <b/>
      <sz val="20"/>
      <color theme="4"/>
      <name val="맑은 고딕"/>
      <family val="3"/>
      <charset val="129"/>
      <scheme val="minor"/>
    </font>
    <font>
      <b/>
      <sz val="12"/>
      <color rgb="FF002060"/>
      <name val="맑은 고딕"/>
      <family val="3"/>
      <charset val="129"/>
      <scheme val="minor"/>
    </font>
    <font>
      <b/>
      <sz val="11"/>
      <color theme="7" tint="-0.249977111117893"/>
      <name val="맑은 고딕"/>
      <family val="3"/>
      <charset val="129"/>
      <scheme val="minor"/>
    </font>
    <font>
      <b/>
      <sz val="13"/>
      <color rgb="FFFF0000"/>
      <name val="맑은 고딕"/>
      <family val="3"/>
      <charset val="129"/>
      <scheme val="minor"/>
    </font>
    <font>
      <b/>
      <sz val="13"/>
      <color rgb="FF002060"/>
      <name val="맑은 고딕"/>
      <family val="3"/>
      <charset val="129"/>
      <scheme val="minor"/>
    </font>
    <font>
      <b/>
      <sz val="13"/>
      <color rgb="FF0070C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8"/>
      <color rgb="FF002060"/>
      <name val="맑은 고딕"/>
      <family val="3"/>
      <charset val="129"/>
      <scheme val="minor"/>
    </font>
    <font>
      <b/>
      <sz val="18"/>
      <color rgb="FF00B050"/>
      <name val="맑은 고딕"/>
      <family val="3"/>
      <charset val="129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77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1" fontId="2" fillId="6" borderId="1" xfId="0" applyNumberFormat="1" applyFont="1" applyFill="1" applyBorder="1" applyAlignment="1">
      <alignment horizontal="center" vertical="top" wrapText="1"/>
    </xf>
    <xf numFmtId="177" fontId="2" fillId="7" borderId="1" xfId="0" applyNumberFormat="1" applyFont="1" applyFill="1" applyBorder="1" applyAlignment="1">
      <alignment horizontal="center" vertical="center"/>
    </xf>
    <xf numFmtId="1" fontId="2" fillId="7" borderId="1" xfId="0" applyNumberFormat="1" applyFont="1" applyFill="1" applyBorder="1" applyAlignment="1">
      <alignment horizontal="center" vertical="top" wrapText="1"/>
    </xf>
    <xf numFmtId="177" fontId="2" fillId="8" borderId="1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top" wrapText="1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177" fontId="2" fillId="13" borderId="1" xfId="0" applyNumberFormat="1" applyFont="1" applyFill="1" applyBorder="1" applyAlignment="1">
      <alignment horizontal="center" vertical="center"/>
    </xf>
    <xf numFmtId="1" fontId="2" fillId="13" borderId="1" xfId="0" applyNumberFormat="1" applyFont="1" applyFill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1" fontId="5" fillId="13" borderId="1" xfId="0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top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top" wrapText="1"/>
    </xf>
    <xf numFmtId="0" fontId="17" fillId="0" borderId="0" xfId="0" applyFont="1" applyBorder="1" applyAlignment="1">
      <alignment vertical="center"/>
    </xf>
    <xf numFmtId="0" fontId="16" fillId="0" borderId="6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1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left" vertical="center"/>
    </xf>
    <xf numFmtId="0" fontId="2" fillId="13" borderId="9" xfId="0" applyFont="1" applyFill="1" applyBorder="1" applyAlignment="1">
      <alignment horizontal="left" vertical="center"/>
    </xf>
    <xf numFmtId="0" fontId="2" fillId="13" borderId="8" xfId="0" applyFont="1" applyFill="1" applyBorder="1" applyAlignment="1">
      <alignment horizontal="left" vertical="center"/>
    </xf>
    <xf numFmtId="0" fontId="16" fillId="15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/>
    </xf>
    <xf numFmtId="0" fontId="2" fillId="7" borderId="7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8" borderId="7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9" borderId="7" xfId="0" applyNumberFormat="1" applyFont="1" applyFill="1" applyBorder="1" applyAlignment="1">
      <alignment horizontal="center" vertical="center"/>
    </xf>
    <xf numFmtId="176" fontId="2" fillId="9" borderId="8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7" fillId="14" borderId="0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/>
    </xf>
    <xf numFmtId="0" fontId="2" fillId="7" borderId="8" xfId="0" applyFont="1" applyFill="1" applyBorder="1" applyAlignment="1">
      <alignment horizontal="left"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C3E87-85FA-4065-92AC-477BB35F0B15}">
  <dimension ref="B2:P111"/>
  <sheetViews>
    <sheetView showGridLines="0" tabSelected="1" topLeftCell="A22" zoomScale="70" zoomScaleNormal="70" workbookViewId="0">
      <selection activeCell="H84" sqref="H84"/>
    </sheetView>
  </sheetViews>
  <sheetFormatPr defaultRowHeight="16.5" x14ac:dyDescent="0.3"/>
  <cols>
    <col min="1" max="1" width="1.625" style="1" customWidth="1"/>
    <col min="2" max="19" width="20.625" style="1" customWidth="1"/>
    <col min="20" max="24" width="15.625" style="1" customWidth="1"/>
    <col min="25" max="16384" width="9" style="1"/>
  </cols>
  <sheetData>
    <row r="2" spans="2:13" ht="16.5" customHeight="1" x14ac:dyDescent="0.3">
      <c r="B2" s="92" t="s">
        <v>61</v>
      </c>
      <c r="C2" s="92"/>
      <c r="D2" s="92"/>
      <c r="E2" s="92"/>
      <c r="F2" s="92"/>
      <c r="G2" s="92"/>
      <c r="H2" s="92"/>
      <c r="I2" s="92"/>
      <c r="J2" s="92"/>
      <c r="K2" s="92"/>
    </row>
    <row r="3" spans="2:13" ht="16.5" customHeight="1" x14ac:dyDescent="0.3">
      <c r="B3" s="92"/>
      <c r="C3" s="92"/>
      <c r="D3" s="92"/>
      <c r="E3" s="92"/>
      <c r="F3" s="92"/>
      <c r="G3" s="92"/>
      <c r="H3" s="92"/>
      <c r="I3" s="92"/>
      <c r="J3" s="92"/>
      <c r="K3" s="92"/>
    </row>
    <row r="4" spans="2:13" ht="16.5" customHeight="1" x14ac:dyDescent="0.3">
      <c r="B4" s="99" t="s">
        <v>28</v>
      </c>
      <c r="C4" s="99"/>
      <c r="D4" s="99"/>
      <c r="E4" s="99"/>
      <c r="F4" s="99"/>
      <c r="G4" s="99"/>
      <c r="H4" s="99"/>
      <c r="I4" s="99"/>
      <c r="J4" s="37" t="s">
        <v>22</v>
      </c>
      <c r="K4" s="45">
        <f>K5+(K6*5)</f>
        <v>110</v>
      </c>
      <c r="L4" s="46"/>
      <c r="M4" s="46"/>
    </row>
    <row r="5" spans="2:13" ht="16.5" customHeight="1" x14ac:dyDescent="0.3">
      <c r="B5" s="99"/>
      <c r="C5" s="99"/>
      <c r="D5" s="99"/>
      <c r="E5" s="99"/>
      <c r="F5" s="99"/>
      <c r="G5" s="99"/>
      <c r="H5" s="99"/>
      <c r="I5" s="99"/>
      <c r="J5" s="37" t="s">
        <v>72</v>
      </c>
      <c r="K5" s="36">
        <v>95</v>
      </c>
      <c r="L5" s="103" t="s">
        <v>43</v>
      </c>
      <c r="M5" s="104"/>
    </row>
    <row r="6" spans="2:13" ht="16.5" customHeight="1" x14ac:dyDescent="0.3">
      <c r="B6" s="99"/>
      <c r="C6" s="99"/>
      <c r="D6" s="99"/>
      <c r="E6" s="99"/>
      <c r="F6" s="99"/>
      <c r="G6" s="99"/>
      <c r="H6" s="99"/>
      <c r="I6" s="99"/>
      <c r="J6" s="37" t="s">
        <v>73</v>
      </c>
      <c r="K6" s="36">
        <v>3</v>
      </c>
      <c r="L6" s="103"/>
      <c r="M6" s="104"/>
    </row>
    <row r="7" spans="2:13" ht="16.5" customHeight="1" x14ac:dyDescent="0.3">
      <c r="B7" s="99"/>
      <c r="C7" s="99"/>
      <c r="D7" s="99"/>
      <c r="E7" s="99"/>
      <c r="F7" s="99"/>
      <c r="G7" s="99"/>
      <c r="H7" s="99"/>
      <c r="I7" s="99"/>
      <c r="J7" s="15"/>
      <c r="K7" s="15"/>
    </row>
    <row r="8" spans="2:13" ht="16.5" customHeight="1" x14ac:dyDescent="0.3">
      <c r="B8" s="99"/>
      <c r="C8" s="99"/>
      <c r="D8" s="99"/>
      <c r="E8" s="99"/>
      <c r="F8" s="99"/>
      <c r="G8" s="99"/>
      <c r="H8" s="99"/>
      <c r="I8" s="99"/>
      <c r="J8" s="101" t="s">
        <v>20</v>
      </c>
      <c r="K8" s="102" t="s">
        <v>27</v>
      </c>
      <c r="L8" s="102"/>
      <c r="M8" s="102"/>
    </row>
    <row r="9" spans="2:13" x14ac:dyDescent="0.3">
      <c r="B9" s="99"/>
      <c r="C9" s="99"/>
      <c r="D9" s="99"/>
      <c r="E9" s="99"/>
      <c r="F9" s="99"/>
      <c r="G9" s="99"/>
      <c r="H9" s="99"/>
      <c r="I9" s="99"/>
      <c r="J9" s="101"/>
      <c r="K9" s="102"/>
      <c r="L9" s="102"/>
      <c r="M9" s="102"/>
    </row>
    <row r="11" spans="2:13" ht="33" customHeight="1" x14ac:dyDescent="0.3">
      <c r="B11" s="2" t="s">
        <v>5</v>
      </c>
      <c r="C11" s="2" t="s">
        <v>64</v>
      </c>
      <c r="D11" s="2" t="s">
        <v>2</v>
      </c>
      <c r="E11" s="2" t="s">
        <v>3</v>
      </c>
      <c r="F11" s="2" t="s">
        <v>4</v>
      </c>
      <c r="G11" s="2" t="s">
        <v>21</v>
      </c>
      <c r="H11" s="2" t="s">
        <v>26</v>
      </c>
      <c r="I11" s="2" t="s">
        <v>13</v>
      </c>
      <c r="J11" s="14" t="s">
        <v>33</v>
      </c>
      <c r="K11" s="14" t="s">
        <v>34</v>
      </c>
      <c r="L11" s="14" t="s">
        <v>35</v>
      </c>
      <c r="M11" s="14" t="s">
        <v>36</v>
      </c>
    </row>
    <row r="12" spans="2:13" x14ac:dyDescent="0.3">
      <c r="B12" s="3" t="s">
        <v>6</v>
      </c>
      <c r="C12" s="4" t="s">
        <v>8</v>
      </c>
      <c r="D12" s="4">
        <v>24</v>
      </c>
      <c r="E12" s="4">
        <f>D12*0.8</f>
        <v>19.200000000000003</v>
      </c>
      <c r="F12" s="4">
        <f>D12*0.76</f>
        <v>18.240000000000002</v>
      </c>
      <c r="G12" s="4" t="s">
        <v>14</v>
      </c>
      <c r="H12" s="4" t="s">
        <v>14</v>
      </c>
      <c r="I12" s="4" t="s">
        <v>14</v>
      </c>
      <c r="J12" s="4" t="s">
        <v>14</v>
      </c>
      <c r="K12" s="4" t="s">
        <v>14</v>
      </c>
      <c r="L12" s="4" t="s">
        <v>14</v>
      </c>
      <c r="M12" s="4" t="s">
        <v>14</v>
      </c>
    </row>
    <row r="13" spans="2:13" x14ac:dyDescent="0.3">
      <c r="B13" s="3" t="s">
        <v>7</v>
      </c>
      <c r="C13" s="3" t="s">
        <v>8</v>
      </c>
      <c r="D13" s="3">
        <v>24</v>
      </c>
      <c r="E13" s="4">
        <f t="shared" ref="E13:E23" si="0">D13*0.8</f>
        <v>19.200000000000003</v>
      </c>
      <c r="F13" s="4">
        <f t="shared" ref="F13:F23" si="1">D13*0.76</f>
        <v>18.240000000000002</v>
      </c>
      <c r="G13" s="3" t="s">
        <v>14</v>
      </c>
      <c r="H13" s="3" t="s">
        <v>14</v>
      </c>
      <c r="I13" s="3" t="s">
        <v>14</v>
      </c>
      <c r="J13" s="3" t="s">
        <v>14</v>
      </c>
      <c r="K13" s="3" t="s">
        <v>14</v>
      </c>
      <c r="L13" s="3" t="s">
        <v>14</v>
      </c>
      <c r="M13" s="3" t="s">
        <v>14</v>
      </c>
    </row>
    <row r="14" spans="2:13" x14ac:dyDescent="0.3">
      <c r="B14" s="93" t="s">
        <v>0</v>
      </c>
      <c r="C14" s="4" t="s">
        <v>8</v>
      </c>
      <c r="D14" s="3">
        <v>10</v>
      </c>
      <c r="E14" s="4">
        <f t="shared" si="0"/>
        <v>8</v>
      </c>
      <c r="F14" s="4">
        <f t="shared" si="1"/>
        <v>7.6</v>
      </c>
      <c r="G14" s="11">
        <v>5.85</v>
      </c>
      <c r="H14" s="11">
        <f>((G14*K4)/100)+G14</f>
        <v>12.285</v>
      </c>
      <c r="I14" s="12">
        <f>G14/D14</f>
        <v>0.58499999999999996</v>
      </c>
      <c r="J14" s="17">
        <f>(E14/E12)*100</f>
        <v>41.666666666666664</v>
      </c>
      <c r="K14" s="17">
        <f>(F14/E12)*100</f>
        <v>39.583333333333329</v>
      </c>
      <c r="L14" s="17">
        <f>(E14/F12)*100</f>
        <v>43.859649122807014</v>
      </c>
      <c r="M14" s="17">
        <f>(F14/F12)*100</f>
        <v>41.666666666666657</v>
      </c>
    </row>
    <row r="15" spans="2:13" x14ac:dyDescent="0.3">
      <c r="B15" s="95"/>
      <c r="C15" s="4" t="s">
        <v>1</v>
      </c>
      <c r="D15" s="3">
        <v>18</v>
      </c>
      <c r="E15" s="4">
        <f t="shared" si="0"/>
        <v>14.4</v>
      </c>
      <c r="F15" s="4">
        <f t="shared" si="1"/>
        <v>13.68</v>
      </c>
      <c r="G15" s="13">
        <v>11.7</v>
      </c>
      <c r="H15" s="13">
        <f>(G15*K4)/100+G15</f>
        <v>24.57</v>
      </c>
      <c r="I15" s="10">
        <f t="shared" ref="I15:I22" si="2">G15/D15</f>
        <v>0.64999999999999991</v>
      </c>
      <c r="J15" s="17">
        <f>(E15/E12)*100</f>
        <v>74.999999999999986</v>
      </c>
      <c r="K15" s="17">
        <f>(F15/E12)*100</f>
        <v>71.249999999999986</v>
      </c>
      <c r="L15" s="17">
        <f>(E15/F12)*100</f>
        <v>78.947368421052616</v>
      </c>
      <c r="M15" s="17">
        <f>(F15/F12)*100</f>
        <v>74.999999999999986</v>
      </c>
    </row>
    <row r="16" spans="2:13" x14ac:dyDescent="0.3">
      <c r="B16" s="93" t="s">
        <v>11</v>
      </c>
      <c r="C16" s="3" t="s">
        <v>8</v>
      </c>
      <c r="D16" s="3">
        <v>24</v>
      </c>
      <c r="E16" s="4">
        <f t="shared" si="0"/>
        <v>19.200000000000003</v>
      </c>
      <c r="F16" s="4">
        <f t="shared" si="1"/>
        <v>18.240000000000002</v>
      </c>
      <c r="G16" s="4">
        <v>6.42</v>
      </c>
      <c r="H16" s="8">
        <f>(G16*K4)/100+G16</f>
        <v>13.481999999999999</v>
      </c>
      <c r="I16" s="11">
        <f t="shared" si="2"/>
        <v>0.26750000000000002</v>
      </c>
      <c r="J16" s="17">
        <f>(E16/E12)*100</f>
        <v>100</v>
      </c>
      <c r="K16" s="17">
        <f>(F16/E12)*100</f>
        <v>95</v>
      </c>
      <c r="L16" s="4">
        <f>(E16/F12)*100</f>
        <v>105.26315789473684</v>
      </c>
      <c r="M16" s="17">
        <f>(F16/F12)*100</f>
        <v>100</v>
      </c>
    </row>
    <row r="17" spans="2:14" x14ac:dyDescent="0.3">
      <c r="B17" s="94"/>
      <c r="C17" s="3" t="s">
        <v>17</v>
      </c>
      <c r="D17" s="3">
        <v>24</v>
      </c>
      <c r="E17" s="4">
        <f t="shared" si="0"/>
        <v>19.200000000000003</v>
      </c>
      <c r="F17" s="4">
        <f t="shared" si="1"/>
        <v>18.240000000000002</v>
      </c>
      <c r="G17" s="9">
        <v>9.42</v>
      </c>
      <c r="H17" s="12">
        <f>((G16*K4)+3)/100+G17</f>
        <v>16.512</v>
      </c>
      <c r="I17" s="8">
        <f>(G16+3)/D16</f>
        <v>0.39250000000000002</v>
      </c>
      <c r="J17" s="17">
        <f>(E17/E12)*100</f>
        <v>100</v>
      </c>
      <c r="K17" s="17">
        <f>(F17/E12)*100</f>
        <v>95</v>
      </c>
      <c r="L17" s="4">
        <f>(E17/F12)*100</f>
        <v>105.26315789473684</v>
      </c>
      <c r="M17" s="17">
        <f>(F17/F12)*100</f>
        <v>100</v>
      </c>
    </row>
    <row r="18" spans="2:14" x14ac:dyDescent="0.3">
      <c r="B18" s="94"/>
      <c r="C18" s="3" t="s">
        <v>15</v>
      </c>
      <c r="D18" s="3">
        <v>24</v>
      </c>
      <c r="E18" s="4">
        <f t="shared" si="0"/>
        <v>19.200000000000003</v>
      </c>
      <c r="F18" s="4">
        <f t="shared" si="1"/>
        <v>18.240000000000002</v>
      </c>
      <c r="G18" s="4">
        <v>8.06</v>
      </c>
      <c r="H18" s="8">
        <f>(G18*K4)/100+G18</f>
        <v>16.926000000000002</v>
      </c>
      <c r="I18" s="8">
        <f t="shared" si="2"/>
        <v>0.33583333333333337</v>
      </c>
      <c r="J18" s="17">
        <f>(E18/E12)*100</f>
        <v>100</v>
      </c>
      <c r="K18" s="17">
        <f>(F18/E12)*100</f>
        <v>95</v>
      </c>
      <c r="L18" s="4">
        <f>(E18/F12)*100</f>
        <v>105.26315789473684</v>
      </c>
      <c r="M18" s="17">
        <f>(F18/F12)*100</f>
        <v>100</v>
      </c>
    </row>
    <row r="19" spans="2:14" x14ac:dyDescent="0.3">
      <c r="B19" s="95"/>
      <c r="C19" s="3" t="s">
        <v>16</v>
      </c>
      <c r="D19" s="3">
        <v>24</v>
      </c>
      <c r="E19" s="4">
        <f t="shared" si="0"/>
        <v>19.200000000000003</v>
      </c>
      <c r="F19" s="4">
        <f t="shared" si="1"/>
        <v>18.240000000000002</v>
      </c>
      <c r="G19" s="9">
        <v>11.06</v>
      </c>
      <c r="H19" s="12">
        <f>((G18*K4)+3)/100+G19</f>
        <v>19.956000000000003</v>
      </c>
      <c r="I19" s="8">
        <f>(G18+3)/D18</f>
        <v>0.46083333333333337</v>
      </c>
      <c r="J19" s="17">
        <f>(E19/E12)*100</f>
        <v>100</v>
      </c>
      <c r="K19" s="17">
        <f>(F19/E12)*100</f>
        <v>95</v>
      </c>
      <c r="L19" s="4">
        <f>(E19/F12)*100</f>
        <v>105.26315789473684</v>
      </c>
      <c r="M19" s="17">
        <f>(F19/F12)*100</f>
        <v>100</v>
      </c>
    </row>
    <row r="20" spans="2:14" x14ac:dyDescent="0.3">
      <c r="B20" s="93" t="s">
        <v>10</v>
      </c>
      <c r="C20" s="3" t="s">
        <v>8</v>
      </c>
      <c r="D20" s="3">
        <v>24</v>
      </c>
      <c r="E20" s="4">
        <f t="shared" si="0"/>
        <v>19.200000000000003</v>
      </c>
      <c r="F20" s="4">
        <f t="shared" si="1"/>
        <v>18.240000000000002</v>
      </c>
      <c r="G20" s="4">
        <v>7.23</v>
      </c>
      <c r="H20" s="8">
        <f>(G20*K4)/100+G20</f>
        <v>15.183</v>
      </c>
      <c r="I20" s="8">
        <f t="shared" si="2"/>
        <v>0.30125000000000002</v>
      </c>
      <c r="J20" s="17">
        <f>(E20/E12)*100</f>
        <v>100</v>
      </c>
      <c r="K20" s="17">
        <f>(F20/E12)*100</f>
        <v>95</v>
      </c>
      <c r="L20" s="4">
        <f>(E20/F12)*100</f>
        <v>105.26315789473684</v>
      </c>
      <c r="M20" s="17">
        <f>(F20/F12)*100</f>
        <v>100</v>
      </c>
    </row>
    <row r="21" spans="2:14" x14ac:dyDescent="0.3">
      <c r="B21" s="95"/>
      <c r="C21" s="3" t="s">
        <v>12</v>
      </c>
      <c r="D21" s="3">
        <v>16</v>
      </c>
      <c r="E21" s="4">
        <f t="shared" si="0"/>
        <v>12.8</v>
      </c>
      <c r="F21" s="4">
        <f t="shared" si="1"/>
        <v>12.16</v>
      </c>
      <c r="G21" s="4">
        <v>7.23</v>
      </c>
      <c r="H21" s="8">
        <f>(G21*K4)/100+G21</f>
        <v>15.183</v>
      </c>
      <c r="I21" s="8">
        <f t="shared" si="2"/>
        <v>0.45187500000000003</v>
      </c>
      <c r="J21" s="17">
        <f>(E21/E12)*100</f>
        <v>66.666666666666657</v>
      </c>
      <c r="K21" s="17">
        <f>(F21/E12)*100</f>
        <v>63.333333333333321</v>
      </c>
      <c r="L21" s="4">
        <f>(E21/F12)*100</f>
        <v>70.175438596491219</v>
      </c>
      <c r="M21" s="17">
        <f>(F21/F12)*100</f>
        <v>66.666666666666657</v>
      </c>
    </row>
    <row r="22" spans="2:14" x14ac:dyDescent="0.3">
      <c r="B22" s="100" t="s">
        <v>9</v>
      </c>
      <c r="C22" s="5" t="s">
        <v>8</v>
      </c>
      <c r="D22" s="5">
        <v>30</v>
      </c>
      <c r="E22" s="4">
        <f t="shared" si="0"/>
        <v>24</v>
      </c>
      <c r="F22" s="4">
        <f t="shared" si="1"/>
        <v>22.8</v>
      </c>
      <c r="G22" s="9">
        <v>9.61</v>
      </c>
      <c r="H22" s="12">
        <f>(G22*K4)/100+G22</f>
        <v>20.180999999999997</v>
      </c>
      <c r="I22" s="8">
        <f t="shared" si="2"/>
        <v>0.3203333333333333</v>
      </c>
      <c r="J22" s="17">
        <f>(E22/E12)*100</f>
        <v>124.99999999999997</v>
      </c>
      <c r="K22" s="17">
        <f>(F22/E12)*100</f>
        <v>118.74999999999997</v>
      </c>
      <c r="L22" s="4">
        <f>(E22/F12)*100</f>
        <v>131.57894736842104</v>
      </c>
      <c r="M22" s="17">
        <f>(F22/F12)*100</f>
        <v>125</v>
      </c>
    </row>
    <row r="23" spans="2:14" x14ac:dyDescent="0.3">
      <c r="B23" s="100"/>
      <c r="C23" s="5" t="s">
        <v>12</v>
      </c>
      <c r="D23" s="5">
        <v>19</v>
      </c>
      <c r="E23" s="4">
        <f t="shared" si="0"/>
        <v>15.200000000000001</v>
      </c>
      <c r="F23" s="4">
        <f t="shared" si="1"/>
        <v>14.44</v>
      </c>
      <c r="G23" s="9">
        <v>9.61</v>
      </c>
      <c r="H23" s="12">
        <f>(G23*K4)/100+G23</f>
        <v>20.180999999999997</v>
      </c>
      <c r="I23" s="12">
        <f>G23/D23</f>
        <v>0.50578947368421046</v>
      </c>
      <c r="J23" s="17">
        <f>(E23/E12)*100</f>
        <v>79.166666666666657</v>
      </c>
      <c r="K23" s="17">
        <f>(F23/E22)*100</f>
        <v>60.166666666666671</v>
      </c>
      <c r="L23" s="4">
        <f>(E23/F12)*100</f>
        <v>83.333333333333329</v>
      </c>
      <c r="M23" s="17">
        <f>(F23/F12)*100</f>
        <v>79.166666666666657</v>
      </c>
    </row>
    <row r="24" spans="2:14" x14ac:dyDescent="0.3">
      <c r="B24" s="32"/>
      <c r="C24" s="32"/>
      <c r="D24" s="32"/>
      <c r="E24" s="32"/>
      <c r="F24" s="32"/>
      <c r="G24" s="32"/>
      <c r="H24" s="43"/>
      <c r="I24" s="43"/>
      <c r="J24" s="44"/>
      <c r="K24" s="44"/>
      <c r="L24" s="32"/>
      <c r="M24" s="44"/>
    </row>
    <row r="25" spans="2:14" x14ac:dyDescent="0.3">
      <c r="B25" s="100" t="s">
        <v>63</v>
      </c>
      <c r="C25" s="41" t="s">
        <v>66</v>
      </c>
      <c r="D25" s="41" t="s">
        <v>2</v>
      </c>
      <c r="E25" s="41" t="s">
        <v>68</v>
      </c>
      <c r="F25" s="41" t="s">
        <v>69</v>
      </c>
      <c r="G25" s="41" t="s">
        <v>21</v>
      </c>
      <c r="H25" s="42" t="s">
        <v>26</v>
      </c>
      <c r="I25" s="42" t="s">
        <v>70</v>
      </c>
      <c r="J25" s="42" t="s">
        <v>71</v>
      </c>
      <c r="K25" s="44"/>
      <c r="L25" s="32"/>
      <c r="M25" s="44"/>
    </row>
    <row r="26" spans="2:14" ht="16.5" customHeight="1" x14ac:dyDescent="0.3">
      <c r="B26" s="100"/>
      <c r="C26" s="5" t="s">
        <v>67</v>
      </c>
      <c r="D26" s="5">
        <v>65</v>
      </c>
      <c r="E26" s="4">
        <v>65</v>
      </c>
      <c r="F26" s="4">
        <f>D26-(D26*0.1)</f>
        <v>58.5</v>
      </c>
      <c r="G26" s="4">
        <f>1.67+14.92</f>
        <v>16.59</v>
      </c>
      <c r="H26" s="8">
        <f>(G26*K4)/100+G26</f>
        <v>34.838999999999999</v>
      </c>
      <c r="I26" s="8">
        <f>G26/D26</f>
        <v>0.25523076923076921</v>
      </c>
      <c r="J26" s="17">
        <f>G26/F26</f>
        <v>0.28358974358974359</v>
      </c>
      <c r="K26" s="110" t="s">
        <v>74</v>
      </c>
      <c r="L26" s="111"/>
      <c r="M26" s="111"/>
      <c r="N26" s="111"/>
    </row>
    <row r="27" spans="2:14" x14ac:dyDescent="0.3">
      <c r="B27" s="100"/>
      <c r="C27" s="5" t="s">
        <v>65</v>
      </c>
      <c r="D27" s="5">
        <v>65</v>
      </c>
      <c r="E27" s="4">
        <v>65</v>
      </c>
      <c r="F27" s="4">
        <f>D27-(D27*0.1)</f>
        <v>58.5</v>
      </c>
      <c r="G27" s="4">
        <v>16.59</v>
      </c>
      <c r="H27" s="8">
        <f>(G27*K4)/100+G27</f>
        <v>34.838999999999999</v>
      </c>
      <c r="I27" s="8">
        <f>G27/D27</f>
        <v>0.25523076923076921</v>
      </c>
      <c r="J27" s="17">
        <f>G27/F27</f>
        <v>0.28358974358974359</v>
      </c>
      <c r="K27" s="110"/>
      <c r="L27" s="111"/>
      <c r="M27" s="111"/>
      <c r="N27" s="111"/>
    </row>
    <row r="29" spans="2:14" x14ac:dyDescent="0.3">
      <c r="B29" s="81" t="s">
        <v>32</v>
      </c>
      <c r="C29" s="81"/>
      <c r="D29" s="88" t="s">
        <v>37</v>
      </c>
      <c r="E29" s="88"/>
    </row>
    <row r="30" spans="2:14" ht="16.5" customHeight="1" x14ac:dyDescent="0.3">
      <c r="B30" s="81"/>
      <c r="C30" s="81"/>
      <c r="D30" s="16" t="s">
        <v>29</v>
      </c>
      <c r="E30" s="16" t="s">
        <v>30</v>
      </c>
      <c r="H30" s="76" t="s">
        <v>31</v>
      </c>
      <c r="I30" s="76"/>
      <c r="J30" s="76"/>
      <c r="K30" s="76"/>
      <c r="L30" s="74" t="s">
        <v>18</v>
      </c>
      <c r="M30" s="74"/>
      <c r="N30" s="6"/>
    </row>
    <row r="31" spans="2:14" x14ac:dyDescent="0.3">
      <c r="B31" s="81"/>
      <c r="C31" s="81"/>
      <c r="D31" s="18">
        <f>((E12/D15)-1)*100</f>
        <v>6.6666666666666874</v>
      </c>
      <c r="E31" s="18">
        <f>((F12/D15)-1)*100</f>
        <v>1.3333333333333419</v>
      </c>
      <c r="F31" s="84" t="s">
        <v>55</v>
      </c>
      <c r="G31" s="85"/>
      <c r="H31" s="76"/>
      <c r="I31" s="76"/>
      <c r="J31" s="76"/>
      <c r="K31" s="76"/>
      <c r="L31" s="74" t="s">
        <v>19</v>
      </c>
      <c r="M31" s="74"/>
      <c r="N31" s="6"/>
    </row>
    <row r="32" spans="2:14" x14ac:dyDescent="0.3">
      <c r="B32" s="81"/>
      <c r="C32" s="81"/>
      <c r="D32" s="82" t="s">
        <v>54</v>
      </c>
      <c r="E32" s="83"/>
      <c r="F32" s="84"/>
      <c r="G32" s="85"/>
      <c r="H32" s="19"/>
      <c r="I32" s="19"/>
      <c r="J32" s="19"/>
      <c r="K32" s="19"/>
      <c r="L32" s="74" t="s">
        <v>23</v>
      </c>
      <c r="M32" s="74"/>
      <c r="N32" s="6"/>
    </row>
    <row r="33" spans="2:14" x14ac:dyDescent="0.3">
      <c r="B33" s="81"/>
      <c r="C33" s="81"/>
      <c r="D33" s="16" t="s">
        <v>29</v>
      </c>
      <c r="E33" s="16" t="s">
        <v>30</v>
      </c>
      <c r="F33" s="86" t="s">
        <v>58</v>
      </c>
      <c r="G33" s="85"/>
      <c r="H33" s="33"/>
      <c r="I33" s="33"/>
      <c r="J33" s="33"/>
      <c r="K33" s="33"/>
      <c r="L33" s="7"/>
      <c r="M33" s="7"/>
      <c r="N33" s="6"/>
    </row>
    <row r="34" spans="2:14" x14ac:dyDescent="0.3">
      <c r="B34" s="81"/>
      <c r="C34" s="81"/>
      <c r="D34" s="18">
        <f>100-((((E12/2)/D14))*100)</f>
        <v>3.9999999999999858</v>
      </c>
      <c r="E34" s="18">
        <f>100-((((F12/2)/D14))*100)</f>
        <v>8.7999999999999829</v>
      </c>
      <c r="F34" s="84"/>
      <c r="G34" s="85"/>
      <c r="H34" s="33"/>
      <c r="I34" s="96" t="s">
        <v>59</v>
      </c>
      <c r="J34" s="97"/>
      <c r="K34" s="34">
        <f>((145-100)/2)/((18/2)/10)</f>
        <v>25</v>
      </c>
      <c r="L34" s="7"/>
      <c r="M34" s="7"/>
      <c r="N34" s="6"/>
    </row>
    <row r="35" spans="2:14" x14ac:dyDescent="0.3">
      <c r="B35" s="32"/>
      <c r="C35" s="32"/>
      <c r="D35" s="29"/>
      <c r="E35" s="29"/>
      <c r="F35" s="31"/>
      <c r="G35" s="6"/>
      <c r="H35" s="33"/>
      <c r="I35" s="96" t="s">
        <v>60</v>
      </c>
      <c r="J35" s="97"/>
      <c r="K35" s="35">
        <v>45</v>
      </c>
      <c r="L35" s="7"/>
      <c r="M35" s="7"/>
      <c r="N35" s="6"/>
    </row>
    <row r="36" spans="2:14" x14ac:dyDescent="0.3">
      <c r="B36" s="87" t="s">
        <v>56</v>
      </c>
      <c r="C36" s="87"/>
      <c r="D36" s="5" t="s">
        <v>29</v>
      </c>
      <c r="E36" s="5" t="s">
        <v>30</v>
      </c>
      <c r="F36" s="84" t="s">
        <v>57</v>
      </c>
      <c r="G36" s="85"/>
      <c r="H36" s="19"/>
      <c r="I36" s="19"/>
      <c r="J36" s="19"/>
      <c r="K36" s="19"/>
      <c r="L36" s="7"/>
      <c r="M36" s="7"/>
      <c r="N36" s="6"/>
    </row>
    <row r="37" spans="2:14" ht="16.5" customHeight="1" x14ac:dyDescent="0.3">
      <c r="B37" s="87"/>
      <c r="C37" s="87"/>
      <c r="D37" s="18">
        <f>((E12/2)/D14)*100</f>
        <v>96.000000000000014</v>
      </c>
      <c r="E37" s="18">
        <f>((F12/2)/D14)*100</f>
        <v>91.200000000000017</v>
      </c>
      <c r="F37" s="84"/>
      <c r="G37" s="85"/>
      <c r="H37" s="19"/>
      <c r="I37" s="98" t="s">
        <v>62</v>
      </c>
      <c r="J37" s="98"/>
      <c r="K37" s="98"/>
      <c r="L37" s="98"/>
      <c r="M37" s="98"/>
      <c r="N37" s="6"/>
    </row>
    <row r="38" spans="2:14" x14ac:dyDescent="0.3">
      <c r="I38" s="98"/>
      <c r="J38" s="98"/>
      <c r="K38" s="98"/>
      <c r="L38" s="98"/>
      <c r="M38" s="98"/>
      <c r="N38" s="6"/>
    </row>
    <row r="39" spans="2:14" x14ac:dyDescent="0.3">
      <c r="B39" s="2" t="s">
        <v>25</v>
      </c>
      <c r="C39" s="2" t="s">
        <v>21</v>
      </c>
      <c r="D39" s="2" t="s">
        <v>26</v>
      </c>
      <c r="E39" s="2" t="s">
        <v>47</v>
      </c>
      <c r="F39" s="2" t="s">
        <v>48</v>
      </c>
    </row>
    <row r="40" spans="2:14" ht="16.5" customHeight="1" x14ac:dyDescent="0.3">
      <c r="B40" s="38" t="s">
        <v>24</v>
      </c>
      <c r="C40" s="9">
        <v>4.25</v>
      </c>
      <c r="D40" s="3">
        <f>(C40*K4)/100+C40</f>
        <v>8.9250000000000007</v>
      </c>
      <c r="E40" s="3">
        <f>(D40*0.3)+D40</f>
        <v>11.602500000000001</v>
      </c>
      <c r="F40" s="23">
        <f>(D40*0.4)+D40</f>
        <v>12.495000000000001</v>
      </c>
      <c r="G40" s="21"/>
      <c r="H40" s="114" t="s">
        <v>84</v>
      </c>
      <c r="I40" s="114"/>
      <c r="J40" s="114"/>
      <c r="K40" s="114"/>
      <c r="L40" s="114"/>
      <c r="M40" s="114"/>
    </row>
    <row r="41" spans="2:14" ht="16.5" customHeight="1" x14ac:dyDescent="0.3">
      <c r="B41" s="105" t="s">
        <v>96</v>
      </c>
      <c r="C41" s="105"/>
      <c r="D41" s="105"/>
      <c r="E41" s="105"/>
      <c r="F41" s="105"/>
      <c r="G41" s="21"/>
      <c r="H41" s="114"/>
      <c r="I41" s="114"/>
      <c r="J41" s="114"/>
      <c r="K41" s="114"/>
      <c r="L41" s="114"/>
      <c r="M41" s="114"/>
    </row>
    <row r="42" spans="2:14" ht="16.5" customHeight="1" x14ac:dyDescent="0.3">
      <c r="B42" s="106"/>
      <c r="C42" s="106"/>
      <c r="D42" s="106"/>
      <c r="E42" s="106"/>
      <c r="F42" s="106"/>
      <c r="G42" s="21"/>
      <c r="H42" s="114"/>
      <c r="I42" s="114"/>
      <c r="J42" s="114"/>
      <c r="K42" s="114"/>
      <c r="L42" s="114"/>
      <c r="M42" s="114"/>
    </row>
    <row r="43" spans="2:14" ht="16.5" customHeight="1" x14ac:dyDescent="0.3">
      <c r="B43" s="106"/>
      <c r="C43" s="106"/>
      <c r="D43" s="106"/>
      <c r="E43" s="106"/>
      <c r="F43" s="106"/>
      <c r="G43" s="21"/>
      <c r="H43" s="114"/>
      <c r="I43" s="114"/>
      <c r="J43" s="114"/>
      <c r="K43" s="114"/>
      <c r="L43" s="114"/>
      <c r="M43" s="114"/>
    </row>
    <row r="44" spans="2:14" ht="16.5" customHeight="1" x14ac:dyDescent="0.3">
      <c r="B44" s="106"/>
      <c r="C44" s="106"/>
      <c r="D44" s="106"/>
      <c r="E44" s="106"/>
      <c r="F44" s="106"/>
      <c r="G44" s="21"/>
      <c r="H44" s="114"/>
      <c r="I44" s="114"/>
      <c r="J44" s="114"/>
      <c r="K44" s="114"/>
      <c r="L44" s="114"/>
      <c r="M44" s="114"/>
    </row>
    <row r="45" spans="2:14" ht="16.5" customHeight="1" x14ac:dyDescent="0.3">
      <c r="E45" s="39" t="s">
        <v>46</v>
      </c>
      <c r="F45" s="40" t="s">
        <v>45</v>
      </c>
      <c r="G45" s="40" t="s">
        <v>44</v>
      </c>
      <c r="H45" s="114"/>
      <c r="I45" s="114"/>
      <c r="J45" s="114"/>
      <c r="K45" s="114"/>
      <c r="L45" s="114"/>
      <c r="M45" s="114"/>
    </row>
    <row r="46" spans="2:14" ht="16.5" customHeight="1" x14ac:dyDescent="0.3">
      <c r="B46" s="90" t="s">
        <v>38</v>
      </c>
      <c r="C46" s="90"/>
      <c r="D46" s="91"/>
      <c r="E46" s="22">
        <f>((100-(H17+H22+H20+H15))/D40)+0.5</f>
        <v>3.1391036414565825</v>
      </c>
      <c r="F46" s="24">
        <f>((100-(H17+H22+H20+H15))/E40)+0.5</f>
        <v>2.5300797241973711</v>
      </c>
      <c r="G46" s="24">
        <f>((100-(H17+H22+H20+H15))/F40)+0.5</f>
        <v>2.3850740296118449</v>
      </c>
      <c r="H46" s="114"/>
      <c r="I46" s="114"/>
      <c r="J46" s="114"/>
      <c r="K46" s="114"/>
      <c r="L46" s="114"/>
      <c r="M46" s="114"/>
    </row>
    <row r="47" spans="2:14" ht="16.5" customHeight="1" x14ac:dyDescent="0.3">
      <c r="B47" s="90" t="s">
        <v>39</v>
      </c>
      <c r="C47" s="90"/>
      <c r="D47" s="91"/>
      <c r="E47" s="22">
        <f>((100-(H17+H20+H15))/D40)+0.5</f>
        <v>5.4002801120448174</v>
      </c>
      <c r="F47" s="24">
        <f>((100-(H17+H20+H15))/E40)+0.5</f>
        <v>4.2694462400344744</v>
      </c>
      <c r="G47" s="24">
        <f>((100-(H17+H20+H15))/F40)+0.5</f>
        <v>4.0002000800320126</v>
      </c>
      <c r="H47" s="56"/>
      <c r="I47" s="56"/>
      <c r="J47" s="56"/>
      <c r="K47" s="56"/>
      <c r="L47" s="56"/>
      <c r="M47" s="56"/>
    </row>
    <row r="48" spans="2:14" ht="16.5" customHeight="1" x14ac:dyDescent="0.3">
      <c r="B48" s="90" t="s">
        <v>40</v>
      </c>
      <c r="C48" s="90"/>
      <c r="D48" s="91"/>
      <c r="E48" s="22">
        <f>((100-(H17+H22+H15))/D40)+0.5</f>
        <v>4.8402801120448178</v>
      </c>
      <c r="F48" s="24">
        <f>((100-(H17+H22+H15))/E40)+0.5</f>
        <v>3.8386770092652442</v>
      </c>
      <c r="G48" s="24">
        <f>((100-(H17+H22+H15))/F40)+0.5</f>
        <v>3.6002000800320126</v>
      </c>
      <c r="H48" s="56"/>
      <c r="I48" s="63"/>
      <c r="J48" s="63"/>
      <c r="K48" s="64"/>
      <c r="L48" s="65"/>
      <c r="M48" s="65"/>
      <c r="N48" s="61"/>
    </row>
    <row r="49" spans="2:16" ht="16.5" customHeight="1" x14ac:dyDescent="0.3">
      <c r="B49" s="90" t="s">
        <v>41</v>
      </c>
      <c r="C49" s="90"/>
      <c r="D49" s="91"/>
      <c r="E49" s="22">
        <f>((100-(H17+H15))/D40)+0.5</f>
        <v>7.1014565826330527</v>
      </c>
      <c r="F49" s="24">
        <f>((100-(H17+H15))/E40)+0.5</f>
        <v>5.5780435251023484</v>
      </c>
      <c r="G49" s="24">
        <f>((100-(H17+H15))/F40)+0.5</f>
        <v>5.2153261304521807</v>
      </c>
      <c r="H49" s="56"/>
      <c r="I49" s="60" t="s">
        <v>85</v>
      </c>
      <c r="J49" s="60">
        <v>14</v>
      </c>
      <c r="K49" s="115" t="s">
        <v>86</v>
      </c>
      <c r="L49" s="116"/>
      <c r="M49" s="116"/>
      <c r="N49" s="61"/>
    </row>
    <row r="50" spans="2:16" ht="16.5" customHeight="1" x14ac:dyDescent="0.3">
      <c r="B50" s="77" t="s">
        <v>50</v>
      </c>
      <c r="C50" s="77"/>
      <c r="D50" s="78"/>
      <c r="E50" s="25">
        <f>((100-(H19+H22+H20+H15))/D40)+0.5</f>
        <v>2.7532212885154057</v>
      </c>
      <c r="F50" s="26">
        <f>((100-(H19+H22+H20+H15))/E40)+0.5</f>
        <v>2.233247145011851</v>
      </c>
      <c r="G50" s="26">
        <f>((100-(H19+H22+H20+H15))/F40)+0.5</f>
        <v>2.1094437775110042</v>
      </c>
      <c r="H50" s="56"/>
      <c r="I50" s="59" t="s">
        <v>80</v>
      </c>
      <c r="J50" s="59">
        <v>2</v>
      </c>
      <c r="K50" s="115"/>
      <c r="L50" s="116"/>
      <c r="M50" s="116"/>
      <c r="N50" s="61"/>
    </row>
    <row r="51" spans="2:16" ht="16.5" customHeight="1" x14ac:dyDescent="0.3">
      <c r="B51" s="77" t="s">
        <v>51</v>
      </c>
      <c r="C51" s="77"/>
      <c r="D51" s="78"/>
      <c r="E51" s="25">
        <f>((100-(H19+H20+H15))/D40)+0.5</f>
        <v>5.0143977591036411</v>
      </c>
      <c r="F51" s="26">
        <f>((100-(H19+H20+H15))/E40)+0.5</f>
        <v>3.9726136608489546</v>
      </c>
      <c r="G51" s="26">
        <f>((100-(H19+H20+H15))/F40)+0.5</f>
        <v>3.7245698279311719</v>
      </c>
      <c r="H51" s="20"/>
      <c r="I51" s="60" t="s">
        <v>81</v>
      </c>
      <c r="J51" s="59">
        <v>5</v>
      </c>
      <c r="K51" s="115"/>
      <c r="L51" s="116"/>
      <c r="M51" s="116"/>
      <c r="N51" s="61"/>
    </row>
    <row r="52" spans="2:16" ht="16.5" customHeight="1" x14ac:dyDescent="0.3">
      <c r="B52" s="78" t="s">
        <v>114</v>
      </c>
      <c r="C52" s="108"/>
      <c r="D52" s="109"/>
      <c r="E52" s="25">
        <f>((100-(H26+H17+H22+H15))/D40)+0.5</f>
        <v>0.93675070028011165</v>
      </c>
      <c r="F52" s="26">
        <f>((100-(H26+H17+H22+H15))/E40)+0.5</f>
        <v>0.83596207713854742</v>
      </c>
      <c r="G52" s="26">
        <f>((100-(H26+H17+H22+H15))/F40)+0.5</f>
        <v>0.81196478591436549</v>
      </c>
      <c r="H52" s="20"/>
      <c r="I52" s="63"/>
      <c r="J52" s="67"/>
      <c r="K52" s="68"/>
      <c r="L52" s="68"/>
      <c r="M52" s="68"/>
      <c r="N52" s="61"/>
    </row>
    <row r="53" spans="2:16" ht="16.5" customHeight="1" x14ac:dyDescent="0.3">
      <c r="B53" s="78" t="s">
        <v>115</v>
      </c>
      <c r="C53" s="108"/>
      <c r="D53" s="109"/>
      <c r="E53" s="25">
        <f>((100-(H26+H17+H20+H15))/D40)+0.5</f>
        <v>1.4967507002801137</v>
      </c>
      <c r="F53" s="26">
        <f>((100-(H26+H17+H20+H15))/E40)+0.5</f>
        <v>1.2667313079077798</v>
      </c>
      <c r="G53" s="26">
        <f>((100-(H26+H17+H20+H15))/F40)+0.5</f>
        <v>1.211964785914367</v>
      </c>
      <c r="H53" s="20"/>
      <c r="I53" s="107" t="s">
        <v>120</v>
      </c>
      <c r="J53" s="107"/>
      <c r="K53" s="107"/>
      <c r="L53" s="107"/>
      <c r="M53" s="107"/>
      <c r="N53" s="61"/>
    </row>
    <row r="54" spans="2:16" ht="16.5" customHeight="1" x14ac:dyDescent="0.3">
      <c r="B54" s="78" t="s">
        <v>116</v>
      </c>
      <c r="C54" s="108"/>
      <c r="D54" s="109"/>
      <c r="E54" s="25">
        <f>((100-(H26+H17+H15))/D40)+0.5</f>
        <v>3.1979271708683479</v>
      </c>
      <c r="F54" s="26">
        <f>((100-(H26+H17+H15))/E40)+0.5</f>
        <v>2.5753285929756524</v>
      </c>
      <c r="G54" s="26">
        <f>((100-(H26+H17+H15))/F40)+0.5</f>
        <v>2.4270908363345343</v>
      </c>
      <c r="H54" s="20"/>
      <c r="I54" s="107"/>
      <c r="J54" s="107"/>
      <c r="K54" s="107"/>
      <c r="L54" s="107"/>
      <c r="M54" s="107"/>
      <c r="N54" s="61"/>
    </row>
    <row r="55" spans="2:16" ht="16.5" customHeight="1" x14ac:dyDescent="0.3">
      <c r="B55" s="78" t="s">
        <v>117</v>
      </c>
      <c r="C55" s="108"/>
      <c r="D55" s="109"/>
      <c r="E55" s="25">
        <f>((100-(H26+H19+H22+H15))/D40)+0.5</f>
        <v>0.55086834733893641</v>
      </c>
      <c r="F55" s="26">
        <f>((100-(H26+H19+H22+H15))/E40)+0.5</f>
        <v>0.539129497953028</v>
      </c>
      <c r="G55" s="26">
        <f>((100-(H26+H19+H22+H15))/F40)+0.5</f>
        <v>0.53633453381352603</v>
      </c>
      <c r="H55" s="20"/>
      <c r="I55" s="107"/>
      <c r="J55" s="107"/>
      <c r="K55" s="107"/>
      <c r="L55" s="107"/>
      <c r="M55" s="107"/>
      <c r="N55" s="61"/>
    </row>
    <row r="56" spans="2:16" ht="16.5" customHeight="1" x14ac:dyDescent="0.3">
      <c r="B56" s="78" t="s">
        <v>118</v>
      </c>
      <c r="C56" s="108"/>
      <c r="D56" s="109"/>
      <c r="E56" s="25">
        <f>((100-(H26+H19+H20+H15))/D40)+0.5</f>
        <v>1.1108683473389354</v>
      </c>
      <c r="F56" s="26">
        <f>((100-(H26+H19+H20+H15))/E40)+0.5</f>
        <v>0.96989872872225802</v>
      </c>
      <c r="G56" s="26">
        <f>((100-(H26+H19+H20+H15))/F40)+0.5</f>
        <v>0.93633453381352516</v>
      </c>
      <c r="H56" s="20"/>
      <c r="I56" s="107"/>
      <c r="J56" s="107"/>
      <c r="K56" s="107"/>
      <c r="L56" s="107"/>
      <c r="M56" s="107"/>
      <c r="N56" s="61"/>
    </row>
    <row r="57" spans="2:16" ht="16.5" customHeight="1" x14ac:dyDescent="0.3">
      <c r="B57" s="78" t="s">
        <v>119</v>
      </c>
      <c r="C57" s="108"/>
      <c r="D57" s="109"/>
      <c r="E57" s="25">
        <f>((100-(H26+H19+H15))/D40)+0.5</f>
        <v>2.8120448179271698</v>
      </c>
      <c r="F57" s="26">
        <f>((100-(H26+H19+H15))/E40)+0.5</f>
        <v>2.2784960137901304</v>
      </c>
      <c r="G57" s="26">
        <f>((100-(H26+H19+H15))/F40)+0.5</f>
        <v>2.1514605842336927</v>
      </c>
      <c r="H57" s="20"/>
      <c r="I57" s="107"/>
      <c r="J57" s="107"/>
      <c r="K57" s="107"/>
      <c r="L57" s="107"/>
      <c r="M57" s="107"/>
      <c r="N57" s="61"/>
    </row>
    <row r="58" spans="2:16" ht="16.5" customHeight="1" x14ac:dyDescent="0.3">
      <c r="B58" s="77" t="s">
        <v>52</v>
      </c>
      <c r="C58" s="77"/>
      <c r="D58" s="78"/>
      <c r="E58" s="25">
        <f>((100-(H19+H22+H15))/D40)+0.5</f>
        <v>4.4543977591036423</v>
      </c>
      <c r="F58" s="26">
        <f>((100-(H19+H22+H15))/E40)+0.5</f>
        <v>3.5418444300797245</v>
      </c>
      <c r="G58" s="26">
        <f>((100-(H19+H22+H15))/F40)+0.5</f>
        <v>3.3245698279311728</v>
      </c>
      <c r="H58" s="49"/>
      <c r="I58" s="53"/>
      <c r="J58" s="54"/>
      <c r="K58" s="54"/>
      <c r="L58" s="50"/>
      <c r="M58" s="50"/>
    </row>
    <row r="59" spans="2:16" ht="16.5" customHeight="1" x14ac:dyDescent="0.3">
      <c r="B59" s="77" t="s">
        <v>53</v>
      </c>
      <c r="C59" s="77"/>
      <c r="D59" s="78"/>
      <c r="E59" s="25">
        <f>((100-(H19+H15))/D40)+0.5</f>
        <v>6.7155742296918755</v>
      </c>
      <c r="F59" s="26">
        <f>((100-(H19+H15))/E40)+0.5</f>
        <v>5.2812109459168273</v>
      </c>
      <c r="G59" s="26">
        <f>((100-(H19+H15))/F40)+0.5</f>
        <v>4.9396958783513396</v>
      </c>
      <c r="H59" s="49"/>
      <c r="I59" s="112" t="s">
        <v>83</v>
      </c>
      <c r="J59" s="51" t="s">
        <v>77</v>
      </c>
      <c r="K59" s="51" t="s">
        <v>82</v>
      </c>
      <c r="L59" s="51" t="s">
        <v>78</v>
      </c>
      <c r="M59" s="51" t="s">
        <v>79</v>
      </c>
      <c r="N59" s="30"/>
      <c r="O59" s="30"/>
      <c r="P59" s="57"/>
    </row>
    <row r="60" spans="2:16" ht="16.5" customHeight="1" x14ac:dyDescent="0.3">
      <c r="B60" s="79" t="s">
        <v>42</v>
      </c>
      <c r="C60" s="79"/>
      <c r="D60" s="80"/>
      <c r="E60" s="27">
        <f>((100-(H15))/D40)+0.5</f>
        <v>8.9515406162464988</v>
      </c>
      <c r="F60" s="28">
        <f>((100-(H15))/E40)+0.5</f>
        <v>7.0011850894203835</v>
      </c>
      <c r="G60" s="28">
        <f>((100-(H15))/F40)+0.5</f>
        <v>6.5368147258903564</v>
      </c>
      <c r="H60" s="49"/>
      <c r="I60" s="112"/>
      <c r="J60" s="51">
        <f>65-((65*(J49/100)))</f>
        <v>55.9</v>
      </c>
      <c r="K60" s="51">
        <f>J60-(J60*(J51*2/100))</f>
        <v>50.31</v>
      </c>
      <c r="L60" s="51">
        <f>J60-((J60*(J50*4/100)))</f>
        <v>51.427999999999997</v>
      </c>
      <c r="M60" s="51">
        <f>K60-((K60*(J50*4/100)))</f>
        <v>46.285200000000003</v>
      </c>
      <c r="N60" s="50"/>
      <c r="O60" s="30"/>
      <c r="P60" s="55"/>
    </row>
    <row r="61" spans="2:16" ht="16.5" customHeight="1" x14ac:dyDescent="0.3">
      <c r="B61" s="89" t="s">
        <v>88</v>
      </c>
      <c r="C61" s="89"/>
      <c r="D61" s="69"/>
      <c r="E61" s="47">
        <f>((100-((((H17-3)*1.3)+3)+H22+H20+(H15*1.3)-3))/D40)+0.5</f>
        <v>2.195170868347339</v>
      </c>
      <c r="F61" s="48">
        <f>((100-((((H17-3)*1.3)+3)+H22+H20+(H15*1.3)-3))/E40)+0.5</f>
        <v>1.8039775910364149</v>
      </c>
      <c r="G61" s="48">
        <f>((100-((((H17-3)*1.3)+3)+H22+H20+(H15*1.3)-3))/F40)+0.5</f>
        <v>1.7108363345338138</v>
      </c>
      <c r="H61" s="58"/>
      <c r="I61" s="113" t="s">
        <v>75</v>
      </c>
      <c r="J61" s="62" t="s">
        <v>77</v>
      </c>
      <c r="K61" s="62" t="s">
        <v>82</v>
      </c>
      <c r="L61" s="62" t="s">
        <v>78</v>
      </c>
      <c r="M61" s="62" t="s">
        <v>79</v>
      </c>
    </row>
    <row r="62" spans="2:16" ht="16.5" customHeight="1" x14ac:dyDescent="0.3">
      <c r="B62" s="89" t="s">
        <v>90</v>
      </c>
      <c r="C62" s="89"/>
      <c r="D62" s="69"/>
      <c r="E62" s="47">
        <f>((100-((((H17-3)*1.4)+3)+H22+H20+(H15*1.3)-3))/D40)+0.5</f>
        <v>2.0437759103641451</v>
      </c>
      <c r="F62" s="48">
        <f>((100-((((H17-3)*1.4)+3)+H22+H20+(H15*1.3)-3))/E40)+0.5</f>
        <v>1.6875199310493425</v>
      </c>
      <c r="G62" s="52" t="s">
        <v>76</v>
      </c>
      <c r="H62" s="58"/>
      <c r="I62" s="113"/>
      <c r="J62" s="62">
        <f>J60-((2+((0.5*K6)-0.5))*3)</f>
        <v>46.9</v>
      </c>
      <c r="K62" s="62">
        <f>K60-((2+((0.5*K6)-0.5))*3)</f>
        <v>41.31</v>
      </c>
      <c r="L62" s="62">
        <f>L60-((2+((0.5*K6)-0.5))*3)</f>
        <v>42.427999999999997</v>
      </c>
      <c r="M62" s="62">
        <f>M60-((2+((0.5*K6)-0.5))*3)</f>
        <v>37.285200000000003</v>
      </c>
    </row>
    <row r="63" spans="2:16" ht="16.5" customHeight="1" x14ac:dyDescent="0.3">
      <c r="B63" s="89" t="s">
        <v>89</v>
      </c>
      <c r="C63" s="89"/>
      <c r="D63" s="69"/>
      <c r="E63" s="47">
        <f>((100-((((H17-3)*1.3)+3)+H22+H20+(H15*1.4)-3))/D40)+0.5</f>
        <v>1.9198767507002812</v>
      </c>
      <c r="F63" s="48">
        <f>((100-((((H17-3)*1.3)+3)+H22+H20+(H15*1.4)-3))/E40)+0.5</f>
        <v>1.5922128851540625</v>
      </c>
      <c r="G63" s="52" t="s">
        <v>76</v>
      </c>
      <c r="H63" s="58"/>
      <c r="I63" s="117" t="s">
        <v>98</v>
      </c>
      <c r="J63" s="117"/>
      <c r="K63" s="117"/>
      <c r="L63" s="117"/>
      <c r="M63" s="117"/>
    </row>
    <row r="64" spans="2:16" ht="16.5" customHeight="1" x14ac:dyDescent="0.3">
      <c r="B64" s="89" t="s">
        <v>87</v>
      </c>
      <c r="C64" s="89"/>
      <c r="D64" s="69"/>
      <c r="E64" s="47">
        <f>((100-((((H17-3)*1.3)+3)+H20+(H15*1.4)-3))/D40)+0.5</f>
        <v>4.1810532212885159</v>
      </c>
      <c r="F64" s="48">
        <f>((100-((((H17-3)*1.3)+3)+H20+(H15*1.4)-3))/E40)+0.5</f>
        <v>3.3315794009911661</v>
      </c>
      <c r="G64" s="48">
        <f>((100-((((H17-3)*1.3)+3)+H20+(H15*1.4)-3))/F40)+0.5</f>
        <v>3.129323729491797</v>
      </c>
      <c r="H64" s="58"/>
      <c r="I64" s="118"/>
      <c r="J64" s="118"/>
      <c r="K64" s="118"/>
      <c r="L64" s="118"/>
      <c r="M64" s="118"/>
    </row>
    <row r="65" spans="2:13" ht="16.5" customHeight="1" x14ac:dyDescent="0.3">
      <c r="B65" s="89" t="s">
        <v>91</v>
      </c>
      <c r="C65" s="89"/>
      <c r="D65" s="69"/>
      <c r="E65" s="47">
        <f>((100-((H17*1.4)+H20+(H15*1.3)-3))/D40)+0.5</f>
        <v>4.1704985994397745</v>
      </c>
      <c r="F65" s="48">
        <f>((100-((H17*1.4)+H20+(H15*1.3)-3))/E40)+0.5</f>
        <v>3.3234604611075191</v>
      </c>
      <c r="G65" s="52" t="s">
        <v>76</v>
      </c>
      <c r="H65" s="58"/>
      <c r="I65" s="118"/>
      <c r="J65" s="118"/>
      <c r="K65" s="118"/>
      <c r="L65" s="118"/>
      <c r="M65" s="118"/>
    </row>
    <row r="66" spans="2:13" ht="16.5" customHeight="1" x14ac:dyDescent="0.3">
      <c r="B66" s="89" t="s">
        <v>92</v>
      </c>
      <c r="C66" s="89"/>
      <c r="D66" s="69"/>
      <c r="E66" s="47">
        <f>((100-((H17*1.3)+H20+(H15*1.4)-3))/D40)+0.5</f>
        <v>4.0802128851540616</v>
      </c>
      <c r="F66" s="48">
        <f>((100-((H17*1.3)+H20+(H15*1.4)-3))/E40)+0.5</f>
        <v>3.2540099116569703</v>
      </c>
      <c r="G66" s="52" t="s">
        <v>76</v>
      </c>
      <c r="H66" s="58"/>
      <c r="I66" s="118"/>
      <c r="J66" s="118"/>
      <c r="K66" s="118"/>
      <c r="L66" s="118"/>
      <c r="M66" s="118"/>
    </row>
    <row r="67" spans="2:13" ht="16.5" customHeight="1" x14ac:dyDescent="0.3">
      <c r="B67" s="89" t="s">
        <v>93</v>
      </c>
      <c r="C67" s="89"/>
      <c r="D67" s="69"/>
      <c r="E67" s="47">
        <f>((100-((((H17-3)*1.3)+3)+H22+(H15*1.3)-3))/D40)+0.5</f>
        <v>3.8963473389355734</v>
      </c>
      <c r="F67" s="48">
        <f>((100-((((H17-3)*1.3)+3)+H22+(H15*1.3)-3))/E40)+0.5</f>
        <v>3.1125748761042873</v>
      </c>
      <c r="G67" s="48">
        <f>((100-((((H17-3)*1.3)+3)+H22+(H15*1.3)-3))/F40)+0.5</f>
        <v>2.9259623849539813</v>
      </c>
      <c r="H67" s="58"/>
      <c r="I67" s="118"/>
      <c r="J67" s="118"/>
      <c r="K67" s="118"/>
      <c r="L67" s="118"/>
      <c r="M67" s="118"/>
    </row>
    <row r="68" spans="2:13" ht="16.5" customHeight="1" x14ac:dyDescent="0.3">
      <c r="B68" s="89" t="s">
        <v>94</v>
      </c>
      <c r="C68" s="89"/>
      <c r="D68" s="69"/>
      <c r="E68" s="47">
        <f>((100-((((H17-3)*1.4)+3)+H22+(H15*1.3)-3))/D40)+0.5</f>
        <v>3.7449523809523813</v>
      </c>
      <c r="F68" s="48">
        <f>((100-((((H17-3)*1.4)+3)+H22+(H15*1.3)-3))/E40)+0.5</f>
        <v>2.9961172161172165</v>
      </c>
      <c r="G68" s="52" t="s">
        <v>76</v>
      </c>
      <c r="H68" s="58"/>
      <c r="I68" s="118"/>
      <c r="J68" s="118"/>
      <c r="K68" s="118"/>
      <c r="L68" s="118"/>
      <c r="M68" s="118"/>
    </row>
    <row r="69" spans="2:13" ht="16.5" customHeight="1" x14ac:dyDescent="0.3">
      <c r="B69" s="89" t="s">
        <v>95</v>
      </c>
      <c r="C69" s="89"/>
      <c r="D69" s="69"/>
      <c r="E69" s="47">
        <f>((100-((((H17-3)*1.3)+3)+H22+(H15*1.4)-3))/D40)+0.5</f>
        <v>3.6210532212885154</v>
      </c>
      <c r="F69" s="48">
        <f>((100-((((H17-3)*1.3)+3)+H22+(H15*1.4)-3))/E40)+0.5</f>
        <v>2.9008101702219351</v>
      </c>
      <c r="G69" s="52" t="s">
        <v>76</v>
      </c>
      <c r="H69" s="58"/>
      <c r="I69" s="118"/>
      <c r="J69" s="118"/>
      <c r="K69" s="118"/>
      <c r="L69" s="118"/>
      <c r="M69" s="118"/>
    </row>
    <row r="70" spans="2:13" ht="16.5" customHeight="1" x14ac:dyDescent="0.3">
      <c r="B70" s="89" t="s">
        <v>110</v>
      </c>
      <c r="C70" s="89"/>
      <c r="D70" s="69"/>
      <c r="E70" s="47">
        <f>((100-((((H17-3)*1.3)+3)+(H15*1.3)-3))/D40)+0.5</f>
        <v>6.1575238095238083</v>
      </c>
      <c r="F70" s="48">
        <f>((100-((((H17-3)*1.3)+3)+(H15*1.3)-3))/E40)+0.5</f>
        <v>4.8519413919413914</v>
      </c>
      <c r="G70" s="48">
        <f>((100-((((H17-3)*1.3)+3)+(H15*1.3)-3))/F40)+0.5</f>
        <v>4.5410884353741485</v>
      </c>
      <c r="H70" s="58"/>
      <c r="I70" s="118"/>
      <c r="J70" s="118"/>
      <c r="K70" s="118"/>
      <c r="L70" s="118"/>
      <c r="M70" s="118"/>
    </row>
    <row r="71" spans="2:13" ht="16.5" customHeight="1" x14ac:dyDescent="0.3">
      <c r="B71" s="89" t="s">
        <v>111</v>
      </c>
      <c r="C71" s="89"/>
      <c r="D71" s="69"/>
      <c r="E71" s="47">
        <f>((100-((((H17-3)*1.3)+3)+(H15*1.4)-3))/D40)+0.5</f>
        <v>5.8822296918767503</v>
      </c>
      <c r="F71" s="48">
        <f>((100-((((H17-3)*1.3)+3)+(H15*1.4)-3))/E40)+0.5</f>
        <v>4.6401766860590383</v>
      </c>
      <c r="G71" s="52" t="s">
        <v>76</v>
      </c>
      <c r="H71" s="58"/>
      <c r="I71" s="118"/>
      <c r="J71" s="118"/>
      <c r="K71" s="118"/>
      <c r="L71" s="118"/>
      <c r="M71" s="118"/>
    </row>
    <row r="72" spans="2:13" ht="16.5" customHeight="1" x14ac:dyDescent="0.3">
      <c r="B72" s="89" t="s">
        <v>101</v>
      </c>
      <c r="C72" s="89"/>
      <c r="D72" s="69"/>
      <c r="E72" s="47">
        <f>((100-((((H19-3)*1.3)+3)+H22+H20+(H15*1.3)-3))/D40)+0.5</f>
        <v>1.6935238095238088</v>
      </c>
      <c r="F72" s="48">
        <f>((100-((((H19-3)*1.3)+3)+H22+H20+(H15*1.3)-3))/E40)+0.5</f>
        <v>1.4180952380952374</v>
      </c>
      <c r="G72" s="48">
        <f>((100-((((H19-3)*1.3)+3)+H22+H20+(H15*1.3)-3))/F40)+0.5</f>
        <v>1.3525170068027204</v>
      </c>
      <c r="H72" s="58"/>
      <c r="I72" s="118"/>
      <c r="J72" s="118"/>
      <c r="K72" s="118"/>
      <c r="L72" s="118"/>
      <c r="M72" s="118"/>
    </row>
    <row r="73" spans="2:13" ht="16.5" customHeight="1" x14ac:dyDescent="0.3">
      <c r="B73" s="89" t="s">
        <v>102</v>
      </c>
      <c r="C73" s="89"/>
      <c r="D73" s="69"/>
      <c r="E73" s="47">
        <f>((100-((((H19-3)*1.4)+3)+H22+H20+(H15*1.3)-3))/D40)+0.5</f>
        <v>1.5035406162464995</v>
      </c>
      <c r="F73" s="48">
        <f>((100-((((H19-4)*1.4)+3)+H22+H20+(H15*1.3)-3))/E40)+0.5</f>
        <v>1.3926179702650279</v>
      </c>
      <c r="G73" s="52" t="s">
        <v>76</v>
      </c>
      <c r="H73" s="58"/>
      <c r="I73" s="118"/>
      <c r="J73" s="118"/>
      <c r="K73" s="118"/>
      <c r="L73" s="118"/>
      <c r="M73" s="118"/>
    </row>
    <row r="74" spans="2:13" ht="16.5" customHeight="1" x14ac:dyDescent="0.3">
      <c r="B74" s="89" t="s">
        <v>103</v>
      </c>
      <c r="C74" s="89"/>
      <c r="D74" s="69"/>
      <c r="E74" s="47">
        <f>((100-((((H19-3)*1.3)+3)+H22+H20+(H15*1.4)-3))/D40)+0.5</f>
        <v>1.4182296918767507</v>
      </c>
      <c r="F74" s="48">
        <f>((100-((((H19-3)*1.3)+3)+H22+H20+(H15*1.4)-3))/E40)+0.5</f>
        <v>1.2063305322128852</v>
      </c>
      <c r="G74" s="52" t="s">
        <v>76</v>
      </c>
      <c r="H74" s="58"/>
      <c r="I74" s="66"/>
      <c r="J74" s="66"/>
      <c r="K74" s="66"/>
      <c r="L74" s="66"/>
      <c r="M74" s="66"/>
    </row>
    <row r="75" spans="2:13" ht="16.5" customHeight="1" x14ac:dyDescent="0.3">
      <c r="B75" s="89" t="s">
        <v>104</v>
      </c>
      <c r="C75" s="89"/>
      <c r="D75" s="69"/>
      <c r="E75" s="47">
        <f>((100-((((H19-3)*1.3)+3)+H20+(H15*1.4)-3))/D40)+0.5</f>
        <v>3.6794061624649856</v>
      </c>
      <c r="F75" s="48">
        <f>((100-((((H19-3)*1.3)+3)+H20+(H15*1.4)-3))/E40)+0.5</f>
        <v>2.9456970480499889</v>
      </c>
      <c r="G75" s="48">
        <f>((100-((((H19-3)*1.3)+3)+H20+(H15*1.4)-3))/F40)+0.5</f>
        <v>2.7710044017607038</v>
      </c>
      <c r="H75" s="58"/>
      <c r="I75" s="72" t="s">
        <v>121</v>
      </c>
      <c r="J75" s="72"/>
      <c r="K75" s="72"/>
      <c r="L75" s="72"/>
      <c r="M75" s="72"/>
    </row>
    <row r="76" spans="2:13" ht="16.5" customHeight="1" x14ac:dyDescent="0.3">
      <c r="B76" s="89" t="s">
        <v>105</v>
      </c>
      <c r="C76" s="89"/>
      <c r="D76" s="69"/>
      <c r="E76" s="47">
        <f>((100-((((H19-3)*1.4)+3)+H20+(H15*1.3)-3))/D40)+0.5</f>
        <v>3.7647170868347328</v>
      </c>
      <c r="F76" s="48">
        <f>((100-((((H19-3)*1.4)+3)+H20+(H15*1.3)-3))/E40)+0.5</f>
        <v>3.0113208360267176</v>
      </c>
      <c r="G76" s="52" t="s">
        <v>76</v>
      </c>
      <c r="H76" s="58"/>
      <c r="I76" s="72"/>
      <c r="J76" s="72"/>
      <c r="K76" s="72"/>
      <c r="L76" s="72"/>
      <c r="M76" s="72"/>
    </row>
    <row r="77" spans="2:13" ht="16.5" customHeight="1" x14ac:dyDescent="0.3">
      <c r="B77" s="89" t="s">
        <v>106</v>
      </c>
      <c r="C77" s="89"/>
      <c r="D77" s="69"/>
      <c r="E77" s="47">
        <f>((100-((((H19-3)*1.3)+3)+H20+(H15*1.4)-3))/D40)+0.5</f>
        <v>3.6794061624649856</v>
      </c>
      <c r="F77" s="48">
        <f>((100-((((H19-3)*1.3)+3)+H20+(H15*1.4)-3))/E40)+0.5</f>
        <v>2.9456970480499889</v>
      </c>
      <c r="G77" s="52" t="s">
        <v>76</v>
      </c>
      <c r="H77" s="58"/>
      <c r="I77" s="72"/>
      <c r="J77" s="72"/>
      <c r="K77" s="72"/>
      <c r="L77" s="72"/>
      <c r="M77" s="72"/>
    </row>
    <row r="78" spans="2:13" ht="16.5" customHeight="1" x14ac:dyDescent="0.3">
      <c r="B78" s="89" t="s">
        <v>107</v>
      </c>
      <c r="C78" s="89"/>
      <c r="D78" s="69"/>
      <c r="E78" s="47">
        <f>((100-((((H19-3)*1.3)+3)+H22+(H15*1.3)-3))/D40)+0.5</f>
        <v>3.3947002801120445</v>
      </c>
      <c r="F78" s="48">
        <f>((100-((((H19-3)*1.3)+3)+H22+(H15*1.3)-3))/E40)+0.5</f>
        <v>2.7266925231631114</v>
      </c>
      <c r="G78" s="48">
        <f>((100-((((H19-3)*1.3)+3)+H22+(H15*1.3)-3))/F40)+0.5</f>
        <v>2.567643057222889</v>
      </c>
      <c r="H78" s="58"/>
      <c r="I78" s="72"/>
      <c r="J78" s="72"/>
      <c r="K78" s="72"/>
      <c r="L78" s="72"/>
      <c r="M78" s="72"/>
    </row>
    <row r="79" spans="2:13" ht="16.5" customHeight="1" x14ac:dyDescent="0.3">
      <c r="B79" s="89" t="s">
        <v>108</v>
      </c>
      <c r="C79" s="89"/>
      <c r="D79" s="69"/>
      <c r="E79" s="47">
        <f>((100-((((H19-3)*1.4)+3)+H22+(H15*1.3)-3))/D40)+0.5</f>
        <v>3.2047170868347337</v>
      </c>
      <c r="F79" s="48">
        <f>((100-((((H19-3)*1.4)+3)+H22+(H15*1.3)-3))/E40)+0.5</f>
        <v>2.5805516052574875</v>
      </c>
      <c r="G79" s="52" t="s">
        <v>76</v>
      </c>
      <c r="H79" s="58"/>
      <c r="I79" s="72"/>
      <c r="J79" s="72"/>
      <c r="K79" s="72"/>
      <c r="L79" s="72"/>
      <c r="M79" s="72"/>
    </row>
    <row r="80" spans="2:13" ht="16.5" customHeight="1" x14ac:dyDescent="0.3">
      <c r="B80" s="89" t="s">
        <v>109</v>
      </c>
      <c r="C80" s="89"/>
      <c r="D80" s="69"/>
      <c r="E80" s="47">
        <f>((100-((((H19-3)*1.3)+3)+H22+(H15*1.4)-3))/D40)+0.5</f>
        <v>3.1194061624649865</v>
      </c>
      <c r="F80" s="48">
        <f>((100-((((H19-3)*1.3)+3)+H22+(H15*1.4)-3))/E40)+0.5</f>
        <v>2.5149278172807588</v>
      </c>
      <c r="G80" s="52" t="s">
        <v>76</v>
      </c>
      <c r="H80" s="58"/>
      <c r="I80" s="66"/>
      <c r="J80" s="66"/>
      <c r="K80" s="66"/>
      <c r="L80" s="66"/>
      <c r="M80" s="66"/>
    </row>
    <row r="81" spans="2:13" ht="16.5" customHeight="1" x14ac:dyDescent="0.3">
      <c r="B81" s="89" t="s">
        <v>112</v>
      </c>
      <c r="C81" s="89"/>
      <c r="D81" s="69"/>
      <c r="E81" s="47">
        <f>((100-((((H19-3)*1.3)+3)+(H15*1.3)-3))/D40)+0.5</f>
        <v>5.6558767507002798</v>
      </c>
      <c r="F81" s="48">
        <f>((100-((((H19-3)*1.3)+3)+(H15*1.3)-3))/E40)+0.5</f>
        <v>4.4660590390002151</v>
      </c>
      <c r="G81" s="48">
        <f>((100-((((H19-3)*1.3)+3)+(H15*1.3)-3))/F40)+0.5</f>
        <v>4.1827691076430566</v>
      </c>
      <c r="H81" s="58"/>
      <c r="I81" s="66"/>
      <c r="J81" s="66"/>
      <c r="K81" s="66"/>
      <c r="L81" s="66"/>
      <c r="M81" s="66"/>
    </row>
    <row r="82" spans="2:13" ht="16.5" customHeight="1" x14ac:dyDescent="0.3">
      <c r="B82" s="89" t="s">
        <v>113</v>
      </c>
      <c r="C82" s="89"/>
      <c r="D82" s="69"/>
      <c r="E82" s="47">
        <f>((100-((((H19-3)*1.3)+3)+(H15*1.4)-3))/D40)+0.5</f>
        <v>5.3805826330532209</v>
      </c>
      <c r="F82" s="48">
        <f>((100-((((H19-3)*1.3)+3)+(H15*1.4)-3))/E40)+0.5</f>
        <v>4.254294333117862</v>
      </c>
      <c r="G82" s="52" t="s">
        <v>76</v>
      </c>
      <c r="H82" s="58"/>
      <c r="I82" s="66"/>
      <c r="J82" s="66"/>
      <c r="K82" s="66"/>
      <c r="L82" s="66"/>
      <c r="M82" s="66"/>
    </row>
    <row r="83" spans="2:13" ht="16.5" customHeight="1" x14ac:dyDescent="0.3">
      <c r="B83" s="69" t="s">
        <v>122</v>
      </c>
      <c r="C83" s="70"/>
      <c r="D83" s="71"/>
      <c r="E83" s="47">
        <f>((100-((((H17-3)*1.3)+3)+H22+H26+(H15*1.3)-3))/D40)+0.5</f>
        <v>-7.1820728291318581E-3</v>
      </c>
      <c r="F83" s="48">
        <f>((100-((((H17-3)*1.3)+3)+H22+H26+(H15*1.3)-3))/E40)+0.5</f>
        <v>0.10985994397759091</v>
      </c>
      <c r="G83" s="48">
        <f>((100-((((H17-3)*1.3)+3)+H22+H26+(H15*1.3)-3))/F40)+0.5</f>
        <v>0.13772709083633439</v>
      </c>
      <c r="H83" s="58"/>
      <c r="I83" s="66"/>
      <c r="J83" s="66"/>
      <c r="K83" s="66"/>
      <c r="L83" s="66"/>
      <c r="M83" s="66"/>
    </row>
    <row r="84" spans="2:13" ht="16.5" customHeight="1" x14ac:dyDescent="0.3">
      <c r="B84" s="69" t="s">
        <v>141</v>
      </c>
      <c r="C84" s="70"/>
      <c r="D84" s="71"/>
      <c r="E84" s="47">
        <f>((100-((((H17-3)*1.4)+3)+H22+H26+(H15*1.3)-3))/D40)+0.5</f>
        <v>-0.1585770308123241</v>
      </c>
      <c r="F84" s="48">
        <f>((100-((((H17-3)*1.4)+3)+H22+H26+(H15*1.3)-3))/E40)+0.5</f>
        <v>-6.5977160094801146E-3</v>
      </c>
      <c r="G84" s="52" t="s">
        <v>76</v>
      </c>
      <c r="H84" s="58"/>
      <c r="I84" s="66"/>
      <c r="J84" s="66"/>
      <c r="K84" s="66"/>
      <c r="L84" s="66"/>
      <c r="M84" s="66"/>
    </row>
    <row r="85" spans="2:13" ht="16.5" customHeight="1" x14ac:dyDescent="0.3">
      <c r="B85" s="69" t="s">
        <v>140</v>
      </c>
      <c r="C85" s="70"/>
      <c r="D85" s="71"/>
      <c r="E85" s="47">
        <f>((100-((((H17-3)*1.3)+3)+H22+H26+(H15*1.4)-3))/D40)+0.5</f>
        <v>-0.28247619047618988</v>
      </c>
      <c r="F85" s="48">
        <f>((100-((((H17-3)*1.3)+3)+H22+H26+(H15*1.4)-3))/E40)+0.5</f>
        <v>-0.1019047619047615</v>
      </c>
      <c r="G85" s="52" t="s">
        <v>76</v>
      </c>
      <c r="H85" s="58"/>
      <c r="I85" s="66"/>
      <c r="J85" s="66"/>
      <c r="K85" s="66"/>
      <c r="L85" s="66"/>
      <c r="M85" s="66"/>
    </row>
    <row r="86" spans="2:13" ht="16.5" customHeight="1" x14ac:dyDescent="0.3">
      <c r="B86" s="69" t="s">
        <v>123</v>
      </c>
      <c r="C86" s="70"/>
      <c r="D86" s="71"/>
      <c r="E86" s="47">
        <f>((100-((((H17-3)*1.3)+3)+H27+H20+(H15*1.3)-3))/D40)+0.5</f>
        <v>0.55281792717086708</v>
      </c>
      <c r="F86" s="48">
        <f>((100-((((H17-3)*1.3)+3)+H27+H20+(H15*1.3)-3))/E40)+0.5</f>
        <v>0.54062917474682082</v>
      </c>
      <c r="G86" s="48">
        <f>((100-((((H17-3)*1.3)+3)+H27+H20+(H15*1.3)-3))/F40)+0.5</f>
        <v>0.53772709083633363</v>
      </c>
      <c r="H86" s="58"/>
      <c r="I86" s="66"/>
      <c r="J86" s="66"/>
      <c r="K86" s="66"/>
      <c r="L86" s="66"/>
      <c r="M86" s="66"/>
    </row>
    <row r="87" spans="2:13" ht="16.5" customHeight="1" x14ac:dyDescent="0.3">
      <c r="B87" s="69" t="s">
        <v>139</v>
      </c>
      <c r="C87" s="70"/>
      <c r="D87" s="71"/>
      <c r="E87" s="47">
        <f>((100-((((H17-3)*1.4)+3)+H27+H20+(H15*1.3)-3))/D40)+0.5</f>
        <v>0.40142296918767634</v>
      </c>
      <c r="F87" s="48">
        <f>((100-((((H17-3)*1.4)+3)+H27+H20+(H15*1.3)-3))/E40)+0.5</f>
        <v>0.42417151475975101</v>
      </c>
      <c r="G87" s="52" t="s">
        <v>76</v>
      </c>
      <c r="H87" s="58"/>
      <c r="I87" s="66"/>
      <c r="J87" s="66"/>
      <c r="K87" s="66"/>
      <c r="L87" s="66"/>
      <c r="M87" s="66"/>
    </row>
    <row r="88" spans="2:13" ht="16.5" customHeight="1" x14ac:dyDescent="0.3">
      <c r="B88" s="69" t="s">
        <v>138</v>
      </c>
      <c r="C88" s="70"/>
      <c r="D88" s="71"/>
      <c r="E88" s="47">
        <f>((100-((((H17-3)*1.3)+3)+H27+H20+(H15*1.4)-3))/D40)+0.5</f>
        <v>0.27752380952380895</v>
      </c>
      <c r="F88" s="48">
        <f>((100-((((H17-3)*1.3)+3)+H27+H20+(H15*1.4)-3))/E40)+0.5</f>
        <v>0.32886446886446841</v>
      </c>
      <c r="G88" s="52" t="s">
        <v>76</v>
      </c>
      <c r="H88" s="58"/>
      <c r="I88" s="66"/>
      <c r="J88" s="66"/>
      <c r="K88" s="66"/>
      <c r="L88" s="66"/>
      <c r="M88" s="66"/>
    </row>
    <row r="89" spans="2:13" ht="16.5" customHeight="1" x14ac:dyDescent="0.3">
      <c r="B89" s="69" t="s">
        <v>124</v>
      </c>
      <c r="C89" s="70"/>
      <c r="D89" s="71"/>
      <c r="E89" s="47">
        <f>((100-((((H17-3)*1.3)+3)+H27+(H15*1.3)-3))/D40)+0.5</f>
        <v>2.253994397759103</v>
      </c>
      <c r="F89" s="48">
        <f>((100-((((H17-3)*1.3)+3)+H27+(H15*1.3)-3))/E40)+0.5</f>
        <v>1.8492264598146946</v>
      </c>
      <c r="G89" s="48">
        <f>((100-((((H17-3)*1.3)+3)+H27+(H15*1.3)-3))/F40)+0.5</f>
        <v>1.752853141256502</v>
      </c>
      <c r="H89" s="58"/>
      <c r="I89" s="66"/>
      <c r="J89" s="66"/>
      <c r="K89" s="66"/>
      <c r="L89" s="66"/>
      <c r="M89" s="66"/>
    </row>
    <row r="90" spans="2:13" ht="16.5" customHeight="1" x14ac:dyDescent="0.3">
      <c r="B90" s="69" t="s">
        <v>137</v>
      </c>
      <c r="C90" s="70"/>
      <c r="D90" s="71"/>
      <c r="E90" s="47">
        <f>((100-((((H17-3)*1.4)+3)+H27+(H15*1.3)-3))/D40)+0.5</f>
        <v>2.1025994397759105</v>
      </c>
      <c r="F90" s="48">
        <f>((100-((((H17-3)*1.4)+3)+H27+(H15*1.3)-3))/E40)+0.5</f>
        <v>1.7327687998276236</v>
      </c>
      <c r="G90" s="52" t="s">
        <v>76</v>
      </c>
      <c r="H90" s="58"/>
      <c r="I90" s="120" t="s">
        <v>142</v>
      </c>
      <c r="J90" s="120"/>
      <c r="K90" s="120"/>
      <c r="L90" s="120"/>
      <c r="M90" s="120"/>
    </row>
    <row r="91" spans="2:13" ht="16.5" customHeight="1" x14ac:dyDescent="0.3">
      <c r="B91" s="69" t="s">
        <v>136</v>
      </c>
      <c r="C91" s="70"/>
      <c r="D91" s="71"/>
      <c r="E91" s="47">
        <f>((100-((((H17-3)*1.3)+3)+H27+(H15*1.4)-3))/D40)+0.5</f>
        <v>1.9787002801120448</v>
      </c>
      <c r="F91" s="48">
        <f>((100-((((H17-3)*1.3)+3)+H27+(H15*1.4)-3))/E40)+0.5</f>
        <v>1.6374617539323422</v>
      </c>
      <c r="G91" s="52" t="s">
        <v>76</v>
      </c>
      <c r="H91" s="58"/>
      <c r="I91" s="120"/>
      <c r="J91" s="120"/>
      <c r="K91" s="120"/>
      <c r="L91" s="120"/>
      <c r="M91" s="120"/>
    </row>
    <row r="92" spans="2:13" ht="16.5" customHeight="1" x14ac:dyDescent="0.3">
      <c r="B92" s="69" t="s">
        <v>125</v>
      </c>
      <c r="C92" s="70"/>
      <c r="D92" s="71"/>
      <c r="E92" s="47">
        <f>((100-((((H19-3)*1.3)+3)+H22+H27+(H15*1.3)-3))/D40)+0.5</f>
        <v>-0.50882913165266075</v>
      </c>
      <c r="F92" s="48">
        <f>((100-((((H19-3)*1.3)+3)+H22+H27+(H15*1.3)-3))/E40)+0.5</f>
        <v>-0.27602240896358521</v>
      </c>
      <c r="G92" s="48">
        <f>((100-((((H19-3)*1.3)+3)+H22+H27+(H15*1.3)-3))/F40)+0.5</f>
        <v>-0.22059223689475771</v>
      </c>
      <c r="H92" s="58"/>
      <c r="I92" s="120"/>
      <c r="J92" s="120"/>
      <c r="K92" s="120"/>
      <c r="L92" s="120"/>
      <c r="M92" s="120"/>
    </row>
    <row r="93" spans="2:13" ht="16.5" customHeight="1" x14ac:dyDescent="0.3">
      <c r="B93" s="69" t="s">
        <v>135</v>
      </c>
      <c r="C93" s="70"/>
      <c r="D93" s="71"/>
      <c r="E93" s="47">
        <f>((100-((((H19-3)*1.4)+3)+H22+H27+(H15*1.3)-3))/D40)+0.5</f>
        <v>-0.69881232492997158</v>
      </c>
      <c r="F93" s="48">
        <f>((100-((((H19-3)*1.4)+3)+H22+H27+(H15*1.3)-3))/E40)+0.5</f>
        <v>-0.42216332686920888</v>
      </c>
      <c r="G93" s="52" t="s">
        <v>76</v>
      </c>
      <c r="H93" s="58"/>
      <c r="I93" s="120"/>
      <c r="J93" s="120"/>
      <c r="K93" s="120"/>
      <c r="L93" s="120"/>
      <c r="M93" s="120"/>
    </row>
    <row r="94" spans="2:13" ht="16.5" customHeight="1" x14ac:dyDescent="0.3">
      <c r="B94" s="69" t="s">
        <v>134</v>
      </c>
      <c r="C94" s="70"/>
      <c r="D94" s="71"/>
      <c r="E94" s="47">
        <f>((100-((((H19-3)*1.3)+3)+H22+H27+(H15*1.4)-3))/D40)+0.5</f>
        <v>-0.78412324929971877</v>
      </c>
      <c r="F94" s="48">
        <f>((100-((((H19-3)*1.3)+3)+H22+H27+(H15*1.4)-3))/E40)+0.5</f>
        <v>-0.48778711484593762</v>
      </c>
      <c r="G94" s="52" t="s">
        <v>76</v>
      </c>
      <c r="H94" s="58"/>
      <c r="I94" s="120"/>
      <c r="J94" s="120"/>
      <c r="K94" s="120"/>
      <c r="L94" s="120"/>
      <c r="M94" s="120"/>
    </row>
    <row r="95" spans="2:13" ht="16.5" customHeight="1" x14ac:dyDescent="0.3">
      <c r="B95" s="69" t="s">
        <v>126</v>
      </c>
      <c r="C95" s="70"/>
      <c r="D95" s="71"/>
      <c r="E95" s="47">
        <f>((100-((((H19-3)*1.3)+3)+H20+H27+(H15*1.3)-3))/D40)+0.5</f>
        <v>5.1170868347338083E-2</v>
      </c>
      <c r="F95" s="48">
        <f>((100-((((H19-3)*1.3)+3)+H20+H27+(H15*1.3)-3))/E40)+0.5</f>
        <v>0.1547468218056447</v>
      </c>
      <c r="G95" s="48">
        <f>((100-((((H19-3)*1.3)+3)+H20+H27+(H15*1.4)-3))/F40)+0.5</f>
        <v>-1.7230892356942862E-2</v>
      </c>
      <c r="H95" s="58"/>
      <c r="I95" s="121" t="s">
        <v>143</v>
      </c>
      <c r="J95" s="121"/>
      <c r="K95" s="121"/>
      <c r="L95" s="121"/>
      <c r="M95" s="121"/>
    </row>
    <row r="96" spans="2:13" ht="16.5" customHeight="1" x14ac:dyDescent="0.3">
      <c r="B96" s="69" t="s">
        <v>133</v>
      </c>
      <c r="C96" s="70"/>
      <c r="D96" s="71"/>
      <c r="E96" s="47">
        <f>((100-((((H19-3)*1.4)+3)+H20+H27+(H15*1.3)-3))/D40)+0.5</f>
        <v>-0.13881232492997264</v>
      </c>
      <c r="F96" s="48">
        <f>((100-((((H19-3)*1.4)+3)+H20+H27+(H15*1.3)-3))/E40)+0.5</f>
        <v>8.605903900021028E-3</v>
      </c>
      <c r="G96" s="52" t="s">
        <v>76</v>
      </c>
      <c r="H96" s="58"/>
      <c r="I96" s="121"/>
      <c r="J96" s="121"/>
      <c r="K96" s="121"/>
      <c r="L96" s="121"/>
      <c r="M96" s="121"/>
    </row>
    <row r="97" spans="2:13" ht="16.5" customHeight="1" x14ac:dyDescent="0.3">
      <c r="B97" s="69" t="s">
        <v>132</v>
      </c>
      <c r="C97" s="70"/>
      <c r="D97" s="71"/>
      <c r="E97" s="47">
        <f>((100-((((H19-3)*1.3)+3)+H20+H27+(H15*1.4)-3))/D40)+0.5</f>
        <v>-0.22412324929971994</v>
      </c>
      <c r="F97" s="48">
        <f>((100-((((H19-3)*1.3)+3)+H20+H27+(H15*1.4)-3))/E40)+0.5</f>
        <v>-5.7017884076707714E-2</v>
      </c>
      <c r="G97" s="52" t="s">
        <v>76</v>
      </c>
      <c r="H97" s="58"/>
      <c r="I97" s="121"/>
      <c r="J97" s="121"/>
      <c r="K97" s="121"/>
      <c r="L97" s="121"/>
      <c r="M97" s="121"/>
    </row>
    <row r="98" spans="2:13" ht="16.5" customHeight="1" x14ac:dyDescent="0.3">
      <c r="B98" s="69" t="s">
        <v>127</v>
      </c>
      <c r="C98" s="70"/>
      <c r="D98" s="71"/>
      <c r="E98" s="47">
        <f>((100-((((H19-3)*1.3)+3)+H27+(H15*1.3)-3))/D40)+0.5</f>
        <v>1.7523473389355739</v>
      </c>
      <c r="F98" s="48">
        <f>((100-((((H19-3)*1.3)+3)+H27+(H15*1.3)-3))/E40)+0.5</f>
        <v>1.4633441068735185</v>
      </c>
      <c r="G98" s="48">
        <f>((100-((((H19-3)*1.3)+3)+H27+(H15*1.3)-3))/F40)+0.5</f>
        <v>1.3945338135254102</v>
      </c>
      <c r="H98" s="58"/>
      <c r="I98" s="121"/>
      <c r="J98" s="121"/>
      <c r="K98" s="121"/>
      <c r="L98" s="121"/>
      <c r="M98" s="121"/>
    </row>
    <row r="99" spans="2:13" ht="16.5" customHeight="1" x14ac:dyDescent="0.3">
      <c r="B99" s="69" t="s">
        <v>131</v>
      </c>
      <c r="C99" s="70"/>
      <c r="D99" s="71"/>
      <c r="E99" s="47">
        <f>((100-((((H19-3)*1.4)+3)+H27+(H15*1.3)-3))/D40)+0.5</f>
        <v>1.5623641456582633</v>
      </c>
      <c r="F99" s="48">
        <f>((100-((((H19-3)*1.4)+3)+H27+(H15*1.3)-3))/E40)+0.5</f>
        <v>1.3172031889678948</v>
      </c>
      <c r="G99" s="52" t="s">
        <v>76</v>
      </c>
      <c r="H99" s="58"/>
      <c r="I99" s="121"/>
      <c r="J99" s="121"/>
      <c r="K99" s="121"/>
      <c r="L99" s="121"/>
      <c r="M99" s="121"/>
    </row>
    <row r="100" spans="2:13" ht="16.5" customHeight="1" x14ac:dyDescent="0.3">
      <c r="B100" s="69" t="s">
        <v>130</v>
      </c>
      <c r="C100" s="70"/>
      <c r="D100" s="71"/>
      <c r="E100" s="47">
        <f>((100-((((H19-3)*1.3)+3)+H27+(H15*1.4)-3))/D40)+0.5</f>
        <v>1.4770532212885159</v>
      </c>
      <c r="F100" s="48">
        <f>((100-((((H19-3)*1.3)+3)+H27+(H15*1.4)-3))/E40)+0.5</f>
        <v>1.251579400991166</v>
      </c>
      <c r="G100" s="52" t="s">
        <v>76</v>
      </c>
      <c r="H100" s="58"/>
      <c r="I100" s="121"/>
      <c r="J100" s="121"/>
      <c r="K100" s="121"/>
      <c r="L100" s="121"/>
      <c r="M100" s="121"/>
    </row>
    <row r="101" spans="2:13" ht="16.5" customHeight="1" x14ac:dyDescent="0.3">
      <c r="B101" s="69" t="s">
        <v>128</v>
      </c>
      <c r="C101" s="70"/>
      <c r="D101" s="71"/>
      <c r="E101" s="47">
        <f>((100-(H27+(H15*1.3)))/D40)+0.5</f>
        <v>4.2221288515406155</v>
      </c>
      <c r="F101" s="48">
        <f>((100-(H27+(H15*1.3)))/E40)+0.5</f>
        <v>3.3631760396466275</v>
      </c>
      <c r="G101" s="48">
        <f>((100-(H27+(H15*1.3)))/F40)+0.5</f>
        <v>3.1586634653861543</v>
      </c>
      <c r="H101" s="58"/>
      <c r="I101" s="66"/>
      <c r="J101" s="66"/>
      <c r="K101" s="66"/>
      <c r="L101" s="66"/>
      <c r="M101" s="66"/>
    </row>
    <row r="102" spans="2:13" ht="16.5" customHeight="1" x14ac:dyDescent="0.3">
      <c r="B102" s="69" t="s">
        <v>129</v>
      </c>
      <c r="C102" s="70"/>
      <c r="D102" s="71"/>
      <c r="E102" s="47">
        <f>((100-(H27+(H15*1.4)))/D40)+0.5</f>
        <v>3.9468347338935579</v>
      </c>
      <c r="F102" s="48">
        <f>((100-(H27+(H15*1.4)))/E40)+0.5</f>
        <v>3.1514113337642753</v>
      </c>
      <c r="G102" s="52" t="s">
        <v>76</v>
      </c>
      <c r="H102" s="58"/>
      <c r="I102" s="66"/>
      <c r="J102" s="66"/>
      <c r="K102" s="66"/>
      <c r="L102" s="66"/>
      <c r="M102" s="66"/>
    </row>
    <row r="103" spans="2:13" ht="16.5" customHeight="1" x14ac:dyDescent="0.3">
      <c r="B103" s="89" t="s">
        <v>99</v>
      </c>
      <c r="C103" s="89"/>
      <c r="D103" s="69"/>
      <c r="E103" s="47">
        <f>((100-(H15*1.3))/D40)+0.5</f>
        <v>8.125658263305322</v>
      </c>
      <c r="F103" s="48">
        <f>((100-(H15*1.3))/E40)+0.5</f>
        <v>6.3658909717733243</v>
      </c>
      <c r="G103" s="48">
        <f>((100-(H15*1.3))/F40)+0.5</f>
        <v>5.9468987595038012</v>
      </c>
      <c r="H103" s="58"/>
      <c r="I103" s="66"/>
      <c r="J103" s="66"/>
      <c r="K103" s="66"/>
      <c r="L103" s="66"/>
      <c r="M103" s="66"/>
    </row>
    <row r="104" spans="2:13" ht="16.5" customHeight="1" x14ac:dyDescent="0.3">
      <c r="B104" s="89" t="s">
        <v>100</v>
      </c>
      <c r="C104" s="89"/>
      <c r="D104" s="69"/>
      <c r="E104" s="47">
        <f>((100-(H15*1.4))/D40)+0.5</f>
        <v>7.8503641456582631</v>
      </c>
      <c r="F104" s="48">
        <f>((100-(H15*1.4))/E40)+0.5</f>
        <v>6.1541262658909712</v>
      </c>
      <c r="G104" s="52" t="s">
        <v>76</v>
      </c>
      <c r="H104" s="58"/>
      <c r="I104" s="66"/>
      <c r="J104" s="66"/>
      <c r="K104" s="66"/>
      <c r="L104" s="66"/>
      <c r="M104" s="66"/>
    </row>
    <row r="105" spans="2:13" x14ac:dyDescent="0.3">
      <c r="B105" s="75"/>
      <c r="C105" s="75"/>
      <c r="D105" s="75"/>
      <c r="F105" s="21"/>
      <c r="G105" s="21"/>
      <c r="H105" s="21"/>
      <c r="I105" s="21"/>
      <c r="J105" s="21"/>
      <c r="K105" s="21"/>
    </row>
    <row r="106" spans="2:13" ht="16.5" customHeight="1" x14ac:dyDescent="0.3">
      <c r="B106" s="73" t="s">
        <v>49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</row>
    <row r="107" spans="2:13" ht="16.5" customHeight="1" x14ac:dyDescent="0.3"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</row>
    <row r="108" spans="2:13" x14ac:dyDescent="0.3">
      <c r="B108" s="119" t="s">
        <v>97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</row>
    <row r="109" spans="2:13" x14ac:dyDescent="0.3"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</row>
    <row r="110" spans="2:13" x14ac:dyDescent="0.3"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</row>
    <row r="111" spans="2:13" x14ac:dyDescent="0.3"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</row>
  </sheetData>
  <mergeCells count="97">
    <mergeCell ref="B108:L111"/>
    <mergeCell ref="B82:D82"/>
    <mergeCell ref="B75:D75"/>
    <mergeCell ref="B76:D76"/>
    <mergeCell ref="B77:D77"/>
    <mergeCell ref="B78:D78"/>
    <mergeCell ref="B79:D79"/>
    <mergeCell ref="B80:D80"/>
    <mergeCell ref="B81:D81"/>
    <mergeCell ref="B103:D103"/>
    <mergeCell ref="B104:D104"/>
    <mergeCell ref="I90:M94"/>
    <mergeCell ref="I95:M100"/>
    <mergeCell ref="H40:M46"/>
    <mergeCell ref="K49:M51"/>
    <mergeCell ref="B64:D64"/>
    <mergeCell ref="B66:D66"/>
    <mergeCell ref="I63:M73"/>
    <mergeCell ref="B67:D67"/>
    <mergeCell ref="B68:D68"/>
    <mergeCell ref="B69:D69"/>
    <mergeCell ref="I59:I60"/>
    <mergeCell ref="B70:D70"/>
    <mergeCell ref="B71:D71"/>
    <mergeCell ref="B72:D72"/>
    <mergeCell ref="B56:D56"/>
    <mergeCell ref="B57:D57"/>
    <mergeCell ref="I61:I62"/>
    <mergeCell ref="B73:D73"/>
    <mergeCell ref="B74:D74"/>
    <mergeCell ref="L5:M6"/>
    <mergeCell ref="B61:D61"/>
    <mergeCell ref="B62:D62"/>
    <mergeCell ref="B63:D63"/>
    <mergeCell ref="B41:F44"/>
    <mergeCell ref="L32:M32"/>
    <mergeCell ref="B48:D48"/>
    <mergeCell ref="B25:B27"/>
    <mergeCell ref="I53:M57"/>
    <mergeCell ref="B52:D52"/>
    <mergeCell ref="B53:D53"/>
    <mergeCell ref="B54:D54"/>
    <mergeCell ref="B55:D55"/>
    <mergeCell ref="K26:N27"/>
    <mergeCell ref="B2:K3"/>
    <mergeCell ref="B16:B19"/>
    <mergeCell ref="B51:D51"/>
    <mergeCell ref="B58:D58"/>
    <mergeCell ref="B59:D59"/>
    <mergeCell ref="I34:J34"/>
    <mergeCell ref="I35:J35"/>
    <mergeCell ref="I37:M38"/>
    <mergeCell ref="B49:D49"/>
    <mergeCell ref="B4:I9"/>
    <mergeCell ref="B14:B15"/>
    <mergeCell ref="B20:B21"/>
    <mergeCell ref="B22:B23"/>
    <mergeCell ref="J8:J9"/>
    <mergeCell ref="K8:M9"/>
    <mergeCell ref="B47:D47"/>
    <mergeCell ref="B106:M107"/>
    <mergeCell ref="L30:M30"/>
    <mergeCell ref="L31:M31"/>
    <mergeCell ref="B105:D105"/>
    <mergeCell ref="H30:K31"/>
    <mergeCell ref="B50:D50"/>
    <mergeCell ref="B60:D60"/>
    <mergeCell ref="B29:C34"/>
    <mergeCell ref="D32:E32"/>
    <mergeCell ref="F31:G32"/>
    <mergeCell ref="F33:G34"/>
    <mergeCell ref="B36:C37"/>
    <mergeCell ref="F36:G37"/>
    <mergeCell ref="D29:E29"/>
    <mergeCell ref="B65:D65"/>
    <mergeCell ref="B46:D46"/>
    <mergeCell ref="I75:M79"/>
    <mergeCell ref="B83:D83"/>
    <mergeCell ref="B86:D86"/>
    <mergeCell ref="B98:D98"/>
    <mergeCell ref="B101:D101"/>
    <mergeCell ref="B95:D95"/>
    <mergeCell ref="B92:D92"/>
    <mergeCell ref="B89:D89"/>
    <mergeCell ref="B99:D99"/>
    <mergeCell ref="B100:D100"/>
    <mergeCell ref="B96:D96"/>
    <mergeCell ref="B97:D97"/>
    <mergeCell ref="B93:D93"/>
    <mergeCell ref="B94:D94"/>
    <mergeCell ref="B90:D90"/>
    <mergeCell ref="B102:D102"/>
    <mergeCell ref="B87:D87"/>
    <mergeCell ref="B88:D88"/>
    <mergeCell ref="B84:D84"/>
    <mergeCell ref="B85:D85"/>
    <mergeCell ref="B91:D9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초신성폭발Ver.01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chaos23c@naver.com</dc:creator>
  <cp:lastModifiedBy>chaos23c@naver.com</cp:lastModifiedBy>
  <dcterms:created xsi:type="dcterms:W3CDTF">2024-08-16T14:15:11Z</dcterms:created>
  <dcterms:modified xsi:type="dcterms:W3CDTF">2024-10-25T09:25:40Z</dcterms:modified>
</cp:coreProperties>
</file>