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최성훈\Desktop\로아\"/>
    </mc:Choice>
  </mc:AlternateContent>
  <xr:revisionPtr revIDLastSave="0" documentId="13_ncr:1_{E0EE4930-5130-44B4-8249-7CB670C3D717}" xr6:coauthVersionLast="47" xr6:coauthVersionMax="47" xr10:uidLastSave="{00000000-0000-0000-0000-000000000000}"/>
  <bookViews>
    <workbookView xWindow="-165" yWindow="-165" windowWidth="51930" windowHeight="21210" xr2:uid="{99D78196-FDE8-4AAD-8228-B2912498F405}"/>
  </bookViews>
  <sheets>
    <sheet name="선풍용아" sheetId="1" r:id="rId1"/>
    <sheet name="선풍용류" sheetId="6" r:id="rId2"/>
    <sheet name="계산 수식" sheetId="3" r:id="rId3"/>
    <sheet name="선택 옵션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" l="1"/>
  <c r="G30" i="1"/>
  <c r="L23" i="6"/>
  <c r="L22" i="6"/>
  <c r="J22" i="6"/>
  <c r="M22" i="6" s="1"/>
  <c r="J22" i="1"/>
  <c r="M32" i="6"/>
  <c r="J27" i="6"/>
  <c r="L27" i="6" s="1"/>
  <c r="J26" i="6"/>
  <c r="L26" i="6" s="1"/>
  <c r="L25" i="6"/>
  <c r="J25" i="6"/>
  <c r="J24" i="6"/>
  <c r="L24" i="6" s="1"/>
  <c r="J23" i="6"/>
  <c r="B37" i="6"/>
  <c r="G37" i="6"/>
  <c r="B32" i="6"/>
  <c r="S16" i="6" s="1"/>
  <c r="U16" i="6" s="1"/>
  <c r="D30" i="6"/>
  <c r="D29" i="6"/>
  <c r="D28" i="6"/>
  <c r="D27" i="6"/>
  <c r="G26" i="6"/>
  <c r="D26" i="6"/>
  <c r="D25" i="6"/>
  <c r="D24" i="6"/>
  <c r="D32" i="6" s="1"/>
  <c r="AK18" i="6"/>
  <c r="AI18" i="6"/>
  <c r="AO18" i="6" s="1"/>
  <c r="AQ18" i="6" s="1"/>
  <c r="AH18" i="6"/>
  <c r="AG18" i="6"/>
  <c r="Z18" i="6"/>
  <c r="AB18" i="6" s="1"/>
  <c r="X18" i="6"/>
  <c r="AD18" i="6" s="1"/>
  <c r="AF18" i="6" s="1"/>
  <c r="W18" i="6"/>
  <c r="V18" i="6"/>
  <c r="S18" i="6"/>
  <c r="Q18" i="6"/>
  <c r="O18" i="6"/>
  <c r="M18" i="6"/>
  <c r="L18" i="6"/>
  <c r="K18" i="6"/>
  <c r="AK17" i="6"/>
  <c r="AI17" i="6"/>
  <c r="AO17" i="6" s="1"/>
  <c r="AH17" i="6"/>
  <c r="AG17" i="6"/>
  <c r="Z17" i="6"/>
  <c r="X17" i="6"/>
  <c r="AD17" i="6" s="1"/>
  <c r="W17" i="6"/>
  <c r="V17" i="6"/>
  <c r="S17" i="6"/>
  <c r="U17" i="6" s="1"/>
  <c r="O17" i="6"/>
  <c r="M17" i="6"/>
  <c r="L17" i="6"/>
  <c r="K17" i="6"/>
  <c r="H17" i="6"/>
  <c r="AK16" i="6"/>
  <c r="AM16" i="6" s="1"/>
  <c r="AI16" i="6"/>
  <c r="AO16" i="6" s="1"/>
  <c r="AQ16" i="6" s="1"/>
  <c r="AH16" i="6"/>
  <c r="AG16" i="6"/>
  <c r="Z16" i="6"/>
  <c r="AB16" i="6" s="1"/>
  <c r="X16" i="6"/>
  <c r="AD16" i="6" s="1"/>
  <c r="AF16" i="6" s="1"/>
  <c r="W16" i="6"/>
  <c r="V16" i="6"/>
  <c r="O16" i="6"/>
  <c r="M16" i="6"/>
  <c r="L16" i="6"/>
  <c r="K16" i="6"/>
  <c r="H16" i="6"/>
  <c r="AK15" i="6"/>
  <c r="AI15" i="6"/>
  <c r="AO15" i="6" s="1"/>
  <c r="AH15" i="6"/>
  <c r="AG15" i="6"/>
  <c r="Z15" i="6"/>
  <c r="X15" i="6"/>
  <c r="W15" i="6"/>
  <c r="V15" i="6"/>
  <c r="O15" i="6"/>
  <c r="M15" i="6"/>
  <c r="L15" i="6"/>
  <c r="K15" i="6"/>
  <c r="H15" i="6"/>
  <c r="AK14" i="6"/>
  <c r="AM14" i="6" s="1"/>
  <c r="AI14" i="6"/>
  <c r="AO14" i="6" s="1"/>
  <c r="AQ14" i="6" s="1"/>
  <c r="AH14" i="6"/>
  <c r="AG14" i="6"/>
  <c r="AD14" i="6"/>
  <c r="AF14" i="6" s="1"/>
  <c r="Z14" i="6"/>
  <c r="X14" i="6"/>
  <c r="W14" i="6"/>
  <c r="V14" i="6"/>
  <c r="O14" i="6"/>
  <c r="Q14" i="6" s="1"/>
  <c r="M14" i="6"/>
  <c r="S14" i="6" s="1"/>
  <c r="L14" i="6"/>
  <c r="K14" i="6"/>
  <c r="AK13" i="6"/>
  <c r="AM13" i="6" s="1"/>
  <c r="AI13" i="6"/>
  <c r="AO13" i="6" s="1"/>
  <c r="AQ13" i="6" s="1"/>
  <c r="AH13" i="6"/>
  <c r="AG13" i="6"/>
  <c r="AD13" i="6"/>
  <c r="AF13" i="6" s="1"/>
  <c r="AB13" i="6"/>
  <c r="Z13" i="6"/>
  <c r="X13" i="6"/>
  <c r="W13" i="6"/>
  <c r="V13" i="6"/>
  <c r="O13" i="6"/>
  <c r="M13" i="6"/>
  <c r="S13" i="6" s="1"/>
  <c r="L13" i="6"/>
  <c r="K13" i="6"/>
  <c r="H13" i="6"/>
  <c r="AK12" i="6"/>
  <c r="AI12" i="6"/>
  <c r="AO12" i="6" s="1"/>
  <c r="AH12" i="6"/>
  <c r="AG12" i="6"/>
  <c r="AD12" i="6"/>
  <c r="AF12" i="6" s="1"/>
  <c r="Z12" i="6"/>
  <c r="AB12" i="6" s="1"/>
  <c r="X12" i="6"/>
  <c r="W12" i="6"/>
  <c r="V12" i="6"/>
  <c r="O12" i="6"/>
  <c r="Q12" i="6" s="1"/>
  <c r="M12" i="6"/>
  <c r="S12" i="6" s="1"/>
  <c r="U12" i="6" s="1"/>
  <c r="L12" i="6"/>
  <c r="K12" i="6"/>
  <c r="AK11" i="6"/>
  <c r="AM11" i="6" s="1"/>
  <c r="AI11" i="6"/>
  <c r="AO11" i="6" s="1"/>
  <c r="AQ11" i="6" s="1"/>
  <c r="AH11" i="6"/>
  <c r="AG11" i="6"/>
  <c r="AD11" i="6"/>
  <c r="AF11" i="6" s="1"/>
  <c r="Z11" i="6"/>
  <c r="AB11" i="6" s="1"/>
  <c r="X11" i="6"/>
  <c r="W11" i="6"/>
  <c r="V11" i="6"/>
  <c r="O11" i="6"/>
  <c r="M11" i="6"/>
  <c r="S11" i="6" s="1"/>
  <c r="L11" i="6"/>
  <c r="K11" i="6"/>
  <c r="H11" i="6"/>
  <c r="AK10" i="6"/>
  <c r="AI10" i="6"/>
  <c r="AO10" i="6" s="1"/>
  <c r="AH10" i="6"/>
  <c r="AG10" i="6"/>
  <c r="AD10" i="6"/>
  <c r="Z10" i="6"/>
  <c r="X10" i="6"/>
  <c r="W10" i="6"/>
  <c r="V10" i="6"/>
  <c r="AB10" i="6" s="1"/>
  <c r="O10" i="6"/>
  <c r="Q10" i="6" s="1"/>
  <c r="M10" i="6"/>
  <c r="S10" i="6" s="1"/>
  <c r="U10" i="6" s="1"/>
  <c r="L10" i="6"/>
  <c r="K10" i="6"/>
  <c r="H10" i="6"/>
  <c r="AK9" i="6"/>
  <c r="AM9" i="6" s="1"/>
  <c r="AI9" i="6"/>
  <c r="AO9" i="6" s="1"/>
  <c r="AQ9" i="6" s="1"/>
  <c r="AH9" i="6"/>
  <c r="AG9" i="6"/>
  <c r="Z9" i="6"/>
  <c r="X9" i="6"/>
  <c r="AD9" i="6" s="1"/>
  <c r="AF9" i="6" s="1"/>
  <c r="W9" i="6"/>
  <c r="V9" i="6"/>
  <c r="O9" i="6"/>
  <c r="M9" i="6"/>
  <c r="S9" i="6" s="1"/>
  <c r="U9" i="6" s="1"/>
  <c r="L9" i="6"/>
  <c r="K9" i="6"/>
  <c r="H9" i="6"/>
  <c r="AK8" i="6"/>
  <c r="AI8" i="6"/>
  <c r="AO8" i="6" s="1"/>
  <c r="AH8" i="6"/>
  <c r="Z8" i="6"/>
  <c r="X8" i="6"/>
  <c r="AD8" i="6" s="1"/>
  <c r="W8" i="6"/>
  <c r="V8" i="6"/>
  <c r="O8" i="6"/>
  <c r="M8" i="6"/>
  <c r="S8" i="6" s="1"/>
  <c r="L8" i="6"/>
  <c r="K8" i="6"/>
  <c r="H8" i="6"/>
  <c r="AG8" i="6" s="1"/>
  <c r="AO7" i="6"/>
  <c r="AK7" i="6"/>
  <c r="AI7" i="6"/>
  <c r="AH7" i="6"/>
  <c r="Z7" i="6"/>
  <c r="X7" i="6"/>
  <c r="AD7" i="6" s="1"/>
  <c r="W7" i="6"/>
  <c r="V7" i="6"/>
  <c r="AB7" i="6" s="1"/>
  <c r="O7" i="6"/>
  <c r="Q7" i="6" s="1"/>
  <c r="M7" i="6"/>
  <c r="S7" i="6" s="1"/>
  <c r="U7" i="6" s="1"/>
  <c r="L7" i="6"/>
  <c r="K7" i="6"/>
  <c r="H7" i="6"/>
  <c r="AG7" i="6" s="1"/>
  <c r="AM7" i="6" s="1"/>
  <c r="AO6" i="6"/>
  <c r="AQ6" i="6" s="1"/>
  <c r="AK6" i="6"/>
  <c r="AI6" i="6"/>
  <c r="AH6" i="6"/>
  <c r="Z6" i="6"/>
  <c r="AB6" i="6" s="1"/>
  <c r="X6" i="6"/>
  <c r="AD6" i="6" s="1"/>
  <c r="W6" i="6"/>
  <c r="V6" i="6"/>
  <c r="O6" i="6"/>
  <c r="M6" i="6"/>
  <c r="S6" i="6" s="1"/>
  <c r="L6" i="6"/>
  <c r="K6" i="6"/>
  <c r="H6" i="6"/>
  <c r="AG6" i="6" s="1"/>
  <c r="AO5" i="6"/>
  <c r="AK5" i="6"/>
  <c r="AI5" i="6"/>
  <c r="AH5" i="6"/>
  <c r="Z5" i="6"/>
  <c r="AB5" i="6" s="1"/>
  <c r="X5" i="6"/>
  <c r="AD5" i="6" s="1"/>
  <c r="AF5" i="6" s="1"/>
  <c r="W5" i="6"/>
  <c r="V5" i="6"/>
  <c r="O5" i="6"/>
  <c r="Q5" i="6" s="1"/>
  <c r="M5" i="6"/>
  <c r="S5" i="6" s="1"/>
  <c r="U5" i="6" s="1"/>
  <c r="L5" i="6"/>
  <c r="K5" i="6"/>
  <c r="H5" i="6"/>
  <c r="AG5" i="6" s="1"/>
  <c r="AQ5" i="6" s="1"/>
  <c r="AK4" i="6"/>
  <c r="AI4" i="6"/>
  <c r="AH4" i="6"/>
  <c r="Z4" i="6"/>
  <c r="X4" i="6"/>
  <c r="AD4" i="6" s="1"/>
  <c r="AF4" i="6" s="1"/>
  <c r="W4" i="6"/>
  <c r="V4" i="6"/>
  <c r="AB4" i="6" s="1"/>
  <c r="O4" i="6"/>
  <c r="Q4" i="6" s="1"/>
  <c r="M4" i="6"/>
  <c r="S4" i="6" s="1"/>
  <c r="U4" i="6" s="1"/>
  <c r="L4" i="6"/>
  <c r="K4" i="6"/>
  <c r="H4" i="6"/>
  <c r="AG4" i="6" s="1"/>
  <c r="AK3" i="6"/>
  <c r="AI3" i="6"/>
  <c r="AO3" i="6" s="1"/>
  <c r="AH3" i="6"/>
  <c r="AG3" i="6"/>
  <c r="Z3" i="6"/>
  <c r="X3" i="6"/>
  <c r="AD3" i="6" s="1"/>
  <c r="W3" i="6"/>
  <c r="V3" i="6"/>
  <c r="O3" i="6"/>
  <c r="M3" i="6"/>
  <c r="S3" i="6" s="1"/>
  <c r="L3" i="6"/>
  <c r="K3" i="6"/>
  <c r="H3" i="6"/>
  <c r="AK2" i="6"/>
  <c r="AM2" i="6" s="1"/>
  <c r="AI2" i="6"/>
  <c r="AO2" i="6" s="1"/>
  <c r="AH2" i="6"/>
  <c r="AG2" i="6"/>
  <c r="Z2" i="6"/>
  <c r="AB2" i="6" s="1"/>
  <c r="X2" i="6"/>
  <c r="AD2" i="6" s="1"/>
  <c r="AF2" i="6" s="1"/>
  <c r="W2" i="6"/>
  <c r="V2" i="6"/>
  <c r="S2" i="6"/>
  <c r="U2" i="6" s="1"/>
  <c r="O2" i="6"/>
  <c r="D19" i="6" s="1"/>
  <c r="M2" i="6"/>
  <c r="L2" i="6"/>
  <c r="K2" i="6"/>
  <c r="H2" i="6"/>
  <c r="G26" i="1"/>
  <c r="B37" i="1"/>
  <c r="D32" i="1"/>
  <c r="B32" i="1"/>
  <c r="D25" i="1"/>
  <c r="D26" i="1"/>
  <c r="D27" i="1"/>
  <c r="D28" i="1"/>
  <c r="D29" i="1"/>
  <c r="D30" i="1"/>
  <c r="D24" i="1"/>
  <c r="L27" i="1"/>
  <c r="L26" i="1"/>
  <c r="L25" i="1"/>
  <c r="L24" i="1"/>
  <c r="L23" i="1"/>
  <c r="L22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2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M32" i="1"/>
  <c r="G37" i="1"/>
  <c r="Q2" i="6" l="1"/>
  <c r="Q17" i="6"/>
  <c r="AQ12" i="6"/>
  <c r="AF17" i="6"/>
  <c r="Q15" i="6"/>
  <c r="AM6" i="6"/>
  <c r="AF3" i="6"/>
  <c r="AB8" i="6"/>
  <c r="U6" i="6"/>
  <c r="AM17" i="6"/>
  <c r="U11" i="6"/>
  <c r="U3" i="6"/>
  <c r="AF10" i="6"/>
  <c r="Q8" i="6"/>
  <c r="AB17" i="6"/>
  <c r="AQ10" i="6"/>
  <c r="Q13" i="6"/>
  <c r="AM10" i="6"/>
  <c r="AB3" i="6"/>
  <c r="AQ17" i="6"/>
  <c r="AB15" i="6"/>
  <c r="Q6" i="6"/>
  <c r="AM3" i="6"/>
  <c r="Q11" i="6"/>
  <c r="AQ15" i="6"/>
  <c r="U8" i="6"/>
  <c r="AM12" i="6"/>
  <c r="AF8" i="6"/>
  <c r="AM15" i="6"/>
  <c r="AF6" i="6"/>
  <c r="Q9" i="6"/>
  <c r="M26" i="6"/>
  <c r="M27" i="6"/>
  <c r="M23" i="6"/>
  <c r="J31" i="6" s="1"/>
  <c r="M28" i="6"/>
  <c r="M24" i="6"/>
  <c r="M25" i="6"/>
  <c r="J30" i="6" s="1"/>
  <c r="AQ7" i="6"/>
  <c r="AQ8" i="6"/>
  <c r="Q3" i="6"/>
  <c r="AM8" i="6"/>
  <c r="AB14" i="6"/>
  <c r="AD15" i="6"/>
  <c r="AF15" i="6" s="1"/>
  <c r="AM18" i="6"/>
  <c r="AF7" i="6"/>
  <c r="AB9" i="6"/>
  <c r="U13" i="6"/>
  <c r="AQ2" i="6"/>
  <c r="AM4" i="6"/>
  <c r="U14" i="6"/>
  <c r="S15" i="6"/>
  <c r="U15" i="6" s="1"/>
  <c r="Q16" i="6"/>
  <c r="U18" i="6"/>
  <c r="AQ3" i="6"/>
  <c r="AO4" i="6"/>
  <c r="AQ4" i="6" s="1"/>
  <c r="AM5" i="6"/>
  <c r="D19" i="1"/>
  <c r="J23" i="1"/>
  <c r="J32" i="6" l="1"/>
  <c r="J27" i="1"/>
  <c r="AL7" i="6" l="1"/>
  <c r="AJ7" i="6" s="1"/>
  <c r="P2" i="6"/>
  <c r="N2" i="6" s="1"/>
  <c r="AP5" i="6"/>
  <c r="AN5" i="6" s="1"/>
  <c r="AA13" i="6"/>
  <c r="Y13" i="6" s="1"/>
  <c r="T17" i="6"/>
  <c r="R17" i="6" s="1"/>
  <c r="T7" i="6"/>
  <c r="R7" i="6" s="1"/>
  <c r="T4" i="6"/>
  <c r="R4" i="6" s="1"/>
  <c r="AE10" i="6"/>
  <c r="AC10" i="6" s="1"/>
  <c r="AA15" i="6"/>
  <c r="Y15" i="6" s="1"/>
  <c r="P14" i="6"/>
  <c r="N14" i="6" s="1"/>
  <c r="AE2" i="6"/>
  <c r="AC2" i="6" s="1"/>
  <c r="AE6" i="6"/>
  <c r="AC6" i="6" s="1"/>
  <c r="P11" i="6"/>
  <c r="N11" i="6" s="1"/>
  <c r="AP3" i="6"/>
  <c r="AN3" i="6" s="1"/>
  <c r="P13" i="6"/>
  <c r="N13" i="6" s="1"/>
  <c r="T10" i="6"/>
  <c r="R10" i="6" s="1"/>
  <c r="AL11" i="6"/>
  <c r="AJ11" i="6" s="1"/>
  <c r="AP10" i="6"/>
  <c r="AN10" i="6" s="1"/>
  <c r="AA10" i="6"/>
  <c r="Y10" i="6" s="1"/>
  <c r="P9" i="6"/>
  <c r="N9" i="6" s="1"/>
  <c r="T14" i="6"/>
  <c r="R14" i="6" s="1"/>
  <c r="P6" i="6"/>
  <c r="N6" i="6" s="1"/>
  <c r="AP14" i="6"/>
  <c r="AN14" i="6" s="1"/>
  <c r="T3" i="6"/>
  <c r="R3" i="6" s="1"/>
  <c r="AP8" i="6"/>
  <c r="AN8" i="6" s="1"/>
  <c r="AL16" i="6"/>
  <c r="AJ16" i="6" s="1"/>
  <c r="AP17" i="6"/>
  <c r="AN17" i="6" s="1"/>
  <c r="T9" i="6"/>
  <c r="R9" i="6" s="1"/>
  <c r="T12" i="6"/>
  <c r="R12" i="6" s="1"/>
  <c r="AL17" i="6"/>
  <c r="AJ17" i="6" s="1"/>
  <c r="AE4" i="6"/>
  <c r="AC4" i="6" s="1"/>
  <c r="P12" i="6"/>
  <c r="N12" i="6" s="1"/>
  <c r="AP18" i="6"/>
  <c r="AN18" i="6" s="1"/>
  <c r="AP16" i="6"/>
  <c r="AN16" i="6" s="1"/>
  <c r="AE15" i="6"/>
  <c r="AC15" i="6" s="1"/>
  <c r="P18" i="6"/>
  <c r="N18" i="6" s="1"/>
  <c r="AE16" i="6"/>
  <c r="AC16" i="6" s="1"/>
  <c r="T6" i="6"/>
  <c r="R6" i="6" s="1"/>
  <c r="AL14" i="6"/>
  <c r="AJ14" i="6" s="1"/>
  <c r="T18" i="6"/>
  <c r="R18" i="6" s="1"/>
  <c r="AL15" i="6"/>
  <c r="AJ15" i="6" s="1"/>
  <c r="P16" i="6"/>
  <c r="N16" i="6" s="1"/>
  <c r="AL12" i="6"/>
  <c r="AJ12" i="6" s="1"/>
  <c r="AE14" i="6"/>
  <c r="AC14" i="6" s="1"/>
  <c r="AE5" i="6"/>
  <c r="AC5" i="6" s="1"/>
  <c r="T11" i="6"/>
  <c r="R11" i="6" s="1"/>
  <c r="AP9" i="6"/>
  <c r="AN9" i="6" s="1"/>
  <c r="AE3" i="6"/>
  <c r="AC3" i="6" s="1"/>
  <c r="AA7" i="6"/>
  <c r="Y7" i="6" s="1"/>
  <c r="AL5" i="6"/>
  <c r="AJ5" i="6" s="1"/>
  <c r="AA6" i="6"/>
  <c r="Y6" i="6" s="1"/>
  <c r="AA8" i="6"/>
  <c r="Y8" i="6" s="1"/>
  <c r="AE9" i="6"/>
  <c r="AC9" i="6" s="1"/>
  <c r="AP4" i="6"/>
  <c r="AN4" i="6" s="1"/>
  <c r="AA4" i="6"/>
  <c r="Y4" i="6" s="1"/>
  <c r="AL3" i="6"/>
  <c r="AJ3" i="6" s="1"/>
  <c r="AP7" i="6"/>
  <c r="AN7" i="6" s="1"/>
  <c r="AA14" i="6"/>
  <c r="Y14" i="6" s="1"/>
  <c r="AE11" i="6"/>
  <c r="AC11" i="6" s="1"/>
  <c r="P4" i="6"/>
  <c r="N4" i="6" s="1"/>
  <c r="P7" i="6"/>
  <c r="N7" i="6" s="1"/>
  <c r="AA16" i="6"/>
  <c r="Y16" i="6" s="1"/>
  <c r="P5" i="6"/>
  <c r="N5" i="6" s="1"/>
  <c r="AP15" i="6"/>
  <c r="AN15" i="6" s="1"/>
  <c r="AL8" i="6"/>
  <c r="AJ8" i="6" s="1"/>
  <c r="AL2" i="6"/>
  <c r="AJ2" i="6" s="1"/>
  <c r="P17" i="6"/>
  <c r="N17" i="6" s="1"/>
  <c r="T2" i="6"/>
  <c r="R2" i="6" s="1"/>
  <c r="AA18" i="6"/>
  <c r="Y18" i="6" s="1"/>
  <c r="AA17" i="6"/>
  <c r="Y17" i="6" s="1"/>
  <c r="AE17" i="6"/>
  <c r="AC17" i="6" s="1"/>
  <c r="AE18" i="6"/>
  <c r="AC18" i="6" s="1"/>
  <c r="AL10" i="6"/>
  <c r="AJ10" i="6" s="1"/>
  <c r="AL9" i="6"/>
  <c r="AJ9" i="6" s="1"/>
  <c r="AP13" i="6"/>
  <c r="AN13" i="6" s="1"/>
  <c r="P3" i="6"/>
  <c r="N3" i="6" s="1"/>
  <c r="T8" i="6"/>
  <c r="R8" i="6" s="1"/>
  <c r="AE12" i="6"/>
  <c r="AC12" i="6" s="1"/>
  <c r="AL18" i="6"/>
  <c r="AJ18" i="6" s="1"/>
  <c r="AE13" i="6"/>
  <c r="AC13" i="6" s="1"/>
  <c r="AP6" i="6"/>
  <c r="AN6" i="6" s="1"/>
  <c r="AA2" i="6"/>
  <c r="Y2" i="6" s="1"/>
  <c r="T5" i="6"/>
  <c r="R5" i="6" s="1"/>
  <c r="AA12" i="6"/>
  <c r="Y12" i="6" s="1"/>
  <c r="AA5" i="6"/>
  <c r="Y5" i="6" s="1"/>
  <c r="AA3" i="6"/>
  <c r="Y3" i="6" s="1"/>
  <c r="AE7" i="6"/>
  <c r="AC7" i="6" s="1"/>
  <c r="AL6" i="6"/>
  <c r="AJ6" i="6" s="1"/>
  <c r="P8" i="6"/>
  <c r="N8" i="6" s="1"/>
  <c r="T13" i="6"/>
  <c r="R13" i="6" s="1"/>
  <c r="T16" i="6"/>
  <c r="R16" i="6" s="1"/>
  <c r="AL4" i="6"/>
  <c r="AJ4" i="6" s="1"/>
  <c r="P15" i="6"/>
  <c r="N15" i="6" s="1"/>
  <c r="AE8" i="6"/>
  <c r="AC8" i="6" s="1"/>
  <c r="AP11" i="6"/>
  <c r="AN11" i="6" s="1"/>
  <c r="AP12" i="6"/>
  <c r="AN12" i="6" s="1"/>
  <c r="AA9" i="6"/>
  <c r="Y9" i="6" s="1"/>
  <c r="AP2" i="6"/>
  <c r="AN2" i="6" s="1"/>
  <c r="AL13" i="6"/>
  <c r="AJ13" i="6" s="1"/>
  <c r="P10" i="6"/>
  <c r="N10" i="6" s="1"/>
  <c r="AA11" i="6"/>
  <c r="Y11" i="6" s="1"/>
  <c r="T15" i="6"/>
  <c r="R15" i="6" s="1"/>
  <c r="J26" i="1"/>
  <c r="J25" i="1"/>
  <c r="J24" i="1"/>
  <c r="J28" i="1" l="1"/>
  <c r="K6" i="1"/>
  <c r="Q6" i="1" s="1"/>
  <c r="K13" i="1"/>
  <c r="Q13" i="1" s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2" i="1"/>
  <c r="V18" i="1"/>
  <c r="AB18" i="1" s="1"/>
  <c r="V17" i="1"/>
  <c r="AB17" i="1" s="1"/>
  <c r="V16" i="1"/>
  <c r="AB16" i="1" s="1"/>
  <c r="V15" i="1"/>
  <c r="AB15" i="1" s="1"/>
  <c r="V14" i="1"/>
  <c r="AB14" i="1" s="1"/>
  <c r="V13" i="1"/>
  <c r="AB13" i="1" s="1"/>
  <c r="V12" i="1"/>
  <c r="AB12" i="1" s="1"/>
  <c r="V11" i="1"/>
  <c r="AB11" i="1" s="1"/>
  <c r="V10" i="1"/>
  <c r="AB10" i="1" s="1"/>
  <c r="V9" i="1"/>
  <c r="AB9" i="1" s="1"/>
  <c r="V8" i="1"/>
  <c r="AB8" i="1" s="1"/>
  <c r="V7" i="1"/>
  <c r="AB7" i="1" s="1"/>
  <c r="V6" i="1"/>
  <c r="AB6" i="1" s="1"/>
  <c r="V5" i="1"/>
  <c r="AB5" i="1" s="1"/>
  <c r="V4" i="1"/>
  <c r="AB4" i="1" s="1"/>
  <c r="V3" i="1"/>
  <c r="AB3" i="1" s="1"/>
  <c r="V2" i="1"/>
  <c r="AB2" i="1" s="1"/>
  <c r="AH3" i="1"/>
  <c r="AI3" i="1"/>
  <c r="AH4" i="1"/>
  <c r="AI4" i="1"/>
  <c r="AH5" i="1"/>
  <c r="AI5" i="1"/>
  <c r="AH6" i="1"/>
  <c r="AI6" i="1"/>
  <c r="AH7" i="1"/>
  <c r="AI7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I2" i="1"/>
  <c r="AH2" i="1"/>
  <c r="AG12" i="1"/>
  <c r="AM12" i="1" s="1"/>
  <c r="AG14" i="1"/>
  <c r="AM14" i="1" s="1"/>
  <c r="AG18" i="1"/>
  <c r="AM18" i="1" s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" i="1"/>
  <c r="K18" i="1"/>
  <c r="Q18" i="1" s="1"/>
  <c r="K17" i="1"/>
  <c r="Q17" i="1" s="1"/>
  <c r="K16" i="1"/>
  <c r="Q16" i="1" s="1"/>
  <c r="K15" i="1"/>
  <c r="Q15" i="1" s="1"/>
  <c r="K14" i="1"/>
  <c r="Q14" i="1" s="1"/>
  <c r="K12" i="1"/>
  <c r="Q12" i="1" s="1"/>
  <c r="K11" i="1"/>
  <c r="Q11" i="1" s="1"/>
  <c r="K10" i="1"/>
  <c r="Q10" i="1" s="1"/>
  <c r="K9" i="1"/>
  <c r="Q9" i="1" s="1"/>
  <c r="K8" i="1"/>
  <c r="Q8" i="1" s="1"/>
  <c r="K7" i="1"/>
  <c r="Q7" i="1" s="1"/>
  <c r="K5" i="1"/>
  <c r="Q5" i="1" s="1"/>
  <c r="K4" i="1"/>
  <c r="Q4" i="1" s="1"/>
  <c r="K3" i="1"/>
  <c r="Q3" i="1" s="1"/>
  <c r="K2" i="1"/>
  <c r="Q2" i="1" s="1"/>
  <c r="H16" i="1"/>
  <c r="AG16" i="1" s="1"/>
  <c r="AM16" i="1" s="1"/>
  <c r="H17" i="1"/>
  <c r="AG17" i="1" s="1"/>
  <c r="AM17" i="1" s="1"/>
  <c r="H15" i="1"/>
  <c r="H13" i="1"/>
  <c r="H11" i="1"/>
  <c r="H10" i="1"/>
  <c r="H9" i="1"/>
  <c r="H8" i="1"/>
  <c r="H7" i="1"/>
  <c r="H4" i="1"/>
  <c r="H6" i="1"/>
  <c r="AG6" i="1" s="1"/>
  <c r="AM6" i="1" s="1"/>
  <c r="H5" i="1"/>
  <c r="H3" i="1"/>
  <c r="AG3" i="1" s="1"/>
  <c r="AM3" i="1" s="1"/>
  <c r="H2" i="1"/>
  <c r="L28" i="1" l="1"/>
  <c r="M26" i="1" s="1"/>
  <c r="AD9" i="1"/>
  <c r="S2" i="1"/>
  <c r="S18" i="1"/>
  <c r="AD2" i="1"/>
  <c r="S8" i="1"/>
  <c r="S3" i="1"/>
  <c r="AD8" i="1"/>
  <c r="AD6" i="1"/>
  <c r="AD4" i="1"/>
  <c r="AO14" i="1"/>
  <c r="AO12" i="1"/>
  <c r="AO10" i="1"/>
  <c r="AO5" i="1"/>
  <c r="AD5" i="1"/>
  <c r="AD18" i="1"/>
  <c r="AO2" i="1"/>
  <c r="AO8" i="1"/>
  <c r="AO4" i="1"/>
  <c r="AD3" i="1"/>
  <c r="AO11" i="1"/>
  <c r="AO9" i="1"/>
  <c r="AO6" i="1"/>
  <c r="AD7" i="1"/>
  <c r="AO18" i="1"/>
  <c r="AO13" i="1"/>
  <c r="AO7" i="1"/>
  <c r="AD12" i="1"/>
  <c r="AD11" i="1"/>
  <c r="AO3" i="1"/>
  <c r="AD10" i="1"/>
  <c r="AD17" i="1"/>
  <c r="AD16" i="1"/>
  <c r="S16" i="1"/>
  <c r="S10" i="1"/>
  <c r="AD15" i="1"/>
  <c r="AO17" i="1"/>
  <c r="AD14" i="1"/>
  <c r="AO16" i="1"/>
  <c r="AD13" i="1"/>
  <c r="AO15" i="1"/>
  <c r="S15" i="1"/>
  <c r="S14" i="1"/>
  <c r="S13" i="1"/>
  <c r="S12" i="1"/>
  <c r="S11" i="1"/>
  <c r="S9" i="1"/>
  <c r="S7" i="1"/>
  <c r="S6" i="1"/>
  <c r="S5" i="1"/>
  <c r="S4" i="1"/>
  <c r="S17" i="1"/>
  <c r="U17" i="1" s="1"/>
  <c r="AG5" i="1"/>
  <c r="AM5" i="1" s="1"/>
  <c r="AG4" i="1"/>
  <c r="AM4" i="1" s="1"/>
  <c r="AG13" i="1"/>
  <c r="AM13" i="1" s="1"/>
  <c r="AG2" i="1"/>
  <c r="AM2" i="1" s="1"/>
  <c r="AG15" i="1"/>
  <c r="AM15" i="1" s="1"/>
  <c r="AG11" i="1"/>
  <c r="AM11" i="1" s="1"/>
  <c r="AG10" i="1"/>
  <c r="AM10" i="1" s="1"/>
  <c r="AG9" i="1"/>
  <c r="AM9" i="1" s="1"/>
  <c r="AG8" i="1"/>
  <c r="AM8" i="1" s="1"/>
  <c r="AG7" i="1"/>
  <c r="AM7" i="1" s="1"/>
  <c r="M27" i="1" l="1"/>
  <c r="M25" i="1"/>
  <c r="M23" i="1"/>
  <c r="J31" i="1" s="1"/>
  <c r="M24" i="1"/>
  <c r="M22" i="1"/>
  <c r="M28" i="1"/>
  <c r="J32" i="1" s="1"/>
  <c r="AF3" i="1"/>
  <c r="AQ12" i="1"/>
  <c r="AQ14" i="1"/>
  <c r="U15" i="1"/>
  <c r="AF4" i="1"/>
  <c r="U8" i="1"/>
  <c r="U18" i="1"/>
  <c r="U13" i="1"/>
  <c r="U14" i="1"/>
  <c r="AF6" i="1"/>
  <c r="AF14" i="1"/>
  <c r="AF15" i="1"/>
  <c r="U10" i="1"/>
  <c r="AF17" i="1"/>
  <c r="AF7" i="1"/>
  <c r="U5" i="1"/>
  <c r="U6" i="1"/>
  <c r="U9" i="1"/>
  <c r="AF5" i="1"/>
  <c r="AF13" i="1"/>
  <c r="AF8" i="1"/>
  <c r="AQ16" i="1"/>
  <c r="AF16" i="1"/>
  <c r="U7" i="1"/>
  <c r="AF18" i="1"/>
  <c r="U11" i="1"/>
  <c r="U12" i="1"/>
  <c r="AQ17" i="1"/>
  <c r="AF2" i="1"/>
  <c r="U16" i="1"/>
  <c r="AF9" i="1"/>
  <c r="AF10" i="1"/>
  <c r="AQ3" i="1"/>
  <c r="AF11" i="1"/>
  <c r="AF12" i="1"/>
  <c r="AQ18" i="1"/>
  <c r="AQ6" i="1"/>
  <c r="AQ13" i="1"/>
  <c r="AQ4" i="1"/>
  <c r="AQ15" i="1"/>
  <c r="U3" i="1"/>
  <c r="AQ7" i="1"/>
  <c r="AQ9" i="1"/>
  <c r="AQ8" i="1"/>
  <c r="AQ2" i="1"/>
  <c r="AQ11" i="1"/>
  <c r="AQ5" i="1"/>
  <c r="AQ10" i="1"/>
  <c r="U2" i="1"/>
  <c r="U4" i="1"/>
  <c r="J30" i="1" l="1"/>
  <c r="T10" i="1" s="1"/>
  <c r="R10" i="1" s="1"/>
  <c r="AL12" i="1"/>
  <c r="AJ12" i="1" s="1"/>
  <c r="AE6" i="1"/>
  <c r="AC6" i="1" s="1"/>
  <c r="AA14" i="1"/>
  <c r="Y14" i="1" s="1"/>
  <c r="AA9" i="1"/>
  <c r="Y9" i="1" s="1"/>
  <c r="AP15" i="1" l="1"/>
  <c r="AN15" i="1" s="1"/>
  <c r="P7" i="1"/>
  <c r="N7" i="1" s="1"/>
  <c r="AP10" i="1"/>
  <c r="AN10" i="1" s="1"/>
  <c r="AP11" i="1"/>
  <c r="AN11" i="1" s="1"/>
  <c r="P14" i="1"/>
  <c r="N14" i="1" s="1"/>
  <c r="AA18" i="1"/>
  <c r="Y18" i="1" s="1"/>
  <c r="AL18" i="1"/>
  <c r="AJ18" i="1" s="1"/>
  <c r="P6" i="1"/>
  <c r="N6" i="1" s="1"/>
  <c r="T18" i="1"/>
  <c r="R18" i="1" s="1"/>
  <c r="P11" i="1"/>
  <c r="N11" i="1" s="1"/>
  <c r="AA3" i="1"/>
  <c r="Y3" i="1" s="1"/>
  <c r="AP9" i="1"/>
  <c r="AN9" i="1" s="1"/>
  <c r="P12" i="1"/>
  <c r="N12" i="1" s="1"/>
  <c r="AE17" i="1"/>
  <c r="AC17" i="1" s="1"/>
  <c r="T17" i="1"/>
  <c r="R17" i="1" s="1"/>
  <c r="P18" i="1"/>
  <c r="N18" i="1" s="1"/>
  <c r="P8" i="1"/>
  <c r="N8" i="1" s="1"/>
  <c r="AE10" i="1"/>
  <c r="AC10" i="1" s="1"/>
  <c r="AP16" i="1"/>
  <c r="AN16" i="1" s="1"/>
  <c r="AP8" i="1"/>
  <c r="AN8" i="1" s="1"/>
  <c r="AA6" i="1"/>
  <c r="Y6" i="1" s="1"/>
  <c r="AE3" i="1"/>
  <c r="AC3" i="1" s="1"/>
  <c r="AA4" i="1"/>
  <c r="Y4" i="1" s="1"/>
  <c r="P2" i="1"/>
  <c r="N2" i="1" s="1"/>
  <c r="AL7" i="1"/>
  <c r="AJ7" i="1" s="1"/>
  <c r="P5" i="1"/>
  <c r="N5" i="1" s="1"/>
  <c r="AA5" i="1"/>
  <c r="Y5" i="1" s="1"/>
  <c r="AP3" i="1"/>
  <c r="AN3" i="1" s="1"/>
  <c r="AL10" i="1"/>
  <c r="AJ10" i="1" s="1"/>
  <c r="AL3" i="1"/>
  <c r="AJ3" i="1" s="1"/>
  <c r="AP7" i="1"/>
  <c r="AN7" i="1" s="1"/>
  <c r="T12" i="1"/>
  <c r="R12" i="1" s="1"/>
  <c r="P9" i="1"/>
  <c r="N9" i="1" s="1"/>
  <c r="AA11" i="1"/>
  <c r="Y11" i="1" s="1"/>
  <c r="AE2" i="1"/>
  <c r="AC2" i="1" s="1"/>
  <c r="P3" i="1"/>
  <c r="N3" i="1" s="1"/>
  <c r="AE9" i="1"/>
  <c r="AC9" i="1" s="1"/>
  <c r="P17" i="1"/>
  <c r="N17" i="1" s="1"/>
  <c r="AE7" i="1"/>
  <c r="AC7" i="1" s="1"/>
  <c r="AP6" i="1"/>
  <c r="AN6" i="1" s="1"/>
  <c r="T5" i="1"/>
  <c r="R5" i="1" s="1"/>
  <c r="P13" i="1"/>
  <c r="N13" i="1" s="1"/>
  <c r="T8" i="1"/>
  <c r="R8" i="1" s="1"/>
  <c r="AA15" i="1"/>
  <c r="Y15" i="1" s="1"/>
  <c r="AL15" i="1"/>
  <c r="AJ15" i="1" s="1"/>
  <c r="AL13" i="1"/>
  <c r="AJ13" i="1" s="1"/>
  <c r="AE5" i="1"/>
  <c r="AC5" i="1" s="1"/>
  <c r="AA7" i="1"/>
  <c r="Y7" i="1" s="1"/>
  <c r="T15" i="1"/>
  <c r="R15" i="1" s="1"/>
  <c r="AE16" i="1"/>
  <c r="AC16" i="1" s="1"/>
  <c r="AE8" i="1"/>
  <c r="AC8" i="1" s="1"/>
  <c r="T7" i="1"/>
  <c r="R7" i="1" s="1"/>
  <c r="AL17" i="1"/>
  <c r="AJ17" i="1" s="1"/>
  <c r="P10" i="1"/>
  <c r="N10" i="1" s="1"/>
  <c r="T2" i="1"/>
  <c r="R2" i="1" s="1"/>
  <c r="AE18" i="1"/>
  <c r="AC18" i="1" s="1"/>
  <c r="AL14" i="1"/>
  <c r="AJ14" i="1" s="1"/>
  <c r="AA8" i="1"/>
  <c r="Y8" i="1" s="1"/>
  <c r="AP4" i="1"/>
  <c r="AN4" i="1" s="1"/>
  <c r="AA12" i="1"/>
  <c r="Y12" i="1" s="1"/>
  <c r="AL5" i="1"/>
  <c r="AJ5" i="1" s="1"/>
  <c r="T6" i="1"/>
  <c r="R6" i="1" s="1"/>
  <c r="AE12" i="1"/>
  <c r="AC12" i="1" s="1"/>
  <c r="P15" i="1"/>
  <c r="N15" i="1" s="1"/>
  <c r="AL4" i="1"/>
  <c r="AJ4" i="1" s="1"/>
  <c r="AL11" i="1"/>
  <c r="AJ11" i="1" s="1"/>
  <c r="AA16" i="1"/>
  <c r="Y16" i="1" s="1"/>
  <c r="AL6" i="1"/>
  <c r="AJ6" i="1" s="1"/>
  <c r="AL16" i="1"/>
  <c r="AJ16" i="1" s="1"/>
  <c r="T13" i="1"/>
  <c r="R13" i="1" s="1"/>
  <c r="T4" i="1"/>
  <c r="R4" i="1" s="1"/>
  <c r="AE15" i="1"/>
  <c r="AC15" i="1" s="1"/>
  <c r="AP14" i="1"/>
  <c r="AN14" i="1" s="1"/>
  <c r="AE14" i="1"/>
  <c r="AC14" i="1" s="1"/>
  <c r="T3" i="1"/>
  <c r="R3" i="1" s="1"/>
  <c r="AL8" i="1"/>
  <c r="AJ8" i="1" s="1"/>
  <c r="AP5" i="1"/>
  <c r="AN5" i="1" s="1"/>
  <c r="AA13" i="1"/>
  <c r="Y13" i="1" s="1"/>
  <c r="AA10" i="1"/>
  <c r="Y10" i="1" s="1"/>
  <c r="AE4" i="1"/>
  <c r="AC4" i="1" s="1"/>
  <c r="AE11" i="1"/>
  <c r="AC11" i="1" s="1"/>
  <c r="P16" i="1"/>
  <c r="N16" i="1" s="1"/>
  <c r="AP2" i="1"/>
  <c r="AN2" i="1" s="1"/>
  <c r="T9" i="1"/>
  <c r="R9" i="1" s="1"/>
  <c r="AE13" i="1"/>
  <c r="AC13" i="1" s="1"/>
  <c r="T11" i="1"/>
  <c r="R11" i="1" s="1"/>
  <c r="AP18" i="1"/>
  <c r="AN18" i="1" s="1"/>
  <c r="P4" i="1"/>
  <c r="N4" i="1" s="1"/>
  <c r="AL9" i="1"/>
  <c r="AJ9" i="1" s="1"/>
  <c r="AA2" i="1"/>
  <c r="Y2" i="1" s="1"/>
  <c r="AP13" i="1"/>
  <c r="AN13" i="1" s="1"/>
  <c r="AA17" i="1"/>
  <c r="Y17" i="1" s="1"/>
  <c r="T14" i="1"/>
  <c r="R14" i="1" s="1"/>
  <c r="AL2" i="1"/>
  <c r="AJ2" i="1" s="1"/>
  <c r="AP12" i="1"/>
  <c r="AN12" i="1" s="1"/>
  <c r="AP17" i="1"/>
  <c r="AN17" i="1" s="1"/>
  <c r="T16" i="1"/>
  <c r="R16" i="1" s="1"/>
</calcChain>
</file>

<file path=xl/sharedStrings.xml><?xml version="1.0" encoding="utf-8"?>
<sst xmlns="http://schemas.openxmlformats.org/spreadsheetml/2006/main" count="309" uniqueCount="131">
  <si>
    <t>쿨감</t>
    <phoneticPr fontId="1" type="noConversion"/>
  </si>
  <si>
    <t>진피</t>
    <phoneticPr fontId="1" type="noConversion"/>
  </si>
  <si>
    <t>치적</t>
    <phoneticPr fontId="1" type="noConversion"/>
  </si>
  <si>
    <t>2T 끝마1</t>
    <phoneticPr fontId="1" type="noConversion"/>
  </si>
  <si>
    <t>2T 끝마2</t>
    <phoneticPr fontId="1" type="noConversion"/>
  </si>
  <si>
    <t>2T 예리1</t>
    <phoneticPr fontId="1" type="noConversion"/>
  </si>
  <si>
    <t>2T 예리2</t>
    <phoneticPr fontId="1" type="noConversion"/>
  </si>
  <si>
    <t>2T 한돌1</t>
    <phoneticPr fontId="1" type="noConversion"/>
  </si>
  <si>
    <t>2T 한돌2</t>
    <phoneticPr fontId="1" type="noConversion"/>
  </si>
  <si>
    <t>2T 한돌3</t>
    <phoneticPr fontId="1" type="noConversion"/>
  </si>
  <si>
    <t>3T 무마2</t>
    <phoneticPr fontId="1" type="noConversion"/>
  </si>
  <si>
    <t>4T 뭉가2</t>
    <phoneticPr fontId="1" type="noConversion"/>
  </si>
  <si>
    <t>4T 음돌2</t>
    <phoneticPr fontId="1" type="noConversion"/>
  </si>
  <si>
    <t>끝마2예리1</t>
    <phoneticPr fontId="1" type="noConversion"/>
  </si>
  <si>
    <t>끝마2한돌1</t>
    <phoneticPr fontId="1" type="noConversion"/>
  </si>
  <si>
    <t>끝마1예리2</t>
    <phoneticPr fontId="1" type="noConversion"/>
  </si>
  <si>
    <t>끝마1한돌2</t>
    <phoneticPr fontId="1" type="noConversion"/>
  </si>
  <si>
    <t>예리1한돌2</t>
    <phoneticPr fontId="1" type="noConversion"/>
  </si>
  <si>
    <t>예리2한돌1</t>
    <phoneticPr fontId="1" type="noConversion"/>
  </si>
  <si>
    <t>한돌3</t>
    <phoneticPr fontId="1" type="noConversion"/>
  </si>
  <si>
    <t>3T 갈망2</t>
    <phoneticPr fontId="1" type="noConversion"/>
  </si>
  <si>
    <t>2T 최적1</t>
    <phoneticPr fontId="1" type="noConversion"/>
  </si>
  <si>
    <t>2T 최적2</t>
    <phoneticPr fontId="1" type="noConversion"/>
  </si>
  <si>
    <t>끝마1예리1한돌1</t>
    <phoneticPr fontId="1" type="noConversion"/>
  </si>
  <si>
    <t>끝마1예리1최적1</t>
    <phoneticPr fontId="1" type="noConversion"/>
  </si>
  <si>
    <t>끝마1한돌1최적1</t>
    <phoneticPr fontId="1" type="noConversion"/>
  </si>
  <si>
    <t>끝마1최적2</t>
    <phoneticPr fontId="1" type="noConversion"/>
  </si>
  <si>
    <t>끝마2최적1</t>
    <phoneticPr fontId="1" type="noConversion"/>
  </si>
  <si>
    <t>예리1한돌1최적1</t>
    <phoneticPr fontId="1" type="noConversion"/>
  </si>
  <si>
    <t>예리1최적2</t>
    <phoneticPr fontId="1" type="noConversion"/>
  </si>
  <si>
    <t>예리2최적1</t>
    <phoneticPr fontId="1" type="noConversion"/>
  </si>
  <si>
    <t>한돌1최적2</t>
    <phoneticPr fontId="1" type="noConversion"/>
  </si>
  <si>
    <t>한돌2최적1</t>
    <phoneticPr fontId="1" type="noConversion"/>
  </si>
  <si>
    <t>아드치적</t>
    <phoneticPr fontId="1" type="noConversion"/>
  </si>
  <si>
    <t>용포치적</t>
    <phoneticPr fontId="1" type="noConversion"/>
  </si>
  <si>
    <t>시너지</t>
    <phoneticPr fontId="1" type="noConversion"/>
  </si>
  <si>
    <t>약노</t>
    <phoneticPr fontId="1" type="noConversion"/>
  </si>
  <si>
    <t>백어택</t>
    <phoneticPr fontId="1" type="noConversion"/>
  </si>
  <si>
    <r>
      <t>15+초과치적*1.4</t>
    </r>
    <r>
      <rPr>
        <sz val="11"/>
        <color theme="1"/>
        <rFont val="맑은 고딕"/>
        <family val="3"/>
        <charset val="129"/>
      </rPr>
      <t>≤70</t>
    </r>
    <phoneticPr fontId="1" type="noConversion"/>
  </si>
  <si>
    <t>예둔치피</t>
    <phoneticPr fontId="1" type="noConversion"/>
  </si>
  <si>
    <t>치적합</t>
    <phoneticPr fontId="1" type="noConversion"/>
  </si>
  <si>
    <t>백치적합</t>
    <phoneticPr fontId="1" type="noConversion"/>
  </si>
  <si>
    <t>치피합</t>
    <phoneticPr fontId="1" type="noConversion"/>
  </si>
  <si>
    <t>방천</t>
    <phoneticPr fontId="1" type="noConversion"/>
  </si>
  <si>
    <t>딜량</t>
    <phoneticPr fontId="1" type="noConversion"/>
  </si>
  <si>
    <t>치명1당치적</t>
    <phoneticPr fontId="1" type="noConversion"/>
  </si>
  <si>
    <t>신속1당쿨감</t>
    <phoneticPr fontId="1" type="noConversion"/>
  </si>
  <si>
    <t>특성합</t>
    <phoneticPr fontId="1" type="noConversion"/>
  </si>
  <si>
    <t>반지치피</t>
    <phoneticPr fontId="1" type="noConversion"/>
  </si>
  <si>
    <t>무마쿨감</t>
    <phoneticPr fontId="1" type="noConversion"/>
  </si>
  <si>
    <t>무마진피</t>
    <phoneticPr fontId="1" type="noConversion"/>
  </si>
  <si>
    <t>무마치적</t>
    <phoneticPr fontId="1" type="noConversion"/>
  </si>
  <si>
    <t>방향성</t>
    <phoneticPr fontId="1" type="noConversion"/>
  </si>
  <si>
    <t>딜계산식</t>
    <phoneticPr fontId="1" type="noConversion"/>
  </si>
  <si>
    <t>마나쿨감</t>
    <phoneticPr fontId="1" type="noConversion"/>
  </si>
  <si>
    <t>일반쿨감</t>
    <phoneticPr fontId="1" type="noConversion"/>
  </si>
  <si>
    <t>음돌</t>
    <phoneticPr fontId="1" type="noConversion"/>
  </si>
  <si>
    <t>뭉가</t>
    <phoneticPr fontId="1" type="noConversion"/>
  </si>
  <si>
    <t>방향진피</t>
    <phoneticPr fontId="1" type="noConversion"/>
  </si>
  <si>
    <t>비방진피</t>
    <phoneticPr fontId="1" type="noConversion"/>
  </si>
  <si>
    <t>최적치명</t>
    <phoneticPr fontId="1" type="noConversion"/>
  </si>
  <si>
    <t>0.15+(치명*0.0003577+진화치적+0.678-0.8)*1.4</t>
    <phoneticPr fontId="1" type="noConversion"/>
  </si>
  <si>
    <t>0.15+(치명*0.0003577+진화치적+0.578-0.8)*1.4</t>
    <phoneticPr fontId="1" type="noConversion"/>
  </si>
  <si>
    <t>사이클딜</t>
    <phoneticPr fontId="1" type="noConversion"/>
  </si>
  <si>
    <t>사이클쿨</t>
    <phoneticPr fontId="1" type="noConversion"/>
  </si>
  <si>
    <t>치명적인체술</t>
    <phoneticPr fontId="1" type="noConversion"/>
  </si>
  <si>
    <t>(1.65*치적+1)/(1-0.000215*신속)/진화쿨감*(1+진피)</t>
    <phoneticPr fontId="1" type="noConversion"/>
  </si>
  <si>
    <t>1.65*(치명*0.0003577+진화치적)+1.99852</t>
    <phoneticPr fontId="1" type="noConversion"/>
  </si>
  <si>
    <t>(1.65*(치명*0.0003577+진화치적)+1.99852)/(1-0.000215*신속)/진화쿨감*(1+진피+0.23648)</t>
    <phoneticPr fontId="1" type="noConversion"/>
  </si>
  <si>
    <t>(1.65*0.8+1)/(1-0.000215*신속)/진화쿨감*(1+진피)</t>
    <phoneticPr fontId="1" type="noConversion"/>
  </si>
  <si>
    <t>일격쿨감</t>
    <phoneticPr fontId="1" type="noConversion"/>
  </si>
  <si>
    <t>일격진피</t>
    <phoneticPr fontId="1" type="noConversion"/>
  </si>
  <si>
    <t>일격치적</t>
    <phoneticPr fontId="1" type="noConversion"/>
  </si>
  <si>
    <t>(1.65*0.8+1)/(1-0.000215*신속)/진화쿨감*(1.15+진화진피+방향진피*0.55+비방향진피*0.45)</t>
    <phoneticPr fontId="1" type="noConversion"/>
  </si>
  <si>
    <t>(치명*0.0003577+진화치적-0.167)*1.4</t>
    <phoneticPr fontId="1" type="noConversion"/>
  </si>
  <si>
    <t>(1.65*0.8+1)/(1-0.000215*신속)/진화쿨감*(1.15+진화진피+(치명*0.0003577+진화치적-0.167)*1.4)</t>
    <phoneticPr fontId="1" type="noConversion"/>
  </si>
  <si>
    <t>무일쿨감</t>
    <phoneticPr fontId="1" type="noConversion"/>
  </si>
  <si>
    <t>무일진피</t>
    <phoneticPr fontId="1" type="noConversion"/>
  </si>
  <si>
    <t>무일치적</t>
    <phoneticPr fontId="1" type="noConversion"/>
  </si>
  <si>
    <t>3T 일격2</t>
    <phoneticPr fontId="1" type="noConversion"/>
  </si>
  <si>
    <t>3T 무일</t>
    <phoneticPr fontId="1" type="noConversion"/>
  </si>
  <si>
    <t>방천쿨</t>
    <phoneticPr fontId="1" type="noConversion"/>
  </si>
  <si>
    <t>신속1당공이속</t>
    <phoneticPr fontId="1" type="noConversion"/>
  </si>
  <si>
    <t>치피</t>
    <phoneticPr fontId="1" type="noConversion"/>
  </si>
  <si>
    <t>팔찌치피</t>
    <phoneticPr fontId="1" type="noConversion"/>
  </si>
  <si>
    <t>창천</t>
    <phoneticPr fontId="1" type="noConversion"/>
  </si>
  <si>
    <t>계수*트포</t>
    <phoneticPr fontId="1" type="noConversion"/>
  </si>
  <si>
    <t>기본치피</t>
    <phoneticPr fontId="1" type="noConversion"/>
  </si>
  <si>
    <t>비방향</t>
    <phoneticPr fontId="1" type="noConversion"/>
  </si>
  <si>
    <t>백 적중률</t>
    <phoneticPr fontId="1" type="noConversion"/>
  </si>
  <si>
    <t>팔찌 치명 수치</t>
    <phoneticPr fontId="1" type="noConversion"/>
  </si>
  <si>
    <t>팔찌 신속 수치</t>
    <phoneticPr fontId="1" type="noConversion"/>
  </si>
  <si>
    <t>작열 레벨</t>
    <phoneticPr fontId="1" type="noConversion"/>
  </si>
  <si>
    <t>작열 쿨감</t>
    <phoneticPr fontId="1" type="noConversion"/>
  </si>
  <si>
    <t>치적시 피증</t>
    <phoneticPr fontId="1" type="noConversion"/>
  </si>
  <si>
    <t>팔찌 치적시피증</t>
    <phoneticPr fontId="1" type="noConversion"/>
  </si>
  <si>
    <t>회심 치적시피증</t>
    <phoneticPr fontId="1" type="noConversion"/>
  </si>
  <si>
    <t>백헤드 시너지</t>
    <phoneticPr fontId="1" type="noConversion"/>
  </si>
  <si>
    <t>서폿 치피팔찌</t>
    <phoneticPr fontId="1" type="noConversion"/>
  </si>
  <si>
    <t>무품추피</t>
    <phoneticPr fontId="1" type="noConversion"/>
  </si>
  <si>
    <t>펫 추피</t>
    <phoneticPr fontId="1" type="noConversion"/>
  </si>
  <si>
    <t>추피 합</t>
    <phoneticPr fontId="1" type="noConversion"/>
  </si>
  <si>
    <t>이 시트에서 딜비중 합이 1보다 작은건
선풍 2트포를 용아에서 용류로 바꾸면서 감소한 딜을 고려해서
첫 번째 시트와 두 번째 시트를 비교하기 위해서입니다.</t>
    <phoneticPr fontId="1" type="noConversion"/>
  </si>
  <si>
    <t>뇌명(312)</t>
    <phoneticPr fontId="1" type="noConversion"/>
  </si>
  <si>
    <t>선풍(232)</t>
    <phoneticPr fontId="1" type="noConversion"/>
  </si>
  <si>
    <t>섬열(211)</t>
    <phoneticPr fontId="1" type="noConversion"/>
  </si>
  <si>
    <t>방천(231)</t>
    <phoneticPr fontId="1" type="noConversion"/>
  </si>
  <si>
    <t>내연(132)</t>
    <phoneticPr fontId="1" type="noConversion"/>
  </si>
  <si>
    <t>출혈/중독</t>
    <phoneticPr fontId="1" type="noConversion"/>
  </si>
  <si>
    <t>선풍(222)</t>
    <phoneticPr fontId="1" type="noConversion"/>
  </si>
  <si>
    <t>팔찌치적</t>
    <phoneticPr fontId="1" type="noConversion"/>
  </si>
  <si>
    <t>반지치적</t>
    <phoneticPr fontId="1" type="noConversion"/>
  </si>
  <si>
    <t>근엘 Lv</t>
    <phoneticPr fontId="1" type="noConversion"/>
  </si>
  <si>
    <t>도약:풀힘</t>
    <phoneticPr fontId="1" type="noConversion"/>
  </si>
  <si>
    <t>도약:재발</t>
    <phoneticPr fontId="1" type="noConversion"/>
  </si>
  <si>
    <t>겁화 딜증</t>
    <phoneticPr fontId="1" type="noConversion"/>
  </si>
  <si>
    <t>깡딜비중</t>
    <phoneticPr fontId="1" type="noConversion"/>
  </si>
  <si>
    <t>공수래</t>
    <phoneticPr fontId="1" type="noConversion"/>
  </si>
  <si>
    <t>음돌DPS</t>
    <phoneticPr fontId="1" type="noConversion"/>
  </si>
  <si>
    <t>뭉가DPS</t>
    <phoneticPr fontId="1" type="noConversion"/>
  </si>
  <si>
    <t>목걸이</t>
    <phoneticPr fontId="1" type="noConversion"/>
  </si>
  <si>
    <t>엘릭서</t>
    <phoneticPr fontId="1" type="noConversion"/>
  </si>
  <si>
    <t>바지</t>
    <phoneticPr fontId="1" type="noConversion"/>
  </si>
  <si>
    <t>달인</t>
  </si>
  <si>
    <t>달인</t>
    <phoneticPr fontId="1" type="noConversion"/>
  </si>
  <si>
    <t>회심</t>
    <phoneticPr fontId="1" type="noConversion"/>
  </si>
  <si>
    <t>치피</t>
  </si>
  <si>
    <t>추피</t>
    <phoneticPr fontId="1" type="noConversion"/>
  </si>
  <si>
    <t>공수래Lv</t>
    <phoneticPr fontId="1" type="noConversion"/>
  </si>
  <si>
    <t>창술사 시너지</t>
    <phoneticPr fontId="1" type="noConversion"/>
  </si>
  <si>
    <t>창술 시너지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</si>
</sst>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"/>
    <numFmt numFmtId="177" formatCode="0.000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0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" xfId="0" applyFill="1" applyBorder="1">
      <alignment vertical="center"/>
    </xf>
    <xf numFmtId="0" fontId="0" fillId="6" borderId="0" xfId="0" applyFill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7" borderId="3" xfId="0" applyFill="1" applyBorder="1">
      <alignment vertical="center"/>
    </xf>
    <xf numFmtId="176" fontId="0" fillId="0" borderId="0" xfId="0" applyNumberFormat="1">
      <alignment vertical="center"/>
    </xf>
    <xf numFmtId="0" fontId="0" fillId="6" borderId="2" xfId="0" applyFill="1" applyBorder="1">
      <alignment vertical="center"/>
    </xf>
    <xf numFmtId="0" fontId="0" fillId="6" borderId="3" xfId="0" applyFill="1" applyBorder="1">
      <alignment vertical="center"/>
    </xf>
    <xf numFmtId="0" fontId="0" fillId="8" borderId="0" xfId="0" applyFill="1">
      <alignment vertical="center"/>
    </xf>
    <xf numFmtId="0" fontId="0" fillId="8" borderId="2" xfId="0" applyFill="1" applyBorder="1">
      <alignment vertical="center"/>
    </xf>
    <xf numFmtId="177" fontId="0" fillId="0" borderId="0" xfId="0" applyNumberFormat="1">
      <alignment vertical="center"/>
    </xf>
    <xf numFmtId="0" fontId="0" fillId="2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4" borderId="0" xfId="0" applyFill="1" applyBorder="1">
      <alignment vertical="center"/>
    </xf>
    <xf numFmtId="0" fontId="0" fillId="8" borderId="0" xfId="0" applyFill="1" applyBorder="1">
      <alignment vertical="center"/>
    </xf>
    <xf numFmtId="0" fontId="0" fillId="6" borderId="0" xfId="0" applyFill="1" applyBorder="1">
      <alignment vertical="center"/>
    </xf>
    <xf numFmtId="0" fontId="0" fillId="0" borderId="10" xfId="0" applyFill="1" applyBorder="1">
      <alignment vertical="center"/>
    </xf>
    <xf numFmtId="10" fontId="0" fillId="0" borderId="0" xfId="1" applyNumberFormat="1" applyFo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5456F-0E55-4380-90CD-76CC03E0F5F4}">
  <dimension ref="A1:AQ40"/>
  <sheetViews>
    <sheetView tabSelected="1" workbookViewId="0">
      <selection activeCell="P29" sqref="P29"/>
    </sheetView>
  </sheetViews>
  <sheetFormatPr defaultRowHeight="16.5" x14ac:dyDescent="0.3"/>
  <cols>
    <col min="6" max="6" width="14.125" bestFit="1" customWidth="1"/>
    <col min="7" max="7" width="16.375" bestFit="1" customWidth="1"/>
    <col min="10" max="10" width="9" customWidth="1"/>
  </cols>
  <sheetData>
    <row r="1" spans="1:43" x14ac:dyDescent="0.3">
      <c r="A1" s="26"/>
      <c r="B1" s="27" t="s">
        <v>54</v>
      </c>
      <c r="C1" s="27" t="s">
        <v>55</v>
      </c>
      <c r="D1" s="27" t="s">
        <v>1</v>
      </c>
      <c r="E1" s="27" t="s">
        <v>2</v>
      </c>
      <c r="F1" s="28" t="s">
        <v>83</v>
      </c>
      <c r="H1" s="4" t="s">
        <v>0</v>
      </c>
      <c r="I1" s="2" t="s">
        <v>1</v>
      </c>
      <c r="J1" s="2" t="s">
        <v>2</v>
      </c>
      <c r="K1" s="31" t="s">
        <v>49</v>
      </c>
      <c r="L1" s="2" t="s">
        <v>50</v>
      </c>
      <c r="M1" s="2" t="s">
        <v>51</v>
      </c>
      <c r="N1" s="7" t="s">
        <v>118</v>
      </c>
      <c r="O1" s="7" t="s">
        <v>60</v>
      </c>
      <c r="P1" s="7" t="s">
        <v>63</v>
      </c>
      <c r="Q1" s="7" t="s">
        <v>64</v>
      </c>
      <c r="R1" s="9" t="s">
        <v>119</v>
      </c>
      <c r="S1" s="9" t="s">
        <v>60</v>
      </c>
      <c r="T1" s="9" t="s">
        <v>63</v>
      </c>
      <c r="U1" s="9" t="s">
        <v>64</v>
      </c>
      <c r="V1" s="31" t="s">
        <v>76</v>
      </c>
      <c r="W1" s="2" t="s">
        <v>77</v>
      </c>
      <c r="X1" s="2" t="s">
        <v>78</v>
      </c>
      <c r="Y1" s="7" t="s">
        <v>118</v>
      </c>
      <c r="Z1" s="7" t="s">
        <v>60</v>
      </c>
      <c r="AA1" s="7" t="s">
        <v>63</v>
      </c>
      <c r="AB1" s="7" t="s">
        <v>64</v>
      </c>
      <c r="AC1" s="9" t="s">
        <v>119</v>
      </c>
      <c r="AD1" s="9" t="s">
        <v>60</v>
      </c>
      <c r="AE1" s="9" t="s">
        <v>63</v>
      </c>
      <c r="AF1" s="9" t="s">
        <v>64</v>
      </c>
      <c r="AG1" s="36" t="s">
        <v>70</v>
      </c>
      <c r="AH1" s="6" t="s">
        <v>71</v>
      </c>
      <c r="AI1" s="6" t="s">
        <v>72</v>
      </c>
      <c r="AJ1" s="7" t="s">
        <v>118</v>
      </c>
      <c r="AK1" s="7" t="s">
        <v>60</v>
      </c>
      <c r="AL1" s="7" t="s">
        <v>63</v>
      </c>
      <c r="AM1" s="7" t="s">
        <v>64</v>
      </c>
      <c r="AN1" s="9" t="s">
        <v>119</v>
      </c>
      <c r="AO1" s="9" t="s">
        <v>60</v>
      </c>
      <c r="AP1" s="9" t="s">
        <v>63</v>
      </c>
      <c r="AQ1" s="10" t="s">
        <v>64</v>
      </c>
    </row>
    <row r="2" spans="1:43" x14ac:dyDescent="0.3">
      <c r="A2" s="29" t="s">
        <v>3</v>
      </c>
      <c r="B2" s="5">
        <v>7</v>
      </c>
      <c r="C2" s="5"/>
      <c r="D2" s="5"/>
      <c r="E2" s="5"/>
      <c r="F2" s="1"/>
      <c r="G2" s="1" t="s">
        <v>23</v>
      </c>
      <c r="H2">
        <f>1-0.07</f>
        <v>0.92999999999999994</v>
      </c>
      <c r="I2">
        <v>15</v>
      </c>
      <c r="J2" s="5">
        <v>4</v>
      </c>
      <c r="K2" s="32">
        <f>1-0.21</f>
        <v>0.79</v>
      </c>
      <c r="L2">
        <f>I2+16+14</f>
        <v>45</v>
      </c>
      <c r="M2" s="5">
        <f>J2</f>
        <v>4</v>
      </c>
      <c r="N2" s="8">
        <f>P2/Q2*10</f>
        <v>8.0466186868708185</v>
      </c>
      <c r="O2" s="8">
        <f t="shared" ref="O2:O18" si="0">50*10+69+G$34</f>
        <v>661</v>
      </c>
      <c r="P2" s="8">
        <f t="shared" ref="P2:P18" si="1">((((200+G$26)/100*(100+G$30)/100-1)*MIN((O2*0.0003577+M2/100+B$32/100),1)+1)*(1+L2/100+24/100)*J$30*J$34/100*(100+G$32)/100*1.05+(((200+G$26)/100*(100+G$30)/100-1)*MIN((O2*0.0003577+M2/100+D$32/100),1)+1)*(1+L2/100+24/100)*J$30*(100-J$34)/100*(100+G$32*4/9)/100+(((N$23+G$26)/100*(100+G$30)/100-1)*MIN((O2*0.0003577+M2/100+B$32/100),1)+1)*(1+L2/100+24/100)*J$31*J$34/100*(100+G$32)/100*1.05+(((N$23+G$26)/100*(100+G$30)/100-1)*MIN((O2*0.0003577+M2/100+D$32/100),1)+1)*(1+L2/100+24/100)*J$31*(100-J$34)/100*(100+G$32*4/9)/100+(((200+G$26)/100*(100+G$30)/100-1)*MIN((O2*0.0003577+M2/100+D$32/100),1)+1)*(1+L2/100+24/100)*J$32*(100+G$32*4/9)/100)*(100+B$37)/100</f>
        <v>7.3990982435302666</v>
      </c>
      <c r="Q2" s="8">
        <f t="shared" ref="Q2:Q18" si="2">M$30*(1-M$32)*(1-(G$37-O2)*G$39)*K2</f>
        <v>9.1952887684400011</v>
      </c>
      <c r="R2" s="11">
        <f>T2/U2*10</f>
        <v>7.3994204743891734</v>
      </c>
      <c r="S2" s="11">
        <f t="shared" ref="S2:S18" si="3">(55/1.4+80-B$32-M2)/G$38/100</f>
        <v>1516.7424618797713</v>
      </c>
      <c r="T2" s="11">
        <f t="shared" ref="T2:T18" si="4">((((200+G$26)/100*(100+G$30)/100-1)*0.8+1)*(1.15+L2/100+(S2*G$38+M2/100+B$32/100-0.8)*1.4)*J$30*J$34/100*(100+G$32)/100*1.05+(((200+G$26)/100*(100+G$30)/100-1)*0.8+1)*(1.15+L2/100+(S2*G$38+M2/100+D$32/100-0.8)*1.4)*J$30*(100-J$34)/100*(100+G$32*4/9)/100+(((N$23+G$26)/100*(100+G$30)/100-1)*0.8+1)*(1.15+L2/100+(S2*G$38+M2/100+B$32/100-0.8)*1.4)*J$31*J$34/100*(100+G$32)/100*1.05+(((N$23+G$26)/100*(100+G$30)/100-1)*0.8+1)*(1.15+L2/100+(S2*G$38+M2/100+D$32/100-0.8)*1.4)*J$31*(100-J$34)/100*(100+G$32*4/9)/100+(((200+G$26)/100*(100+G$30)/100-1)*0.8+1)*(1.15+L2/100+(S2*G$38+M2/100+D$32/100-0.8)*1.4)*J$32*(100+G$32*4/9)/100)*(100+B$37)/100</f>
        <v>8.8449309973303176</v>
      </c>
      <c r="U2" s="33">
        <f t="shared" ref="U2:U18" si="5">M$30*(1-M$32)*(1-(G$37-S2)*G$39)*K2</f>
        <v>11.95354558906922</v>
      </c>
      <c r="V2" s="32">
        <f>1-0.14</f>
        <v>0.86</v>
      </c>
      <c r="W2">
        <f>I2+8+14</f>
        <v>37</v>
      </c>
      <c r="X2" s="5">
        <f>J2+10</f>
        <v>14</v>
      </c>
      <c r="Y2" s="8">
        <f>AA2/AB2*10</f>
        <v>7.5786980117555682</v>
      </c>
      <c r="Z2" s="8">
        <f t="shared" ref="Z2:Z18" si="6">50*10+69+G$34</f>
        <v>661</v>
      </c>
      <c r="AA2" s="8">
        <f t="shared" ref="AA2:AA18" si="7">((((200+G$26)/100*(100+G$30)/100-1)*MIN((Z2*0.0003577+X2/100+B$32/100),1)+1)*(1+W2/100+24/100)*J$30*J$34/100*(100+G$32)/100*1.05+(((200+G$26)/100*(100+G$30)/100-1)*MIN((Z2*0.0003577+X2/100+D$32/100),1)+1)*(1+W2/100+24/100)*J$30*(100-J$34)/100*(100+G$32*4/9)/100+(((N$23+G$26)/100*(100+G$30)/100-1)*MIN((Z2*0.0003577+X2/100+B$32/100),1)+1)*(1+W2/100+24/100)*J$31*J$34/100*(100+G$32)/100*1.05+(((N$23+G$26)/100*(100+G$30)/100-1)*MIN((Z2*0.0003577+X2/100+D$32/100),1)+1)*(1+W2/100+24/100)*J$31*(100-J$34)/100*(100+G$32*4/9)/100+(((200+G$26)/100*(100+G$30)/100-1)*MIN((Z2*0.0003577+X2/100+D$32/100),1)+1)*(1+W2/100+24/100)*J$32*(100+G$32*4/9)/100)*(100+B$37)/100</f>
        <v>7.5863230845480123</v>
      </c>
      <c r="AB2" s="8">
        <f t="shared" ref="AB2:AB18" si="8">M$30*(1-M$32)*(1-(G$37-Z2)*G$39)*V2</f>
        <v>10.01006119096</v>
      </c>
      <c r="AC2" s="11">
        <f>AE2/AF2*10</f>
        <v>7.0675712129991508</v>
      </c>
      <c r="AD2" s="11">
        <f t="shared" ref="AD2:AD18" si="9">(55/1.4+80-B$32-X2)/G$38/100</f>
        <v>1237.3425346913923</v>
      </c>
      <c r="AE2" s="11">
        <f t="shared" ref="AE2:AE18" si="10">((((200+G$26)/100*(100+G$30)/100-1)*0.8+1)*(1.15+W2/100+(AD2*G$38+X2/100+B$32/100-0.8)*1.4)*J$30*J$34/100*(100+G$32)/100*1.05+(((200+G$26)/100*(100+G$30)/100-1)*0.8+1)*(1.15+W2/100+(AD2*G$38+X2/100+D$32/100-0.8)*1.4)*J$30*(100-J$34)/100*(100+G$32*4/9)/100+(((N$23+G$26)/100*(100+G$30)/100-1)*0.8+1)*(1.15+W2/100+(AD2*G$38+X2/100+B$32/100-0.8)*1.4)*J$31*J$34/100*(100+G$32)/100*1.05+(((N$23+G$26)/100*(100+G$30)/100-1)*0.8+1)*(1.15+W2/100+(AD2*G$38+X2/100+D$32/100-0.8)*1.4)*J$31*(100-J$34)/100*(100+G$32*4/9)/100+(((200+G$26)/100*(100+G$30)/100-1)*0.8+1)*(1.15+W2/100+(AD2*G$38+X2/100+D$32/100-0.8)*1.4)*J$32*(100+G$32*4/9)/100)*(100+B$37)/100</f>
        <v>8.5039506022947702</v>
      </c>
      <c r="AF2" s="33">
        <f t="shared" ref="AF2:AF18" si="11">M$30*(1-M$32)*(1-(G$37-AD2)*G$39)*V2</f>
        <v>12.032352198522929</v>
      </c>
      <c r="AG2" s="32">
        <f>H2</f>
        <v>0.92999999999999994</v>
      </c>
      <c r="AH2">
        <f>I2+14</f>
        <v>29</v>
      </c>
      <c r="AI2">
        <f>J2+20</f>
        <v>24</v>
      </c>
      <c r="AJ2" s="8">
        <f>AL2/AM2*10</f>
        <v>6.9349521040686959</v>
      </c>
      <c r="AK2" s="8">
        <f t="shared" ref="AK2:AK18" si="12">50*10+69+G$34</f>
        <v>661</v>
      </c>
      <c r="AL2" s="8">
        <f t="shared" ref="AL2:AL18" si="13">((((200+G$26)/100*(100+G$30)/100-1)*MIN((AK2*0.0003577+AI2/100+B$32/100),1)+1)*(1+AH2/100+24/100)*J$30*J$34/100*(100+G$32)/100*1.05+(((200+G$26)/100*(100+G$30)/100-1)*MIN((AK2*0.0003577+AI2/100+D$32/100),1)+1)*(1+AH2/100+24/100)*J$30*(100-J$34)/100*(100+G$32*4/9)/100+(((N$23+G$26)/100*(100+G$30)/100-1)*MIN((AK2*0.0003577+AI2/100+B$32/100),1)+1)*(1+AH2/100+24/100)*J$31*J$34/100*(100+G$32)/100*1.05+(((N$23+G$26)/100*(100+G$30)/100-1)*MIN((AK2*0.0003577+AI2/100+D$32/100),1)+1)*(1+AH2/100+24/100)*J$31*(100-J$34)/100*(100+G$32*4/9)/100+(((200+G$26)/100*(100+G$30)/100-1)*MIN((AK2*0.0003577+AI2/100+D$32/100),1)+1)*(1+AH2/100+24/100)*J$32*(100+G$32*4/9)/100)*(100+B$37)/100</f>
        <v>7.5069702643996665</v>
      </c>
      <c r="AM2" s="8">
        <f t="shared" ref="AM2:AM18" si="14">M$30*(1-M$32)*(1-(G$37-AK2)*G$39)*AG2</f>
        <v>10.824833613479999</v>
      </c>
      <c r="AN2" s="11">
        <f>AP2/AQ2*10</f>
        <v>6.8300435245214945</v>
      </c>
      <c r="AO2" s="11">
        <f t="shared" ref="AO2:AO18" si="15">(55/1.4+80-B$32-AI2)/G$38/100</f>
        <v>957.94260750301339</v>
      </c>
      <c r="AP2" s="11">
        <f t="shared" ref="AP2:AP18" si="16">((((200+G$26)/100*(100+G$30)/100-1)*0.8+1)*(1.15+AH2/100+(AO2*G$38+AI2/100+B$32/100-0.8)*1.4)*J$30*J$34/100*(100+G$32)/100*1.05+(((200+G$26)/100*(100+G$30)/100-1)*0.8+1)*(1.15+AH2/100+(AO2*G$38+AI2/100+D$32/100-0.8)*1.4)*J$30*(100-J$34)/100*(100+G$32*4/9)/100+(((N$23+G$26)/100*(100+G$30)/100-1)*0.8+1)*(1.15+AH2/100+(AO2*G$38+AI2/100+B$32/100-0.8)*1.4)*J$31*J$34/100*(100+G$32)/100*1.05+(((N$23+G$26)/100*(100+G$30)/100-1)*0.8+1)*(1.15+AH2/100+(AO2*G$38+AI2/100+D$32/100-0.8)*1.4)*J$31*(100-J$34)/100*(100+G$32*4/9)/100+(((200+G$26)/100*(100+G$30)/100-1)*0.8+1)*(1.15+AH2/100+(AO2*G$38+AI2/100+D$32/100-0.8)*1.4)*J$32*(100+G$32*4/9)/100)*(100+B$37)/100</f>
        <v>8.1629702072592227</v>
      </c>
      <c r="AQ2" s="12">
        <f t="shared" ref="AQ2:AQ18" si="17">M$30*(1-M$32)*(1-(G$37-AO2)*G$39)*AG2</f>
        <v>11.951563965811056</v>
      </c>
    </row>
    <row r="3" spans="1:43" x14ac:dyDescent="0.3">
      <c r="A3" s="29" t="s">
        <v>4</v>
      </c>
      <c r="B3" s="5">
        <v>14</v>
      </c>
      <c r="C3" s="5"/>
      <c r="D3" s="5"/>
      <c r="E3" s="5"/>
      <c r="F3" s="1"/>
      <c r="G3" s="1" t="s">
        <v>24</v>
      </c>
      <c r="H3">
        <f>(1-0.07)*(1-0.04)</f>
        <v>0.89279999999999993</v>
      </c>
      <c r="I3">
        <v>10</v>
      </c>
      <c r="J3" s="5">
        <v>4</v>
      </c>
      <c r="K3" s="32">
        <f>(1-0.21)*(1-0.04)</f>
        <v>0.75839999999999996</v>
      </c>
      <c r="L3">
        <f t="shared" ref="L3:L18" si="18">I3+16+14</f>
        <v>40</v>
      </c>
      <c r="M3" s="5">
        <f t="shared" ref="M3:M18" si="19">J3</f>
        <v>4</v>
      </c>
      <c r="N3" s="8">
        <f t="shared" ref="N3:N17" si="20">P3/Q3*10</f>
        <v>8.1339094221327315</v>
      </c>
      <c r="O3" s="8">
        <f t="shared" si="0"/>
        <v>661</v>
      </c>
      <c r="P3" s="8">
        <f t="shared" si="1"/>
        <v>7.1801900114731589</v>
      </c>
      <c r="Q3" s="8">
        <f t="shared" si="2"/>
        <v>8.8274772177024001</v>
      </c>
      <c r="R3" s="11">
        <f t="shared" ref="R3:R18" si="21">T3/U3*10</f>
        <v>7.5220170259971217</v>
      </c>
      <c r="S3" s="11">
        <f t="shared" si="3"/>
        <v>1516.7424618797713</v>
      </c>
      <c r="T3" s="11">
        <f t="shared" si="4"/>
        <v>8.6318182504330991</v>
      </c>
      <c r="U3" s="33">
        <f t="shared" si="5"/>
        <v>11.475403765506449</v>
      </c>
      <c r="V3" s="32">
        <f>(1-0.14)*(1-0.04)</f>
        <v>0.8256</v>
      </c>
      <c r="W3">
        <f t="shared" ref="W3:W18" si="22">I3+8+14</f>
        <v>32</v>
      </c>
      <c r="X3" s="5">
        <f t="shared" ref="X3:X18" si="23">J3+10</f>
        <v>14</v>
      </c>
      <c r="Y3" s="8">
        <f t="shared" ref="Y3:Y18" si="24">AA3/AB3*10</f>
        <v>7.6493069994427332</v>
      </c>
      <c r="Z3" s="8">
        <f t="shared" si="6"/>
        <v>661</v>
      </c>
      <c r="AA3" s="8">
        <f t="shared" si="7"/>
        <v>7.3507229887545966</v>
      </c>
      <c r="AB3" s="8">
        <f t="shared" si="8"/>
        <v>9.6096587433215994</v>
      </c>
      <c r="AC3" s="11">
        <f t="shared" ref="AC3:AC18" si="25">AE3/AF3*10</f>
        <v>7.1775570480441537</v>
      </c>
      <c r="AD3" s="11">
        <f t="shared" si="9"/>
        <v>1237.3425346913923</v>
      </c>
      <c r="AE3" s="11">
        <f t="shared" si="10"/>
        <v>8.2908378553975517</v>
      </c>
      <c r="AF3" s="33">
        <f t="shared" si="11"/>
        <v>11.551058110582012</v>
      </c>
      <c r="AG3" s="32">
        <f t="shared" ref="AG3:AG18" si="26">H3</f>
        <v>0.89279999999999993</v>
      </c>
      <c r="AH3">
        <f t="shared" ref="AH3:AH18" si="27">I3+14</f>
        <v>24</v>
      </c>
      <c r="AI3">
        <f t="shared" ref="AI3:AI18" si="28">J3+20</f>
        <v>24</v>
      </c>
      <c r="AJ3" s="8">
        <f t="shared" ref="AJ3:AJ18" si="29">AL3/AM3*10</f>
        <v>6.9878330024657345</v>
      </c>
      <c r="AK3" s="8">
        <f t="shared" si="12"/>
        <v>661</v>
      </c>
      <c r="AL3" s="8">
        <f t="shared" si="13"/>
        <v>7.2616444387656909</v>
      </c>
      <c r="AM3" s="8">
        <f t="shared" si="14"/>
        <v>10.391840268940799</v>
      </c>
      <c r="AN3" s="11">
        <f t="shared" ref="AN3:AN18" si="30">AP3/AQ3*10</f>
        <v>6.9288852445584119</v>
      </c>
      <c r="AO3" s="11">
        <f t="shared" si="15"/>
        <v>957.94260750301339</v>
      </c>
      <c r="AP3" s="11">
        <f t="shared" si="16"/>
        <v>7.949857460362006</v>
      </c>
      <c r="AQ3" s="12">
        <f t="shared" si="17"/>
        <v>11.473501407178613</v>
      </c>
    </row>
    <row r="4" spans="1:43" x14ac:dyDescent="0.3">
      <c r="A4" s="29" t="s">
        <v>5</v>
      </c>
      <c r="B4" s="5"/>
      <c r="C4" s="5"/>
      <c r="D4" s="5">
        <v>5</v>
      </c>
      <c r="E4" s="5">
        <v>4</v>
      </c>
      <c r="F4" s="1"/>
      <c r="G4" s="1" t="s">
        <v>25</v>
      </c>
      <c r="H4">
        <f>(1-0.07)*(1-0.04)</f>
        <v>0.89279999999999993</v>
      </c>
      <c r="I4">
        <v>15</v>
      </c>
      <c r="J4" s="5"/>
      <c r="K4" s="32">
        <f>(1-0.21)*(1-0.04)</f>
        <v>0.75839999999999996</v>
      </c>
      <c r="L4">
        <f t="shared" si="18"/>
        <v>45</v>
      </c>
      <c r="M4" s="5">
        <f t="shared" si="19"/>
        <v>0</v>
      </c>
      <c r="N4" s="8">
        <f t="shared" si="20"/>
        <v>8.1262449835950612</v>
      </c>
      <c r="O4" s="8">
        <f t="shared" si="0"/>
        <v>661</v>
      </c>
      <c r="P4" s="8">
        <f t="shared" si="1"/>
        <v>7.1734242458153821</v>
      </c>
      <c r="Q4" s="8">
        <f t="shared" si="2"/>
        <v>8.8274772177024001</v>
      </c>
      <c r="R4" s="11">
        <f t="shared" si="21"/>
        <v>7.4822469768137312</v>
      </c>
      <c r="S4" s="11">
        <f t="shared" si="3"/>
        <v>1628.502432755123</v>
      </c>
      <c r="T4" s="11">
        <f t="shared" si="4"/>
        <v>8.8449309973303176</v>
      </c>
      <c r="U4" s="33">
        <f t="shared" si="5"/>
        <v>11.821222989216105</v>
      </c>
      <c r="V4" s="32">
        <f>(1-0.14)*(1-0.04)</f>
        <v>0.8256</v>
      </c>
      <c r="W4">
        <f t="shared" si="22"/>
        <v>37</v>
      </c>
      <c r="X4" s="5">
        <f t="shared" si="23"/>
        <v>10</v>
      </c>
      <c r="Y4" s="8">
        <f t="shared" si="24"/>
        <v>7.6707530168510942</v>
      </c>
      <c r="Z4" s="8">
        <f t="shared" si="6"/>
        <v>661</v>
      </c>
      <c r="AA4" s="8">
        <f t="shared" si="7"/>
        <v>7.371331879624365</v>
      </c>
      <c r="AB4" s="8">
        <f t="shared" si="8"/>
        <v>9.6096587433215994</v>
      </c>
      <c r="AC4" s="11">
        <f t="shared" si="25"/>
        <v>7.1296890949816341</v>
      </c>
      <c r="AD4" s="11">
        <f t="shared" si="9"/>
        <v>1349.1025055667442</v>
      </c>
      <c r="AE4" s="11">
        <f t="shared" si="10"/>
        <v>8.5039506022947702</v>
      </c>
      <c r="AF4" s="33">
        <f t="shared" si="11"/>
        <v>11.92751954398746</v>
      </c>
      <c r="AG4" s="32">
        <f t="shared" si="26"/>
        <v>0.89279999999999993</v>
      </c>
      <c r="AH4">
        <f t="shared" si="27"/>
        <v>29</v>
      </c>
      <c r="AI4">
        <f t="shared" si="28"/>
        <v>20</v>
      </c>
      <c r="AJ4" s="8">
        <f t="shared" si="29"/>
        <v>7.1222259317782122</v>
      </c>
      <c r="AK4" s="8">
        <f t="shared" si="12"/>
        <v>661</v>
      </c>
      <c r="AL4" s="8">
        <f t="shared" si="13"/>
        <v>7.4013034242347224</v>
      </c>
      <c r="AM4" s="8">
        <f t="shared" si="14"/>
        <v>10.391840268940799</v>
      </c>
      <c r="AN4" s="11">
        <f t="shared" si="30"/>
        <v>6.8708371103262467</v>
      </c>
      <c r="AO4" s="11">
        <f t="shared" si="15"/>
        <v>1069.7025783783649</v>
      </c>
      <c r="AP4" s="11">
        <f t="shared" si="16"/>
        <v>8.1629702072592227</v>
      </c>
      <c r="AQ4" s="12">
        <f t="shared" si="17"/>
        <v>11.880605050279852</v>
      </c>
    </row>
    <row r="5" spans="1:43" x14ac:dyDescent="0.3">
      <c r="A5" s="29" t="s">
        <v>6</v>
      </c>
      <c r="B5" s="5"/>
      <c r="C5" s="5"/>
      <c r="D5" s="5">
        <v>10</v>
      </c>
      <c r="E5" s="5">
        <v>8</v>
      </c>
      <c r="F5" s="1"/>
      <c r="G5" s="1" t="s">
        <v>15</v>
      </c>
      <c r="H5">
        <f>1-0.07</f>
        <v>0.92999999999999994</v>
      </c>
      <c r="I5">
        <v>10</v>
      </c>
      <c r="J5" s="5">
        <v>8</v>
      </c>
      <c r="K5" s="32">
        <f>1-0.21</f>
        <v>0.79</v>
      </c>
      <c r="L5">
        <f t="shared" si="18"/>
        <v>40</v>
      </c>
      <c r="M5" s="5">
        <f t="shared" si="19"/>
        <v>8</v>
      </c>
      <c r="N5" s="8">
        <f t="shared" si="20"/>
        <v>8.0467154974936204</v>
      </c>
      <c r="O5" s="8">
        <f t="shared" si="0"/>
        <v>661</v>
      </c>
      <c r="P5" s="8">
        <f t="shared" si="1"/>
        <v>7.399187263693519</v>
      </c>
      <c r="Q5" s="8">
        <f t="shared" si="2"/>
        <v>9.1952887684400011</v>
      </c>
      <c r="R5" s="11">
        <f t="shared" si="21"/>
        <v>7.4455119948960524</v>
      </c>
      <c r="S5" s="11">
        <f t="shared" si="3"/>
        <v>1404.9824910044199</v>
      </c>
      <c r="T5" s="11">
        <f t="shared" si="4"/>
        <v>8.6318182504330991</v>
      </c>
      <c r="U5" s="33">
        <f t="shared" si="5"/>
        <v>11.593317231038332</v>
      </c>
      <c r="V5" s="32">
        <f>1-0.14</f>
        <v>0.86</v>
      </c>
      <c r="W5">
        <f t="shared" si="22"/>
        <v>32</v>
      </c>
      <c r="X5" s="5">
        <f t="shared" si="23"/>
        <v>18</v>
      </c>
      <c r="Y5" s="8">
        <f t="shared" si="24"/>
        <v>7.4850268228719248</v>
      </c>
      <c r="Z5" s="8">
        <f t="shared" si="6"/>
        <v>661</v>
      </c>
      <c r="AA5" s="8">
        <f t="shared" si="7"/>
        <v>7.492557651292489</v>
      </c>
      <c r="AB5" s="8">
        <f t="shared" si="8"/>
        <v>10.01006119096</v>
      </c>
      <c r="AC5" s="11">
        <f t="shared" si="25"/>
        <v>7.1225875717177694</v>
      </c>
      <c r="AD5" s="11">
        <f t="shared" si="9"/>
        <v>1125.5825638160409</v>
      </c>
      <c r="AE5" s="11">
        <f t="shared" si="10"/>
        <v>8.2908378553975517</v>
      </c>
      <c r="AF5" s="33">
        <f t="shared" si="11"/>
        <v>11.640204872058924</v>
      </c>
      <c r="AG5" s="32">
        <f t="shared" si="26"/>
        <v>0.92999999999999994</v>
      </c>
      <c r="AH5">
        <f t="shared" si="27"/>
        <v>24</v>
      </c>
      <c r="AI5">
        <f t="shared" si="28"/>
        <v>28</v>
      </c>
      <c r="AJ5" s="8">
        <f t="shared" si="29"/>
        <v>6.7403305231972226</v>
      </c>
      <c r="AK5" s="8">
        <f t="shared" si="12"/>
        <v>661</v>
      </c>
      <c r="AL5" s="8">
        <f t="shared" si="13"/>
        <v>7.2962956413470526</v>
      </c>
      <c r="AM5" s="8">
        <f t="shared" si="14"/>
        <v>10.824833613479999</v>
      </c>
      <c r="AN5" s="11">
        <f t="shared" si="30"/>
        <v>6.896429465712238</v>
      </c>
      <c r="AO5" s="11">
        <f t="shared" si="15"/>
        <v>846.18263662766185</v>
      </c>
      <c r="AP5" s="11">
        <f t="shared" si="16"/>
        <v>7.949857460362006</v>
      </c>
      <c r="AQ5" s="12">
        <f t="shared" si="17"/>
        <v>11.527497670913935</v>
      </c>
    </row>
    <row r="6" spans="1:43" x14ac:dyDescent="0.3">
      <c r="A6" s="29" t="s">
        <v>7</v>
      </c>
      <c r="B6" s="5"/>
      <c r="C6" s="5"/>
      <c r="D6" s="5">
        <v>10</v>
      </c>
      <c r="E6" s="5"/>
      <c r="F6" s="1"/>
      <c r="G6" s="1" t="s">
        <v>16</v>
      </c>
      <c r="H6">
        <f>1-0.07</f>
        <v>0.92999999999999994</v>
      </c>
      <c r="I6">
        <v>20</v>
      </c>
      <c r="J6" s="5"/>
      <c r="K6" s="32">
        <f>1-0.21</f>
        <v>0.79</v>
      </c>
      <c r="L6">
        <f t="shared" si="18"/>
        <v>50</v>
      </c>
      <c r="M6" s="5">
        <f t="shared" si="19"/>
        <v>0</v>
      </c>
      <c r="N6" s="8">
        <f t="shared" si="20"/>
        <v>8.031999775501296</v>
      </c>
      <c r="O6" s="8">
        <f t="shared" si="0"/>
        <v>661</v>
      </c>
      <c r="P6" s="8">
        <f t="shared" si="1"/>
        <v>7.3856557323779679</v>
      </c>
      <c r="Q6" s="8">
        <f t="shared" si="2"/>
        <v>9.1952887684400011</v>
      </c>
      <c r="R6" s="11">
        <f t="shared" si="21"/>
        <v>7.3560256856596755</v>
      </c>
      <c r="S6" s="11">
        <f t="shared" si="3"/>
        <v>1628.502432755123</v>
      </c>
      <c r="T6" s="11">
        <f t="shared" si="4"/>
        <v>9.0580437442275326</v>
      </c>
      <c r="U6" s="33">
        <f t="shared" si="5"/>
        <v>12.31377394710011</v>
      </c>
      <c r="V6" s="32">
        <f>1-0.14</f>
        <v>0.86</v>
      </c>
      <c r="W6">
        <f t="shared" si="22"/>
        <v>42</v>
      </c>
      <c r="X6" s="5">
        <f t="shared" si="23"/>
        <v>10</v>
      </c>
      <c r="Y6" s="8">
        <f t="shared" si="24"/>
        <v>7.5926161538222994</v>
      </c>
      <c r="Z6" s="8">
        <f t="shared" si="6"/>
        <v>661</v>
      </c>
      <c r="AA6" s="8">
        <f t="shared" si="7"/>
        <v>7.600255229923258</v>
      </c>
      <c r="AB6" s="8">
        <f t="shared" si="8"/>
        <v>10.01006119096</v>
      </c>
      <c r="AC6" s="11">
        <f t="shared" si="25"/>
        <v>7.0160277536017279</v>
      </c>
      <c r="AD6" s="11">
        <f t="shared" si="9"/>
        <v>1349.1025055667442</v>
      </c>
      <c r="AE6" s="11">
        <f t="shared" si="10"/>
        <v>8.7170633491919833</v>
      </c>
      <c r="AF6" s="33">
        <f t="shared" si="11"/>
        <v>12.424499524986937</v>
      </c>
      <c r="AG6" s="32">
        <f t="shared" si="26"/>
        <v>0.92999999999999994</v>
      </c>
      <c r="AH6">
        <f t="shared" si="27"/>
        <v>34</v>
      </c>
      <c r="AI6">
        <f t="shared" si="28"/>
        <v>20</v>
      </c>
      <c r="AJ6" s="8">
        <f t="shared" si="29"/>
        <v>7.0607792766805169</v>
      </c>
      <c r="AK6" s="8">
        <f t="shared" si="12"/>
        <v>661</v>
      </c>
      <c r="AL6" s="8">
        <f t="shared" si="13"/>
        <v>7.6431760851574255</v>
      </c>
      <c r="AM6" s="8">
        <f t="shared" si="14"/>
        <v>10.824833613479999</v>
      </c>
      <c r="AN6" s="11">
        <f t="shared" si="30"/>
        <v>6.7682071762841503</v>
      </c>
      <c r="AO6" s="11">
        <f t="shared" si="15"/>
        <v>1069.7025783783649</v>
      </c>
      <c r="AP6" s="11">
        <f t="shared" si="16"/>
        <v>8.3760829541564394</v>
      </c>
      <c r="AQ6" s="12">
        <f t="shared" si="17"/>
        <v>12.37563026070818</v>
      </c>
    </row>
    <row r="7" spans="1:43" x14ac:dyDescent="0.3">
      <c r="A7" s="29" t="s">
        <v>8</v>
      </c>
      <c r="B7" s="5"/>
      <c r="C7" s="5"/>
      <c r="D7" s="5">
        <v>20</v>
      </c>
      <c r="E7" s="5"/>
      <c r="F7" s="1"/>
      <c r="G7" s="1" t="s">
        <v>26</v>
      </c>
      <c r="H7">
        <f>(1-0.07)*(1-0.08)</f>
        <v>0.85560000000000003</v>
      </c>
      <c r="I7">
        <v>10</v>
      </c>
      <c r="J7" s="5"/>
      <c r="K7" s="32">
        <f>(1-0.21)*(1-0.08)</f>
        <v>0.72680000000000011</v>
      </c>
      <c r="L7">
        <f t="shared" si="18"/>
        <v>40</v>
      </c>
      <c r="M7" s="5">
        <f t="shared" si="19"/>
        <v>0</v>
      </c>
      <c r="N7" s="8">
        <f t="shared" si="20"/>
        <v>8.2286854271752414</v>
      </c>
      <c r="O7" s="8">
        <f t="shared" si="0"/>
        <v>661</v>
      </c>
      <c r="P7" s="8">
        <f t="shared" si="1"/>
        <v>6.961192759252798</v>
      </c>
      <c r="Q7" s="8">
        <f t="shared" si="2"/>
        <v>8.4596656669648009</v>
      </c>
      <c r="R7" s="11">
        <f t="shared" si="21"/>
        <v>7.6194440324159611</v>
      </c>
      <c r="S7" s="11">
        <f t="shared" si="3"/>
        <v>1628.502432755123</v>
      </c>
      <c r="T7" s="11">
        <f t="shared" si="4"/>
        <v>8.6318182504330991</v>
      </c>
      <c r="U7" s="33">
        <f t="shared" si="5"/>
        <v>11.328672031332102</v>
      </c>
      <c r="V7" s="32">
        <f>(1-0.14)*(1-0.08)</f>
        <v>0.79120000000000001</v>
      </c>
      <c r="W7">
        <f t="shared" si="22"/>
        <v>32</v>
      </c>
      <c r="X7" s="5">
        <f t="shared" si="23"/>
        <v>10</v>
      </c>
      <c r="Y7" s="8">
        <f t="shared" si="24"/>
        <v>7.7556843897084775</v>
      </c>
      <c r="Z7" s="8">
        <f t="shared" si="6"/>
        <v>661</v>
      </c>
      <c r="AA7" s="8">
        <f t="shared" si="7"/>
        <v>7.1424085293254711</v>
      </c>
      <c r="AB7" s="8">
        <f t="shared" si="8"/>
        <v>9.2092562956832005</v>
      </c>
      <c r="AC7" s="11">
        <f t="shared" si="25"/>
        <v>7.253234031264137</v>
      </c>
      <c r="AD7" s="11">
        <f t="shared" si="9"/>
        <v>1349.1025055667442</v>
      </c>
      <c r="AE7" s="11">
        <f t="shared" si="10"/>
        <v>8.2908378553975535</v>
      </c>
      <c r="AF7" s="33">
        <f t="shared" si="11"/>
        <v>11.430539562987983</v>
      </c>
      <c r="AG7" s="32">
        <f t="shared" si="26"/>
        <v>0.85560000000000003</v>
      </c>
      <c r="AH7">
        <f t="shared" si="27"/>
        <v>24</v>
      </c>
      <c r="AI7">
        <f t="shared" si="28"/>
        <v>20</v>
      </c>
      <c r="AJ7" s="8">
        <f t="shared" si="29"/>
        <v>7.1890157742757053</v>
      </c>
      <c r="AK7" s="8">
        <f t="shared" si="12"/>
        <v>661</v>
      </c>
      <c r="AL7" s="8">
        <f t="shared" si="13"/>
        <v>7.1594307633120193</v>
      </c>
      <c r="AM7" s="8">
        <f t="shared" si="14"/>
        <v>9.9588469244016</v>
      </c>
      <c r="AN7" s="11">
        <f t="shared" si="30"/>
        <v>6.982391386458958</v>
      </c>
      <c r="AO7" s="11">
        <f t="shared" si="15"/>
        <v>1069.7025783783649</v>
      </c>
      <c r="AP7" s="11">
        <f t="shared" si="16"/>
        <v>7.949857460362006</v>
      </c>
      <c r="AQ7" s="12">
        <f t="shared" si="17"/>
        <v>11.385579839851527</v>
      </c>
    </row>
    <row r="8" spans="1:43" x14ac:dyDescent="0.3">
      <c r="A8" s="29" t="s">
        <v>9</v>
      </c>
      <c r="B8" s="5"/>
      <c r="C8" s="5"/>
      <c r="D8" s="5">
        <v>30</v>
      </c>
      <c r="E8" s="5"/>
      <c r="F8" s="1"/>
      <c r="G8" s="1" t="s">
        <v>13</v>
      </c>
      <c r="H8">
        <f>1-0.14</f>
        <v>0.86</v>
      </c>
      <c r="I8">
        <v>5</v>
      </c>
      <c r="J8" s="5">
        <v>4</v>
      </c>
      <c r="K8" s="32">
        <f>1-0.28</f>
        <v>0.72</v>
      </c>
      <c r="L8">
        <f t="shared" si="18"/>
        <v>35</v>
      </c>
      <c r="M8" s="5">
        <f t="shared" si="19"/>
        <v>4</v>
      </c>
      <c r="N8" s="8">
        <f t="shared" si="20"/>
        <v>8.3065070123096962</v>
      </c>
      <c r="O8" s="8">
        <f t="shared" si="0"/>
        <v>661</v>
      </c>
      <c r="P8" s="8">
        <f t="shared" si="1"/>
        <v>6.9612817794160513</v>
      </c>
      <c r="Q8" s="8">
        <f t="shared" si="2"/>
        <v>8.3805163459200003</v>
      </c>
      <c r="R8" s="11">
        <f t="shared" si="21"/>
        <v>7.7275739587013712</v>
      </c>
      <c r="S8" s="11">
        <f t="shared" si="3"/>
        <v>1516.7424618797713</v>
      </c>
      <c r="T8" s="11">
        <f t="shared" si="4"/>
        <v>8.4187055035358824</v>
      </c>
      <c r="U8" s="33">
        <f t="shared" si="5"/>
        <v>10.89437066345549</v>
      </c>
      <c r="V8" s="32">
        <f>1-0.21</f>
        <v>0.79</v>
      </c>
      <c r="W8">
        <f t="shared" si="22"/>
        <v>27</v>
      </c>
      <c r="X8" s="5">
        <f t="shared" si="23"/>
        <v>14</v>
      </c>
      <c r="Y8" s="8">
        <f t="shared" si="24"/>
        <v>7.7377916802152509</v>
      </c>
      <c r="Z8" s="8">
        <f t="shared" si="6"/>
        <v>661</v>
      </c>
      <c r="AA8" s="8">
        <f t="shared" si="7"/>
        <v>7.1151228929611783</v>
      </c>
      <c r="AB8" s="8">
        <f t="shared" si="8"/>
        <v>9.1952887684400011</v>
      </c>
      <c r="AC8" s="11">
        <f t="shared" si="25"/>
        <v>7.3081910817104294</v>
      </c>
      <c r="AD8" s="11">
        <f t="shared" si="9"/>
        <v>1237.3425346913923</v>
      </c>
      <c r="AE8" s="11">
        <f t="shared" si="10"/>
        <v>8.077725108500335</v>
      </c>
      <c r="AF8" s="33">
        <f t="shared" si="11"/>
        <v>11.052974693991994</v>
      </c>
      <c r="AG8" s="32">
        <f t="shared" si="26"/>
        <v>0.86</v>
      </c>
      <c r="AH8">
        <f t="shared" si="27"/>
        <v>19</v>
      </c>
      <c r="AI8">
        <f t="shared" si="28"/>
        <v>24</v>
      </c>
      <c r="AJ8" s="8">
        <f t="shared" si="29"/>
        <v>7.0092664563010763</v>
      </c>
      <c r="AK8" s="8">
        <f t="shared" si="12"/>
        <v>661</v>
      </c>
      <c r="AL8" s="8">
        <f t="shared" si="13"/>
        <v>7.0163186131317135</v>
      </c>
      <c r="AM8" s="8">
        <f t="shared" si="14"/>
        <v>10.01006119096</v>
      </c>
      <c r="AN8" s="11">
        <f t="shared" si="30"/>
        <v>7.0003221103238467</v>
      </c>
      <c r="AO8" s="11">
        <f t="shared" si="15"/>
        <v>957.94260750301339</v>
      </c>
      <c r="AP8" s="11">
        <f t="shared" si="16"/>
        <v>7.7367447134647884</v>
      </c>
      <c r="AQ8" s="12">
        <f t="shared" si="17"/>
        <v>11.051983882362913</v>
      </c>
    </row>
    <row r="9" spans="1:43" x14ac:dyDescent="0.3">
      <c r="A9" s="29" t="s">
        <v>21</v>
      </c>
      <c r="B9" s="5"/>
      <c r="C9" s="5">
        <v>4</v>
      </c>
      <c r="D9" s="5">
        <v>5</v>
      </c>
      <c r="E9" s="5"/>
      <c r="F9" s="1"/>
      <c r="G9" s="1" t="s">
        <v>14</v>
      </c>
      <c r="H9">
        <f>1-0.14</f>
        <v>0.86</v>
      </c>
      <c r="I9">
        <v>10</v>
      </c>
      <c r="J9" s="5"/>
      <c r="K9" s="32">
        <f>1-0.28</f>
        <v>0.72</v>
      </c>
      <c r="L9">
        <f t="shared" si="18"/>
        <v>40</v>
      </c>
      <c r="M9" s="5">
        <f t="shared" si="19"/>
        <v>0</v>
      </c>
      <c r="N9" s="8">
        <f t="shared" si="20"/>
        <v>8.3064007895430088</v>
      </c>
      <c r="O9" s="8">
        <f t="shared" si="0"/>
        <v>661</v>
      </c>
      <c r="P9" s="8">
        <f t="shared" si="1"/>
        <v>6.961192759252798</v>
      </c>
      <c r="Q9" s="8">
        <f t="shared" si="2"/>
        <v>8.3805163459200003</v>
      </c>
      <c r="R9" s="11">
        <f>T9/U9*10</f>
        <v>7.6914054482776697</v>
      </c>
      <c r="S9" s="11">
        <f t="shared" si="3"/>
        <v>1628.502432755123</v>
      </c>
      <c r="T9" s="11">
        <f t="shared" si="4"/>
        <v>8.6318182504330991</v>
      </c>
      <c r="U9" s="33">
        <f t="shared" si="5"/>
        <v>11.222680053053264</v>
      </c>
      <c r="V9" s="32">
        <f>1-0.21</f>
        <v>0.79</v>
      </c>
      <c r="W9">
        <f t="shared" si="22"/>
        <v>32</v>
      </c>
      <c r="X9" s="5">
        <f t="shared" si="23"/>
        <v>10</v>
      </c>
      <c r="Y9" s="8">
        <f t="shared" si="24"/>
        <v>7.7674651761232241</v>
      </c>
      <c r="Z9" s="8">
        <f t="shared" si="6"/>
        <v>661</v>
      </c>
      <c r="AA9" s="8">
        <f t="shared" si="7"/>
        <v>7.1424085293254711</v>
      </c>
      <c r="AB9" s="8">
        <f t="shared" si="8"/>
        <v>9.1952887684400011</v>
      </c>
      <c r="AC9" s="11">
        <f t="shared" si="25"/>
        <v>7.2642516019445385</v>
      </c>
      <c r="AD9" s="11">
        <f t="shared" si="9"/>
        <v>1349.1025055667442</v>
      </c>
      <c r="AE9" s="11">
        <f t="shared" si="10"/>
        <v>8.2908378553975535</v>
      </c>
      <c r="AF9" s="33">
        <f t="shared" si="11"/>
        <v>11.413203052022885</v>
      </c>
      <c r="AG9" s="32">
        <f t="shared" si="26"/>
        <v>0.86</v>
      </c>
      <c r="AH9">
        <f t="shared" si="27"/>
        <v>24</v>
      </c>
      <c r="AI9">
        <f t="shared" si="28"/>
        <v>20</v>
      </c>
      <c r="AJ9" s="8">
        <f t="shared" si="29"/>
        <v>7.1522347633375505</v>
      </c>
      <c r="AK9" s="8">
        <f t="shared" si="12"/>
        <v>661</v>
      </c>
      <c r="AL9" s="8">
        <f t="shared" si="13"/>
        <v>7.1594307633120193</v>
      </c>
      <c r="AM9" s="8">
        <f t="shared" si="14"/>
        <v>10.01006119096</v>
      </c>
      <c r="AN9" s="11">
        <f t="shared" si="30"/>
        <v>6.9466675235514934</v>
      </c>
      <c r="AO9" s="11">
        <f t="shared" si="15"/>
        <v>1069.7025783783649</v>
      </c>
      <c r="AP9" s="11">
        <f t="shared" si="16"/>
        <v>7.949857460362006</v>
      </c>
      <c r="AQ9" s="12">
        <f t="shared" si="17"/>
        <v>11.444131208826921</v>
      </c>
    </row>
    <row r="10" spans="1:43" x14ac:dyDescent="0.3">
      <c r="A10" s="29" t="s">
        <v>22</v>
      </c>
      <c r="B10" s="5"/>
      <c r="C10" s="5">
        <v>8</v>
      </c>
      <c r="D10" s="5">
        <v>10</v>
      </c>
      <c r="E10" s="5"/>
      <c r="F10" s="1"/>
      <c r="G10" s="17" t="s">
        <v>27</v>
      </c>
      <c r="H10">
        <f>(1-0.14)*(1-0.04)</f>
        <v>0.8256</v>
      </c>
      <c r="I10">
        <v>5</v>
      </c>
      <c r="J10" s="5"/>
      <c r="K10" s="32">
        <f>(1-0.28)*(1-0.04)</f>
        <v>0.69119999999999993</v>
      </c>
      <c r="L10">
        <f t="shared" si="18"/>
        <v>35</v>
      </c>
      <c r="M10" s="5">
        <f t="shared" si="19"/>
        <v>0</v>
      </c>
      <c r="N10" s="13">
        <f t="shared" si="20"/>
        <v>8.3887050656589111</v>
      </c>
      <c r="O10" s="13">
        <f t="shared" si="0"/>
        <v>661</v>
      </c>
      <c r="P10" s="13">
        <f t="shared" si="1"/>
        <v>6.7489612726902148</v>
      </c>
      <c r="Q10" s="13">
        <f t="shared" si="2"/>
        <v>8.0452956920831991</v>
      </c>
      <c r="R10" s="22">
        <f t="shared" si="21"/>
        <v>7.8140736954634127</v>
      </c>
      <c r="S10" s="22">
        <f t="shared" si="3"/>
        <v>1628.502432755123</v>
      </c>
      <c r="T10" s="22">
        <f t="shared" si="4"/>
        <v>8.4187055035358824</v>
      </c>
      <c r="U10" s="34">
        <f t="shared" si="5"/>
        <v>10.773772850931133</v>
      </c>
      <c r="V10" s="32">
        <f>(1-0.21)*(1-0.04)</f>
        <v>0.75839999999999996</v>
      </c>
      <c r="W10">
        <f t="shared" si="22"/>
        <v>27</v>
      </c>
      <c r="X10" s="5">
        <f t="shared" si="23"/>
        <v>10</v>
      </c>
      <c r="Y10" s="13">
        <f t="shared" si="24"/>
        <v>7.8317791238956138</v>
      </c>
      <c r="Z10" s="13">
        <f t="shared" si="6"/>
        <v>661</v>
      </c>
      <c r="AA10" s="13">
        <f t="shared" si="7"/>
        <v>6.913485179026579</v>
      </c>
      <c r="AB10" s="13">
        <f t="shared" si="8"/>
        <v>8.8274772177024001</v>
      </c>
      <c r="AC10" s="15">
        <f t="shared" si="25"/>
        <v>7.3724238057166858</v>
      </c>
      <c r="AD10" s="15">
        <f t="shared" si="9"/>
        <v>1349.1025055667442</v>
      </c>
      <c r="AE10" s="15">
        <f t="shared" si="10"/>
        <v>8.0777251085003368</v>
      </c>
      <c r="AF10" s="35">
        <f t="shared" si="11"/>
        <v>10.956674929941968</v>
      </c>
      <c r="AG10" s="32">
        <f t="shared" si="26"/>
        <v>0.8256</v>
      </c>
      <c r="AH10">
        <f t="shared" si="27"/>
        <v>19</v>
      </c>
      <c r="AI10">
        <f t="shared" si="28"/>
        <v>20</v>
      </c>
      <c r="AJ10" s="13">
        <f t="shared" si="29"/>
        <v>7.1985470942938452</v>
      </c>
      <c r="AK10" s="13">
        <f t="shared" si="12"/>
        <v>661</v>
      </c>
      <c r="AL10" s="13">
        <f t="shared" si="13"/>
        <v>6.9175581023893145</v>
      </c>
      <c r="AM10" s="13">
        <f t="shared" si="14"/>
        <v>9.6096587433215994</v>
      </c>
      <c r="AN10" s="15">
        <f t="shared" si="30"/>
        <v>7.042132713674051</v>
      </c>
      <c r="AO10" s="15">
        <f t="shared" si="15"/>
        <v>1069.7025783783649</v>
      </c>
      <c r="AP10" s="15">
        <f t="shared" si="16"/>
        <v>7.7367447134647884</v>
      </c>
      <c r="AQ10" s="16">
        <f t="shared" si="17"/>
        <v>10.986365960473844</v>
      </c>
    </row>
    <row r="11" spans="1:43" x14ac:dyDescent="0.3">
      <c r="A11" s="29"/>
      <c r="B11" s="5"/>
      <c r="C11" s="5"/>
      <c r="D11" s="5"/>
      <c r="E11" s="5"/>
      <c r="F11" s="1"/>
      <c r="G11" s="1" t="s">
        <v>28</v>
      </c>
      <c r="H11">
        <f>1-0.04</f>
        <v>0.96</v>
      </c>
      <c r="I11">
        <v>20</v>
      </c>
      <c r="J11" s="5">
        <v>4</v>
      </c>
      <c r="K11" s="32">
        <f>(1-0.14)*(1-0.04)</f>
        <v>0.8256</v>
      </c>
      <c r="L11">
        <f t="shared" si="18"/>
        <v>50</v>
      </c>
      <c r="M11" s="5">
        <f t="shared" si="19"/>
        <v>4</v>
      </c>
      <c r="N11" s="8">
        <f t="shared" si="20"/>
        <v>7.9274474558023664</v>
      </c>
      <c r="O11" s="8">
        <f t="shared" si="0"/>
        <v>661</v>
      </c>
      <c r="P11" s="8">
        <f t="shared" si="1"/>
        <v>7.6180064755873778</v>
      </c>
      <c r="Q11" s="8">
        <f t="shared" si="2"/>
        <v>9.6096587433215994</v>
      </c>
      <c r="R11" s="11">
        <f t="shared" si="21"/>
        <v>7.2509528064664188</v>
      </c>
      <c r="S11" s="11">
        <f t="shared" si="3"/>
        <v>1516.7424618797713</v>
      </c>
      <c r="T11" s="11">
        <f t="shared" si="4"/>
        <v>9.0580437442275326</v>
      </c>
      <c r="U11" s="33">
        <f t="shared" si="5"/>
        <v>12.49221169409563</v>
      </c>
      <c r="V11" s="32">
        <f>(1-0.07)*(1-0.04)</f>
        <v>0.89279999999999993</v>
      </c>
      <c r="W11">
        <f t="shared" si="22"/>
        <v>42</v>
      </c>
      <c r="X11" s="5">
        <f t="shared" si="23"/>
        <v>14</v>
      </c>
      <c r="Y11" s="8">
        <f t="shared" si="24"/>
        <v>7.5269855751340256</v>
      </c>
      <c r="Z11" s="8">
        <f t="shared" si="6"/>
        <v>661</v>
      </c>
      <c r="AA11" s="8">
        <f t="shared" si="7"/>
        <v>7.821923180341428</v>
      </c>
      <c r="AB11" s="8">
        <f t="shared" si="8"/>
        <v>10.391840268940799</v>
      </c>
      <c r="AC11" s="11">
        <f t="shared" si="25"/>
        <v>6.9785297798983894</v>
      </c>
      <c r="AD11" s="11">
        <f t="shared" si="9"/>
        <v>1237.3425346913923</v>
      </c>
      <c r="AE11" s="11">
        <f t="shared" si="10"/>
        <v>8.7170633491919833</v>
      </c>
      <c r="AF11" s="33">
        <f t="shared" si="11"/>
        <v>12.49126051493171</v>
      </c>
      <c r="AG11" s="32">
        <f t="shared" si="26"/>
        <v>0.96</v>
      </c>
      <c r="AH11">
        <f t="shared" si="27"/>
        <v>34</v>
      </c>
      <c r="AI11">
        <f t="shared" si="28"/>
        <v>24</v>
      </c>
      <c r="AJ11" s="8">
        <f t="shared" si="29"/>
        <v>6.937785009339966</v>
      </c>
      <c r="AK11" s="8">
        <f t="shared" si="12"/>
        <v>661</v>
      </c>
      <c r="AL11" s="8">
        <f t="shared" si="13"/>
        <v>7.7522960900336431</v>
      </c>
      <c r="AM11" s="8">
        <f t="shared" si="14"/>
        <v>11.17402179456</v>
      </c>
      <c r="AN11" s="11">
        <f t="shared" si="30"/>
        <v>6.7893460513210719</v>
      </c>
      <c r="AO11" s="11">
        <f t="shared" si="15"/>
        <v>957.94260750301339</v>
      </c>
      <c r="AP11" s="11">
        <f t="shared" si="16"/>
        <v>8.3760829541564394</v>
      </c>
      <c r="AQ11" s="12">
        <f t="shared" si="17"/>
        <v>12.337098287288832</v>
      </c>
    </row>
    <row r="12" spans="1:43" x14ac:dyDescent="0.3">
      <c r="A12" s="29" t="s">
        <v>10</v>
      </c>
      <c r="B12" s="5">
        <v>14</v>
      </c>
      <c r="C12" s="5"/>
      <c r="D12" s="5">
        <v>16</v>
      </c>
      <c r="E12" s="5"/>
      <c r="F12" s="1"/>
      <c r="G12" s="1" t="s">
        <v>17</v>
      </c>
      <c r="H12">
        <v>1</v>
      </c>
      <c r="I12">
        <v>25</v>
      </c>
      <c r="J12" s="5">
        <v>4</v>
      </c>
      <c r="K12" s="32">
        <f>1-0.14</f>
        <v>0.86</v>
      </c>
      <c r="L12">
        <f t="shared" si="18"/>
        <v>55</v>
      </c>
      <c r="M12" s="5">
        <f t="shared" si="19"/>
        <v>4</v>
      </c>
      <c r="N12" s="8">
        <f t="shared" si="20"/>
        <v>7.8290377632475767</v>
      </c>
      <c r="O12" s="8">
        <f t="shared" si="0"/>
        <v>661</v>
      </c>
      <c r="P12" s="8">
        <f t="shared" si="1"/>
        <v>7.8369147076444854</v>
      </c>
      <c r="Q12" s="8">
        <f t="shared" si="2"/>
        <v>10.01006119096</v>
      </c>
      <c r="R12" s="11">
        <f t="shared" si="21"/>
        <v>7.1246873247324487</v>
      </c>
      <c r="S12" s="11">
        <f t="shared" si="3"/>
        <v>1516.7424618797713</v>
      </c>
      <c r="T12" s="11">
        <f t="shared" si="4"/>
        <v>9.2711564911247493</v>
      </c>
      <c r="U12" s="33">
        <f t="shared" si="5"/>
        <v>13.012720514682947</v>
      </c>
      <c r="V12" s="32">
        <f>1-0.07</f>
        <v>0.92999999999999994</v>
      </c>
      <c r="W12">
        <f t="shared" si="22"/>
        <v>47</v>
      </c>
      <c r="X12" s="5">
        <f t="shared" si="23"/>
        <v>14</v>
      </c>
      <c r="Y12" s="8">
        <f t="shared" si="24"/>
        <v>7.4435539277951879</v>
      </c>
      <c r="Z12" s="8">
        <f t="shared" si="6"/>
        <v>661</v>
      </c>
      <c r="AA12" s="8">
        <f t="shared" si="7"/>
        <v>8.0575232761348428</v>
      </c>
      <c r="AB12" s="8">
        <f t="shared" si="8"/>
        <v>10.824833613479999</v>
      </c>
      <c r="AC12" s="11">
        <f t="shared" si="25"/>
        <v>6.8631736901153761</v>
      </c>
      <c r="AD12" s="11">
        <f t="shared" si="9"/>
        <v>1237.3425346913923</v>
      </c>
      <c r="AE12" s="11">
        <f t="shared" si="10"/>
        <v>8.9301760960892036</v>
      </c>
      <c r="AF12" s="33">
        <f t="shared" si="11"/>
        <v>13.011729703053865</v>
      </c>
      <c r="AG12" s="32">
        <f t="shared" si="26"/>
        <v>1</v>
      </c>
      <c r="AH12">
        <f t="shared" si="27"/>
        <v>39</v>
      </c>
      <c r="AI12">
        <f t="shared" si="28"/>
        <v>24</v>
      </c>
      <c r="AJ12" s="8">
        <f t="shared" si="29"/>
        <v>6.871041761148847</v>
      </c>
      <c r="AK12" s="8">
        <f t="shared" si="12"/>
        <v>661</v>
      </c>
      <c r="AL12" s="8">
        <f t="shared" si="13"/>
        <v>7.9976219156676187</v>
      </c>
      <c r="AM12" s="8">
        <f t="shared" si="14"/>
        <v>11.639606036</v>
      </c>
      <c r="AN12" s="11">
        <f t="shared" si="30"/>
        <v>6.6836039407314685</v>
      </c>
      <c r="AO12" s="11">
        <f t="shared" si="15"/>
        <v>957.94260750301339</v>
      </c>
      <c r="AP12" s="11">
        <f t="shared" si="16"/>
        <v>8.5891957010536562</v>
      </c>
      <c r="AQ12" s="12">
        <f t="shared" si="17"/>
        <v>12.851144049259201</v>
      </c>
    </row>
    <row r="13" spans="1:43" x14ac:dyDescent="0.3">
      <c r="A13" s="29" t="s">
        <v>80</v>
      </c>
      <c r="B13" s="5">
        <v>7</v>
      </c>
      <c r="C13" s="5"/>
      <c r="D13" s="5">
        <v>8</v>
      </c>
      <c r="E13" s="5">
        <v>10</v>
      </c>
      <c r="F13" s="1">
        <v>16</v>
      </c>
      <c r="G13" s="1" t="s">
        <v>29</v>
      </c>
      <c r="H13">
        <f>1-0.08</f>
        <v>0.92</v>
      </c>
      <c r="I13">
        <v>15</v>
      </c>
      <c r="J13" s="5">
        <v>4</v>
      </c>
      <c r="K13" s="32">
        <f>(1-0.14)*(1-0.08)</f>
        <v>0.79120000000000001</v>
      </c>
      <c r="L13">
        <f t="shared" si="18"/>
        <v>45</v>
      </c>
      <c r="M13" s="5">
        <f t="shared" si="19"/>
        <v>4</v>
      </c>
      <c r="N13" s="8">
        <f t="shared" si="20"/>
        <v>8.0344145129271318</v>
      </c>
      <c r="O13" s="8">
        <f t="shared" si="0"/>
        <v>661</v>
      </c>
      <c r="P13" s="8">
        <f t="shared" si="1"/>
        <v>7.3990982435302666</v>
      </c>
      <c r="Q13" s="8">
        <f t="shared" si="2"/>
        <v>9.2092562956832005</v>
      </c>
      <c r="R13" s="11">
        <f t="shared" si="21"/>
        <v>7.3881978953076928</v>
      </c>
      <c r="S13" s="11">
        <f t="shared" si="3"/>
        <v>1516.7424618797713</v>
      </c>
      <c r="T13" s="11">
        <f t="shared" si="4"/>
        <v>8.8449309973303176</v>
      </c>
      <c r="U13" s="33">
        <f t="shared" si="5"/>
        <v>11.971702873508312</v>
      </c>
      <c r="V13" s="32">
        <f>(1-0.07)*(1-0.08)</f>
        <v>0.85560000000000003</v>
      </c>
      <c r="W13">
        <f t="shared" si="22"/>
        <v>37</v>
      </c>
      <c r="X13" s="5">
        <f t="shared" si="23"/>
        <v>14</v>
      </c>
      <c r="Y13" s="8">
        <f t="shared" si="24"/>
        <v>7.6176721483284107</v>
      </c>
      <c r="Z13" s="8">
        <f t="shared" si="6"/>
        <v>661</v>
      </c>
      <c r="AA13" s="8">
        <f t="shared" si="7"/>
        <v>7.5863230845480123</v>
      </c>
      <c r="AB13" s="8">
        <f t="shared" si="8"/>
        <v>9.9588469244016</v>
      </c>
      <c r="AC13" s="11">
        <f t="shared" si="25"/>
        <v>7.1039168340103664</v>
      </c>
      <c r="AD13" s="11">
        <f t="shared" si="9"/>
        <v>1237.3425346913923</v>
      </c>
      <c r="AE13" s="11">
        <f t="shared" si="10"/>
        <v>8.5039506022947702</v>
      </c>
      <c r="AF13" s="33">
        <f t="shared" si="11"/>
        <v>11.970791326809557</v>
      </c>
      <c r="AG13" s="32">
        <f t="shared" si="26"/>
        <v>0.92</v>
      </c>
      <c r="AH13">
        <f t="shared" si="27"/>
        <v>29</v>
      </c>
      <c r="AI13">
        <f t="shared" si="28"/>
        <v>24</v>
      </c>
      <c r="AJ13" s="8">
        <f t="shared" si="29"/>
        <v>7.0103320182433535</v>
      </c>
      <c r="AK13" s="8">
        <f t="shared" si="12"/>
        <v>661</v>
      </c>
      <c r="AL13" s="8">
        <f t="shared" si="13"/>
        <v>7.5069702643996665</v>
      </c>
      <c r="AM13" s="8">
        <f t="shared" si="14"/>
        <v>10.708437553120001</v>
      </c>
      <c r="AN13" s="11">
        <f t="shared" si="30"/>
        <v>6.9042831280489017</v>
      </c>
      <c r="AO13" s="11">
        <f t="shared" si="15"/>
        <v>957.94260750301339</v>
      </c>
      <c r="AP13" s="11">
        <f t="shared" si="16"/>
        <v>8.1629702072592227</v>
      </c>
      <c r="AQ13" s="12">
        <f t="shared" si="17"/>
        <v>11.823052525318465</v>
      </c>
    </row>
    <row r="14" spans="1:43" x14ac:dyDescent="0.3">
      <c r="A14" s="29" t="s">
        <v>79</v>
      </c>
      <c r="B14" s="5"/>
      <c r="C14" s="5"/>
      <c r="D14" s="5"/>
      <c r="E14" s="5">
        <v>20</v>
      </c>
      <c r="F14" s="1">
        <v>32</v>
      </c>
      <c r="G14" s="17" t="s">
        <v>18</v>
      </c>
      <c r="H14">
        <v>1</v>
      </c>
      <c r="I14">
        <v>20</v>
      </c>
      <c r="J14" s="5">
        <v>8</v>
      </c>
      <c r="K14" s="32">
        <f>1-0.14</f>
        <v>0.86</v>
      </c>
      <c r="L14">
        <f t="shared" si="18"/>
        <v>50</v>
      </c>
      <c r="M14" s="5">
        <f t="shared" si="19"/>
        <v>8</v>
      </c>
      <c r="N14" s="13">
        <f t="shared" si="20"/>
        <v>7.8424667632265539</v>
      </c>
      <c r="O14" s="13">
        <f t="shared" si="0"/>
        <v>661</v>
      </c>
      <c r="P14" s="13">
        <f t="shared" si="1"/>
        <v>7.8503572187967823</v>
      </c>
      <c r="Q14" s="13">
        <f t="shared" si="2"/>
        <v>10.01006119096</v>
      </c>
      <c r="R14" s="11">
        <f t="shared" si="21"/>
        <v>7.1772047189449673</v>
      </c>
      <c r="S14" s="11">
        <f t="shared" si="3"/>
        <v>1404.9824910044199</v>
      </c>
      <c r="T14" s="11">
        <f t="shared" si="4"/>
        <v>9.0580437442275326</v>
      </c>
      <c r="U14" s="33">
        <f t="shared" si="5"/>
        <v>12.620573188218943</v>
      </c>
      <c r="V14" s="32">
        <f>1-0.07</f>
        <v>0.92999999999999994</v>
      </c>
      <c r="W14">
        <f t="shared" si="22"/>
        <v>42</v>
      </c>
      <c r="X14" s="5">
        <f t="shared" si="23"/>
        <v>18</v>
      </c>
      <c r="Y14" s="8">
        <f t="shared" si="24"/>
        <v>7.3653324319906002</v>
      </c>
      <c r="Z14" s="8">
        <f t="shared" si="6"/>
        <v>661</v>
      </c>
      <c r="AA14" s="8">
        <f t="shared" si="7"/>
        <v>7.9728498084266235</v>
      </c>
      <c r="AB14" s="8">
        <f t="shared" si="8"/>
        <v>10.824833613479999</v>
      </c>
      <c r="AC14" s="11">
        <f t="shared" si="25"/>
        <v>6.9250845582217977</v>
      </c>
      <c r="AD14" s="11">
        <f t="shared" si="9"/>
        <v>1125.5825638160409</v>
      </c>
      <c r="AE14" s="11">
        <f t="shared" si="10"/>
        <v>8.7170633491919833</v>
      </c>
      <c r="AF14" s="33">
        <f t="shared" si="11"/>
        <v>12.587663408156743</v>
      </c>
      <c r="AG14" s="32">
        <f t="shared" si="26"/>
        <v>1</v>
      </c>
      <c r="AH14">
        <f t="shared" si="27"/>
        <v>34</v>
      </c>
      <c r="AI14">
        <f t="shared" si="28"/>
        <v>28</v>
      </c>
      <c r="AJ14" s="8">
        <f t="shared" si="29"/>
        <v>6.6920551829635126</v>
      </c>
      <c r="AK14" s="8">
        <f t="shared" si="12"/>
        <v>661</v>
      </c>
      <c r="AL14" s="8">
        <f t="shared" si="13"/>
        <v>7.7892885900867181</v>
      </c>
      <c r="AM14" s="8">
        <f t="shared" si="14"/>
        <v>11.639606036</v>
      </c>
      <c r="AN14" s="11">
        <f t="shared" si="30"/>
        <v>6.7575438917853994</v>
      </c>
      <c r="AO14" s="11">
        <f t="shared" si="15"/>
        <v>846.18263662766185</v>
      </c>
      <c r="AP14" s="11">
        <f t="shared" si="16"/>
        <v>8.3760829541564394</v>
      </c>
      <c r="AQ14" s="12">
        <f t="shared" si="17"/>
        <v>12.395158785928963</v>
      </c>
    </row>
    <row r="15" spans="1:43" x14ac:dyDescent="0.3">
      <c r="A15" s="29"/>
      <c r="B15" s="5"/>
      <c r="C15" s="5"/>
      <c r="D15" s="5"/>
      <c r="E15" s="5"/>
      <c r="F15" s="1"/>
      <c r="G15" s="1" t="s">
        <v>30</v>
      </c>
      <c r="H15">
        <f>1-0.04</f>
        <v>0.96</v>
      </c>
      <c r="I15">
        <v>15</v>
      </c>
      <c r="J15" s="5">
        <v>8</v>
      </c>
      <c r="K15" s="32">
        <f>(1-0.14)*(1-0.04)</f>
        <v>0.8256</v>
      </c>
      <c r="L15">
        <f t="shared" si="18"/>
        <v>45</v>
      </c>
      <c r="M15" s="5">
        <f t="shared" si="19"/>
        <v>8</v>
      </c>
      <c r="N15" s="8">
        <f t="shared" si="20"/>
        <v>7.9344880446916175</v>
      </c>
      <c r="O15" s="8">
        <f t="shared" si="0"/>
        <v>661</v>
      </c>
      <c r="P15" s="8">
        <f t="shared" si="1"/>
        <v>7.6247722412451511</v>
      </c>
      <c r="Q15" s="8">
        <f t="shared" si="2"/>
        <v>9.6096587433215994</v>
      </c>
      <c r="R15" s="11">
        <f t="shared" si="21"/>
        <v>7.3003576394504339</v>
      </c>
      <c r="S15" s="11">
        <f t="shared" si="3"/>
        <v>1404.9824910044199</v>
      </c>
      <c r="T15" s="11">
        <f t="shared" si="4"/>
        <v>8.8449309973303176</v>
      </c>
      <c r="U15" s="33">
        <f t="shared" si="5"/>
        <v>12.115750260690184</v>
      </c>
      <c r="V15" s="32">
        <f>(1-0.07)*(1-0.04)</f>
        <v>0.89279999999999993</v>
      </c>
      <c r="W15">
        <f t="shared" si="22"/>
        <v>37</v>
      </c>
      <c r="X15" s="5">
        <f t="shared" si="23"/>
        <v>18</v>
      </c>
      <c r="Y15" s="8">
        <f t="shared" si="24"/>
        <v>7.4411302808137947</v>
      </c>
      <c r="Z15" s="8">
        <f t="shared" si="6"/>
        <v>661</v>
      </c>
      <c r="AA15" s="8">
        <f t="shared" si="7"/>
        <v>7.7327037298595549</v>
      </c>
      <c r="AB15" s="8">
        <f t="shared" si="8"/>
        <v>10.391840268940799</v>
      </c>
      <c r="AC15" s="11">
        <f t="shared" si="25"/>
        <v>7.0372725979074593</v>
      </c>
      <c r="AD15" s="11">
        <f t="shared" si="9"/>
        <v>1125.5825638160409</v>
      </c>
      <c r="AE15" s="11">
        <f t="shared" si="10"/>
        <v>8.5039506022947702</v>
      </c>
      <c r="AF15" s="33">
        <f t="shared" si="11"/>
        <v>12.084156871830473</v>
      </c>
      <c r="AG15" s="32">
        <f t="shared" si="26"/>
        <v>0.96</v>
      </c>
      <c r="AH15">
        <f t="shared" si="27"/>
        <v>29</v>
      </c>
      <c r="AI15">
        <f t="shared" si="28"/>
        <v>28</v>
      </c>
      <c r="AJ15" s="8">
        <f t="shared" si="29"/>
        <v>6.7502930049671495</v>
      </c>
      <c r="AK15" s="8">
        <f t="shared" si="12"/>
        <v>661</v>
      </c>
      <c r="AL15" s="8">
        <f t="shared" si="13"/>
        <v>7.5427921157168836</v>
      </c>
      <c r="AM15" s="8">
        <f t="shared" si="14"/>
        <v>11.17402179456</v>
      </c>
      <c r="AN15" s="11">
        <f t="shared" si="30"/>
        <v>6.8600121327592607</v>
      </c>
      <c r="AO15" s="11">
        <f t="shared" si="15"/>
        <v>846.18263662766185</v>
      </c>
      <c r="AP15" s="11">
        <f t="shared" si="16"/>
        <v>8.1629702072592227</v>
      </c>
      <c r="AQ15" s="12">
        <f t="shared" si="17"/>
        <v>11.899352434491805</v>
      </c>
    </row>
    <row r="16" spans="1:43" x14ac:dyDescent="0.3">
      <c r="A16" s="29" t="s">
        <v>20</v>
      </c>
      <c r="B16" s="5"/>
      <c r="C16" s="5"/>
      <c r="D16" s="30">
        <v>14</v>
      </c>
      <c r="E16" s="5"/>
      <c r="F16" s="1"/>
      <c r="G16" s="1" t="s">
        <v>31</v>
      </c>
      <c r="H16">
        <f>1-0.08</f>
        <v>0.92</v>
      </c>
      <c r="I16">
        <v>20</v>
      </c>
      <c r="J16" s="5"/>
      <c r="K16" s="32">
        <f>(1-0.14)*(1-0.08)</f>
        <v>0.79120000000000001</v>
      </c>
      <c r="L16">
        <f t="shared" si="18"/>
        <v>50</v>
      </c>
      <c r="M16" s="5">
        <f t="shared" si="19"/>
        <v>0</v>
      </c>
      <c r="N16" s="8">
        <f t="shared" si="20"/>
        <v>8.0198177738195451</v>
      </c>
      <c r="O16" s="8">
        <f t="shared" si="0"/>
        <v>661</v>
      </c>
      <c r="P16" s="8">
        <f t="shared" si="1"/>
        <v>7.3856557323779679</v>
      </c>
      <c r="Q16" s="8">
        <f t="shared" si="2"/>
        <v>9.2092562956832005</v>
      </c>
      <c r="R16" s="11">
        <f t="shared" si="21"/>
        <v>7.3448689227390584</v>
      </c>
      <c r="S16" s="11">
        <f t="shared" si="3"/>
        <v>1628.502432755123</v>
      </c>
      <c r="T16" s="11">
        <f t="shared" si="4"/>
        <v>9.0580437442275326</v>
      </c>
      <c r="U16" s="33">
        <f t="shared" si="5"/>
        <v>12.332478413855199</v>
      </c>
      <c r="V16" s="32">
        <f>(1-0.07)*(1-0.08)</f>
        <v>0.85560000000000003</v>
      </c>
      <c r="W16">
        <f t="shared" si="22"/>
        <v>42</v>
      </c>
      <c r="X16" s="5">
        <f t="shared" si="23"/>
        <v>10</v>
      </c>
      <c r="Y16" s="8">
        <f t="shared" si="24"/>
        <v>7.631661865693288</v>
      </c>
      <c r="Z16" s="8">
        <f t="shared" si="6"/>
        <v>661</v>
      </c>
      <c r="AA16" s="8">
        <f t="shared" si="7"/>
        <v>7.600255229923258</v>
      </c>
      <c r="AB16" s="8">
        <f t="shared" si="8"/>
        <v>9.9588469244016</v>
      </c>
      <c r="AC16" s="11">
        <f t="shared" si="25"/>
        <v>7.0521083077343221</v>
      </c>
      <c r="AD16" s="11">
        <f t="shared" si="9"/>
        <v>1349.1025055667442</v>
      </c>
      <c r="AE16" s="11">
        <f t="shared" si="10"/>
        <v>8.7170633491919833</v>
      </c>
      <c r="AF16" s="33">
        <f t="shared" si="11"/>
        <v>12.360932318114912</v>
      </c>
      <c r="AG16" s="32">
        <f t="shared" si="26"/>
        <v>0.92</v>
      </c>
      <c r="AH16">
        <f t="shared" si="27"/>
        <v>34</v>
      </c>
      <c r="AI16">
        <f t="shared" si="28"/>
        <v>20</v>
      </c>
      <c r="AJ16" s="8">
        <f t="shared" si="29"/>
        <v>7.1375268775140004</v>
      </c>
      <c r="AK16" s="8">
        <f t="shared" si="12"/>
        <v>661</v>
      </c>
      <c r="AL16" s="8">
        <f t="shared" si="13"/>
        <v>7.6431760851574255</v>
      </c>
      <c r="AM16" s="8">
        <f t="shared" si="14"/>
        <v>10.708437553120001</v>
      </c>
      <c r="AN16" s="11">
        <f t="shared" si="30"/>
        <v>6.8417746455915864</v>
      </c>
      <c r="AO16" s="11">
        <f t="shared" si="15"/>
        <v>1069.7025783783649</v>
      </c>
      <c r="AP16" s="11">
        <f t="shared" si="16"/>
        <v>8.3760829541564394</v>
      </c>
      <c r="AQ16" s="12">
        <f t="shared" si="17"/>
        <v>12.242558967582287</v>
      </c>
    </row>
    <row r="17" spans="1:43" x14ac:dyDescent="0.3">
      <c r="A17" s="29"/>
      <c r="B17" s="5"/>
      <c r="C17" s="5"/>
      <c r="D17" s="5"/>
      <c r="E17" s="5"/>
      <c r="F17" s="1"/>
      <c r="G17" s="1" t="s">
        <v>32</v>
      </c>
      <c r="H17">
        <f>1-0.04</f>
        <v>0.96</v>
      </c>
      <c r="I17">
        <v>25</v>
      </c>
      <c r="J17" s="5"/>
      <c r="K17" s="32">
        <f>(1-0.14)*(1-0.04)</f>
        <v>0.8256</v>
      </c>
      <c r="L17">
        <f t="shared" si="18"/>
        <v>55</v>
      </c>
      <c r="M17" s="5">
        <f t="shared" si="19"/>
        <v>0</v>
      </c>
      <c r="N17" s="8">
        <f t="shared" si="20"/>
        <v>7.9065109614020779</v>
      </c>
      <c r="O17" s="8">
        <f t="shared" si="0"/>
        <v>661</v>
      </c>
      <c r="P17" s="8">
        <f t="shared" si="1"/>
        <v>7.5978872189405546</v>
      </c>
      <c r="Q17" s="8">
        <f t="shared" si="2"/>
        <v>9.6096587433215994</v>
      </c>
      <c r="R17" s="11">
        <f t="shared" si="21"/>
        <v>7.2044385612000417</v>
      </c>
      <c r="S17" s="11">
        <f t="shared" si="3"/>
        <v>1628.502432755123</v>
      </c>
      <c r="T17" s="11">
        <f t="shared" si="4"/>
        <v>9.2711564911247493</v>
      </c>
      <c r="U17" s="33">
        <f t="shared" si="5"/>
        <v>12.868673127501076</v>
      </c>
      <c r="V17" s="32">
        <f>(1-0.07)*(1-0.04)</f>
        <v>0.89279999999999993</v>
      </c>
      <c r="W17">
        <f t="shared" si="22"/>
        <v>47</v>
      </c>
      <c r="X17" s="5">
        <f t="shared" si="23"/>
        <v>10</v>
      </c>
      <c r="Y17" s="8">
        <f t="shared" si="24"/>
        <v>7.5339673990390823</v>
      </c>
      <c r="Z17" s="8">
        <f t="shared" si="6"/>
        <v>661</v>
      </c>
      <c r="AA17" s="8">
        <f t="shared" si="7"/>
        <v>7.829178580222151</v>
      </c>
      <c r="AB17" s="8">
        <f t="shared" si="8"/>
        <v>10.391840268940799</v>
      </c>
      <c r="AC17" s="11">
        <f t="shared" si="25"/>
        <v>6.9234950933894934</v>
      </c>
      <c r="AD17" s="11">
        <f t="shared" si="9"/>
        <v>1349.1025055667442</v>
      </c>
      <c r="AE17" s="11">
        <f t="shared" si="10"/>
        <v>8.9301760960892036</v>
      </c>
      <c r="AF17" s="33">
        <f t="shared" si="11"/>
        <v>12.898364158032949</v>
      </c>
      <c r="AG17" s="32">
        <f t="shared" si="26"/>
        <v>0.96</v>
      </c>
      <c r="AH17">
        <f t="shared" si="27"/>
        <v>39</v>
      </c>
      <c r="AI17">
        <f t="shared" si="28"/>
        <v>20</v>
      </c>
      <c r="AJ17" s="8">
        <f t="shared" si="29"/>
        <v>7.0565897320147641</v>
      </c>
      <c r="AK17" s="8">
        <f t="shared" si="12"/>
        <v>661</v>
      </c>
      <c r="AL17" s="8">
        <f t="shared" si="13"/>
        <v>7.8850487460801286</v>
      </c>
      <c r="AM17" s="8">
        <f t="shared" si="14"/>
        <v>11.17402179456</v>
      </c>
      <c r="AN17" s="11">
        <f t="shared" si="30"/>
        <v>6.7235228914471321</v>
      </c>
      <c r="AO17" s="11">
        <f t="shared" si="15"/>
        <v>1069.7025783783649</v>
      </c>
      <c r="AP17" s="11">
        <f t="shared" si="16"/>
        <v>8.5891957010536562</v>
      </c>
      <c r="AQ17" s="12">
        <f t="shared" si="17"/>
        <v>12.774844140085865</v>
      </c>
    </row>
    <row r="18" spans="1:43" x14ac:dyDescent="0.3">
      <c r="A18" s="29" t="s">
        <v>11</v>
      </c>
      <c r="B18" s="5"/>
      <c r="C18" s="5"/>
      <c r="D18" s="5" t="s">
        <v>38</v>
      </c>
      <c r="E18" s="5"/>
      <c r="F18" s="1"/>
      <c r="G18" s="18" t="s">
        <v>19</v>
      </c>
      <c r="H18" s="2">
        <v>1</v>
      </c>
      <c r="I18" s="2">
        <v>30</v>
      </c>
      <c r="J18" s="2"/>
      <c r="K18" s="31">
        <f>1-0.14</f>
        <v>0.86</v>
      </c>
      <c r="L18" s="2">
        <f t="shared" si="18"/>
        <v>60</v>
      </c>
      <c r="M18" s="2">
        <f t="shared" si="19"/>
        <v>0</v>
      </c>
      <c r="N18" s="7">
        <f>P18/Q18*10</f>
        <v>7.8022686939780055</v>
      </c>
      <c r="O18" s="7">
        <f t="shared" si="0"/>
        <v>661</v>
      </c>
      <c r="P18" s="7">
        <f t="shared" si="1"/>
        <v>7.8101187055031396</v>
      </c>
      <c r="Q18" s="7">
        <f t="shared" si="2"/>
        <v>10.01006119096</v>
      </c>
      <c r="R18" s="23">
        <f t="shared" si="21"/>
        <v>7.0752426285841477</v>
      </c>
      <c r="S18" s="23">
        <f t="shared" si="3"/>
        <v>1628.502432755123</v>
      </c>
      <c r="T18" s="23">
        <f t="shared" si="4"/>
        <v>9.4842692380219678</v>
      </c>
      <c r="U18" s="23">
        <f t="shared" si="5"/>
        <v>13.404867841146954</v>
      </c>
      <c r="V18" s="31">
        <f>1-0.07</f>
        <v>0.92999999999999994</v>
      </c>
      <c r="W18" s="2">
        <f t="shared" si="22"/>
        <v>52</v>
      </c>
      <c r="X18" s="2">
        <f t="shared" si="23"/>
        <v>10</v>
      </c>
      <c r="Y18" s="14">
        <f t="shared" si="24"/>
        <v>7.4440884897172133</v>
      </c>
      <c r="Z18" s="14">
        <f t="shared" si="6"/>
        <v>661</v>
      </c>
      <c r="AA18" s="14">
        <f t="shared" si="7"/>
        <v>8.0581019305210457</v>
      </c>
      <c r="AB18" s="14">
        <f t="shared" si="8"/>
        <v>10.824833613479999</v>
      </c>
      <c r="AC18" s="20">
        <f t="shared" si="25"/>
        <v>6.8051709361922486</v>
      </c>
      <c r="AD18" s="20">
        <f t="shared" si="9"/>
        <v>1349.1025055667442</v>
      </c>
      <c r="AE18" s="20">
        <f t="shared" si="10"/>
        <v>9.1432888429864203</v>
      </c>
      <c r="AF18" s="20">
        <f t="shared" si="11"/>
        <v>13.43579599795099</v>
      </c>
      <c r="AG18" s="31">
        <f t="shared" si="26"/>
        <v>1</v>
      </c>
      <c r="AH18" s="2">
        <f t="shared" si="27"/>
        <v>44</v>
      </c>
      <c r="AI18" s="2">
        <f t="shared" si="28"/>
        <v>20</v>
      </c>
      <c r="AJ18" s="14">
        <f t="shared" si="29"/>
        <v>6.9821275581554669</v>
      </c>
      <c r="AK18" s="14">
        <f t="shared" si="12"/>
        <v>661</v>
      </c>
      <c r="AL18" s="14">
        <f t="shared" si="13"/>
        <v>8.1269214070028308</v>
      </c>
      <c r="AM18" s="14">
        <f t="shared" si="14"/>
        <v>11.639606036</v>
      </c>
      <c r="AN18" s="20">
        <f t="shared" si="30"/>
        <v>6.6147312776342337</v>
      </c>
      <c r="AO18" s="20">
        <f t="shared" si="15"/>
        <v>1069.7025783783649</v>
      </c>
      <c r="AP18" s="20">
        <f t="shared" si="16"/>
        <v>8.8023084479508729</v>
      </c>
      <c r="AQ18" s="21">
        <f t="shared" si="17"/>
        <v>13.307129312589442</v>
      </c>
    </row>
    <row r="19" spans="1:43" x14ac:dyDescent="0.3">
      <c r="A19" s="4" t="s">
        <v>12</v>
      </c>
      <c r="B19" s="2"/>
      <c r="C19" s="2"/>
      <c r="D19" s="2">
        <f>40*2*0.1+8+((G37-O2)*G40*100*2+9*2+5*2+20.8+16-10-40*2)*0.2</f>
        <v>23.356438560000001</v>
      </c>
      <c r="E19" s="2"/>
      <c r="F19" s="3"/>
    </row>
    <row r="21" spans="1:43" x14ac:dyDescent="0.3">
      <c r="A21" t="s">
        <v>121</v>
      </c>
      <c r="B21" s="25" t="s">
        <v>123</v>
      </c>
      <c r="F21" t="s">
        <v>39</v>
      </c>
      <c r="G21" s="25">
        <v>44</v>
      </c>
      <c r="J21" t="s">
        <v>86</v>
      </c>
      <c r="K21" t="s">
        <v>115</v>
      </c>
      <c r="L21" t="s">
        <v>44</v>
      </c>
      <c r="M21" t="s">
        <v>116</v>
      </c>
      <c r="N21" t="s">
        <v>87</v>
      </c>
    </row>
    <row r="22" spans="1:43" x14ac:dyDescent="0.3">
      <c r="A22" t="s">
        <v>122</v>
      </c>
      <c r="B22" s="25" t="s">
        <v>126</v>
      </c>
      <c r="F22" t="s">
        <v>48</v>
      </c>
      <c r="G22" s="25">
        <v>8</v>
      </c>
      <c r="I22" t="s">
        <v>85</v>
      </c>
      <c r="J22" s="24">
        <f>93.65*(1+4/6)*(1+0.03*D$35)*IF(D$36&gt;0, (1+0.17*(D$36-1))*1.2, 1)</f>
        <v>245.43792000000002</v>
      </c>
      <c r="K22">
        <v>0</v>
      </c>
      <c r="L22" s="24">
        <f>J22*(100+K22)/100*IF(D$34&gt;0, 1.15+0.25*D$34, 1)/4</f>
        <v>116.58301200000001</v>
      </c>
      <c r="M22" s="37">
        <f>L22/SUM(L22:L28)</f>
        <v>0.18811107273588079</v>
      </c>
      <c r="N22">
        <v>200</v>
      </c>
    </row>
    <row r="23" spans="1:43" x14ac:dyDescent="0.3">
      <c r="F23" t="s">
        <v>65</v>
      </c>
      <c r="G23" s="25">
        <v>3</v>
      </c>
      <c r="I23" t="s">
        <v>106</v>
      </c>
      <c r="J23" s="24">
        <f>10.792*(1+4/20)*1.6*3.05</f>
        <v>63.197952000000008</v>
      </c>
      <c r="K23" s="25">
        <v>40</v>
      </c>
      <c r="L23" s="24">
        <f>J23*(100+K23)/100*(IF(D$34&gt;0, 1.15+0.25*D$34, 1)+3)/4</f>
        <v>108.38448768000003</v>
      </c>
      <c r="M23" s="37">
        <f>L23/SUM(L22:L28)</f>
        <v>0.17488244552657173</v>
      </c>
      <c r="N23">
        <v>380</v>
      </c>
    </row>
    <row r="24" spans="1:43" x14ac:dyDescent="0.3">
      <c r="A24" t="s">
        <v>33</v>
      </c>
      <c r="B24" s="25">
        <v>14</v>
      </c>
      <c r="C24" t="s">
        <v>33</v>
      </c>
      <c r="D24" s="30">
        <f>B24</f>
        <v>14</v>
      </c>
      <c r="F24" t="s">
        <v>84</v>
      </c>
      <c r="G24" s="25">
        <v>6.8</v>
      </c>
      <c r="I24" t="s">
        <v>104</v>
      </c>
      <c r="J24" s="24">
        <f>21.647*2.15*1.95</f>
        <v>90.755047499999975</v>
      </c>
      <c r="K24" s="25">
        <v>40</v>
      </c>
      <c r="L24" s="24">
        <f>J24*(100+K24)/100</f>
        <v>127.05706649999996</v>
      </c>
      <c r="M24" s="37">
        <f>L24/SUM(L22:L28)</f>
        <v>0.20501135343791882</v>
      </c>
      <c r="N24">
        <v>200</v>
      </c>
    </row>
    <row r="25" spans="1:43" x14ac:dyDescent="0.3">
      <c r="A25" t="s">
        <v>34</v>
      </c>
      <c r="B25">
        <v>30</v>
      </c>
      <c r="C25" t="s">
        <v>34</v>
      </c>
      <c r="D25" s="30">
        <f t="shared" ref="D25:D30" si="31">B25</f>
        <v>30</v>
      </c>
      <c r="F25" t="s">
        <v>98</v>
      </c>
      <c r="G25" s="25">
        <v>3.6</v>
      </c>
      <c r="I25" t="s">
        <v>105</v>
      </c>
      <c r="J25" s="24">
        <f>1*(1+1.18+1.36+1.54+1.72+1.9+2.08+2.26+2.44)+6.481*2.62*3.4</f>
        <v>73.212747999999991</v>
      </c>
      <c r="K25" s="25">
        <v>36</v>
      </c>
      <c r="L25" s="24">
        <f>J25*(100+K25)/100*(3+1.328/1.444)/4</f>
        <v>97.569676074238217</v>
      </c>
      <c r="M25" s="37">
        <f>L25/SUM(L22:L28)</f>
        <v>0.15743234042381193</v>
      </c>
      <c r="N25">
        <v>200</v>
      </c>
    </row>
    <row r="26" spans="1:43" x14ac:dyDescent="0.3">
      <c r="A26" t="s">
        <v>35</v>
      </c>
      <c r="B26" s="25">
        <v>0</v>
      </c>
      <c r="C26" t="s">
        <v>35</v>
      </c>
      <c r="D26" s="30">
        <f t="shared" si="31"/>
        <v>0</v>
      </c>
      <c r="F26" t="s">
        <v>42</v>
      </c>
      <c r="G26">
        <f>SUM(G21,G22:G25)+IF(B22="치피", 7, 0)</f>
        <v>72.399999999999991</v>
      </c>
      <c r="I26" t="s">
        <v>107</v>
      </c>
      <c r="J26" s="24">
        <f>1.351+1.09*1.9*16+62.951*1.9</f>
        <v>154.09389999999999</v>
      </c>
      <c r="K26" s="25">
        <v>36</v>
      </c>
      <c r="L26" s="24">
        <f>J26*(100+K26)/100/2</f>
        <v>104.78385199999998</v>
      </c>
      <c r="M26" s="37">
        <f>L26/SUM(L22:L28)</f>
        <v>0.16907268449298396</v>
      </c>
      <c r="N26">
        <v>200</v>
      </c>
    </row>
    <row r="27" spans="1:43" x14ac:dyDescent="0.3">
      <c r="A27" t="s">
        <v>111</v>
      </c>
      <c r="B27" s="25">
        <v>0</v>
      </c>
      <c r="C27" t="s">
        <v>111</v>
      </c>
      <c r="D27" s="30">
        <f t="shared" si="31"/>
        <v>0</v>
      </c>
      <c r="I27" t="s">
        <v>103</v>
      </c>
      <c r="J27" s="24">
        <f>9.409*1.6*1.75</f>
        <v>26.345200000000002</v>
      </c>
      <c r="K27" s="25">
        <v>36</v>
      </c>
      <c r="L27" s="24">
        <f>J27*(100+K27)/100*(1+1.328/1.444)/2</f>
        <v>34.390338083102499</v>
      </c>
      <c r="M27" s="37">
        <f>L27/SUM(L22:L28)</f>
        <v>5.5490103382832695E-2</v>
      </c>
      <c r="N27">
        <v>200</v>
      </c>
    </row>
    <row r="28" spans="1:43" x14ac:dyDescent="0.3">
      <c r="A28" t="s">
        <v>110</v>
      </c>
      <c r="B28" s="25">
        <v>0</v>
      </c>
      <c r="C28" t="s">
        <v>110</v>
      </c>
      <c r="D28" s="30">
        <f t="shared" si="31"/>
        <v>0</v>
      </c>
      <c r="F28" t="s">
        <v>95</v>
      </c>
      <c r="G28" s="25">
        <v>1.5</v>
      </c>
      <c r="I28" t="s">
        <v>108</v>
      </c>
      <c r="J28" s="24">
        <f>SUM(L22:L27)*5/95</f>
        <v>30.98781222828109</v>
      </c>
      <c r="K28">
        <v>0</v>
      </c>
      <c r="L28" s="24">
        <f>J28*(100+K28)/100</f>
        <v>30.98781222828109</v>
      </c>
      <c r="M28" s="37">
        <f>L28/SUM(L22:L28)</f>
        <v>4.9999999999999996E-2</v>
      </c>
      <c r="N28">
        <v>200</v>
      </c>
    </row>
    <row r="29" spans="1:43" x14ac:dyDescent="0.3">
      <c r="A29" t="s">
        <v>36</v>
      </c>
      <c r="B29" s="25">
        <v>0</v>
      </c>
      <c r="C29" t="s">
        <v>36</v>
      </c>
      <c r="D29" s="30">
        <f t="shared" si="31"/>
        <v>0</v>
      </c>
      <c r="F29" t="s">
        <v>129</v>
      </c>
      <c r="G29" s="25">
        <v>0</v>
      </c>
      <c r="J29" s="24"/>
    </row>
    <row r="30" spans="1:43" x14ac:dyDescent="0.3">
      <c r="A30" t="s">
        <v>128</v>
      </c>
      <c r="B30" s="25">
        <v>0</v>
      </c>
      <c r="C30" t="s">
        <v>128</v>
      </c>
      <c r="D30" s="30">
        <f t="shared" si="31"/>
        <v>0</v>
      </c>
      <c r="F30" t="s">
        <v>94</v>
      </c>
      <c r="G30">
        <f>((100+SUM(G28:G28)+IF(B21="회심", 12, 0))/100*(100+G29)/100-1)*100</f>
        <v>1.4999999999999902</v>
      </c>
      <c r="I30" t="s">
        <v>52</v>
      </c>
      <c r="J30" s="37">
        <f>M22+M25+M27</f>
        <v>0.40103351654252539</v>
      </c>
      <c r="L30" t="s">
        <v>81</v>
      </c>
      <c r="M30">
        <v>25</v>
      </c>
    </row>
    <row r="31" spans="1:43" x14ac:dyDescent="0.3">
      <c r="A31" t="s">
        <v>37</v>
      </c>
      <c r="B31">
        <v>10</v>
      </c>
      <c r="I31" t="s">
        <v>43</v>
      </c>
      <c r="J31" s="37">
        <f>M23</f>
        <v>0.17488244552657173</v>
      </c>
      <c r="L31" t="s">
        <v>92</v>
      </c>
      <c r="M31" s="25">
        <v>10</v>
      </c>
    </row>
    <row r="32" spans="1:43" x14ac:dyDescent="0.3">
      <c r="A32" t="s">
        <v>41</v>
      </c>
      <c r="B32">
        <f>SUM(B24:B29,B31:B31)+1.2*B30+IF(B$21="달인", 7, 0)</f>
        <v>61</v>
      </c>
      <c r="C32" t="s">
        <v>40</v>
      </c>
      <c r="D32">
        <f>SUM(D24:D30)+IF(B$21="달인", 7, 0)</f>
        <v>51</v>
      </c>
      <c r="F32" t="s">
        <v>97</v>
      </c>
      <c r="G32" s="25">
        <v>18</v>
      </c>
      <c r="I32" t="s">
        <v>88</v>
      </c>
      <c r="J32" s="37">
        <f>M24+M26+M28</f>
        <v>0.42408403793090277</v>
      </c>
      <c r="L32" t="s">
        <v>93</v>
      </c>
      <c r="M32">
        <f>0.02*(M31+2)</f>
        <v>0.24</v>
      </c>
    </row>
    <row r="34" spans="1:10" x14ac:dyDescent="0.3">
      <c r="A34" t="s">
        <v>99</v>
      </c>
      <c r="B34" s="25">
        <v>29.61</v>
      </c>
      <c r="C34" t="s">
        <v>112</v>
      </c>
      <c r="D34" s="25">
        <v>3</v>
      </c>
      <c r="F34" t="s">
        <v>90</v>
      </c>
      <c r="G34" s="25">
        <v>92</v>
      </c>
      <c r="I34" t="s">
        <v>89</v>
      </c>
      <c r="J34" s="25">
        <v>70</v>
      </c>
    </row>
    <row r="35" spans="1:10" x14ac:dyDescent="0.3">
      <c r="A35" t="s">
        <v>100</v>
      </c>
      <c r="B35" s="25">
        <v>1</v>
      </c>
      <c r="C35" t="s">
        <v>113</v>
      </c>
      <c r="D35" s="25">
        <v>4</v>
      </c>
      <c r="F35" t="s">
        <v>91</v>
      </c>
      <c r="G35" s="25">
        <v>74</v>
      </c>
    </row>
    <row r="36" spans="1:10" x14ac:dyDescent="0.3">
      <c r="A36" t="s">
        <v>120</v>
      </c>
      <c r="B36" s="25">
        <v>0</v>
      </c>
      <c r="C36" t="s">
        <v>114</v>
      </c>
      <c r="D36" s="25">
        <v>2</v>
      </c>
    </row>
    <row r="37" spans="1:10" x14ac:dyDescent="0.3">
      <c r="A37" t="s">
        <v>101</v>
      </c>
      <c r="B37">
        <f>SUM(B34:B36)+IF(B21="달인", 8.5, 0)+IF(B22="추피", 3.1, 0)</f>
        <v>39.11</v>
      </c>
      <c r="F37" t="s">
        <v>47</v>
      </c>
      <c r="G37">
        <f>50*40+160+69+70+G34+G35</f>
        <v>2465</v>
      </c>
    </row>
    <row r="38" spans="1:10" x14ac:dyDescent="0.3">
      <c r="F38" t="s">
        <v>45</v>
      </c>
      <c r="G38" s="19">
        <v>3.5790989999999999E-4</v>
      </c>
    </row>
    <row r="39" spans="1:10" x14ac:dyDescent="0.3">
      <c r="F39" t="s">
        <v>46</v>
      </c>
      <c r="G39">
        <v>2.1473900000000001E-4</v>
      </c>
    </row>
    <row r="40" spans="1:10" x14ac:dyDescent="0.3">
      <c r="F40" t="s">
        <v>82</v>
      </c>
      <c r="G40">
        <v>1.71791E-4</v>
      </c>
    </row>
  </sheetData>
  <sortState xmlns:xlrd2="http://schemas.microsoft.com/office/spreadsheetml/2017/richdata2" ref="AH25:AH41">
    <sortCondition descending="1" ref="AH25:AH41"/>
  </sortState>
  <phoneticPr fontId="1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83AC667A-27E2-46DE-91CD-9BC1611482DC}">
          <x14:formula1>
            <xm:f>'선택 옵션'!$A$2:$A$4</xm:f>
          </x14:formula1>
          <xm:sqref>B26</xm:sqref>
        </x14:dataValidation>
        <x14:dataValidation type="list" allowBlank="1" showInputMessage="1" showErrorMessage="1" xr:uid="{62D49445-DD72-4C9C-AE3F-987B1AD122D7}">
          <x14:formula1>
            <xm:f>'선택 옵션'!$B$2:$B$5</xm:f>
          </x14:formula1>
          <xm:sqref>B29</xm:sqref>
        </x14:dataValidation>
        <x14:dataValidation type="list" allowBlank="1" showInputMessage="1" showErrorMessage="1" xr:uid="{F0DB67E6-A652-43EF-AEFD-DBBBD2201B14}">
          <x14:formula1>
            <xm:f>'선택 옵션'!$C$2:$C$7</xm:f>
          </x14:formula1>
          <xm:sqref>B30</xm:sqref>
        </x14:dataValidation>
        <x14:dataValidation type="list" allowBlank="1" showInputMessage="1" showErrorMessage="1" xr:uid="{B32DBC1B-A088-4F13-8F6E-29504DDB5F10}">
          <x14:formula1>
            <xm:f>'선택 옵션'!$E$2:$E$5</xm:f>
          </x14:formula1>
          <xm:sqref>B35</xm:sqref>
        </x14:dataValidation>
        <x14:dataValidation type="list" allowBlank="1" showInputMessage="1" showErrorMessage="1" xr:uid="{622176C7-93F5-4A06-B210-26E04197B4D2}">
          <x14:formula1>
            <xm:f>'선택 옵션'!$G$2:$G$5</xm:f>
          </x14:formula1>
          <xm:sqref>B36</xm:sqref>
        </x14:dataValidation>
        <x14:dataValidation type="list" allowBlank="1" showInputMessage="1" showErrorMessage="1" xr:uid="{F38784A7-CE37-4386-AB26-9FA794A59BF2}">
          <x14:formula1>
            <xm:f>'선택 옵션'!$H$2:$H$5</xm:f>
          </x14:formula1>
          <xm:sqref>D34</xm:sqref>
        </x14:dataValidation>
        <x14:dataValidation type="list" allowBlank="1" showInputMessage="1" showErrorMessage="1" xr:uid="{1600233D-C128-4B14-9621-B01DE8BAA46F}">
          <x14:formula1>
            <xm:f>'선택 옵션'!$I$2:$I$7</xm:f>
          </x14:formula1>
          <xm:sqref>D35</xm:sqref>
        </x14:dataValidation>
        <x14:dataValidation type="list" allowBlank="1" showInputMessage="1" showErrorMessage="1" xr:uid="{164D8E80-7F2E-4FF4-8653-F53D75796B5D}">
          <x14:formula1>
            <xm:f>'선택 옵션'!$J$2:$J$5</xm:f>
          </x14:formula1>
          <xm:sqref>D36</xm:sqref>
        </x14:dataValidation>
        <x14:dataValidation type="list" allowBlank="1" showInputMessage="1" showErrorMessage="1" xr:uid="{289B87BE-ED61-4889-9B79-55FBEF0412ED}">
          <x14:formula1>
            <xm:f>'선택 옵션'!$K$2:$K$7</xm:f>
          </x14:formula1>
          <xm:sqref>G23</xm:sqref>
        </x14:dataValidation>
        <x14:dataValidation type="list" allowBlank="1" showInputMessage="1" showErrorMessage="1" xr:uid="{8734471E-0955-43F9-B2C3-1D46DE8481B9}">
          <x14:formula1>
            <xm:f>'선택 옵션'!$L$2:$L$5</xm:f>
          </x14:formula1>
          <xm:sqref>G25</xm:sqref>
        </x14:dataValidation>
        <x14:dataValidation type="list" allowBlank="1" showInputMessage="1" showErrorMessage="1" xr:uid="{C66BF52C-F6DF-4E2B-B02F-D08FF0E4FE74}">
          <x14:formula1>
            <xm:f>'선택 옵션'!$M$2:$M$4</xm:f>
          </x14:formula1>
          <xm:sqref>G28</xm:sqref>
        </x14:dataValidation>
        <x14:dataValidation type="list" allowBlank="1" showInputMessage="1" showErrorMessage="1" xr:uid="{3727650C-0C29-41DD-A216-2BA10CE51DD4}">
          <x14:formula1>
            <xm:f>'선택 옵션'!$O$2:$O$4</xm:f>
          </x14:formula1>
          <xm:sqref>G32</xm:sqref>
        </x14:dataValidation>
        <x14:dataValidation type="list" allowBlank="1" showInputMessage="1" showErrorMessage="1" xr:uid="{6831C40F-7792-4594-A849-814579802819}">
          <x14:formula1>
            <xm:f>'선택 옵션'!$D$2:$D$3</xm:f>
          </x14:formula1>
          <xm:sqref>B21</xm:sqref>
        </x14:dataValidation>
        <x14:dataValidation type="list" allowBlank="1" showInputMessage="1" showErrorMessage="1" xr:uid="{691A3BF8-FC1C-4875-9C6A-DA5637CF183E}">
          <x14:formula1>
            <xm:f>'선택 옵션'!$F$2:$F$3</xm:f>
          </x14:formula1>
          <xm:sqref>B22</xm:sqref>
        </x14:dataValidation>
        <x14:dataValidation type="list" allowBlank="1" showInputMessage="1" showErrorMessage="1" xr:uid="{21D8CE88-0FE4-4FBB-820D-A211351D5F73}">
          <x14:formula1>
            <xm:f>'선택 옵션'!$P$2:$P$3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AE3B-E8C4-462E-9A61-0D1F70E398B0}">
  <dimension ref="A1:AQ40"/>
  <sheetViews>
    <sheetView workbookViewId="0">
      <selection activeCell="P29" sqref="P29"/>
    </sheetView>
  </sheetViews>
  <sheetFormatPr defaultRowHeight="16.5" x14ac:dyDescent="0.3"/>
  <cols>
    <col min="6" max="6" width="14.125" bestFit="1" customWidth="1"/>
    <col min="7" max="7" width="16.375" bestFit="1" customWidth="1"/>
    <col min="10" max="10" width="9" customWidth="1"/>
  </cols>
  <sheetData>
    <row r="1" spans="1:43" x14ac:dyDescent="0.3">
      <c r="A1" s="26"/>
      <c r="B1" s="27" t="s">
        <v>54</v>
      </c>
      <c r="C1" s="27" t="s">
        <v>55</v>
      </c>
      <c r="D1" s="27" t="s">
        <v>1</v>
      </c>
      <c r="E1" s="27" t="s">
        <v>2</v>
      </c>
      <c r="F1" s="28" t="s">
        <v>83</v>
      </c>
      <c r="H1" s="4" t="s">
        <v>0</v>
      </c>
      <c r="I1" s="2" t="s">
        <v>1</v>
      </c>
      <c r="J1" s="2" t="s">
        <v>2</v>
      </c>
      <c r="K1" s="31" t="s">
        <v>49</v>
      </c>
      <c r="L1" s="2" t="s">
        <v>50</v>
      </c>
      <c r="M1" s="2" t="s">
        <v>51</v>
      </c>
      <c r="N1" s="7" t="s">
        <v>118</v>
      </c>
      <c r="O1" s="7" t="s">
        <v>60</v>
      </c>
      <c r="P1" s="7" t="s">
        <v>63</v>
      </c>
      <c r="Q1" s="7" t="s">
        <v>64</v>
      </c>
      <c r="R1" s="9" t="s">
        <v>119</v>
      </c>
      <c r="S1" s="9" t="s">
        <v>60</v>
      </c>
      <c r="T1" s="9" t="s">
        <v>63</v>
      </c>
      <c r="U1" s="9" t="s">
        <v>64</v>
      </c>
      <c r="V1" s="31" t="s">
        <v>76</v>
      </c>
      <c r="W1" s="2" t="s">
        <v>77</v>
      </c>
      <c r="X1" s="2" t="s">
        <v>78</v>
      </c>
      <c r="Y1" s="7" t="s">
        <v>118</v>
      </c>
      <c r="Z1" s="7" t="s">
        <v>60</v>
      </c>
      <c r="AA1" s="7" t="s">
        <v>63</v>
      </c>
      <c r="AB1" s="7" t="s">
        <v>64</v>
      </c>
      <c r="AC1" s="9" t="s">
        <v>119</v>
      </c>
      <c r="AD1" s="9" t="s">
        <v>60</v>
      </c>
      <c r="AE1" s="9" t="s">
        <v>63</v>
      </c>
      <c r="AF1" s="9" t="s">
        <v>64</v>
      </c>
      <c r="AG1" s="36" t="s">
        <v>70</v>
      </c>
      <c r="AH1" s="6" t="s">
        <v>71</v>
      </c>
      <c r="AI1" s="6" t="s">
        <v>72</v>
      </c>
      <c r="AJ1" s="7" t="s">
        <v>118</v>
      </c>
      <c r="AK1" s="7" t="s">
        <v>60</v>
      </c>
      <c r="AL1" s="7" t="s">
        <v>63</v>
      </c>
      <c r="AM1" s="7" t="s">
        <v>64</v>
      </c>
      <c r="AN1" s="9" t="s">
        <v>119</v>
      </c>
      <c r="AO1" s="9" t="s">
        <v>60</v>
      </c>
      <c r="AP1" s="9" t="s">
        <v>63</v>
      </c>
      <c r="AQ1" s="10" t="s">
        <v>64</v>
      </c>
    </row>
    <row r="2" spans="1:43" x14ac:dyDescent="0.3">
      <c r="A2" s="29" t="s">
        <v>3</v>
      </c>
      <c r="B2" s="5">
        <v>7</v>
      </c>
      <c r="C2" s="5"/>
      <c r="D2" s="5"/>
      <c r="E2" s="5"/>
      <c r="F2" s="1"/>
      <c r="G2" s="1" t="s">
        <v>23</v>
      </c>
      <c r="H2">
        <f>1-0.07</f>
        <v>0.92999999999999994</v>
      </c>
      <c r="I2">
        <v>15</v>
      </c>
      <c r="J2" s="5">
        <v>4</v>
      </c>
      <c r="K2" s="32">
        <f>1-0.21</f>
        <v>0.79</v>
      </c>
      <c r="L2">
        <f>I2+16+14</f>
        <v>45</v>
      </c>
      <c r="M2" s="5">
        <f>J2</f>
        <v>4</v>
      </c>
      <c r="N2" s="8">
        <f>P2/Q2*10</f>
        <v>8.0276663163634847</v>
      </c>
      <c r="O2" s="8">
        <f t="shared" ref="O2:O18" si="0">50*10+69+G$34</f>
        <v>661</v>
      </c>
      <c r="P2" s="8">
        <f t="shared" ref="P2:P18" si="1">((((200+G$26)/100*(100+G$30)/100-1)*MIN((O2*0.0003577+M2/100+B$32/100),1)+1)*(1+L2/100+24/100)*J$30*J$34/100*(100+G$32)/100*1.05+(((200+G$26)/100*(100+G$30)/100-1)*MIN((O2*0.0003577+M2/100+D$32/100),1)+1)*(1+L2/100+24/100)*J$30*(100-J$34)/100*(100+G$32*4/9)/100+(((N$23+G$26)/100*(100+G$30)/100-1)*MIN((O2*0.0003577+M2/100+B$32/100),1)+1)*(1+L2/100+24/100)*J$31*J$34/100*(100+G$32)/100*1.05+(((N$23+G$26)/100*(100+G$30)/100-1)*MIN((O2*0.0003577+M2/100+D$32/100),1)+1)*(1+L2/100+24/100)*J$31*(100-J$34)/100*(100+G$32*4/9)/100+(((200+G$26)/100*(100+G$30)/100-1)*MIN((O2*0.0003577+M2/100+D$32/100),1)+1)*(1+L2/100+24/100)*J$32*(100+G$32*4/9)/100)*(100+B$37)/100</f>
        <v>7.3816709915641274</v>
      </c>
      <c r="Q2" s="8">
        <f t="shared" ref="Q2:Q18" si="2">M$30*(1-M$32)*(1-(G$37-O2)*G$39)*K2</f>
        <v>9.1952887684400011</v>
      </c>
      <c r="R2" s="11">
        <f>T2/U2*10</f>
        <v>7.3782865102825266</v>
      </c>
      <c r="S2" s="11">
        <f t="shared" ref="S2:S18" si="3">(55/1.4+80-B$32-M2)/G$38/100</f>
        <v>1516.7424618797713</v>
      </c>
      <c r="T2" s="11">
        <f t="shared" ref="T2:T18" si="4">((((200+G$26)/100*(100+G$30)/100-1)*0.8+1)*(1.15+L2/100+(S2*G$38+M2/100+B$32/100-0.8)*1.4)*J$30*J$34/100*(100+G$32)/100*1.05+(((200+G$26)/100*(100+G$30)/100-1)*0.8+1)*(1.15+L2/100+(S2*G$38+M2/100+D$32/100-0.8)*1.4)*J$30*(100-J$34)/100*(100+G$32*4/9)/100+(((N$23+G$26)/100*(100+G$30)/100-1)*0.8+1)*(1.15+L2/100+(S2*G$38+M2/100+B$32/100-0.8)*1.4)*J$31*J$34/100*(100+G$32)/100*1.05+(((N$23+G$26)/100*(100+G$30)/100-1)*0.8+1)*(1.15+L2/100+(S2*G$38+M2/100+D$32/100-0.8)*1.4)*J$31*(100-J$34)/100*(100+G$32*4/9)/100+(((200+G$26)/100*(100+G$30)/100-1)*0.8+1)*(1.15+L2/100+(S2*G$38+M2/100+D$32/100-0.8)*1.4)*J$32*(100+G$32*4/9)/100)*(100+B$37)/100</f>
        <v>8.8196684169876622</v>
      </c>
      <c r="U2" s="33">
        <f t="shared" ref="U2:U18" si="5">M$30*(1-M$32)*(1-(G$37-S2)*G$39)*K2</f>
        <v>11.95354558906922</v>
      </c>
      <c r="V2" s="32">
        <f>1-0.14</f>
        <v>0.86</v>
      </c>
      <c r="W2">
        <f>I2+8+14</f>
        <v>37</v>
      </c>
      <c r="X2" s="5">
        <f>J2+10</f>
        <v>14</v>
      </c>
      <c r="Y2" s="8">
        <f>AA2/AB2*10</f>
        <v>7.5564850933242953</v>
      </c>
      <c r="Z2" s="8">
        <f t="shared" ref="Z2:Z18" si="6">50*10+69+G$34</f>
        <v>661</v>
      </c>
      <c r="AA2" s="8">
        <f t="shared" ref="AA2:AA18" si="7">((((200+G$26)/100*(100+G$30)/100-1)*MIN((Z2*0.0003577+X2/100+B$32/100),1)+1)*(1+W2/100+24/100)*J$30*J$34/100*(100+G$32)/100*1.05+(((200+G$26)/100*(100+G$30)/100-1)*MIN((Z2*0.0003577+X2/100+D$32/100),1)+1)*(1+W2/100+24/100)*J$30*(100-J$34)/100*(100+G$32*4/9)/100+(((N$23+G$26)/100*(100+G$30)/100-1)*MIN((Z2*0.0003577+X2/100+B$32/100),1)+1)*(1+W2/100+24/100)*J$31*J$34/100*(100+G$32)/100*1.05+(((N$23+G$26)/100*(100+G$30)/100-1)*MIN((Z2*0.0003577+X2/100+D$32/100),1)+1)*(1+W2/100+24/100)*J$31*(100-J$34)/100*(100+G$32*4/9)/100+(((200+G$26)/100*(100+G$30)/100-1)*MIN((Z2*0.0003577+X2/100+D$32/100),1)+1)*(1+W2/100+24/100)*J$32*(100+G$32*4/9)/100)*(100+B$37)/100</f>
        <v>7.564087817275329</v>
      </c>
      <c r="AB2" s="8">
        <f t="shared" ref="AB2:AB18" si="8">M$30*(1-M$32)*(1-(G$37-Z2)*G$39)*V2</f>
        <v>10.01006119096</v>
      </c>
      <c r="AC2" s="11">
        <f>AE2/AF2*10</f>
        <v>7.0497547007246366</v>
      </c>
      <c r="AD2" s="11">
        <f t="shared" ref="AD2:AD18" si="9">(55/1.4+80-B$32-X2)/G$38/100</f>
        <v>1237.3425346913923</v>
      </c>
      <c r="AE2" s="11">
        <f t="shared" ref="AE2:AE18" si="10">((((200+G$26)/100*(100+G$30)/100-1)*0.8+1)*(1.15+W2/100+(AD2*G$38+X2/100+B$32/100-0.8)*1.4)*J$30*J$34/100*(100+G$32)/100*1.05+(((200+G$26)/100*(100+G$30)/100-1)*0.8+1)*(1.15+W2/100+(AD2*G$38+X2/100+D$32/100-0.8)*1.4)*J$30*(100-J$34)/100*(100+G$32*4/9)/100+(((N$23+G$26)/100*(100+G$30)/100-1)*0.8+1)*(1.15+W2/100+(AD2*G$38+X2/100+B$32/100-0.8)*1.4)*J$31*J$34/100*(100+G$32)/100*1.05+(((N$23+G$26)/100*(100+G$30)/100-1)*0.8+1)*(1.15+W2/100+(AD2*G$38+X2/100+D$32/100-0.8)*1.4)*J$31*(100-J$34)/100*(100+G$32*4/9)/100+(((200+G$26)/100*(100+G$30)/100-1)*0.8+1)*(1.15+W2/100+(AD2*G$38+X2/100+D$32/100-0.8)*1.4)*J$32*(100+G$32*4/9)/100)*(100+B$37)/100</f>
        <v>8.4825131472311437</v>
      </c>
      <c r="AF2" s="33">
        <f t="shared" ref="AF2:AF18" si="11">M$30*(1-M$32)*(1-(G$37-AD2)*G$39)*V2</f>
        <v>12.032352198522929</v>
      </c>
      <c r="AG2" s="32">
        <f>H2</f>
        <v>0.92999999999999994</v>
      </c>
      <c r="AH2">
        <f>I2+14</f>
        <v>29</v>
      </c>
      <c r="AI2">
        <f>J2+20</f>
        <v>24</v>
      </c>
      <c r="AJ2" s="8">
        <f>AL2/AM2*10</f>
        <v>6.8652479783149323</v>
      </c>
      <c r="AK2" s="8">
        <f t="shared" ref="AK2:AK18" si="12">50*10+69+G$34</f>
        <v>661</v>
      </c>
      <c r="AL2" s="8">
        <f t="shared" ref="AL2:AL18" si="13">((((200+G$26)/100*(100+G$30)/100-1)*MIN((AK2*0.0003577+AI2/100+B$32/100),1)+1)*(1+AH2/100+24/100)*J$30*J$34/100*(100+G$32)/100*1.05+(((200+G$26)/100*(100+G$30)/100-1)*MIN((AK2*0.0003577+AI2/100+D$32/100),1)+1)*(1+AH2/100+24/100)*J$30*(100-J$34)/100*(100+G$32*4/9)/100+(((N$23+G$26)/100*(100+G$30)/100-1)*MIN((AK2*0.0003577+AI2/100+B$32/100),1)+1)*(1+AH2/100+24/100)*J$31*J$34/100*(100+G$32)/100*1.05+(((N$23+G$26)/100*(100+G$30)/100-1)*MIN((AK2*0.0003577+AI2/100+D$32/100),1)+1)*(1+AH2/100+24/100)*J$31*(100-J$34)/100*(100+G$32*4/9)/100+(((200+G$26)/100*(100+G$30)/100-1)*MIN((AK2*0.0003577+AI2/100+D$32/100),1)+1)*(1+AH2/100+24/100)*J$32*(100+G$32*4/9)/100)*(100+B$37)/100</f>
        <v>7.4315167080539082</v>
      </c>
      <c r="AM2" s="8">
        <f t="shared" ref="AM2:AM18" si="14">M$30*(1-M$32)*(1-(G$37-AK2)*G$39)*AG2</f>
        <v>10.824833613479999</v>
      </c>
      <c r="AN2" s="11">
        <f>AP2/AQ2*10</f>
        <v>6.8153071018784184</v>
      </c>
      <c r="AO2" s="11">
        <f t="shared" ref="AO2:AO18" si="15">(55/1.4+80-B$32-AI2)/G$38/100</f>
        <v>957.94260750301339</v>
      </c>
      <c r="AP2" s="11">
        <f t="shared" ref="AP2:AP18" si="16">((((200+G$26)/100*(100+G$30)/100-1)*0.8+1)*(1.15+AH2/100+(AO2*G$38+AI2/100+B$32/100-0.8)*1.4)*J$30*J$34/100*(100+G$32)/100*1.05+(((200+G$26)/100*(100+G$30)/100-1)*0.8+1)*(1.15+AH2/100+(AO2*G$38+AI2/100+D$32/100-0.8)*1.4)*J$30*(100-J$34)/100*(100+G$32*4/9)/100+(((N$23+G$26)/100*(100+G$30)/100-1)*0.8+1)*(1.15+AH2/100+(AO2*G$38+AI2/100+B$32/100-0.8)*1.4)*J$31*J$34/100*(100+G$32)/100*1.05+(((N$23+G$26)/100*(100+G$30)/100-1)*0.8+1)*(1.15+AH2/100+(AO2*G$38+AI2/100+D$32/100-0.8)*1.4)*J$31*(100-J$34)/100*(100+G$32*4/9)/100+(((200+G$26)/100*(100+G$30)/100-1)*0.8+1)*(1.15+AH2/100+(AO2*G$38+AI2/100+D$32/100-0.8)*1.4)*J$32*(100+G$32*4/9)/100)*(100+B$37)/100</f>
        <v>8.1453578774746287</v>
      </c>
      <c r="AQ2" s="12">
        <f t="shared" ref="AQ2:AQ18" si="17">M$30*(1-M$32)*(1-(G$37-AO2)*G$39)*AG2</f>
        <v>11.951563965811056</v>
      </c>
    </row>
    <row r="3" spans="1:43" x14ac:dyDescent="0.3">
      <c r="A3" s="29" t="s">
        <v>4</v>
      </c>
      <c r="B3" s="5">
        <v>14</v>
      </c>
      <c r="C3" s="5"/>
      <c r="D3" s="5"/>
      <c r="E3" s="5"/>
      <c r="F3" s="1"/>
      <c r="G3" s="1" t="s">
        <v>24</v>
      </c>
      <c r="H3">
        <f>(1-0.07)*(1-0.04)</f>
        <v>0.89279999999999993</v>
      </c>
      <c r="I3">
        <v>10</v>
      </c>
      <c r="J3" s="5">
        <v>4</v>
      </c>
      <c r="K3" s="32">
        <f>(1-0.21)*(1-0.04)</f>
        <v>0.75839999999999996</v>
      </c>
      <c r="L3">
        <f t="shared" ref="L3:L18" si="18">I3+16+14</f>
        <v>40</v>
      </c>
      <c r="M3" s="5">
        <f t="shared" ref="M3:M18" si="19">J3</f>
        <v>4</v>
      </c>
      <c r="N3" s="8">
        <f t="shared" ref="N3:N17" si="20">P3/Q3*10</f>
        <v>8.1147514539177266</v>
      </c>
      <c r="O3" s="8">
        <f t="shared" si="0"/>
        <v>661</v>
      </c>
      <c r="P3" s="8">
        <f t="shared" si="1"/>
        <v>7.1632783586776156</v>
      </c>
      <c r="Q3" s="8">
        <f t="shared" si="2"/>
        <v>8.8274772177024001</v>
      </c>
      <c r="R3" s="11">
        <f t="shared" ref="R3:R18" si="21">T3/U3*10</f>
        <v>7.5020858083156918</v>
      </c>
      <c r="S3" s="11">
        <f t="shared" si="3"/>
        <v>1516.7424618797713</v>
      </c>
      <c r="T3" s="11">
        <f t="shared" si="4"/>
        <v>8.6089463733898377</v>
      </c>
      <c r="U3" s="33">
        <f t="shared" si="5"/>
        <v>11.475403765506449</v>
      </c>
      <c r="V3" s="32">
        <f>(1-0.14)*(1-0.04)</f>
        <v>0.8256</v>
      </c>
      <c r="W3">
        <f t="shared" ref="W3:W18" si="22">I3+8+14</f>
        <v>32</v>
      </c>
      <c r="X3" s="5">
        <f t="shared" ref="X3:X18" si="23">J3+10</f>
        <v>14</v>
      </c>
      <c r="Y3" s="8">
        <f t="shared" ref="Y3:Y18" si="24">AA3/AB3*10</f>
        <v>7.6268871283552695</v>
      </c>
      <c r="Z3" s="8">
        <f t="shared" si="6"/>
        <v>661</v>
      </c>
      <c r="AA3" s="8">
        <f t="shared" si="7"/>
        <v>7.3291782577326181</v>
      </c>
      <c r="AB3" s="8">
        <f t="shared" si="8"/>
        <v>9.6096587433215994</v>
      </c>
      <c r="AC3" s="11">
        <f t="shared" ref="AC3:AC18" si="25">AE3/AF3*10</f>
        <v>7.1610678644716295</v>
      </c>
      <c r="AD3" s="11">
        <f t="shared" si="9"/>
        <v>1237.3425346913923</v>
      </c>
      <c r="AE3" s="11">
        <f t="shared" si="10"/>
        <v>8.2717911036333227</v>
      </c>
      <c r="AF3" s="33">
        <f t="shared" si="11"/>
        <v>11.551058110582012</v>
      </c>
      <c r="AG3" s="32">
        <f t="shared" ref="AG3:AG18" si="26">H3</f>
        <v>0.89279999999999993</v>
      </c>
      <c r="AH3">
        <f t="shared" ref="AH3:AH18" si="27">I3+14</f>
        <v>24</v>
      </c>
      <c r="AI3">
        <f t="shared" ref="AI3:AI18" si="28">J3+20</f>
        <v>24</v>
      </c>
      <c r="AJ3" s="8">
        <f t="shared" ref="AJ3:AJ18" si="29">AL3/AM3*10</f>
        <v>6.9175973637704917</v>
      </c>
      <c r="AK3" s="8">
        <f t="shared" si="12"/>
        <v>661</v>
      </c>
      <c r="AL3" s="8">
        <f t="shared" si="13"/>
        <v>7.1886566849148901</v>
      </c>
      <c r="AM3" s="8">
        <f t="shared" si="14"/>
        <v>10.391840268940799</v>
      </c>
      <c r="AN3" s="11">
        <f t="shared" ref="AN3:AN18" si="30">AP3/AQ3*10</f>
        <v>6.9156184779934318</v>
      </c>
      <c r="AO3" s="11">
        <f t="shared" si="15"/>
        <v>957.94260750301339</v>
      </c>
      <c r="AP3" s="11">
        <f t="shared" si="16"/>
        <v>7.9346358338768059</v>
      </c>
      <c r="AQ3" s="12">
        <f t="shared" si="17"/>
        <v>11.473501407178613</v>
      </c>
    </row>
    <row r="4" spans="1:43" x14ac:dyDescent="0.3">
      <c r="A4" s="29" t="s">
        <v>5</v>
      </c>
      <c r="B4" s="5"/>
      <c r="C4" s="5"/>
      <c r="D4" s="5">
        <v>5</v>
      </c>
      <c r="E4" s="5">
        <v>4</v>
      </c>
      <c r="F4" s="1"/>
      <c r="G4" s="1" t="s">
        <v>25</v>
      </c>
      <c r="H4">
        <f>(1-0.07)*(1-0.04)</f>
        <v>0.89279999999999993</v>
      </c>
      <c r="I4">
        <v>15</v>
      </c>
      <c r="J4" s="5"/>
      <c r="K4" s="32">
        <f>(1-0.21)*(1-0.04)</f>
        <v>0.75839999999999996</v>
      </c>
      <c r="L4">
        <f t="shared" si="18"/>
        <v>45</v>
      </c>
      <c r="M4" s="5">
        <f t="shared" si="19"/>
        <v>0</v>
      </c>
      <c r="N4" s="8">
        <f t="shared" si="20"/>
        <v>8.1091822347806364</v>
      </c>
      <c r="O4" s="8">
        <f t="shared" si="0"/>
        <v>661</v>
      </c>
      <c r="P4" s="8">
        <f t="shared" si="1"/>
        <v>7.1583621431723099</v>
      </c>
      <c r="Q4" s="8">
        <f t="shared" si="2"/>
        <v>8.8274772177024001</v>
      </c>
      <c r="R4" s="11">
        <f t="shared" si="21"/>
        <v>7.4608764465685082</v>
      </c>
      <c r="S4" s="11">
        <f t="shared" si="3"/>
        <v>1628.502432755123</v>
      </c>
      <c r="T4" s="11">
        <f t="shared" si="4"/>
        <v>8.8196684169876622</v>
      </c>
      <c r="U4" s="33">
        <f t="shared" si="5"/>
        <v>11.821222989216105</v>
      </c>
      <c r="V4" s="32">
        <f>(1-0.14)*(1-0.04)</f>
        <v>0.8256</v>
      </c>
      <c r="W4">
        <f t="shared" si="22"/>
        <v>37</v>
      </c>
      <c r="X4" s="5">
        <f t="shared" si="23"/>
        <v>10</v>
      </c>
      <c r="Y4" s="8">
        <f t="shared" si="24"/>
        <v>7.6499592735823532</v>
      </c>
      <c r="Z4" s="8">
        <f t="shared" si="6"/>
        <v>661</v>
      </c>
      <c r="AA4" s="8">
        <f t="shared" si="7"/>
        <v>7.3513498019434813</v>
      </c>
      <c r="AB4" s="8">
        <f t="shared" si="8"/>
        <v>9.6096587433215994</v>
      </c>
      <c r="AC4" s="11">
        <f t="shared" si="25"/>
        <v>7.1117159908634076</v>
      </c>
      <c r="AD4" s="11">
        <f t="shared" si="9"/>
        <v>1349.1025055667442</v>
      </c>
      <c r="AE4" s="11">
        <f t="shared" si="10"/>
        <v>8.4825131472311437</v>
      </c>
      <c r="AF4" s="33">
        <f t="shared" si="11"/>
        <v>11.92751954398746</v>
      </c>
      <c r="AG4" s="32">
        <f t="shared" si="26"/>
        <v>0.89279999999999993</v>
      </c>
      <c r="AH4">
        <f t="shared" si="27"/>
        <v>29</v>
      </c>
      <c r="AI4">
        <f t="shared" si="28"/>
        <v>20</v>
      </c>
      <c r="AJ4" s="8">
        <f t="shared" si="29"/>
        <v>7.0734844116714157</v>
      </c>
      <c r="AK4" s="8">
        <f t="shared" si="12"/>
        <v>661</v>
      </c>
      <c r="AL4" s="8">
        <f t="shared" si="13"/>
        <v>7.3506520150932033</v>
      </c>
      <c r="AM4" s="8">
        <f t="shared" si="14"/>
        <v>10.391840268940799</v>
      </c>
      <c r="AN4" s="11">
        <f t="shared" si="30"/>
        <v>6.8560126719158641</v>
      </c>
      <c r="AO4" s="11">
        <f t="shared" si="15"/>
        <v>1069.7025783783649</v>
      </c>
      <c r="AP4" s="11">
        <f t="shared" si="16"/>
        <v>8.1453578774746287</v>
      </c>
      <c r="AQ4" s="12">
        <f t="shared" si="17"/>
        <v>11.880605050279852</v>
      </c>
    </row>
    <row r="5" spans="1:43" x14ac:dyDescent="0.3">
      <c r="A5" s="29" t="s">
        <v>6</v>
      </c>
      <c r="B5" s="5"/>
      <c r="C5" s="5"/>
      <c r="D5" s="5">
        <v>10</v>
      </c>
      <c r="E5" s="5">
        <v>8</v>
      </c>
      <c r="F5" s="1"/>
      <c r="G5" s="1" t="s">
        <v>15</v>
      </c>
      <c r="H5">
        <f>1-0.07</f>
        <v>0.92999999999999994</v>
      </c>
      <c r="I5">
        <v>10</v>
      </c>
      <c r="J5" s="5">
        <v>8</v>
      </c>
      <c r="K5" s="32">
        <f>1-0.21</f>
        <v>0.79</v>
      </c>
      <c r="L5">
        <f t="shared" si="18"/>
        <v>40</v>
      </c>
      <c r="M5" s="5">
        <f t="shared" si="19"/>
        <v>8</v>
      </c>
      <c r="N5" s="8">
        <f t="shared" si="20"/>
        <v>8.0258278149311231</v>
      </c>
      <c r="O5" s="8">
        <f t="shared" si="0"/>
        <v>661</v>
      </c>
      <c r="P5" s="8">
        <f t="shared" si="1"/>
        <v>7.3799804364069503</v>
      </c>
      <c r="Q5" s="8">
        <f t="shared" si="2"/>
        <v>9.1952887684400011</v>
      </c>
      <c r="R5" s="11">
        <f t="shared" si="21"/>
        <v>7.4257834939092699</v>
      </c>
      <c r="S5" s="11">
        <f t="shared" si="3"/>
        <v>1404.9824910044199</v>
      </c>
      <c r="T5" s="11">
        <f t="shared" si="4"/>
        <v>8.6089463733898377</v>
      </c>
      <c r="U5" s="33">
        <f t="shared" si="5"/>
        <v>11.593317231038332</v>
      </c>
      <c r="V5" s="32">
        <f>1-0.14</f>
        <v>0.86</v>
      </c>
      <c r="W5">
        <f t="shared" si="22"/>
        <v>32</v>
      </c>
      <c r="X5" s="5">
        <f t="shared" si="23"/>
        <v>18</v>
      </c>
      <c r="Y5" s="8">
        <f t="shared" si="24"/>
        <v>7.4460656803028655</v>
      </c>
      <c r="Z5" s="8">
        <f t="shared" si="6"/>
        <v>661</v>
      </c>
      <c r="AA5" s="8">
        <f t="shared" si="7"/>
        <v>7.4535573091738891</v>
      </c>
      <c r="AB5" s="8">
        <f t="shared" si="8"/>
        <v>10.01006119096</v>
      </c>
      <c r="AC5" s="11">
        <f t="shared" si="25"/>
        <v>7.1062246709152692</v>
      </c>
      <c r="AD5" s="11">
        <f t="shared" si="9"/>
        <v>1125.5825638160409</v>
      </c>
      <c r="AE5" s="11">
        <f t="shared" si="10"/>
        <v>8.2717911036333227</v>
      </c>
      <c r="AF5" s="33">
        <f t="shared" si="11"/>
        <v>11.640204872058924</v>
      </c>
      <c r="AG5" s="32">
        <f t="shared" si="26"/>
        <v>0.92999999999999994</v>
      </c>
      <c r="AH5">
        <f t="shared" si="27"/>
        <v>24</v>
      </c>
      <c r="AI5">
        <f t="shared" si="28"/>
        <v>28</v>
      </c>
      <c r="AJ5" s="8">
        <f t="shared" si="29"/>
        <v>6.6653907174680391</v>
      </c>
      <c r="AK5" s="8">
        <f t="shared" si="12"/>
        <v>661</v>
      </c>
      <c r="AL5" s="8">
        <f t="shared" si="13"/>
        <v>7.21517454854256</v>
      </c>
      <c r="AM5" s="8">
        <f t="shared" si="14"/>
        <v>10.824833613479999</v>
      </c>
      <c r="AN5" s="11">
        <f t="shared" si="30"/>
        <v>6.88322484236748</v>
      </c>
      <c r="AO5" s="11">
        <f t="shared" si="15"/>
        <v>846.18263662766185</v>
      </c>
      <c r="AP5" s="11">
        <f t="shared" si="16"/>
        <v>7.9346358338768059</v>
      </c>
      <c r="AQ5" s="12">
        <f t="shared" si="17"/>
        <v>11.527497670913935</v>
      </c>
    </row>
    <row r="6" spans="1:43" x14ac:dyDescent="0.3">
      <c r="A6" s="29" t="s">
        <v>7</v>
      </c>
      <c r="B6" s="5"/>
      <c r="C6" s="5"/>
      <c r="D6" s="5">
        <v>10</v>
      </c>
      <c r="E6" s="5"/>
      <c r="F6" s="1"/>
      <c r="G6" s="1" t="s">
        <v>16</v>
      </c>
      <c r="H6">
        <f>1-0.07</f>
        <v>0.92999999999999994</v>
      </c>
      <c r="I6">
        <v>20</v>
      </c>
      <c r="J6" s="5"/>
      <c r="K6" s="32">
        <f>1-0.21</f>
        <v>0.79</v>
      </c>
      <c r="L6">
        <f t="shared" si="18"/>
        <v>50</v>
      </c>
      <c r="M6" s="5">
        <f t="shared" si="19"/>
        <v>0</v>
      </c>
      <c r="N6" s="8">
        <f t="shared" si="20"/>
        <v>8.0151349141879162</v>
      </c>
      <c r="O6" s="8">
        <f t="shared" si="0"/>
        <v>661</v>
      </c>
      <c r="P6" s="8">
        <f t="shared" si="1"/>
        <v>7.3701480053963451</v>
      </c>
      <c r="Q6" s="8">
        <f t="shared" si="2"/>
        <v>9.1952887684400011</v>
      </c>
      <c r="R6" s="11">
        <f t="shared" si="21"/>
        <v>7.3335684895467299</v>
      </c>
      <c r="S6" s="11">
        <f t="shared" si="3"/>
        <v>1628.502432755123</v>
      </c>
      <c r="T6" s="11">
        <f t="shared" si="4"/>
        <v>9.0303904605854832</v>
      </c>
      <c r="U6" s="33">
        <f t="shared" si="5"/>
        <v>12.31377394710011</v>
      </c>
      <c r="V6" s="32">
        <f>1-0.14</f>
        <v>0.86</v>
      </c>
      <c r="W6">
        <f t="shared" si="22"/>
        <v>42</v>
      </c>
      <c r="X6" s="5">
        <f t="shared" si="23"/>
        <v>10</v>
      </c>
      <c r="Y6" s="8">
        <f t="shared" si="24"/>
        <v>7.5720342225967929</v>
      </c>
      <c r="Z6" s="8">
        <f t="shared" si="6"/>
        <v>661</v>
      </c>
      <c r="AA6" s="8">
        <f t="shared" si="7"/>
        <v>7.5796525908237129</v>
      </c>
      <c r="AB6" s="8">
        <f t="shared" si="8"/>
        <v>10.01006119096</v>
      </c>
      <c r="AC6" s="11">
        <f t="shared" si="25"/>
        <v>6.9968493888594754</v>
      </c>
      <c r="AD6" s="11">
        <f t="shared" si="9"/>
        <v>1349.1025055667442</v>
      </c>
      <c r="AE6" s="11">
        <f t="shared" si="10"/>
        <v>8.6932351908289682</v>
      </c>
      <c r="AF6" s="33">
        <f t="shared" si="11"/>
        <v>12.424499524986937</v>
      </c>
      <c r="AG6" s="32">
        <f t="shared" si="26"/>
        <v>0.92999999999999994</v>
      </c>
      <c r="AH6">
        <f t="shared" si="27"/>
        <v>34</v>
      </c>
      <c r="AI6">
        <f t="shared" si="28"/>
        <v>20</v>
      </c>
      <c r="AJ6" s="8">
        <f t="shared" si="29"/>
        <v>7.0124582716491535</v>
      </c>
      <c r="AK6" s="8">
        <f t="shared" si="12"/>
        <v>661</v>
      </c>
      <c r="AL6" s="8">
        <f t="shared" si="13"/>
        <v>7.5908694012073612</v>
      </c>
      <c r="AM6" s="8">
        <f t="shared" si="14"/>
        <v>10.824833613479999</v>
      </c>
      <c r="AN6" s="11">
        <f t="shared" si="30"/>
        <v>6.7520439323421453</v>
      </c>
      <c r="AO6" s="11">
        <f t="shared" si="15"/>
        <v>1069.7025783783649</v>
      </c>
      <c r="AP6" s="11">
        <f t="shared" si="16"/>
        <v>8.3560799210724515</v>
      </c>
      <c r="AQ6" s="12">
        <f t="shared" si="17"/>
        <v>12.37563026070818</v>
      </c>
    </row>
    <row r="7" spans="1:43" x14ac:dyDescent="0.3">
      <c r="A7" s="29" t="s">
        <v>8</v>
      </c>
      <c r="B7" s="5"/>
      <c r="C7" s="5"/>
      <c r="D7" s="5">
        <v>20</v>
      </c>
      <c r="E7" s="5"/>
      <c r="F7" s="1"/>
      <c r="G7" s="1" t="s">
        <v>26</v>
      </c>
      <c r="H7">
        <f>(1-0.07)*(1-0.08)</f>
        <v>0.85560000000000003</v>
      </c>
      <c r="I7">
        <v>10</v>
      </c>
      <c r="J7" s="5"/>
      <c r="K7" s="32">
        <f>(1-0.21)*(1-0.08)</f>
        <v>0.72680000000000011</v>
      </c>
      <c r="L7">
        <f t="shared" si="18"/>
        <v>40</v>
      </c>
      <c r="M7" s="5">
        <f t="shared" si="19"/>
        <v>0</v>
      </c>
      <c r="N7" s="8">
        <f t="shared" si="20"/>
        <v>8.2114075832509883</v>
      </c>
      <c r="O7" s="8">
        <f t="shared" si="0"/>
        <v>661</v>
      </c>
      <c r="P7" s="8">
        <f t="shared" si="1"/>
        <v>6.9465762809482792</v>
      </c>
      <c r="Q7" s="8">
        <f t="shared" si="2"/>
        <v>8.4596656669648009</v>
      </c>
      <c r="R7" s="11">
        <f t="shared" si="21"/>
        <v>7.5992546607226119</v>
      </c>
      <c r="S7" s="11">
        <f t="shared" si="3"/>
        <v>1628.502432755123</v>
      </c>
      <c r="T7" s="11">
        <f t="shared" si="4"/>
        <v>8.6089463733898377</v>
      </c>
      <c r="U7" s="33">
        <f t="shared" si="5"/>
        <v>11.328672031332102</v>
      </c>
      <c r="V7" s="32">
        <f>(1-0.14)*(1-0.08)</f>
        <v>0.79120000000000001</v>
      </c>
      <c r="W7">
        <f t="shared" si="22"/>
        <v>32</v>
      </c>
      <c r="X7" s="5">
        <f t="shared" si="23"/>
        <v>10</v>
      </c>
      <c r="Y7" s="8">
        <f t="shared" si="24"/>
        <v>7.7346604159579604</v>
      </c>
      <c r="Z7" s="8">
        <f t="shared" si="6"/>
        <v>661</v>
      </c>
      <c r="AA7" s="8">
        <f t="shared" si="7"/>
        <v>7.1230470130632488</v>
      </c>
      <c r="AB7" s="8">
        <f t="shared" si="8"/>
        <v>9.2092562956832005</v>
      </c>
      <c r="AC7" s="11">
        <f t="shared" si="25"/>
        <v>7.2365709930415987</v>
      </c>
      <c r="AD7" s="11">
        <f t="shared" si="9"/>
        <v>1349.1025055667442</v>
      </c>
      <c r="AE7" s="11">
        <f t="shared" si="10"/>
        <v>8.2717911036333227</v>
      </c>
      <c r="AF7" s="33">
        <f t="shared" si="11"/>
        <v>11.430539562987983</v>
      </c>
      <c r="AG7" s="32">
        <f t="shared" si="26"/>
        <v>0.85560000000000003</v>
      </c>
      <c r="AH7">
        <f t="shared" si="27"/>
        <v>24</v>
      </c>
      <c r="AI7">
        <f t="shared" si="28"/>
        <v>20</v>
      </c>
      <c r="AJ7" s="8">
        <f t="shared" si="29"/>
        <v>7.1398171725651807</v>
      </c>
      <c r="AK7" s="8">
        <f t="shared" si="12"/>
        <v>661</v>
      </c>
      <c r="AL7" s="8">
        <f t="shared" si="13"/>
        <v>7.1104346289790472</v>
      </c>
      <c r="AM7" s="8">
        <f t="shared" si="14"/>
        <v>9.9588469244016</v>
      </c>
      <c r="AN7" s="11">
        <f t="shared" si="30"/>
        <v>6.9690221714525151</v>
      </c>
      <c r="AO7" s="11">
        <f t="shared" si="15"/>
        <v>1069.7025783783649</v>
      </c>
      <c r="AP7" s="11">
        <f t="shared" si="16"/>
        <v>7.9346358338768059</v>
      </c>
      <c r="AQ7" s="12">
        <f t="shared" si="17"/>
        <v>11.385579839851527</v>
      </c>
    </row>
    <row r="8" spans="1:43" x14ac:dyDescent="0.3">
      <c r="A8" s="29" t="s">
        <v>9</v>
      </c>
      <c r="B8" s="5"/>
      <c r="C8" s="5"/>
      <c r="D8" s="5">
        <v>30</v>
      </c>
      <c r="E8" s="5"/>
      <c r="F8" s="1"/>
      <c r="G8" s="1" t="s">
        <v>13</v>
      </c>
      <c r="H8">
        <f>1-0.14</f>
        <v>0.86</v>
      </c>
      <c r="I8">
        <v>5</v>
      </c>
      <c r="J8" s="5">
        <v>4</v>
      </c>
      <c r="K8" s="32">
        <f>1-0.28</f>
        <v>0.72</v>
      </c>
      <c r="L8">
        <f t="shared" si="18"/>
        <v>35</v>
      </c>
      <c r="M8" s="5">
        <f t="shared" si="19"/>
        <v>4</v>
      </c>
      <c r="N8" s="8">
        <f t="shared" si="20"/>
        <v>8.2869425213545167</v>
      </c>
      <c r="O8" s="8">
        <f t="shared" si="0"/>
        <v>661</v>
      </c>
      <c r="P8" s="8">
        <f t="shared" si="1"/>
        <v>6.944885725791103</v>
      </c>
      <c r="Q8" s="8">
        <f t="shared" si="2"/>
        <v>8.3805163459200003</v>
      </c>
      <c r="R8" s="11">
        <f t="shared" si="21"/>
        <v>7.7087741818472857</v>
      </c>
      <c r="S8" s="11">
        <f t="shared" si="3"/>
        <v>1516.7424618797713</v>
      </c>
      <c r="T8" s="11">
        <f t="shared" si="4"/>
        <v>8.3982243297920167</v>
      </c>
      <c r="U8" s="33">
        <f t="shared" si="5"/>
        <v>10.89437066345549</v>
      </c>
      <c r="V8" s="32">
        <f>1-0.21</f>
        <v>0.79</v>
      </c>
      <c r="W8">
        <f t="shared" si="22"/>
        <v>27</v>
      </c>
      <c r="X8" s="5">
        <f t="shared" si="23"/>
        <v>14</v>
      </c>
      <c r="Y8" s="8">
        <f t="shared" si="24"/>
        <v>7.71511246339408</v>
      </c>
      <c r="Z8" s="8">
        <f t="shared" si="6"/>
        <v>661</v>
      </c>
      <c r="AA8" s="8">
        <f t="shared" si="7"/>
        <v>7.0942686981899055</v>
      </c>
      <c r="AB8" s="8">
        <f t="shared" si="8"/>
        <v>9.1952887684400011</v>
      </c>
      <c r="AC8" s="11">
        <f t="shared" si="25"/>
        <v>7.2931217913827409</v>
      </c>
      <c r="AD8" s="11">
        <f t="shared" si="9"/>
        <v>1237.3425346913923</v>
      </c>
      <c r="AE8" s="11">
        <f t="shared" si="10"/>
        <v>8.0610690600354982</v>
      </c>
      <c r="AF8" s="33">
        <f t="shared" si="11"/>
        <v>11.052974693991994</v>
      </c>
      <c r="AG8" s="32">
        <f t="shared" si="26"/>
        <v>0.86</v>
      </c>
      <c r="AH8">
        <f t="shared" si="27"/>
        <v>19</v>
      </c>
      <c r="AI8">
        <f t="shared" si="28"/>
        <v>24</v>
      </c>
      <c r="AJ8" s="8">
        <f t="shared" si="29"/>
        <v>6.9388153871112825</v>
      </c>
      <c r="AK8" s="8">
        <f t="shared" si="12"/>
        <v>661</v>
      </c>
      <c r="AL8" s="8">
        <f t="shared" si="13"/>
        <v>6.9457966617758737</v>
      </c>
      <c r="AM8" s="8">
        <f t="shared" si="14"/>
        <v>10.01006119096</v>
      </c>
      <c r="AN8" s="11">
        <f t="shared" si="30"/>
        <v>6.9887124994862102</v>
      </c>
      <c r="AO8" s="11">
        <f t="shared" si="15"/>
        <v>957.94260750301339</v>
      </c>
      <c r="AP8" s="11">
        <f t="shared" si="16"/>
        <v>7.7239137902789832</v>
      </c>
      <c r="AQ8" s="12">
        <f t="shared" si="17"/>
        <v>11.051983882362913</v>
      </c>
    </row>
    <row r="9" spans="1:43" x14ac:dyDescent="0.3">
      <c r="A9" s="29" t="s">
        <v>21</v>
      </c>
      <c r="B9" s="5"/>
      <c r="C9" s="5">
        <v>4</v>
      </c>
      <c r="D9" s="5">
        <v>5</v>
      </c>
      <c r="E9" s="5"/>
      <c r="F9" s="1"/>
      <c r="G9" s="1" t="s">
        <v>14</v>
      </c>
      <c r="H9">
        <f>1-0.14</f>
        <v>0.86</v>
      </c>
      <c r="I9">
        <v>10</v>
      </c>
      <c r="J9" s="5"/>
      <c r="K9" s="32">
        <f>1-0.28</f>
        <v>0.72</v>
      </c>
      <c r="L9">
        <f t="shared" si="18"/>
        <v>40</v>
      </c>
      <c r="M9" s="5">
        <f t="shared" si="19"/>
        <v>0</v>
      </c>
      <c r="N9" s="8">
        <f t="shared" si="20"/>
        <v>8.2889597659816925</v>
      </c>
      <c r="O9" s="8">
        <f t="shared" si="0"/>
        <v>661</v>
      </c>
      <c r="P9" s="8">
        <f t="shared" si="1"/>
        <v>6.9465762809482792</v>
      </c>
      <c r="Q9" s="8">
        <f t="shared" si="2"/>
        <v>8.3805163459200003</v>
      </c>
      <c r="R9" s="11">
        <f>T9/U9*10</f>
        <v>7.6710253991849946</v>
      </c>
      <c r="S9" s="11">
        <f t="shared" si="3"/>
        <v>1628.502432755123</v>
      </c>
      <c r="T9" s="11">
        <f t="shared" si="4"/>
        <v>8.6089463733898377</v>
      </c>
      <c r="U9" s="33">
        <f t="shared" si="5"/>
        <v>11.222680053053264</v>
      </c>
      <c r="V9" s="32">
        <f>1-0.21</f>
        <v>0.79</v>
      </c>
      <c r="W9">
        <f t="shared" si="22"/>
        <v>32</v>
      </c>
      <c r="X9" s="5">
        <f t="shared" si="23"/>
        <v>10</v>
      </c>
      <c r="Y9" s="8">
        <f t="shared" si="24"/>
        <v>7.7464092672227061</v>
      </c>
      <c r="Z9" s="8">
        <f t="shared" si="6"/>
        <v>661</v>
      </c>
      <c r="AA9" s="8">
        <f t="shared" si="7"/>
        <v>7.1230470130632488</v>
      </c>
      <c r="AB9" s="8">
        <f t="shared" si="8"/>
        <v>9.1952887684400011</v>
      </c>
      <c r="AC9" s="11">
        <f t="shared" si="25"/>
        <v>7.247563252777864</v>
      </c>
      <c r="AD9" s="11">
        <f t="shared" si="9"/>
        <v>1349.1025055667442</v>
      </c>
      <c r="AE9" s="11">
        <f t="shared" si="10"/>
        <v>8.2717911036333227</v>
      </c>
      <c r="AF9" s="33">
        <f t="shared" si="11"/>
        <v>11.413203052022885</v>
      </c>
      <c r="AG9" s="32">
        <f t="shared" si="26"/>
        <v>0.86</v>
      </c>
      <c r="AH9">
        <f t="shared" si="27"/>
        <v>24</v>
      </c>
      <c r="AI9">
        <f t="shared" si="28"/>
        <v>20</v>
      </c>
      <c r="AJ9" s="8">
        <f t="shared" si="29"/>
        <v>7.1032878754032192</v>
      </c>
      <c r="AK9" s="8">
        <f t="shared" si="12"/>
        <v>661</v>
      </c>
      <c r="AL9" s="8">
        <f t="shared" si="13"/>
        <v>7.1104346289790472</v>
      </c>
      <c r="AM9" s="8">
        <f t="shared" si="14"/>
        <v>10.01006119096</v>
      </c>
      <c r="AN9" s="11">
        <f t="shared" si="30"/>
        <v>6.9333667091799667</v>
      </c>
      <c r="AO9" s="11">
        <f t="shared" si="15"/>
        <v>1069.7025783783649</v>
      </c>
      <c r="AP9" s="11">
        <f t="shared" si="16"/>
        <v>7.9346358338768059</v>
      </c>
      <c r="AQ9" s="12">
        <f t="shared" si="17"/>
        <v>11.444131208826921</v>
      </c>
    </row>
    <row r="10" spans="1:43" x14ac:dyDescent="0.3">
      <c r="A10" s="29" t="s">
        <v>22</v>
      </c>
      <c r="B10" s="5"/>
      <c r="C10" s="5">
        <v>8</v>
      </c>
      <c r="D10" s="5">
        <v>10</v>
      </c>
      <c r="E10" s="5"/>
      <c r="F10" s="1"/>
      <c r="G10" s="17" t="s">
        <v>27</v>
      </c>
      <c r="H10">
        <f>(1-0.14)*(1-0.04)</f>
        <v>0.8256</v>
      </c>
      <c r="I10">
        <v>5</v>
      </c>
      <c r="J10" s="5"/>
      <c r="K10" s="32">
        <f>(1-0.28)*(1-0.04)</f>
        <v>0.69119999999999993</v>
      </c>
      <c r="L10">
        <f t="shared" si="18"/>
        <v>35</v>
      </c>
      <c r="M10" s="5">
        <f t="shared" si="19"/>
        <v>0</v>
      </c>
      <c r="N10" s="13">
        <f t="shared" si="20"/>
        <v>8.3710912270775495</v>
      </c>
      <c r="O10" s="13">
        <f t="shared" si="0"/>
        <v>661</v>
      </c>
      <c r="P10" s="13">
        <f t="shared" si="1"/>
        <v>6.7347904187242467</v>
      </c>
      <c r="Q10" s="13">
        <f t="shared" si="2"/>
        <v>8.0452956920831991</v>
      </c>
      <c r="R10" s="22">
        <f t="shared" si="21"/>
        <v>7.7950634805394037</v>
      </c>
      <c r="S10" s="22">
        <f t="shared" si="3"/>
        <v>1628.502432755123</v>
      </c>
      <c r="T10" s="22">
        <f t="shared" si="4"/>
        <v>8.3982243297920167</v>
      </c>
      <c r="U10" s="34">
        <f t="shared" si="5"/>
        <v>10.773772850931133</v>
      </c>
      <c r="V10" s="32">
        <f>(1-0.21)*(1-0.04)</f>
        <v>0.75839999999999996</v>
      </c>
      <c r="W10">
        <f t="shared" si="22"/>
        <v>27</v>
      </c>
      <c r="X10" s="5">
        <f t="shared" si="23"/>
        <v>10</v>
      </c>
      <c r="Y10" s="13">
        <f t="shared" si="24"/>
        <v>7.8105488738690472</v>
      </c>
      <c r="Z10" s="13">
        <f t="shared" si="6"/>
        <v>661</v>
      </c>
      <c r="AA10" s="13">
        <f t="shared" si="7"/>
        <v>6.8947442241830155</v>
      </c>
      <c r="AB10" s="13">
        <f t="shared" si="8"/>
        <v>8.8274772177024001</v>
      </c>
      <c r="AC10" s="15">
        <f t="shared" si="25"/>
        <v>7.3572220692671362</v>
      </c>
      <c r="AD10" s="15">
        <f t="shared" si="9"/>
        <v>1349.1025055667442</v>
      </c>
      <c r="AE10" s="15">
        <f t="shared" si="10"/>
        <v>8.0610690600354999</v>
      </c>
      <c r="AF10" s="35">
        <f t="shared" si="11"/>
        <v>10.956674929941968</v>
      </c>
      <c r="AG10" s="32">
        <f t="shared" si="26"/>
        <v>0.8256</v>
      </c>
      <c r="AH10">
        <f t="shared" si="27"/>
        <v>19</v>
      </c>
      <c r="AI10">
        <f t="shared" si="28"/>
        <v>20</v>
      </c>
      <c r="AJ10" s="13">
        <f t="shared" si="29"/>
        <v>7.1492832642360646</v>
      </c>
      <c r="AK10" s="13">
        <f t="shared" si="12"/>
        <v>661</v>
      </c>
      <c r="AL10" s="13">
        <f t="shared" si="13"/>
        <v>6.8702172428648884</v>
      </c>
      <c r="AM10" s="13">
        <f t="shared" si="14"/>
        <v>9.6096587433215994</v>
      </c>
      <c r="AN10" s="15">
        <f t="shared" si="30"/>
        <v>7.0304537624794801</v>
      </c>
      <c r="AO10" s="15">
        <f t="shared" si="15"/>
        <v>1069.7025783783649</v>
      </c>
      <c r="AP10" s="15">
        <f t="shared" si="16"/>
        <v>7.7239137902789832</v>
      </c>
      <c r="AQ10" s="16">
        <f t="shared" si="17"/>
        <v>10.986365960473844</v>
      </c>
    </row>
    <row r="11" spans="1:43" x14ac:dyDescent="0.3">
      <c r="A11" s="29"/>
      <c r="B11" s="5"/>
      <c r="C11" s="5"/>
      <c r="D11" s="5"/>
      <c r="E11" s="5"/>
      <c r="F11" s="1"/>
      <c r="G11" s="1" t="s">
        <v>28</v>
      </c>
      <c r="H11">
        <f>1-0.04</f>
        <v>0.96</v>
      </c>
      <c r="I11">
        <v>20</v>
      </c>
      <c r="J11" s="5">
        <v>4</v>
      </c>
      <c r="K11" s="32">
        <f>(1-0.14)*(1-0.04)</f>
        <v>0.8256</v>
      </c>
      <c r="L11">
        <f t="shared" si="18"/>
        <v>50</v>
      </c>
      <c r="M11" s="5">
        <f t="shared" si="19"/>
        <v>4</v>
      </c>
      <c r="N11" s="8">
        <f t="shared" si="20"/>
        <v>7.9087757718060905</v>
      </c>
      <c r="O11" s="8">
        <f t="shared" si="0"/>
        <v>661</v>
      </c>
      <c r="P11" s="8">
        <f t="shared" si="1"/>
        <v>7.6000636244506428</v>
      </c>
      <c r="Q11" s="8">
        <f t="shared" si="2"/>
        <v>9.6096587433215994</v>
      </c>
      <c r="R11" s="11">
        <f t="shared" si="21"/>
        <v>7.2288163871363498</v>
      </c>
      <c r="S11" s="11">
        <f t="shared" si="3"/>
        <v>1516.7424618797713</v>
      </c>
      <c r="T11" s="11">
        <f t="shared" si="4"/>
        <v>9.0303904605854832</v>
      </c>
      <c r="U11" s="33">
        <f t="shared" si="5"/>
        <v>12.49221169409563</v>
      </c>
      <c r="V11" s="32">
        <f>(1-0.07)*(1-0.04)</f>
        <v>0.89279999999999993</v>
      </c>
      <c r="W11">
        <f t="shared" si="22"/>
        <v>42</v>
      </c>
      <c r="X11" s="5">
        <f t="shared" si="23"/>
        <v>14</v>
      </c>
      <c r="Y11" s="8">
        <f t="shared" si="24"/>
        <v>7.5049242241797485</v>
      </c>
      <c r="Z11" s="8">
        <f t="shared" si="6"/>
        <v>661</v>
      </c>
      <c r="AA11" s="8">
        <f t="shared" si="7"/>
        <v>7.7989973768180398</v>
      </c>
      <c r="AB11" s="8">
        <f t="shared" si="8"/>
        <v>10.391840268940799</v>
      </c>
      <c r="AC11" s="11">
        <f t="shared" si="25"/>
        <v>6.9594539161498652</v>
      </c>
      <c r="AD11" s="11">
        <f t="shared" si="9"/>
        <v>1237.3425346913923</v>
      </c>
      <c r="AE11" s="11">
        <f t="shared" si="10"/>
        <v>8.6932351908289665</v>
      </c>
      <c r="AF11" s="33">
        <f t="shared" si="11"/>
        <v>12.49126051493171</v>
      </c>
      <c r="AG11" s="32">
        <f t="shared" si="26"/>
        <v>0.96</v>
      </c>
      <c r="AH11">
        <f t="shared" si="27"/>
        <v>34</v>
      </c>
      <c r="AI11">
        <f t="shared" si="28"/>
        <v>24</v>
      </c>
      <c r="AJ11" s="8">
        <f t="shared" si="29"/>
        <v>6.8680524096786204</v>
      </c>
      <c r="AK11" s="8">
        <f t="shared" si="12"/>
        <v>661</v>
      </c>
      <c r="AL11" s="8">
        <f t="shared" si="13"/>
        <v>7.6743767311929227</v>
      </c>
      <c r="AM11" s="8">
        <f t="shared" si="14"/>
        <v>11.17402179456</v>
      </c>
      <c r="AN11" s="11">
        <f t="shared" si="30"/>
        <v>6.7731323253555438</v>
      </c>
      <c r="AO11" s="11">
        <f t="shared" si="15"/>
        <v>957.94260750301339</v>
      </c>
      <c r="AP11" s="11">
        <f t="shared" si="16"/>
        <v>8.3560799210724515</v>
      </c>
      <c r="AQ11" s="12">
        <f t="shared" si="17"/>
        <v>12.337098287288832</v>
      </c>
    </row>
    <row r="12" spans="1:43" x14ac:dyDescent="0.3">
      <c r="A12" s="29" t="s">
        <v>10</v>
      </c>
      <c r="B12" s="5">
        <v>14</v>
      </c>
      <c r="C12" s="5"/>
      <c r="D12" s="5">
        <v>16</v>
      </c>
      <c r="E12" s="5"/>
      <c r="F12" s="1"/>
      <c r="G12" s="1" t="s">
        <v>17</v>
      </c>
      <c r="H12">
        <v>1</v>
      </c>
      <c r="I12">
        <v>25</v>
      </c>
      <c r="J12" s="5">
        <v>4</v>
      </c>
      <c r="K12" s="32">
        <f>1-0.14</f>
        <v>0.86</v>
      </c>
      <c r="L12">
        <f t="shared" si="18"/>
        <v>55</v>
      </c>
      <c r="M12" s="5">
        <f t="shared" si="19"/>
        <v>4</v>
      </c>
      <c r="N12" s="8">
        <f t="shared" si="20"/>
        <v>7.8105978656733228</v>
      </c>
      <c r="O12" s="8">
        <f t="shared" si="0"/>
        <v>661</v>
      </c>
      <c r="P12" s="8">
        <f t="shared" si="1"/>
        <v>7.8184562573371545</v>
      </c>
      <c r="Q12" s="8">
        <f t="shared" si="2"/>
        <v>10.01006119096</v>
      </c>
      <c r="R12" s="11">
        <f t="shared" si="21"/>
        <v>7.10159915734459</v>
      </c>
      <c r="S12" s="11">
        <f t="shared" si="3"/>
        <v>1516.7424618797713</v>
      </c>
      <c r="T12" s="11">
        <f t="shared" si="4"/>
        <v>9.2411125041833078</v>
      </c>
      <c r="U12" s="33">
        <f t="shared" si="5"/>
        <v>13.012720514682947</v>
      </c>
      <c r="V12" s="32">
        <f>1-0.07</f>
        <v>0.92999999999999994</v>
      </c>
      <c r="W12">
        <f t="shared" si="22"/>
        <v>47</v>
      </c>
      <c r="X12" s="5">
        <f t="shared" si="23"/>
        <v>14</v>
      </c>
      <c r="Y12" s="8">
        <f t="shared" si="24"/>
        <v>7.4217371122972757</v>
      </c>
      <c r="Z12" s="8">
        <f t="shared" si="6"/>
        <v>661</v>
      </c>
      <c r="AA12" s="8">
        <f t="shared" si="7"/>
        <v>8.0339069363607525</v>
      </c>
      <c r="AB12" s="8">
        <f t="shared" si="8"/>
        <v>10.824833613479999</v>
      </c>
      <c r="AC12" s="11">
        <f t="shared" si="25"/>
        <v>6.8430235161871087</v>
      </c>
      <c r="AD12" s="11">
        <f t="shared" si="9"/>
        <v>1237.3425346913923</v>
      </c>
      <c r="AE12" s="11">
        <f t="shared" si="10"/>
        <v>8.903957234426791</v>
      </c>
      <c r="AF12" s="33">
        <f t="shared" si="11"/>
        <v>13.011729703053865</v>
      </c>
      <c r="AG12" s="32">
        <f t="shared" si="26"/>
        <v>1</v>
      </c>
      <c r="AH12">
        <f t="shared" si="27"/>
        <v>39</v>
      </c>
      <c r="AI12">
        <f t="shared" si="28"/>
        <v>24</v>
      </c>
      <c r="AJ12" s="8">
        <f t="shared" si="29"/>
        <v>6.8019800067500666</v>
      </c>
      <c r="AK12" s="8">
        <f t="shared" si="12"/>
        <v>661</v>
      </c>
      <c r="AL12" s="8">
        <f t="shared" si="13"/>
        <v>7.91723675433194</v>
      </c>
      <c r="AM12" s="8">
        <f t="shared" si="14"/>
        <v>11.639606036</v>
      </c>
      <c r="AN12" s="11">
        <f t="shared" si="30"/>
        <v>6.6661784599357166</v>
      </c>
      <c r="AO12" s="11">
        <f t="shared" si="15"/>
        <v>957.94260750301339</v>
      </c>
      <c r="AP12" s="11">
        <f t="shared" si="16"/>
        <v>8.5668019646702742</v>
      </c>
      <c r="AQ12" s="12">
        <f t="shared" si="17"/>
        <v>12.851144049259201</v>
      </c>
    </row>
    <row r="13" spans="1:43" x14ac:dyDescent="0.3">
      <c r="A13" s="29" t="s">
        <v>80</v>
      </c>
      <c r="B13" s="5">
        <v>7</v>
      </c>
      <c r="C13" s="5"/>
      <c r="D13" s="5">
        <v>8</v>
      </c>
      <c r="E13" s="5">
        <v>10</v>
      </c>
      <c r="F13" s="1">
        <v>16</v>
      </c>
      <c r="G13" s="1" t="s">
        <v>29</v>
      </c>
      <c r="H13">
        <f>1-0.08</f>
        <v>0.92</v>
      </c>
      <c r="I13">
        <v>15</v>
      </c>
      <c r="J13" s="5">
        <v>4</v>
      </c>
      <c r="K13" s="32">
        <f>(1-0.14)*(1-0.08)</f>
        <v>0.79120000000000001</v>
      </c>
      <c r="L13">
        <f t="shared" si="18"/>
        <v>45</v>
      </c>
      <c r="M13" s="5">
        <f t="shared" si="19"/>
        <v>4</v>
      </c>
      <c r="N13" s="8">
        <f t="shared" si="20"/>
        <v>8.0154908871677879</v>
      </c>
      <c r="O13" s="8">
        <f t="shared" si="0"/>
        <v>661</v>
      </c>
      <c r="P13" s="8">
        <f t="shared" si="1"/>
        <v>7.3816709915641274</v>
      </c>
      <c r="Q13" s="8">
        <f t="shared" si="2"/>
        <v>9.2092562956832005</v>
      </c>
      <c r="R13" s="11">
        <f t="shared" si="21"/>
        <v>7.3670959847360926</v>
      </c>
      <c r="S13" s="11">
        <f t="shared" si="3"/>
        <v>1516.7424618797713</v>
      </c>
      <c r="T13" s="11">
        <f t="shared" si="4"/>
        <v>8.8196684169876622</v>
      </c>
      <c r="U13" s="33">
        <f t="shared" si="5"/>
        <v>11.971702873508312</v>
      </c>
      <c r="V13" s="32">
        <f>(1-0.07)*(1-0.08)</f>
        <v>0.85560000000000003</v>
      </c>
      <c r="W13">
        <f t="shared" si="22"/>
        <v>37</v>
      </c>
      <c r="X13" s="5">
        <f t="shared" si="23"/>
        <v>14</v>
      </c>
      <c r="Y13" s="8">
        <f t="shared" si="24"/>
        <v>7.5953449979650483</v>
      </c>
      <c r="Z13" s="8">
        <f t="shared" si="6"/>
        <v>661</v>
      </c>
      <c r="AA13" s="8">
        <f t="shared" si="7"/>
        <v>7.564087817275329</v>
      </c>
      <c r="AB13" s="8">
        <f t="shared" si="8"/>
        <v>9.9588469244016</v>
      </c>
      <c r="AC13" s="11">
        <f t="shared" si="25"/>
        <v>7.0860086987180768</v>
      </c>
      <c r="AD13" s="11">
        <f t="shared" si="9"/>
        <v>1237.3425346913923</v>
      </c>
      <c r="AE13" s="11">
        <f t="shared" si="10"/>
        <v>8.4825131472311437</v>
      </c>
      <c r="AF13" s="33">
        <f t="shared" si="11"/>
        <v>11.970791326809557</v>
      </c>
      <c r="AG13" s="32">
        <f t="shared" si="26"/>
        <v>0.92</v>
      </c>
      <c r="AH13">
        <f t="shared" si="27"/>
        <v>29</v>
      </c>
      <c r="AI13">
        <f t="shared" si="28"/>
        <v>24</v>
      </c>
      <c r="AJ13" s="8">
        <f t="shared" si="29"/>
        <v>6.9398702389487887</v>
      </c>
      <c r="AK13" s="8">
        <f t="shared" si="12"/>
        <v>661</v>
      </c>
      <c r="AL13" s="8">
        <f t="shared" si="13"/>
        <v>7.4315167080539082</v>
      </c>
      <c r="AM13" s="8">
        <f t="shared" si="14"/>
        <v>10.708437553120001</v>
      </c>
      <c r="AN13" s="11">
        <f t="shared" si="30"/>
        <v>6.8893865268988357</v>
      </c>
      <c r="AO13" s="11">
        <f t="shared" si="15"/>
        <v>957.94260750301339</v>
      </c>
      <c r="AP13" s="11">
        <f t="shared" si="16"/>
        <v>8.1453578774746287</v>
      </c>
      <c r="AQ13" s="12">
        <f t="shared" si="17"/>
        <v>11.823052525318465</v>
      </c>
    </row>
    <row r="14" spans="1:43" x14ac:dyDescent="0.3">
      <c r="A14" s="29" t="s">
        <v>79</v>
      </c>
      <c r="B14" s="5"/>
      <c r="C14" s="5"/>
      <c r="D14" s="5"/>
      <c r="E14" s="5">
        <v>20</v>
      </c>
      <c r="F14" s="1">
        <v>32</v>
      </c>
      <c r="G14" s="17" t="s">
        <v>18</v>
      </c>
      <c r="H14">
        <v>1</v>
      </c>
      <c r="I14">
        <v>20</v>
      </c>
      <c r="J14" s="5">
        <v>8</v>
      </c>
      <c r="K14" s="32">
        <f>1-0.14</f>
        <v>0.86</v>
      </c>
      <c r="L14">
        <f t="shared" si="18"/>
        <v>50</v>
      </c>
      <c r="M14" s="5">
        <f t="shared" si="19"/>
        <v>8</v>
      </c>
      <c r="N14" s="13">
        <f t="shared" si="20"/>
        <v>7.8221092699973944</v>
      </c>
      <c r="O14" s="13">
        <f t="shared" si="0"/>
        <v>661</v>
      </c>
      <c r="P14" s="13">
        <f t="shared" si="1"/>
        <v>7.8299792435049378</v>
      </c>
      <c r="Q14" s="13">
        <f t="shared" si="2"/>
        <v>10.01006119096</v>
      </c>
      <c r="R14" s="11">
        <f t="shared" si="21"/>
        <v>7.1552934450038883</v>
      </c>
      <c r="S14" s="11">
        <f t="shared" si="3"/>
        <v>1404.9824910044199</v>
      </c>
      <c r="T14" s="11">
        <f t="shared" si="4"/>
        <v>9.0303904605854832</v>
      </c>
      <c r="U14" s="33">
        <f t="shared" si="5"/>
        <v>12.620573188218943</v>
      </c>
      <c r="V14" s="32">
        <f>1-0.07</f>
        <v>0.92999999999999994</v>
      </c>
      <c r="W14">
        <f t="shared" si="22"/>
        <v>42</v>
      </c>
      <c r="X14" s="5">
        <f t="shared" si="23"/>
        <v>18</v>
      </c>
      <c r="Y14" s="8">
        <f t="shared" si="24"/>
        <v>7.3269943239594513</v>
      </c>
      <c r="Z14" s="8">
        <f t="shared" si="6"/>
        <v>661</v>
      </c>
      <c r="AA14" s="8">
        <f t="shared" si="7"/>
        <v>7.9313494443773429</v>
      </c>
      <c r="AB14" s="8">
        <f t="shared" si="8"/>
        <v>10.824833613479999</v>
      </c>
      <c r="AC14" s="11">
        <f t="shared" si="25"/>
        <v>6.9061547873895268</v>
      </c>
      <c r="AD14" s="11">
        <f t="shared" si="9"/>
        <v>1125.5825638160409</v>
      </c>
      <c r="AE14" s="11">
        <f t="shared" si="10"/>
        <v>8.6932351908289665</v>
      </c>
      <c r="AF14" s="33">
        <f t="shared" si="11"/>
        <v>12.587663408156743</v>
      </c>
      <c r="AG14" s="32">
        <f t="shared" si="26"/>
        <v>1</v>
      </c>
      <c r="AH14">
        <f t="shared" si="27"/>
        <v>34</v>
      </c>
      <c r="AI14">
        <f t="shared" si="28"/>
        <v>28</v>
      </c>
      <c r="AJ14" s="8">
        <f t="shared" si="29"/>
        <v>6.6176521082753625</v>
      </c>
      <c r="AK14" s="8">
        <f t="shared" si="12"/>
        <v>661</v>
      </c>
      <c r="AL14" s="8">
        <f t="shared" si="13"/>
        <v>7.7026863423630036</v>
      </c>
      <c r="AM14" s="8">
        <f t="shared" si="14"/>
        <v>11.639606036</v>
      </c>
      <c r="AN14" s="11">
        <f t="shared" si="30"/>
        <v>6.7414061129723555</v>
      </c>
      <c r="AO14" s="11">
        <f t="shared" si="15"/>
        <v>846.18263662766185</v>
      </c>
      <c r="AP14" s="11">
        <f t="shared" si="16"/>
        <v>8.3560799210724515</v>
      </c>
      <c r="AQ14" s="12">
        <f t="shared" si="17"/>
        <v>12.395158785928963</v>
      </c>
    </row>
    <row r="15" spans="1:43" x14ac:dyDescent="0.3">
      <c r="A15" s="29"/>
      <c r="B15" s="5"/>
      <c r="C15" s="5"/>
      <c r="D15" s="5"/>
      <c r="E15" s="5"/>
      <c r="F15" s="1"/>
      <c r="G15" s="1" t="s">
        <v>30</v>
      </c>
      <c r="H15">
        <f>1-0.04</f>
        <v>0.96</v>
      </c>
      <c r="I15">
        <v>15</v>
      </c>
      <c r="J15" s="5">
        <v>8</v>
      </c>
      <c r="K15" s="32">
        <f>(1-0.14)*(1-0.04)</f>
        <v>0.8256</v>
      </c>
      <c r="L15">
        <f t="shared" si="18"/>
        <v>45</v>
      </c>
      <c r="M15" s="5">
        <f t="shared" si="19"/>
        <v>8</v>
      </c>
      <c r="N15" s="8">
        <f t="shared" si="20"/>
        <v>7.913891682408762</v>
      </c>
      <c r="O15" s="8">
        <f t="shared" si="0"/>
        <v>661</v>
      </c>
      <c r="P15" s="8">
        <f t="shared" si="1"/>
        <v>7.6049798399559441</v>
      </c>
      <c r="Q15" s="8">
        <f t="shared" si="2"/>
        <v>9.6096587433215994</v>
      </c>
      <c r="R15" s="11">
        <f t="shared" si="21"/>
        <v>7.2795066151233474</v>
      </c>
      <c r="S15" s="11">
        <f t="shared" si="3"/>
        <v>1404.9824910044199</v>
      </c>
      <c r="T15" s="11">
        <f t="shared" si="4"/>
        <v>8.8196684169876622</v>
      </c>
      <c r="U15" s="33">
        <f t="shared" si="5"/>
        <v>12.115750260690184</v>
      </c>
      <c r="V15" s="32">
        <f>(1-0.07)*(1-0.04)</f>
        <v>0.89279999999999993</v>
      </c>
      <c r="W15">
        <f t="shared" si="22"/>
        <v>37</v>
      </c>
      <c r="X15" s="5">
        <f t="shared" si="23"/>
        <v>18</v>
      </c>
      <c r="Y15" s="8">
        <f t="shared" si="24"/>
        <v>7.4023976290001965</v>
      </c>
      <c r="Z15" s="8">
        <f t="shared" si="6"/>
        <v>661</v>
      </c>
      <c r="AA15" s="8">
        <f t="shared" si="7"/>
        <v>7.6924533767756138</v>
      </c>
      <c r="AB15" s="8">
        <f t="shared" si="8"/>
        <v>10.391840268940799</v>
      </c>
      <c r="AC15" s="11">
        <f t="shared" si="25"/>
        <v>7.0195324648630102</v>
      </c>
      <c r="AD15" s="11">
        <f t="shared" si="9"/>
        <v>1125.5825638160409</v>
      </c>
      <c r="AE15" s="11">
        <f t="shared" si="10"/>
        <v>8.4825131472311437</v>
      </c>
      <c r="AF15" s="33">
        <f t="shared" si="11"/>
        <v>12.084156871830473</v>
      </c>
      <c r="AG15" s="32">
        <f t="shared" si="26"/>
        <v>0.96</v>
      </c>
      <c r="AH15">
        <f t="shared" si="27"/>
        <v>29</v>
      </c>
      <c r="AI15">
        <f t="shared" si="28"/>
        <v>28</v>
      </c>
      <c r="AJ15" s="8">
        <f t="shared" si="29"/>
        <v>6.6752424351670001</v>
      </c>
      <c r="AK15" s="8">
        <f t="shared" si="12"/>
        <v>661</v>
      </c>
      <c r="AL15" s="8">
        <f t="shared" si="13"/>
        <v>7.4589304454527827</v>
      </c>
      <c r="AM15" s="8">
        <f t="shared" si="14"/>
        <v>11.17402179456</v>
      </c>
      <c r="AN15" s="11">
        <f t="shared" si="30"/>
        <v>6.8452110501948491</v>
      </c>
      <c r="AO15" s="11">
        <f t="shared" si="15"/>
        <v>846.18263662766185</v>
      </c>
      <c r="AP15" s="11">
        <f t="shared" si="16"/>
        <v>8.1453578774746287</v>
      </c>
      <c r="AQ15" s="12">
        <f t="shared" si="17"/>
        <v>11.899352434491805</v>
      </c>
    </row>
    <row r="16" spans="1:43" x14ac:dyDescent="0.3">
      <c r="A16" s="29" t="s">
        <v>20</v>
      </c>
      <c r="B16" s="5"/>
      <c r="C16" s="5"/>
      <c r="D16" s="30">
        <v>14</v>
      </c>
      <c r="E16" s="5"/>
      <c r="F16" s="1"/>
      <c r="G16" s="1" t="s">
        <v>31</v>
      </c>
      <c r="H16">
        <f>1-0.08</f>
        <v>0.92</v>
      </c>
      <c r="I16">
        <v>20</v>
      </c>
      <c r="J16" s="5"/>
      <c r="K16" s="32">
        <f>(1-0.14)*(1-0.08)</f>
        <v>0.79120000000000001</v>
      </c>
      <c r="L16">
        <f t="shared" si="18"/>
        <v>50</v>
      </c>
      <c r="M16" s="5">
        <f t="shared" si="19"/>
        <v>0</v>
      </c>
      <c r="N16" s="8">
        <f t="shared" si="20"/>
        <v>8.0029784911633648</v>
      </c>
      <c r="O16" s="8">
        <f t="shared" si="0"/>
        <v>661</v>
      </c>
      <c r="P16" s="8">
        <f t="shared" si="1"/>
        <v>7.3701480053963451</v>
      </c>
      <c r="Q16" s="8">
        <f t="shared" si="2"/>
        <v>9.2092562956832005</v>
      </c>
      <c r="R16" s="11">
        <f t="shared" si="21"/>
        <v>7.3224457870853339</v>
      </c>
      <c r="S16" s="11">
        <f t="shared" si="3"/>
        <v>1628.502432755123</v>
      </c>
      <c r="T16" s="11">
        <f t="shared" si="4"/>
        <v>9.0303904605854832</v>
      </c>
      <c r="U16" s="33">
        <f t="shared" si="5"/>
        <v>12.332478413855199</v>
      </c>
      <c r="V16" s="32">
        <f>(1-0.07)*(1-0.08)</f>
        <v>0.85560000000000003</v>
      </c>
      <c r="W16">
        <f t="shared" si="22"/>
        <v>42</v>
      </c>
      <c r="X16" s="5">
        <f t="shared" si="23"/>
        <v>10</v>
      </c>
      <c r="Y16" s="8">
        <f t="shared" si="24"/>
        <v>7.6109740900341771</v>
      </c>
      <c r="Z16" s="8">
        <f t="shared" si="6"/>
        <v>661</v>
      </c>
      <c r="AA16" s="8">
        <f t="shared" si="7"/>
        <v>7.5796525908237129</v>
      </c>
      <c r="AB16" s="8">
        <f t="shared" si="8"/>
        <v>9.9588469244016</v>
      </c>
      <c r="AC16" s="11">
        <f t="shared" si="25"/>
        <v>7.0328313165254173</v>
      </c>
      <c r="AD16" s="11">
        <f t="shared" si="9"/>
        <v>1349.1025055667442</v>
      </c>
      <c r="AE16" s="11">
        <f t="shared" si="10"/>
        <v>8.6932351908289682</v>
      </c>
      <c r="AF16" s="33">
        <f t="shared" si="11"/>
        <v>12.360932318114912</v>
      </c>
      <c r="AG16" s="32">
        <f t="shared" si="26"/>
        <v>0.92</v>
      </c>
      <c r="AH16">
        <f t="shared" si="27"/>
        <v>34</v>
      </c>
      <c r="AI16">
        <f t="shared" si="28"/>
        <v>20</v>
      </c>
      <c r="AJ16" s="8">
        <f t="shared" si="29"/>
        <v>7.0886806441670771</v>
      </c>
      <c r="AK16" s="8">
        <f t="shared" si="12"/>
        <v>661</v>
      </c>
      <c r="AL16" s="8">
        <f t="shared" si="13"/>
        <v>7.5908694012073612</v>
      </c>
      <c r="AM16" s="8">
        <f t="shared" si="14"/>
        <v>10.708437553120001</v>
      </c>
      <c r="AN16" s="11">
        <f t="shared" si="30"/>
        <v>6.8254357142154287</v>
      </c>
      <c r="AO16" s="11">
        <f t="shared" si="15"/>
        <v>1069.7025783783649</v>
      </c>
      <c r="AP16" s="11">
        <f t="shared" si="16"/>
        <v>8.3560799210724515</v>
      </c>
      <c r="AQ16" s="12">
        <f t="shared" si="17"/>
        <v>12.242558967582287</v>
      </c>
    </row>
    <row r="17" spans="1:43" x14ac:dyDescent="0.3">
      <c r="A17" s="29"/>
      <c r="B17" s="5"/>
      <c r="C17" s="5"/>
      <c r="D17" s="5"/>
      <c r="E17" s="5"/>
      <c r="F17" s="1"/>
      <c r="G17" s="1" t="s">
        <v>32</v>
      </c>
      <c r="H17">
        <f>1-0.04</f>
        <v>0.96</v>
      </c>
      <c r="I17">
        <v>25</v>
      </c>
      <c r="J17" s="5"/>
      <c r="K17" s="32">
        <f>(1-0.14)*(1-0.04)</f>
        <v>0.8256</v>
      </c>
      <c r="L17">
        <f t="shared" si="18"/>
        <v>55</v>
      </c>
      <c r="M17" s="5">
        <f t="shared" si="19"/>
        <v>0</v>
      </c>
      <c r="N17" s="8">
        <f t="shared" si="20"/>
        <v>7.8899095900669467</v>
      </c>
      <c r="O17" s="8">
        <f t="shared" si="0"/>
        <v>661</v>
      </c>
      <c r="P17" s="8">
        <f t="shared" si="1"/>
        <v>7.5819338676203776</v>
      </c>
      <c r="Q17" s="8">
        <f t="shared" si="2"/>
        <v>9.6096587433215994</v>
      </c>
      <c r="R17" s="11">
        <f t="shared" si="21"/>
        <v>7.1810919530114825</v>
      </c>
      <c r="S17" s="11">
        <f t="shared" si="3"/>
        <v>1628.502432755123</v>
      </c>
      <c r="T17" s="11">
        <f t="shared" si="4"/>
        <v>9.2411125041833078</v>
      </c>
      <c r="U17" s="33">
        <f t="shared" si="5"/>
        <v>12.868673127501076</v>
      </c>
      <c r="V17" s="32">
        <f>(1-0.07)*(1-0.04)</f>
        <v>0.89279999999999993</v>
      </c>
      <c r="W17">
        <f t="shared" si="22"/>
        <v>47</v>
      </c>
      <c r="X17" s="5">
        <f t="shared" si="23"/>
        <v>10</v>
      </c>
      <c r="Y17" s="8">
        <f t="shared" si="24"/>
        <v>7.5135444518334378</v>
      </c>
      <c r="Z17" s="8">
        <f t="shared" si="6"/>
        <v>661</v>
      </c>
      <c r="AA17" s="8">
        <f t="shared" si="7"/>
        <v>7.8079553797039445</v>
      </c>
      <c r="AB17" s="8">
        <f t="shared" si="8"/>
        <v>10.391840268940799</v>
      </c>
      <c r="AC17" s="11">
        <f t="shared" si="25"/>
        <v>6.9031678167355146</v>
      </c>
      <c r="AD17" s="11">
        <f t="shared" si="9"/>
        <v>1349.1025055667442</v>
      </c>
      <c r="AE17" s="11">
        <f t="shared" si="10"/>
        <v>8.9039572344267928</v>
      </c>
      <c r="AF17" s="33">
        <f t="shared" si="11"/>
        <v>12.898364158032949</v>
      </c>
      <c r="AG17" s="32">
        <f t="shared" si="26"/>
        <v>0.96</v>
      </c>
      <c r="AH17">
        <f t="shared" si="27"/>
        <v>39</v>
      </c>
      <c r="AI17">
        <f t="shared" si="28"/>
        <v>20</v>
      </c>
      <c r="AJ17" s="8">
        <f t="shared" si="29"/>
        <v>7.0082973984658157</v>
      </c>
      <c r="AK17" s="8">
        <f t="shared" si="12"/>
        <v>661</v>
      </c>
      <c r="AL17" s="8">
        <f t="shared" si="13"/>
        <v>7.8310867873215173</v>
      </c>
      <c r="AM17" s="8">
        <f t="shared" si="14"/>
        <v>11.17402179456</v>
      </c>
      <c r="AN17" s="11">
        <f t="shared" si="30"/>
        <v>6.7059933340311524</v>
      </c>
      <c r="AO17" s="11">
        <f t="shared" si="15"/>
        <v>1069.7025783783649</v>
      </c>
      <c r="AP17" s="11">
        <f t="shared" si="16"/>
        <v>8.5668019646702742</v>
      </c>
      <c r="AQ17" s="12">
        <f t="shared" si="17"/>
        <v>12.774844140085865</v>
      </c>
    </row>
    <row r="18" spans="1:43" x14ac:dyDescent="0.3">
      <c r="A18" s="29" t="s">
        <v>11</v>
      </c>
      <c r="B18" s="5"/>
      <c r="C18" s="5"/>
      <c r="D18" s="5" t="s">
        <v>38</v>
      </c>
      <c r="E18" s="5"/>
      <c r="F18" s="1"/>
      <c r="G18" s="18" t="s">
        <v>19</v>
      </c>
      <c r="H18" s="2">
        <v>1</v>
      </c>
      <c r="I18" s="2">
        <v>30</v>
      </c>
      <c r="J18" s="2"/>
      <c r="K18" s="31">
        <f>1-0.14</f>
        <v>0.86</v>
      </c>
      <c r="L18" s="2">
        <f t="shared" si="18"/>
        <v>60</v>
      </c>
      <c r="M18" s="2">
        <f t="shared" si="19"/>
        <v>0</v>
      </c>
      <c r="N18" s="7">
        <f>P18/Q18*10</f>
        <v>7.7858862010582444</v>
      </c>
      <c r="O18" s="7">
        <f t="shared" si="0"/>
        <v>661</v>
      </c>
      <c r="P18" s="7">
        <f t="shared" si="1"/>
        <v>7.7937197298444119</v>
      </c>
      <c r="Q18" s="7">
        <f t="shared" si="2"/>
        <v>10.01006119096</v>
      </c>
      <c r="R18" s="23">
        <f t="shared" si="21"/>
        <v>7.051046425663535</v>
      </c>
      <c r="S18" s="23">
        <f t="shared" si="3"/>
        <v>1628.502432755123</v>
      </c>
      <c r="T18" s="23">
        <f t="shared" si="4"/>
        <v>9.4518345477811305</v>
      </c>
      <c r="U18" s="23">
        <f t="shared" si="5"/>
        <v>13.404867841146954</v>
      </c>
      <c r="V18" s="31">
        <f>1-0.07</f>
        <v>0.92999999999999994</v>
      </c>
      <c r="W18" s="2">
        <f t="shared" si="22"/>
        <v>52</v>
      </c>
      <c r="X18" s="2">
        <f t="shared" si="23"/>
        <v>10</v>
      </c>
      <c r="Y18" s="14">
        <f t="shared" si="24"/>
        <v>7.4239091846887568</v>
      </c>
      <c r="Z18" s="14">
        <f t="shared" si="6"/>
        <v>661</v>
      </c>
      <c r="AA18" s="14">
        <f t="shared" si="7"/>
        <v>8.0362581685841761</v>
      </c>
      <c r="AB18" s="14">
        <f t="shared" si="8"/>
        <v>10.824833613479999</v>
      </c>
      <c r="AC18" s="20">
        <f t="shared" si="25"/>
        <v>6.7838773969288004</v>
      </c>
      <c r="AD18" s="20">
        <f t="shared" si="9"/>
        <v>1349.1025055667442</v>
      </c>
      <c r="AE18" s="20">
        <f t="shared" si="10"/>
        <v>9.1146792780246155</v>
      </c>
      <c r="AF18" s="20">
        <f t="shared" si="11"/>
        <v>13.43579599795099</v>
      </c>
      <c r="AG18" s="31">
        <f t="shared" si="26"/>
        <v>1</v>
      </c>
      <c r="AH18" s="2">
        <f t="shared" si="27"/>
        <v>44</v>
      </c>
      <c r="AI18" s="2">
        <f t="shared" si="28"/>
        <v>20</v>
      </c>
      <c r="AJ18" s="14">
        <f t="shared" si="29"/>
        <v>6.9343448124206528</v>
      </c>
      <c r="AK18" s="14">
        <f t="shared" si="12"/>
        <v>661</v>
      </c>
      <c r="AL18" s="14">
        <f t="shared" si="13"/>
        <v>8.0713041734356725</v>
      </c>
      <c r="AM18" s="14">
        <f t="shared" si="14"/>
        <v>11.639606036</v>
      </c>
      <c r="AN18" s="20">
        <f t="shared" si="30"/>
        <v>6.596106344261619</v>
      </c>
      <c r="AO18" s="20">
        <f t="shared" si="15"/>
        <v>1069.7025783783649</v>
      </c>
      <c r="AP18" s="20">
        <f t="shared" si="16"/>
        <v>8.777524008268097</v>
      </c>
      <c r="AQ18" s="21">
        <f t="shared" si="17"/>
        <v>13.307129312589442</v>
      </c>
    </row>
    <row r="19" spans="1:43" x14ac:dyDescent="0.3">
      <c r="A19" s="4" t="s">
        <v>12</v>
      </c>
      <c r="B19" s="2"/>
      <c r="C19" s="2"/>
      <c r="D19" s="2">
        <f>40*2*0.1+8+((G37-O2)*G40*100*2+9*2+5*2+20.8+16-10-40*2)*0.2</f>
        <v>23.356438560000001</v>
      </c>
      <c r="E19" s="2"/>
      <c r="F19" s="3"/>
    </row>
    <row r="21" spans="1:43" x14ac:dyDescent="0.3">
      <c r="A21" t="s">
        <v>121</v>
      </c>
      <c r="B21" s="25" t="s">
        <v>123</v>
      </c>
      <c r="F21" t="s">
        <v>39</v>
      </c>
      <c r="G21" s="25">
        <v>44</v>
      </c>
      <c r="J21" t="s">
        <v>86</v>
      </c>
      <c r="K21" t="s">
        <v>115</v>
      </c>
      <c r="L21" t="s">
        <v>44</v>
      </c>
      <c r="M21" t="s">
        <v>116</v>
      </c>
      <c r="N21" t="s">
        <v>87</v>
      </c>
    </row>
    <row r="22" spans="1:43" x14ac:dyDescent="0.3">
      <c r="A22" t="s">
        <v>122</v>
      </c>
      <c r="B22" s="25" t="s">
        <v>126</v>
      </c>
      <c r="F22" t="s">
        <v>48</v>
      </c>
      <c r="G22" s="25">
        <v>8</v>
      </c>
      <c r="I22" t="s">
        <v>85</v>
      </c>
      <c r="J22" s="24">
        <f>93.65*(1+4/6)*(1+0.03*D$35)*IF(D$36&gt;0, (1+0.17*(D$36-1))*1.2, 1)</f>
        <v>245.43792000000002</v>
      </c>
      <c r="K22">
        <v>0</v>
      </c>
      <c r="L22" s="24">
        <f>J22*(100+K22)/100*IF(D$34&gt;0, 1.15+0.25*D$34, 1)/4</f>
        <v>116.58301200000001</v>
      </c>
      <c r="M22" s="37">
        <f>L22/(SUM(L22:L28)+L24*(90.755/74.081-1))</f>
        <v>0.18811086087316226</v>
      </c>
      <c r="N22">
        <v>200</v>
      </c>
    </row>
    <row r="23" spans="1:43" x14ac:dyDescent="0.3">
      <c r="F23" t="s">
        <v>65</v>
      </c>
      <c r="G23" s="25">
        <v>3</v>
      </c>
      <c r="I23" t="s">
        <v>106</v>
      </c>
      <c r="J23" s="24">
        <f>10.792*(1+4/20)*1.6*3.05</f>
        <v>63.197952000000008</v>
      </c>
      <c r="K23" s="25">
        <v>40</v>
      </c>
      <c r="L23" s="24">
        <f>J23*(100+K23)/100*(IF(D$34&gt;0, 1.15+0.25*D$34, 1)+3)/4</f>
        <v>108.38448768000003</v>
      </c>
      <c r="M23" s="37">
        <f>L23/(SUM(L22:L28)+L24*(90.755/74.081-1))</f>
        <v>0.17488224856277904</v>
      </c>
      <c r="N23">
        <v>380</v>
      </c>
      <c r="P23" s="38" t="s">
        <v>102</v>
      </c>
      <c r="Q23" s="39"/>
      <c r="R23" s="39"/>
      <c r="S23" s="39"/>
      <c r="T23" s="39"/>
      <c r="U23" s="39"/>
    </row>
    <row r="24" spans="1:43" x14ac:dyDescent="0.3">
      <c r="A24" t="s">
        <v>33</v>
      </c>
      <c r="B24" s="25">
        <v>14</v>
      </c>
      <c r="C24" t="s">
        <v>33</v>
      </c>
      <c r="D24" s="30">
        <f>B24</f>
        <v>14</v>
      </c>
      <c r="F24" t="s">
        <v>84</v>
      </c>
      <c r="G24" s="25">
        <v>6.8</v>
      </c>
      <c r="I24" t="s">
        <v>109</v>
      </c>
      <c r="J24" s="24">
        <f>21.647*1.35*1.3*1.95</f>
        <v>74.08144575</v>
      </c>
      <c r="K24" s="25">
        <v>40</v>
      </c>
      <c r="L24" s="24">
        <f>J24*(100+K24)/100</f>
        <v>103.71402405000001</v>
      </c>
      <c r="M24" s="37">
        <f>L24/SUM(L22:L28)</f>
        <v>0.17389625796696198</v>
      </c>
      <c r="N24">
        <v>200</v>
      </c>
      <c r="P24" s="39"/>
      <c r="Q24" s="39"/>
      <c r="R24" s="39"/>
      <c r="S24" s="39"/>
      <c r="T24" s="39"/>
      <c r="U24" s="39"/>
    </row>
    <row r="25" spans="1:43" x14ac:dyDescent="0.3">
      <c r="A25" t="s">
        <v>34</v>
      </c>
      <c r="B25">
        <v>30</v>
      </c>
      <c r="C25" t="s">
        <v>34</v>
      </c>
      <c r="D25" s="30">
        <f t="shared" ref="D25:D30" si="31">B25</f>
        <v>30</v>
      </c>
      <c r="F25" t="s">
        <v>98</v>
      </c>
      <c r="G25" s="25">
        <v>3.6</v>
      </c>
      <c r="I25" t="s">
        <v>105</v>
      </c>
      <c r="J25" s="24">
        <f>1*(1+1.18+1.36+1.54+1.72+1.9+2.08+2.26+2.44)+6.481*2.62*3.4</f>
        <v>73.212747999999991</v>
      </c>
      <c r="K25" s="25">
        <v>36</v>
      </c>
      <c r="L25" s="24">
        <f>J25*(100+K25)/100*(3+1.328/1.444)/4</f>
        <v>97.569676074238217</v>
      </c>
      <c r="M25" s="37">
        <f>L25/(SUM(L22:L28)+L24*(90.755/74.081-1))</f>
        <v>0.15743216311344341</v>
      </c>
      <c r="N25">
        <v>200</v>
      </c>
      <c r="P25" s="39"/>
      <c r="Q25" s="39"/>
      <c r="R25" s="39"/>
      <c r="S25" s="39"/>
      <c r="T25" s="39"/>
      <c r="U25" s="39"/>
    </row>
    <row r="26" spans="1:43" x14ac:dyDescent="0.3">
      <c r="A26" t="s">
        <v>35</v>
      </c>
      <c r="B26" s="25">
        <v>0</v>
      </c>
      <c r="C26" t="s">
        <v>35</v>
      </c>
      <c r="D26" s="30">
        <f t="shared" si="31"/>
        <v>0</v>
      </c>
      <c r="F26" t="s">
        <v>42</v>
      </c>
      <c r="G26">
        <f>SUM(G21,G22:G25)+IF(B22="치피", 7, 0)</f>
        <v>72.399999999999991</v>
      </c>
      <c r="I26" t="s">
        <v>107</v>
      </c>
      <c r="J26" s="24">
        <f>1.351+1.09*1.9*16+62.951*1.9</f>
        <v>154.09389999999999</v>
      </c>
      <c r="K26" s="25">
        <v>36</v>
      </c>
      <c r="L26" s="24">
        <f>J26*(100+K26)/100/2</f>
        <v>104.78385199999998</v>
      </c>
      <c r="M26" s="37">
        <f>L26/(SUM(L22:L28)+L24*(90.755/74.081-1))</f>
        <v>0.16907249407251562</v>
      </c>
      <c r="N26">
        <v>200</v>
      </c>
      <c r="P26" s="39"/>
      <c r="Q26" s="39"/>
      <c r="R26" s="39"/>
      <c r="S26" s="39"/>
      <c r="T26" s="39"/>
      <c r="U26" s="39"/>
    </row>
    <row r="27" spans="1:43" x14ac:dyDescent="0.3">
      <c r="A27" t="s">
        <v>111</v>
      </c>
      <c r="B27" s="25">
        <v>0</v>
      </c>
      <c r="C27" t="s">
        <v>111</v>
      </c>
      <c r="D27" s="30">
        <f t="shared" si="31"/>
        <v>0</v>
      </c>
      <c r="I27" t="s">
        <v>103</v>
      </c>
      <c r="J27" s="24">
        <f>9.409*1.6*1.75</f>
        <v>26.345200000000002</v>
      </c>
      <c r="K27" s="25">
        <v>36</v>
      </c>
      <c r="L27" s="24">
        <f>J27*(100+K27)/100*(1+1.328/1.444)/2</f>
        <v>34.390338083102499</v>
      </c>
      <c r="M27" s="37">
        <f>L27/(SUM(L22:L28)+L24*(90.755/74.081-1))</f>
        <v>5.5490040886330048E-2</v>
      </c>
      <c r="N27">
        <v>200</v>
      </c>
      <c r="P27" s="39"/>
      <c r="Q27" s="39"/>
      <c r="R27" s="39"/>
      <c r="S27" s="39"/>
      <c r="T27" s="39"/>
      <c r="U27" s="39"/>
    </row>
    <row r="28" spans="1:43" x14ac:dyDescent="0.3">
      <c r="A28" t="s">
        <v>110</v>
      </c>
      <c r="B28" s="25">
        <v>0</v>
      </c>
      <c r="C28" t="s">
        <v>110</v>
      </c>
      <c r="D28" s="30">
        <f t="shared" si="31"/>
        <v>0</v>
      </c>
      <c r="F28" t="s">
        <v>95</v>
      </c>
      <c r="G28" s="25">
        <v>1.5</v>
      </c>
      <c r="I28" t="s">
        <v>108</v>
      </c>
      <c r="J28" s="24">
        <v>30.98781222828109</v>
      </c>
      <c r="K28">
        <v>0</v>
      </c>
      <c r="L28" s="24">
        <v>30.987812228281101</v>
      </c>
      <c r="M28" s="37">
        <f>L28/(SUM(L22:L28)+L24*(90.755/74.081-1))</f>
        <v>4.9999943686802856E-2</v>
      </c>
      <c r="N28">
        <v>200</v>
      </c>
    </row>
    <row r="29" spans="1:43" x14ac:dyDescent="0.3">
      <c r="A29" t="s">
        <v>36</v>
      </c>
      <c r="B29" s="25">
        <v>0</v>
      </c>
      <c r="C29" t="s">
        <v>36</v>
      </c>
      <c r="D29" s="30">
        <f t="shared" si="31"/>
        <v>0</v>
      </c>
      <c r="F29" t="s">
        <v>129</v>
      </c>
      <c r="G29" s="25">
        <v>0</v>
      </c>
      <c r="J29" s="24"/>
    </row>
    <row r="30" spans="1:43" x14ac:dyDescent="0.3">
      <c r="A30" t="s">
        <v>128</v>
      </c>
      <c r="B30" s="25">
        <v>0</v>
      </c>
      <c r="C30" t="s">
        <v>128</v>
      </c>
      <c r="D30" s="30">
        <f t="shared" si="31"/>
        <v>0</v>
      </c>
      <c r="F30" t="s">
        <v>94</v>
      </c>
      <c r="G30">
        <f>((100+SUM(G28:G28)+IF(B21="회심", 12, 0))/100*(100+G29)/100-1)*100</f>
        <v>1.4999999999999902</v>
      </c>
      <c r="I30" t="s">
        <v>52</v>
      </c>
      <c r="J30" s="37">
        <f>M22+M25+M27+M24</f>
        <v>0.57492932283989762</v>
      </c>
      <c r="L30" t="s">
        <v>81</v>
      </c>
      <c r="M30">
        <v>25</v>
      </c>
    </row>
    <row r="31" spans="1:43" x14ac:dyDescent="0.3">
      <c r="A31" t="s">
        <v>37</v>
      </c>
      <c r="B31">
        <v>10</v>
      </c>
      <c r="I31" t="s">
        <v>43</v>
      </c>
      <c r="J31" s="37">
        <f>M23</f>
        <v>0.17488224856277904</v>
      </c>
      <c r="L31" t="s">
        <v>92</v>
      </c>
      <c r="M31" s="25">
        <v>10</v>
      </c>
    </row>
    <row r="32" spans="1:43" x14ac:dyDescent="0.3">
      <c r="A32" t="s">
        <v>41</v>
      </c>
      <c r="B32">
        <f>SUM(B24:B29,B31:B31)+1.2*B30+IF(B$21="달인", 7, 0)</f>
        <v>61</v>
      </c>
      <c r="C32" t="s">
        <v>40</v>
      </c>
      <c r="D32">
        <f>SUM(D24:D30)+IF(B$21="달인", 7, 0)</f>
        <v>51</v>
      </c>
      <c r="F32" t="s">
        <v>97</v>
      </c>
      <c r="G32" s="25">
        <v>18</v>
      </c>
      <c r="I32" t="s">
        <v>88</v>
      </c>
      <c r="J32" s="37">
        <f>M26+M28</f>
        <v>0.21907243775931848</v>
      </c>
      <c r="L32" t="s">
        <v>93</v>
      </c>
      <c r="M32">
        <f>0.02*(M31+2)</f>
        <v>0.24</v>
      </c>
    </row>
    <row r="34" spans="1:10" x14ac:dyDescent="0.3">
      <c r="A34" t="s">
        <v>99</v>
      </c>
      <c r="B34" s="25">
        <v>29.61</v>
      </c>
      <c r="C34" t="s">
        <v>112</v>
      </c>
      <c r="D34" s="25">
        <v>3</v>
      </c>
      <c r="F34" t="s">
        <v>90</v>
      </c>
      <c r="G34" s="25">
        <v>92</v>
      </c>
      <c r="I34" t="s">
        <v>89</v>
      </c>
      <c r="J34" s="25">
        <v>70</v>
      </c>
    </row>
    <row r="35" spans="1:10" x14ac:dyDescent="0.3">
      <c r="A35" t="s">
        <v>100</v>
      </c>
      <c r="B35" s="25">
        <v>1</v>
      </c>
      <c r="C35" t="s">
        <v>113</v>
      </c>
      <c r="D35" s="25">
        <v>4</v>
      </c>
      <c r="F35" t="s">
        <v>91</v>
      </c>
      <c r="G35" s="25">
        <v>74</v>
      </c>
    </row>
    <row r="36" spans="1:10" x14ac:dyDescent="0.3">
      <c r="A36" t="s">
        <v>120</v>
      </c>
      <c r="B36" s="25">
        <v>0</v>
      </c>
      <c r="C36" t="s">
        <v>114</v>
      </c>
      <c r="D36" s="25">
        <v>2</v>
      </c>
    </row>
    <row r="37" spans="1:10" x14ac:dyDescent="0.3">
      <c r="A37" t="s">
        <v>101</v>
      </c>
      <c r="B37">
        <f>SUM(B34:B36)+IF(B21="달인", 8.5, 0)+IF(B22="추피", 3.1, 0)</f>
        <v>39.11</v>
      </c>
      <c r="F37" t="s">
        <v>47</v>
      </c>
      <c r="G37">
        <f>50*40+160+69+70+G34+G35</f>
        <v>2465</v>
      </c>
    </row>
    <row r="38" spans="1:10" x14ac:dyDescent="0.3">
      <c r="F38" t="s">
        <v>45</v>
      </c>
      <c r="G38" s="19">
        <v>3.5790989999999999E-4</v>
      </c>
    </row>
    <row r="39" spans="1:10" x14ac:dyDescent="0.3">
      <c r="F39" t="s">
        <v>46</v>
      </c>
      <c r="G39">
        <v>2.1473900000000001E-4</v>
      </c>
    </row>
    <row r="40" spans="1:10" x14ac:dyDescent="0.3">
      <c r="F40" t="s">
        <v>82</v>
      </c>
      <c r="G40">
        <v>1.71791E-4</v>
      </c>
    </row>
  </sheetData>
  <mergeCells count="1">
    <mergeCell ref="P23:U27"/>
  </mergeCells>
  <phoneticPr fontId="1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FAD78385-FCFC-4099-81EA-907D830E6D96}">
          <x14:formula1>
            <xm:f>'선택 옵션'!$F$2:$F$3</xm:f>
          </x14:formula1>
          <xm:sqref>B22</xm:sqref>
        </x14:dataValidation>
        <x14:dataValidation type="list" allowBlank="1" showInputMessage="1" showErrorMessage="1" xr:uid="{23345CC7-01DD-4068-845F-6000E4B5A086}">
          <x14:formula1>
            <xm:f>'선택 옵션'!$D$2:$D$3</xm:f>
          </x14:formula1>
          <xm:sqref>B21</xm:sqref>
        </x14:dataValidation>
        <x14:dataValidation type="list" allowBlank="1" showInputMessage="1" showErrorMessage="1" xr:uid="{54E217EB-2488-4162-BD5D-FD5A2622D495}">
          <x14:formula1>
            <xm:f>'선택 옵션'!$O$2:$O$4</xm:f>
          </x14:formula1>
          <xm:sqref>G32</xm:sqref>
        </x14:dataValidation>
        <x14:dataValidation type="list" allowBlank="1" showInputMessage="1" showErrorMessage="1" xr:uid="{DFB7A438-199E-4E69-8C61-ED21C1EF1A80}">
          <x14:formula1>
            <xm:f>'선택 옵션'!$M$2:$M$4</xm:f>
          </x14:formula1>
          <xm:sqref>G28</xm:sqref>
        </x14:dataValidation>
        <x14:dataValidation type="list" allowBlank="1" showInputMessage="1" showErrorMessage="1" xr:uid="{042F78E1-9D2B-462E-A2B4-CF12E8F25F56}">
          <x14:formula1>
            <xm:f>'선택 옵션'!$L$2:$L$5</xm:f>
          </x14:formula1>
          <xm:sqref>G25</xm:sqref>
        </x14:dataValidation>
        <x14:dataValidation type="list" allowBlank="1" showInputMessage="1" showErrorMessage="1" xr:uid="{764DADFE-46EA-430B-8038-B23C199487DD}">
          <x14:formula1>
            <xm:f>'선택 옵션'!$K$2:$K$7</xm:f>
          </x14:formula1>
          <xm:sqref>G23</xm:sqref>
        </x14:dataValidation>
        <x14:dataValidation type="list" allowBlank="1" showInputMessage="1" showErrorMessage="1" xr:uid="{908186A2-6025-41D3-9432-176B8B85ACB9}">
          <x14:formula1>
            <xm:f>'선택 옵션'!$J$2:$J$5</xm:f>
          </x14:formula1>
          <xm:sqref>D36</xm:sqref>
        </x14:dataValidation>
        <x14:dataValidation type="list" allowBlank="1" showInputMessage="1" showErrorMessage="1" xr:uid="{D8F0EB2A-BF8A-4AAF-B54D-CAB65BD58B88}">
          <x14:formula1>
            <xm:f>'선택 옵션'!$I$2:$I$7</xm:f>
          </x14:formula1>
          <xm:sqref>D35</xm:sqref>
        </x14:dataValidation>
        <x14:dataValidation type="list" allowBlank="1" showInputMessage="1" showErrorMessage="1" xr:uid="{1CE13372-636C-4989-A350-7D3D8A4F03A0}">
          <x14:formula1>
            <xm:f>'선택 옵션'!$H$2:$H$5</xm:f>
          </x14:formula1>
          <xm:sqref>D34</xm:sqref>
        </x14:dataValidation>
        <x14:dataValidation type="list" allowBlank="1" showInputMessage="1" showErrorMessage="1" xr:uid="{F00DFB08-2C3D-4757-B0D1-4853DEE9A9CB}">
          <x14:formula1>
            <xm:f>'선택 옵션'!$G$2:$G$5</xm:f>
          </x14:formula1>
          <xm:sqref>B36</xm:sqref>
        </x14:dataValidation>
        <x14:dataValidation type="list" allowBlank="1" showInputMessage="1" showErrorMessage="1" xr:uid="{5B70690E-ADEB-4B58-90B8-801E45801764}">
          <x14:formula1>
            <xm:f>'선택 옵션'!$E$2:$E$5</xm:f>
          </x14:formula1>
          <xm:sqref>B35</xm:sqref>
        </x14:dataValidation>
        <x14:dataValidation type="list" allowBlank="1" showInputMessage="1" showErrorMessage="1" xr:uid="{5AC8AF9D-3265-4F48-9D79-E9EBB435D3B4}">
          <x14:formula1>
            <xm:f>'선택 옵션'!$C$2:$C$7</xm:f>
          </x14:formula1>
          <xm:sqref>B30</xm:sqref>
        </x14:dataValidation>
        <x14:dataValidation type="list" allowBlank="1" showInputMessage="1" showErrorMessage="1" xr:uid="{0757D842-998F-415B-8696-6108285B7A7A}">
          <x14:formula1>
            <xm:f>'선택 옵션'!$B$2:$B$5</xm:f>
          </x14:formula1>
          <xm:sqref>B29</xm:sqref>
        </x14:dataValidation>
        <x14:dataValidation type="list" allowBlank="1" showInputMessage="1" showErrorMessage="1" xr:uid="{A7BC4EAB-854E-4A56-8478-01360006CD71}">
          <x14:formula1>
            <xm:f>'선택 옵션'!$A$2:$A$4</xm:f>
          </x14:formula1>
          <xm:sqref>B26</xm:sqref>
        </x14:dataValidation>
        <x14:dataValidation type="list" allowBlank="1" showInputMessage="1" showErrorMessage="1" xr:uid="{4A21A364-66E9-4DC8-8C8E-57270778F104}">
          <x14:formula1>
            <xm:f>'선택 옵션'!$P$2:$P$3</xm:f>
          </x14:formula1>
          <xm:sqref>G29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442C8-7F38-4FE4-AE29-2BC366AFA61B}">
  <dimension ref="A1:B10"/>
  <sheetViews>
    <sheetView workbookViewId="0">
      <selection activeCell="B12" sqref="B12"/>
    </sheetView>
  </sheetViews>
  <sheetFormatPr defaultRowHeight="16.5" x14ac:dyDescent="0.3"/>
  <sheetData>
    <row r="1" spans="1:2" x14ac:dyDescent="0.3">
      <c r="A1" t="s">
        <v>53</v>
      </c>
      <c r="B1" t="s">
        <v>66</v>
      </c>
    </row>
    <row r="2" spans="1:2" x14ac:dyDescent="0.3">
      <c r="A2" t="s">
        <v>56</v>
      </c>
      <c r="B2" t="s">
        <v>67</v>
      </c>
    </row>
    <row r="3" spans="1:2" x14ac:dyDescent="0.3">
      <c r="B3" t="s">
        <v>68</v>
      </c>
    </row>
    <row r="5" spans="1:2" x14ac:dyDescent="0.3">
      <c r="A5" t="s">
        <v>57</v>
      </c>
      <c r="B5" t="s">
        <v>69</v>
      </c>
    </row>
    <row r="6" spans="1:2" x14ac:dyDescent="0.3">
      <c r="A6" t="s">
        <v>58</v>
      </c>
      <c r="B6" t="s">
        <v>61</v>
      </c>
    </row>
    <row r="7" spans="1:2" x14ac:dyDescent="0.3">
      <c r="A7" t="s">
        <v>59</v>
      </c>
      <c r="B7" t="s">
        <v>62</v>
      </c>
    </row>
    <row r="8" spans="1:2" x14ac:dyDescent="0.3">
      <c r="B8" t="s">
        <v>73</v>
      </c>
    </row>
    <row r="9" spans="1:2" x14ac:dyDescent="0.3">
      <c r="B9" t="s">
        <v>74</v>
      </c>
    </row>
    <row r="10" spans="1:2" x14ac:dyDescent="0.3">
      <c r="B10" t="s">
        <v>75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59CB-682B-407B-83B1-B786CCC509DA}">
  <dimension ref="A1:P7"/>
  <sheetViews>
    <sheetView workbookViewId="0">
      <selection activeCell="P3" sqref="P3"/>
    </sheetView>
  </sheetViews>
  <sheetFormatPr defaultRowHeight="16.5" x14ac:dyDescent="0.3"/>
  <sheetData>
    <row r="1" spans="1:16" x14ac:dyDescent="0.3">
      <c r="A1" t="s">
        <v>35</v>
      </c>
      <c r="B1" t="s">
        <v>36</v>
      </c>
      <c r="C1" t="s">
        <v>117</v>
      </c>
      <c r="D1" t="s">
        <v>121</v>
      </c>
      <c r="E1" t="s">
        <v>100</v>
      </c>
      <c r="F1" t="s">
        <v>122</v>
      </c>
      <c r="G1" t="s">
        <v>120</v>
      </c>
      <c r="H1" t="s">
        <v>112</v>
      </c>
      <c r="I1" t="s">
        <v>113</v>
      </c>
      <c r="J1" t="s">
        <v>114</v>
      </c>
      <c r="K1" t="s">
        <v>65</v>
      </c>
      <c r="L1" t="s">
        <v>98</v>
      </c>
      <c r="M1" t="s">
        <v>95</v>
      </c>
      <c r="N1" t="s">
        <v>96</v>
      </c>
      <c r="O1" t="s">
        <v>97</v>
      </c>
      <c r="P1" t="s">
        <v>130</v>
      </c>
    </row>
    <row r="2" spans="1:16" x14ac:dyDescent="0.3">
      <c r="A2">
        <v>0</v>
      </c>
      <c r="B2">
        <v>0</v>
      </c>
      <c r="C2">
        <v>0</v>
      </c>
      <c r="D2" t="s">
        <v>124</v>
      </c>
      <c r="E2">
        <v>0</v>
      </c>
      <c r="F2" t="s">
        <v>83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</row>
    <row r="3" spans="1:16" x14ac:dyDescent="0.3">
      <c r="A3">
        <v>10</v>
      </c>
      <c r="B3">
        <v>1.8</v>
      </c>
      <c r="C3">
        <v>1</v>
      </c>
      <c r="D3" t="s">
        <v>125</v>
      </c>
      <c r="E3">
        <v>0.4</v>
      </c>
      <c r="F3" t="s">
        <v>127</v>
      </c>
      <c r="G3">
        <v>0.6</v>
      </c>
      <c r="H3">
        <v>1</v>
      </c>
      <c r="I3">
        <v>1</v>
      </c>
      <c r="J3">
        <v>1</v>
      </c>
      <c r="K3">
        <v>3</v>
      </c>
      <c r="L3">
        <v>3.6</v>
      </c>
      <c r="M3">
        <v>1.5</v>
      </c>
      <c r="N3">
        <v>12</v>
      </c>
      <c r="O3">
        <v>9</v>
      </c>
      <c r="P3">
        <v>8</v>
      </c>
    </row>
    <row r="4" spans="1:16" x14ac:dyDescent="0.3">
      <c r="A4">
        <v>20</v>
      </c>
      <c r="B4">
        <v>2.1</v>
      </c>
      <c r="C4">
        <v>2</v>
      </c>
      <c r="E4">
        <v>0.7</v>
      </c>
      <c r="G4">
        <v>1.6</v>
      </c>
      <c r="H4">
        <v>2</v>
      </c>
      <c r="I4">
        <v>2</v>
      </c>
      <c r="J4">
        <v>2</v>
      </c>
      <c r="K4">
        <v>6</v>
      </c>
      <c r="L4">
        <v>4.2</v>
      </c>
      <c r="M4">
        <v>3</v>
      </c>
      <c r="O4">
        <v>18</v>
      </c>
    </row>
    <row r="5" spans="1:16" x14ac:dyDescent="0.3">
      <c r="B5">
        <v>2.5</v>
      </c>
      <c r="C5">
        <v>3</v>
      </c>
      <c r="E5">
        <v>1</v>
      </c>
      <c r="G5">
        <v>2.6</v>
      </c>
      <c r="H5">
        <v>3</v>
      </c>
      <c r="I5">
        <v>3</v>
      </c>
      <c r="J5">
        <v>3</v>
      </c>
      <c r="K5">
        <v>9</v>
      </c>
      <c r="L5">
        <v>4.8</v>
      </c>
    </row>
    <row r="6" spans="1:16" x14ac:dyDescent="0.3">
      <c r="C6">
        <v>4</v>
      </c>
      <c r="I6">
        <v>4</v>
      </c>
      <c r="K6">
        <v>12</v>
      </c>
    </row>
    <row r="7" spans="1:16" x14ac:dyDescent="0.3">
      <c r="C7">
        <v>5</v>
      </c>
      <c r="I7">
        <v>5</v>
      </c>
      <c r="K7">
        <v>15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선풍용아</vt:lpstr>
      <vt:lpstr>선풍용류</vt:lpstr>
      <vt:lpstr>계산 수식</vt:lpstr>
      <vt:lpstr>선택 옵션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성훈 최</dc:creator>
  <cp:lastModifiedBy>성훈 최</cp:lastModifiedBy>
  <dcterms:created xsi:type="dcterms:W3CDTF">2024-08-15T05:57:41Z</dcterms:created>
  <dcterms:modified xsi:type="dcterms:W3CDTF">2024-10-26T08:12:01Z</dcterms:modified>
</cp:coreProperties>
</file>