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C:\Users\AMD\Downloads\"/>
    </mc:Choice>
  </mc:AlternateContent>
  <xr:revisionPtr revIDLastSave="0" documentId="13_ncr:1_{23E3A56D-250F-4BE4-845A-BE48458F7D7D}" xr6:coauthVersionLast="36" xr6:coauthVersionMax="36" xr10:uidLastSave="{00000000-0000-0000-0000-000000000000}"/>
  <bookViews>
    <workbookView xWindow="0" yWindow="0" windowWidth="28800" windowHeight="11850" xr2:uid="{00000000-000D-0000-FFFF-FFFF00000000}"/>
  </bookViews>
  <sheets>
    <sheet name="2부위 앜패(1660)" sheetId="1" r:id="rId1"/>
    <sheet name="갈망(1660)" sheetId="11" r:id="rId2"/>
    <sheet name="2부위 앜패(3T)" sheetId="12" r:id="rId3"/>
    <sheet name="갈망(3T)" sheetId="14" r:id="rId4"/>
    <sheet name="2부위 앜패(1660)-중단일" sheetId="15" r:id="rId5"/>
  </sheets>
  <calcPr calcId="191029"/>
</workbook>
</file>

<file path=xl/calcChain.xml><?xml version="1.0" encoding="utf-8"?>
<calcChain xmlns="http://schemas.openxmlformats.org/spreadsheetml/2006/main">
  <c r="H72" i="15" l="1"/>
  <c r="K71" i="15"/>
  <c r="H71" i="15"/>
  <c r="K70" i="15"/>
  <c r="K69" i="15"/>
  <c r="H67" i="15"/>
  <c r="H66" i="15"/>
  <c r="K65" i="15"/>
  <c r="H65" i="15"/>
  <c r="K64" i="15"/>
  <c r="H64" i="15"/>
  <c r="K60" i="15"/>
  <c r="H51" i="15" s="1"/>
  <c r="H60" i="15"/>
  <c r="K59" i="15"/>
  <c r="H59" i="15"/>
  <c r="H58" i="15"/>
  <c r="H57" i="15"/>
  <c r="K55" i="15"/>
  <c r="K54" i="15"/>
  <c r="H50" i="15"/>
  <c r="H35" i="15"/>
  <c r="H34" i="15"/>
  <c r="N9" i="15" s="1"/>
  <c r="H31" i="15"/>
  <c r="H30" i="15"/>
  <c r="H29" i="15"/>
  <c r="K27" i="15"/>
  <c r="K26" i="15"/>
  <c r="N7" i="15" s="1"/>
  <c r="H23" i="15"/>
  <c r="H22" i="15"/>
  <c r="K21" i="15"/>
  <c r="H21" i="15"/>
  <c r="K20" i="15"/>
  <c r="H20" i="15"/>
  <c r="H7" i="15" s="1"/>
  <c r="K16" i="15"/>
  <c r="H16" i="15"/>
  <c r="K15" i="15"/>
  <c r="H15" i="15"/>
  <c r="H14" i="15"/>
  <c r="H13" i="15"/>
  <c r="K11" i="15"/>
  <c r="K10" i="15"/>
  <c r="H6" i="15" s="1"/>
  <c r="P8" i="15"/>
  <c r="N8" i="15"/>
  <c r="P6" i="15"/>
  <c r="N6" i="15"/>
  <c r="P8" i="1"/>
  <c r="H72" i="14"/>
  <c r="K71" i="14"/>
  <c r="H71" i="14"/>
  <c r="K70" i="14"/>
  <c r="K69" i="14"/>
  <c r="H67" i="14"/>
  <c r="H66" i="14"/>
  <c r="K65" i="14"/>
  <c r="H65" i="14"/>
  <c r="K64" i="14"/>
  <c r="H64" i="14"/>
  <c r="K60" i="14"/>
  <c r="H51" i="14" s="1"/>
  <c r="H60" i="14"/>
  <c r="K59" i="14"/>
  <c r="H59" i="14"/>
  <c r="H58" i="14"/>
  <c r="H57" i="14"/>
  <c r="K55" i="14"/>
  <c r="K54" i="14"/>
  <c r="H50" i="14"/>
  <c r="H35" i="14"/>
  <c r="H34" i="14"/>
  <c r="N9" i="14" s="1"/>
  <c r="H31" i="14"/>
  <c r="H30" i="14"/>
  <c r="H29" i="14"/>
  <c r="K27" i="14"/>
  <c r="K26" i="14"/>
  <c r="N7" i="14" s="1"/>
  <c r="H23" i="14"/>
  <c r="H22" i="14"/>
  <c r="K21" i="14"/>
  <c r="H21" i="14"/>
  <c r="K20" i="14"/>
  <c r="H20" i="14"/>
  <c r="H7" i="14" s="1"/>
  <c r="K16" i="14"/>
  <c r="H16" i="14"/>
  <c r="K15" i="14"/>
  <c r="H15" i="14"/>
  <c r="H14" i="14"/>
  <c r="H13" i="14"/>
  <c r="K11" i="14"/>
  <c r="K10" i="14"/>
  <c r="H6" i="14" s="1"/>
  <c r="P8" i="14"/>
  <c r="N8" i="14"/>
  <c r="P6" i="14"/>
  <c r="N6" i="14"/>
  <c r="H72" i="12"/>
  <c r="K71" i="12"/>
  <c r="H71" i="12"/>
  <c r="K70" i="12"/>
  <c r="K69" i="12"/>
  <c r="H67" i="12"/>
  <c r="H66" i="12"/>
  <c r="K65" i="12"/>
  <c r="H65" i="12"/>
  <c r="K64" i="12"/>
  <c r="H64" i="12"/>
  <c r="K60" i="12"/>
  <c r="H51" i="12" s="1"/>
  <c r="H60" i="12"/>
  <c r="K59" i="12"/>
  <c r="H59" i="12"/>
  <c r="H58" i="12"/>
  <c r="H50" i="12" s="1"/>
  <c r="H57" i="12"/>
  <c r="K55" i="12"/>
  <c r="K54" i="12"/>
  <c r="H35" i="12"/>
  <c r="H34" i="12"/>
  <c r="H31" i="12"/>
  <c r="H30" i="12"/>
  <c r="H29" i="12"/>
  <c r="K27" i="12"/>
  <c r="K26" i="12"/>
  <c r="N7" i="12" s="1"/>
  <c r="H23" i="12"/>
  <c r="H22" i="12"/>
  <c r="K21" i="12"/>
  <c r="H21" i="12"/>
  <c r="K20" i="12"/>
  <c r="H20" i="12"/>
  <c r="H7" i="12" s="1"/>
  <c r="K16" i="12"/>
  <c r="H16" i="12"/>
  <c r="K15" i="12"/>
  <c r="H15" i="12"/>
  <c r="H14" i="12"/>
  <c r="H13" i="12"/>
  <c r="K11" i="12"/>
  <c r="K10" i="12"/>
  <c r="H6" i="12" s="1"/>
  <c r="N9" i="12"/>
  <c r="P7" i="12" s="1"/>
  <c r="P8" i="12"/>
  <c r="N8" i="12"/>
  <c r="P6" i="12"/>
  <c r="N6" i="12"/>
  <c r="P8" i="11"/>
  <c r="H72" i="11"/>
  <c r="K71" i="11"/>
  <c r="H71" i="11"/>
  <c r="K70" i="11"/>
  <c r="K69" i="11"/>
  <c r="H67" i="11"/>
  <c r="H66" i="11"/>
  <c r="K65" i="11"/>
  <c r="H65" i="11"/>
  <c r="K64" i="11"/>
  <c r="H64" i="11"/>
  <c r="K60" i="11"/>
  <c r="H51" i="11" s="1"/>
  <c r="H60" i="11"/>
  <c r="K59" i="11"/>
  <c r="H59" i="11"/>
  <c r="H58" i="11"/>
  <c r="H57" i="11"/>
  <c r="K55" i="11"/>
  <c r="K54" i="11"/>
  <c r="H50" i="11"/>
  <c r="H35" i="11"/>
  <c r="H34" i="11"/>
  <c r="H31" i="11"/>
  <c r="H30" i="11"/>
  <c r="N8" i="11" s="1"/>
  <c r="H29" i="11"/>
  <c r="K27" i="11"/>
  <c r="K26" i="11"/>
  <c r="N7" i="11" s="1"/>
  <c r="H23" i="11"/>
  <c r="H22" i="11"/>
  <c r="K21" i="11"/>
  <c r="H21" i="11"/>
  <c r="K20" i="11"/>
  <c r="H20" i="11"/>
  <c r="K16" i="11"/>
  <c r="H7" i="11" s="1"/>
  <c r="H16" i="11"/>
  <c r="K15" i="11"/>
  <c r="H15" i="11"/>
  <c r="H14" i="11"/>
  <c r="H13" i="11"/>
  <c r="K11" i="11"/>
  <c r="K10" i="11"/>
  <c r="P6" i="11"/>
  <c r="N6" i="11"/>
  <c r="P7" i="15" l="1"/>
  <c r="N13" i="15"/>
  <c r="K6" i="15"/>
  <c r="K50" i="15"/>
  <c r="P7" i="14"/>
  <c r="N13" i="14"/>
  <c r="K50" i="14"/>
  <c r="K6" i="14"/>
  <c r="K50" i="12"/>
  <c r="K6" i="12"/>
  <c r="N13" i="12"/>
  <c r="H6" i="11"/>
  <c r="N9" i="11"/>
  <c r="P7" i="11"/>
  <c r="N13" i="11"/>
  <c r="K50" i="11"/>
  <c r="K6" i="11"/>
  <c r="N18" i="15" l="1"/>
  <c r="N25" i="15" s="1"/>
  <c r="N18" i="14"/>
  <c r="N25" i="14" s="1"/>
  <c r="N18" i="12"/>
  <c r="N25" i="12" s="1"/>
  <c r="N18" i="11"/>
  <c r="N25" i="11" s="1"/>
  <c r="N19" i="15" l="1"/>
  <c r="N19" i="14"/>
  <c r="N19" i="12"/>
  <c r="N19" i="11"/>
  <c r="O19" i="15" l="1"/>
  <c r="P19" i="15" s="1"/>
  <c r="N20" i="15"/>
  <c r="O19" i="14"/>
  <c r="P19" i="14" s="1"/>
  <c r="N20" i="14"/>
  <c r="N20" i="12"/>
  <c r="O19" i="12"/>
  <c r="P19" i="12" s="1"/>
  <c r="O19" i="11"/>
  <c r="P19" i="11" s="1"/>
  <c r="N20" i="11"/>
  <c r="N21" i="15" l="1"/>
  <c r="O20" i="15"/>
  <c r="P20" i="15" s="1"/>
  <c r="N21" i="14"/>
  <c r="O20" i="14"/>
  <c r="P20" i="14" s="1"/>
  <c r="N21" i="12"/>
  <c r="O20" i="12"/>
  <c r="P20" i="12" s="1"/>
  <c r="N21" i="11"/>
  <c r="O20" i="11"/>
  <c r="P20" i="11" s="1"/>
  <c r="O21" i="15" l="1"/>
  <c r="P21" i="15" s="1"/>
  <c r="N26" i="15"/>
  <c r="O26" i="15" s="1"/>
  <c r="P26" i="15" s="1"/>
  <c r="O21" i="14"/>
  <c r="P21" i="14" s="1"/>
  <c r="N26" i="14"/>
  <c r="O26" i="14" s="1"/>
  <c r="P26" i="14" s="1"/>
  <c r="O21" i="12"/>
  <c r="P21" i="12" s="1"/>
  <c r="N26" i="12"/>
  <c r="O26" i="12" s="1"/>
  <c r="P26" i="12" s="1"/>
  <c r="O21" i="11"/>
  <c r="P21" i="11" s="1"/>
  <c r="N26" i="11"/>
  <c r="O26" i="11" s="1"/>
  <c r="P26" i="11" s="1"/>
  <c r="K71" i="1" l="1"/>
  <c r="H71" i="1"/>
  <c r="K70" i="1"/>
  <c r="K69" i="1"/>
  <c r="H72" i="1"/>
  <c r="H67" i="1"/>
  <c r="H66" i="1"/>
  <c r="K65" i="1"/>
  <c r="H65" i="1"/>
  <c r="K64" i="1"/>
  <c r="H64" i="1"/>
  <c r="K60" i="1"/>
  <c r="H60" i="1"/>
  <c r="K59" i="1"/>
  <c r="H59" i="1"/>
  <c r="H58" i="1"/>
  <c r="H57" i="1"/>
  <c r="K55" i="1"/>
  <c r="K54" i="1"/>
  <c r="H35" i="1"/>
  <c r="H34" i="1"/>
  <c r="H31" i="1"/>
  <c r="H30" i="1"/>
  <c r="H29" i="1"/>
  <c r="K27" i="1"/>
  <c r="K26" i="1"/>
  <c r="N7" i="1" s="1"/>
  <c r="H23" i="1"/>
  <c r="H22" i="1"/>
  <c r="K21" i="1"/>
  <c r="H21" i="1"/>
  <c r="K20" i="1"/>
  <c r="H20" i="1"/>
  <c r="K16" i="1"/>
  <c r="H16" i="1"/>
  <c r="K15" i="1"/>
  <c r="H15" i="1"/>
  <c r="H14" i="1"/>
  <c r="H13" i="1"/>
  <c r="K11" i="1"/>
  <c r="K10" i="1"/>
  <c r="P6" i="1"/>
  <c r="N6" i="1"/>
  <c r="N8" i="1" l="1"/>
  <c r="N9" i="1"/>
  <c r="P7" i="1" s="1"/>
  <c r="H51" i="1"/>
  <c r="H50" i="1"/>
  <c r="N13" i="1"/>
  <c r="H6" i="1"/>
  <c r="H7" i="1"/>
  <c r="K50" i="1" l="1"/>
  <c r="N18" i="1" s="1"/>
  <c r="N25" i="1" s="1"/>
  <c r="K6" i="1"/>
  <c r="N19" i="1" l="1"/>
  <c r="O19" i="1" s="1"/>
  <c r="P19" i="1" s="1"/>
  <c r="N20" i="1" l="1"/>
  <c r="N21" i="1" s="1"/>
  <c r="O21" i="1" s="1"/>
  <c r="P21" i="1" s="1"/>
  <c r="N26" i="1" l="1"/>
  <c r="O26" i="1" s="1"/>
  <c r="P26" i="1" s="1"/>
  <c r="O20" i="1"/>
  <c r="P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6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단순 표기용
설정 아덴 가동률엔 포함되지 않음.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6" authorId="0" shapeId="0" xr:uid="{603551D6-FE3B-469E-8980-9AEB0B00AE81}">
      <text>
        <r>
          <rPr>
            <sz val="11"/>
            <color theme="1"/>
            <rFont val="Calibri"/>
            <family val="2"/>
            <scheme val="minor"/>
          </rPr>
          <t>단순 표기용
설정 아덴 가동률엔 포함되지 않음.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6" authorId="0" shapeId="0" xr:uid="{ED71DFAE-8646-4933-9941-E22ABDFD5DD4}">
      <text>
        <r>
          <rPr>
            <sz val="11"/>
            <color theme="1"/>
            <rFont val="Calibri"/>
            <family val="2"/>
            <scheme val="minor"/>
          </rPr>
          <t>단순 표기용
설정 아덴 가동률엔 포함되지 않음.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6" authorId="0" shapeId="0" xr:uid="{110107A6-B99B-47E9-B343-D136D02C4FEA}">
      <text>
        <r>
          <rPr>
            <sz val="11"/>
            <color theme="1"/>
            <rFont val="Calibri"/>
            <family val="2"/>
            <scheme val="minor"/>
          </rPr>
          <t>단순 표기용
설정 아덴 가동률엔 포함되지 않음.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6" authorId="0" shapeId="0" xr:uid="{359ADBC4-F6EC-4743-B913-56A6F971E801}">
      <text>
        <r>
          <rPr>
            <sz val="11"/>
            <color theme="1"/>
            <rFont val="Calibri"/>
            <family val="2"/>
            <scheme val="minor"/>
          </rPr>
          <t>단순 표기용
설정 아덴 가동률엔 포함되지 않음.</t>
        </r>
      </text>
    </comment>
  </commentList>
</comments>
</file>

<file path=xl/sharedStrings.xml><?xml version="1.0" encoding="utf-8"?>
<sst xmlns="http://schemas.openxmlformats.org/spreadsheetml/2006/main" count="1220" uniqueCount="130">
  <si>
    <t>0. 입력</t>
  </si>
  <si>
    <t>1. 기본 스탯</t>
  </si>
  <si>
    <t>2. 조력자 계산</t>
  </si>
  <si>
    <t>서폿 스펙</t>
  </si>
  <si>
    <t>구분</t>
  </si>
  <si>
    <t>항목</t>
  </si>
  <si>
    <t>옵션</t>
  </si>
  <si>
    <t>입력값</t>
  </si>
  <si>
    <t>힘민지</t>
  </si>
  <si>
    <t>서폿 기본 공격력</t>
  </si>
  <si>
    <t>아덴 게이지 획득량</t>
  </si>
  <si>
    <t>아덴 피강(보석)</t>
  </si>
  <si>
    <t>전투 특성</t>
  </si>
  <si>
    <t>무기 공격력</t>
  </si>
  <si>
    <t>낙인력</t>
  </si>
  <si>
    <t>초각성 스킬 피증</t>
  </si>
  <si>
    <t>방어구</t>
  </si>
  <si>
    <t>스탯(힘민지)</t>
  </si>
  <si>
    <t>투구</t>
  </si>
  <si>
    <t>아공강</t>
  </si>
  <si>
    <t>초각성 스킬 가동률</t>
  </si>
  <si>
    <t>견갑</t>
  </si>
  <si>
    <t>힘민지 +</t>
  </si>
  <si>
    <t>힘민지 %</t>
  </si>
  <si>
    <t>아피강</t>
  </si>
  <si>
    <t>공증 가동률</t>
  </si>
  <si>
    <t>상의</t>
  </si>
  <si>
    <t>기본</t>
  </si>
  <si>
    <t>아바타</t>
  </si>
  <si>
    <t>낙인 가동률</t>
  </si>
  <si>
    <t>하의</t>
  </si>
  <si>
    <t>물약/원정대</t>
  </si>
  <si>
    <t>펫</t>
  </si>
  <si>
    <t>장갑</t>
  </si>
  <si>
    <t>카드 도감</t>
  </si>
  <si>
    <t>홀나</t>
  </si>
  <si>
    <t>오라</t>
  </si>
  <si>
    <t>무기</t>
  </si>
  <si>
    <t>피증%</t>
  </si>
  <si>
    <t>장신구</t>
  </si>
  <si>
    <t>목걸이</t>
  </si>
  <si>
    <t>무기 공격력 %</t>
  </si>
  <si>
    <t>설정 아덴 가동률</t>
  </si>
  <si>
    <t>귀걸이1</t>
  </si>
  <si>
    <t>팔찌</t>
  </si>
  <si>
    <t>장신구(귀걸이)</t>
  </si>
  <si>
    <t>귀걸이2</t>
  </si>
  <si>
    <t>엘릭서(공용)</t>
  </si>
  <si>
    <t>카르마(깨달음)</t>
  </si>
  <si>
    <t>반지1</t>
  </si>
  <si>
    <t>초월(126)</t>
  </si>
  <si>
    <t>기댓값</t>
  </si>
  <si>
    <t>증가된 피해량</t>
  </si>
  <si>
    <t>예상 조력자 수치</t>
  </si>
  <si>
    <t>반지2</t>
  </si>
  <si>
    <t>딜러 공증 시너지</t>
  </si>
  <si>
    <t>-</t>
  </si>
  <si>
    <t>무기 공격력 +</t>
  </si>
  <si>
    <t>기본 공격력 %</t>
  </si>
  <si>
    <t>공증</t>
  </si>
  <si>
    <t>귀걸이</t>
  </si>
  <si>
    <t>보석</t>
  </si>
  <si>
    <t>공증+낙인</t>
  </si>
  <si>
    <t>반지</t>
  </si>
  <si>
    <t>아군 공격력 강화</t>
  </si>
  <si>
    <t>장신구(공용)</t>
  </si>
  <si>
    <t>97/106돌</t>
  </si>
  <si>
    <t>최종 조력자</t>
  </si>
  <si>
    <t>아군 피해량 강화</t>
  </si>
  <si>
    <t>공용</t>
  </si>
  <si>
    <t>무기 공격력 + 합</t>
  </si>
  <si>
    <t>스톤</t>
  </si>
  <si>
    <t>낙인력 %</t>
  </si>
  <si>
    <t>갈망,카드,팔찌 포함</t>
  </si>
  <si>
    <t>실질 조력자 수치</t>
  </si>
  <si>
    <t>엘릭서</t>
  </si>
  <si>
    <t>힘민지 + 합</t>
  </si>
  <si>
    <t>아크패시브(진화)</t>
  </si>
  <si>
    <t>방깎 시너지 적용</t>
  </si>
  <si>
    <t>아군 공격력 강화 %</t>
  </si>
  <si>
    <t>카르마(진화)</t>
  </si>
  <si>
    <t>서폿 포함 데미지</t>
  </si>
  <si>
    <t>펫 목장</t>
  </si>
  <si>
    <t xml:space="preserve">힘민지 % </t>
  </si>
  <si>
    <t>장신구(목걸이)</t>
  </si>
  <si>
    <t>힘민지 % 합</t>
  </si>
  <si>
    <t>무기초월</t>
  </si>
  <si>
    <t>기본 공격력 % 합</t>
  </si>
  <si>
    <t>장신구(반지)</t>
  </si>
  <si>
    <t>공증 겁화 보석 레벨</t>
  </si>
  <si>
    <t>아덴 게이지 획득량 %</t>
  </si>
  <si>
    <t>아덴 겁화 보석 레벨</t>
  </si>
  <si>
    <t>랭크</t>
  </si>
  <si>
    <t>장비 효과</t>
  </si>
  <si>
    <t>레벨</t>
  </si>
  <si>
    <t>아군 피해량 강화 %</t>
  </si>
  <si>
    <t>카드</t>
  </si>
  <si>
    <t>남바절</t>
  </si>
  <si>
    <t>너계획</t>
  </si>
  <si>
    <t>정열의 춤사위</t>
  </si>
  <si>
    <t>갈망(추가 피해%)</t>
  </si>
  <si>
    <t>치명타 피해 저항(치피)</t>
  </si>
  <si>
    <t>치명타 저항(약노)</t>
  </si>
  <si>
    <t>방어력 감소(비수)</t>
  </si>
  <si>
    <t>적에게 주는 피해</t>
  </si>
  <si>
    <t>딜러 스펙</t>
  </si>
  <si>
    <t>딜러 상태창 공격력</t>
  </si>
  <si>
    <t>공격력 %</t>
  </si>
  <si>
    <t>공격력 + 합</t>
  </si>
  <si>
    <t>스탯</t>
  </si>
  <si>
    <t>공격력 +</t>
  </si>
  <si>
    <t>엘릭서(질서)</t>
  </si>
  <si>
    <t>직업 고유</t>
  </si>
  <si>
    <t>투구(질서)</t>
  </si>
  <si>
    <t>아드레날린(6)</t>
  </si>
  <si>
    <t>에테르 포식자(30)</t>
  </si>
  <si>
    <t>전장판 공적</t>
  </si>
  <si>
    <t>직업 고유(시너지 제외)</t>
  </si>
  <si>
    <t>시너지</t>
  </si>
  <si>
    <t>방깎%</t>
  </si>
  <si>
    <t>세구빛</t>
  </si>
  <si>
    <t>기타 스펙</t>
  </si>
  <si>
    <t>치명타 적중률</t>
  </si>
  <si>
    <t>치명타 피해량</t>
  </si>
  <si>
    <t>진화형 피해량</t>
  </si>
  <si>
    <t>추가 피해 % 합</t>
  </si>
  <si>
    <t>특화</t>
    <phoneticPr fontId="7" type="noConversion"/>
  </si>
  <si>
    <t>공용</t>
    <phoneticPr fontId="7" type="noConversion"/>
  </si>
  <si>
    <t>장비효과</t>
    <phoneticPr fontId="7" type="noConversion"/>
  </si>
  <si>
    <t>신속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</si>
</sst>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theme="1"/>
      <name val="Malgun Gothic"/>
      <family val="3"/>
      <charset val="129"/>
    </font>
    <font>
      <b/>
      <sz val="11"/>
      <color rgb="FFFFFFFF"/>
      <name val="Malgun Gothic"/>
      <family val="3"/>
      <charset val="129"/>
    </font>
    <font>
      <sz val="11"/>
      <name val="Calibri"/>
      <family val="2"/>
    </font>
    <font>
      <b/>
      <sz val="11"/>
      <color theme="1"/>
      <name val="Malgun Gothic"/>
      <family val="3"/>
      <charset val="129"/>
    </font>
    <font>
      <sz val="11"/>
      <color rgb="FF000000"/>
      <name val="Malgun Gothic"/>
      <family val="3"/>
      <charset val="129"/>
    </font>
    <font>
      <b/>
      <sz val="11"/>
      <color theme="0"/>
      <name val="Malgun Gothic"/>
      <family val="3"/>
      <charset val="129"/>
    </font>
    <font>
      <sz val="8"/>
      <name val="Calibri"/>
      <family val="3"/>
      <charset val="129"/>
      <scheme val="minor"/>
    </font>
    <font>
      <sz val="11"/>
      <color theme="1"/>
      <name val="Calibri"/>
      <family val="2"/>
      <scheme val="minor"/>
    </font>
    <font>
      <sz val="11"/>
      <color theme="1"/>
      <name val="맑은 고딕"/>
      <family val="3"/>
      <charset val="129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B4C6E7"/>
        <bgColor rgb="FFB4C6E7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E598"/>
        <bgColor rgb="FFFFE598"/>
      </patternFill>
    </fill>
    <fill>
      <patternFill patternType="solid">
        <fgColor theme="1"/>
        <bgColor theme="1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4" borderId="6" xfId="0" applyFont="1" applyFill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5" borderId="6" xfId="0" applyFont="1" applyFill="1" applyBorder="1" applyAlignment="1">
      <alignment horizontal="center" vertical="center"/>
    </xf>
    <xf numFmtId="10" fontId="1" fillId="5" borderId="6" xfId="0" applyNumberFormat="1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10" fontId="1" fillId="7" borderId="6" xfId="0" applyNumberFormat="1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10" fontId="1" fillId="5" borderId="6" xfId="0" applyNumberFormat="1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/>
    </xf>
    <xf numFmtId="0" fontId="1" fillId="4" borderId="6" xfId="0" quotePrefix="1" applyFont="1" applyFill="1" applyBorder="1" applyAlignment="1">
      <alignment horizontal="center" vertical="center"/>
    </xf>
    <xf numFmtId="10" fontId="6" fillId="9" borderId="6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0" fontId="1" fillId="5" borderId="6" xfId="0" applyNumberFormat="1" applyFont="1" applyFill="1" applyBorder="1" applyAlignment="1">
      <alignment horizontal="center"/>
    </xf>
    <xf numFmtId="9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1" fillId="6" borderId="6" xfId="0" applyNumberFormat="1" applyFont="1" applyFill="1" applyBorder="1" applyAlignment="1">
      <alignment horizontal="center" vertical="center"/>
    </xf>
    <xf numFmtId="9" fontId="1" fillId="5" borderId="6" xfId="0" applyNumberFormat="1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11" borderId="21" xfId="0" applyFont="1" applyFill="1" applyBorder="1" applyAlignment="1">
      <alignment horizontal="center" vertical="center"/>
    </xf>
    <xf numFmtId="10" fontId="1" fillId="12" borderId="6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10" fontId="1" fillId="0" borderId="11" xfId="0" applyNumberFormat="1" applyFont="1" applyBorder="1" applyAlignment="1">
      <alignment horizontal="center" vertical="center"/>
    </xf>
    <xf numFmtId="10" fontId="1" fillId="5" borderId="14" xfId="0" applyNumberFormat="1" applyFont="1" applyFill="1" applyBorder="1" applyAlignment="1">
      <alignment horizontal="center" vertical="center"/>
    </xf>
    <xf numFmtId="10" fontId="1" fillId="5" borderId="21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B3" sqref="B3"/>
    </sheetView>
  </sheetViews>
  <sheetFormatPr defaultColWidth="14.42578125" defaultRowHeight="15" customHeight="1"/>
  <cols>
    <col min="1" max="1" width="3.7109375" customWidth="1"/>
    <col min="2" max="2" width="13" customWidth="1"/>
    <col min="3" max="3" width="12.85546875" customWidth="1"/>
    <col min="4" max="4" width="29.28515625" customWidth="1"/>
    <col min="5" max="5" width="12.7109375" customWidth="1"/>
    <col min="6" max="6" width="3.28515625" customWidth="1"/>
    <col min="7" max="7" width="19.85546875" customWidth="1"/>
    <col min="8" max="8" width="10.85546875" customWidth="1"/>
    <col min="9" max="9" width="3" customWidth="1"/>
    <col min="10" max="10" width="25" customWidth="1"/>
    <col min="11" max="11" width="8.7109375" customWidth="1"/>
    <col min="12" max="12" width="3" customWidth="1"/>
    <col min="13" max="13" width="25.28515625" customWidth="1"/>
    <col min="14" max="14" width="19.28515625" customWidth="1"/>
    <col min="15" max="15" width="21.5703125" customWidth="1"/>
    <col min="16" max="16" width="27.140625" customWidth="1"/>
    <col min="17" max="17" width="14.7109375" customWidth="1"/>
  </cols>
  <sheetData>
    <row r="1" spans="1:26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1"/>
      <c r="B2" s="64" t="s">
        <v>0</v>
      </c>
      <c r="C2" s="65"/>
      <c r="D2" s="65"/>
      <c r="E2" s="66"/>
      <c r="F2" s="1"/>
      <c r="G2" s="64" t="s">
        <v>1</v>
      </c>
      <c r="H2" s="65"/>
      <c r="I2" s="65"/>
      <c r="J2" s="65"/>
      <c r="K2" s="66"/>
      <c r="L2" s="1"/>
      <c r="M2" s="64" t="s">
        <v>2</v>
      </c>
      <c r="N2" s="65"/>
      <c r="O2" s="65"/>
      <c r="P2" s="65"/>
      <c r="Q2" s="66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customHeight="1">
      <c r="A4" s="3"/>
      <c r="B4" s="4" t="s">
        <v>3</v>
      </c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>
      <c r="A5" s="1"/>
      <c r="B5" s="6"/>
      <c r="C5" s="2"/>
      <c r="D5" s="2"/>
      <c r="E5" s="2"/>
      <c r="F5" s="1"/>
      <c r="G5" s="2"/>
      <c r="H5" s="2"/>
      <c r="I5" s="1"/>
      <c r="J5" s="2"/>
      <c r="K5" s="2"/>
      <c r="L5" s="1"/>
      <c r="M5" s="2"/>
      <c r="N5" s="2"/>
      <c r="O5" s="2"/>
      <c r="P5" s="2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>
      <c r="A6" s="3"/>
      <c r="B6" s="38" t="s">
        <v>4</v>
      </c>
      <c r="C6" s="38" t="s">
        <v>5</v>
      </c>
      <c r="D6" s="38" t="s">
        <v>6</v>
      </c>
      <c r="E6" s="38" t="s">
        <v>7</v>
      </c>
      <c r="F6" s="7"/>
      <c r="G6" s="8" t="s">
        <v>8</v>
      </c>
      <c r="H6" s="9">
        <f>ROUNDDOWN(SUM(H10:H17)*(1+K10+K11),0)</f>
        <v>376086</v>
      </c>
      <c r="I6" s="7"/>
      <c r="J6" s="4" t="s">
        <v>9</v>
      </c>
      <c r="K6" s="9">
        <f>ROUNDDOWN((H6*H7/6)^0.5*(1+SUM(K20:K21)),0)</f>
        <v>83662</v>
      </c>
      <c r="L6" s="7"/>
      <c r="M6" s="8" t="s">
        <v>10</v>
      </c>
      <c r="N6" s="10">
        <f>0.25/699*E8*(1+K31+K32)</f>
        <v>0.25572246065808302</v>
      </c>
      <c r="O6" s="8" t="s">
        <v>11</v>
      </c>
      <c r="P6" s="10">
        <f>E32*0.01</f>
        <v>0.06</v>
      </c>
      <c r="Q6" s="5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>
      <c r="A7" s="3"/>
      <c r="B7" s="68" t="s">
        <v>12</v>
      </c>
      <c r="C7" s="68"/>
      <c r="D7" s="41" t="s">
        <v>129</v>
      </c>
      <c r="E7" s="42">
        <v>1850</v>
      </c>
      <c r="F7" s="7"/>
      <c r="G7" s="8" t="s">
        <v>13</v>
      </c>
      <c r="H7" s="9">
        <f>ROUNDDOWN(SUM(H20:H24)*(1+K15+K16),0)</f>
        <v>101381</v>
      </c>
      <c r="I7" s="5"/>
      <c r="J7" s="12"/>
      <c r="K7" s="12"/>
      <c r="L7" s="3"/>
      <c r="M7" s="8" t="s">
        <v>14</v>
      </c>
      <c r="N7" s="10">
        <f>SUM(K25:K28)</f>
        <v>0.16</v>
      </c>
      <c r="O7" s="8" t="s">
        <v>15</v>
      </c>
      <c r="P7" s="10">
        <f>0.1*(1+N9)</f>
        <v>0.11499999999999999</v>
      </c>
      <c r="Q7" s="5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>
      <c r="A8" s="3"/>
      <c r="B8" s="68"/>
      <c r="C8" s="68"/>
      <c r="D8" s="39" t="s">
        <v>126</v>
      </c>
      <c r="E8" s="40">
        <v>650</v>
      </c>
      <c r="F8" s="5"/>
      <c r="G8" s="6"/>
      <c r="H8" s="6"/>
      <c r="I8" s="1"/>
      <c r="J8" s="2"/>
      <c r="K8" s="2"/>
      <c r="L8" s="3"/>
      <c r="M8" s="8" t="s">
        <v>19</v>
      </c>
      <c r="N8" s="10">
        <f>SUM(H27:H31)</f>
        <v>0.4904</v>
      </c>
      <c r="O8" s="8" t="s">
        <v>20</v>
      </c>
      <c r="P8" s="43">
        <f>10/(60*(1-E7*0.0002147)*0.95*0.9*0.93)</f>
        <v>0.34771453112459522</v>
      </c>
      <c r="Q8" s="5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>
      <c r="A9" s="3"/>
      <c r="B9" s="51" t="s">
        <v>16</v>
      </c>
      <c r="C9" s="67" t="s">
        <v>17</v>
      </c>
      <c r="D9" s="39" t="s">
        <v>18</v>
      </c>
      <c r="E9" s="40">
        <v>46228</v>
      </c>
      <c r="F9" s="7"/>
      <c r="G9" s="62" t="s">
        <v>22</v>
      </c>
      <c r="H9" s="61"/>
      <c r="I9" s="7"/>
      <c r="J9" s="62" t="s">
        <v>23</v>
      </c>
      <c r="K9" s="61"/>
      <c r="L9" s="7"/>
      <c r="M9" s="8" t="s">
        <v>24</v>
      </c>
      <c r="N9" s="10">
        <f>SUM(H34:H35)</f>
        <v>0.15</v>
      </c>
      <c r="O9" s="8" t="s">
        <v>25</v>
      </c>
      <c r="P9" s="14">
        <v>1</v>
      </c>
      <c r="Q9" s="5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>
      <c r="A10" s="3"/>
      <c r="B10" s="51"/>
      <c r="C10" s="51"/>
      <c r="D10" s="36" t="s">
        <v>21</v>
      </c>
      <c r="E10" s="37">
        <v>49200</v>
      </c>
      <c r="F10" s="7"/>
      <c r="G10" s="11" t="s">
        <v>27</v>
      </c>
      <c r="H10" s="15">
        <v>477</v>
      </c>
      <c r="I10" s="7"/>
      <c r="J10" s="11" t="s">
        <v>28</v>
      </c>
      <c r="K10" s="10">
        <f>E29</f>
        <v>0.08</v>
      </c>
      <c r="L10" s="5"/>
      <c r="M10" s="12"/>
      <c r="N10" s="16"/>
      <c r="O10" s="8" t="s">
        <v>29</v>
      </c>
      <c r="P10" s="14">
        <v>1</v>
      </c>
      <c r="Q10" s="5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>
      <c r="A11" s="3"/>
      <c r="B11" s="51"/>
      <c r="C11" s="51"/>
      <c r="D11" s="29" t="s">
        <v>26</v>
      </c>
      <c r="E11" s="13">
        <v>36982</v>
      </c>
      <c r="F11" s="7"/>
      <c r="G11" s="11" t="s">
        <v>31</v>
      </c>
      <c r="H11" s="13">
        <v>1500</v>
      </c>
      <c r="I11" s="7"/>
      <c r="J11" s="11" t="s">
        <v>32</v>
      </c>
      <c r="K11" s="17">
        <f>E28</f>
        <v>0.01</v>
      </c>
      <c r="L11" s="5"/>
      <c r="M11" s="2"/>
      <c r="N11" s="2"/>
      <c r="O11" s="12"/>
      <c r="P11" s="12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>
      <c r="A12" s="3"/>
      <c r="B12" s="51"/>
      <c r="C12" s="51"/>
      <c r="D12" s="29" t="s">
        <v>30</v>
      </c>
      <c r="E12" s="13">
        <v>39954</v>
      </c>
      <c r="F12" s="7"/>
      <c r="G12" s="11" t="s">
        <v>34</v>
      </c>
      <c r="H12" s="13">
        <v>218</v>
      </c>
      <c r="I12" s="5"/>
      <c r="J12" s="12"/>
      <c r="K12" s="12"/>
      <c r="L12" s="3"/>
      <c r="M12" s="18" t="s">
        <v>35</v>
      </c>
      <c r="N12" s="18" t="s">
        <v>36</v>
      </c>
      <c r="O12" s="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>
      <c r="A13" s="3"/>
      <c r="B13" s="52"/>
      <c r="C13" s="52"/>
      <c r="D13" s="29" t="s">
        <v>33</v>
      </c>
      <c r="E13" s="13">
        <v>55473</v>
      </c>
      <c r="F13" s="7"/>
      <c r="G13" s="11" t="s">
        <v>16</v>
      </c>
      <c r="H13" s="11">
        <f>SUM(E9:E13)</f>
        <v>227837</v>
      </c>
      <c r="I13" s="5"/>
      <c r="J13" s="2"/>
      <c r="K13" s="2"/>
      <c r="L13" s="3"/>
      <c r="M13" s="18" t="s">
        <v>38</v>
      </c>
      <c r="N13" s="10">
        <f>0.1*(1+0.63/699*E8)*(1+N9+E32*0.01)</f>
        <v>0.19188626609442061</v>
      </c>
      <c r="O13" s="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>
      <c r="A14" s="3"/>
      <c r="B14" s="48" t="s">
        <v>37</v>
      </c>
      <c r="C14" s="49"/>
      <c r="D14" s="29" t="s">
        <v>13</v>
      </c>
      <c r="E14" s="13">
        <v>80139</v>
      </c>
      <c r="F14" s="7"/>
      <c r="G14" s="11" t="s">
        <v>39</v>
      </c>
      <c r="H14" s="11">
        <f>SUM(E15:E19)</f>
        <v>66071.5</v>
      </c>
      <c r="I14" s="7"/>
      <c r="J14" s="62" t="s">
        <v>41</v>
      </c>
      <c r="K14" s="61"/>
      <c r="L14" s="7"/>
      <c r="M14" s="8" t="s">
        <v>42</v>
      </c>
      <c r="N14" s="19">
        <v>0.4</v>
      </c>
      <c r="O14" s="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>
      <c r="A15" s="3"/>
      <c r="B15" s="50" t="s">
        <v>39</v>
      </c>
      <c r="C15" s="50" t="s">
        <v>17</v>
      </c>
      <c r="D15" s="29" t="s">
        <v>40</v>
      </c>
      <c r="E15" s="13">
        <v>16517.5</v>
      </c>
      <c r="F15" s="7"/>
      <c r="G15" s="11" t="s">
        <v>44</v>
      </c>
      <c r="H15" s="11">
        <f>E39</f>
        <v>0</v>
      </c>
      <c r="I15" s="7"/>
      <c r="J15" s="11" t="s">
        <v>45</v>
      </c>
      <c r="K15" s="10">
        <f>E21</f>
        <v>0.06</v>
      </c>
      <c r="L15" s="5"/>
      <c r="M15" s="12"/>
      <c r="N15" s="1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>
      <c r="A16" s="3"/>
      <c r="B16" s="51"/>
      <c r="C16" s="51"/>
      <c r="D16" s="29" t="s">
        <v>43</v>
      </c>
      <c r="E16" s="13">
        <v>12847.5</v>
      </c>
      <c r="F16" s="7"/>
      <c r="G16" s="11" t="s">
        <v>47</v>
      </c>
      <c r="H16" s="11">
        <f>E26</f>
        <v>0</v>
      </c>
      <c r="I16" s="7"/>
      <c r="J16" s="11" t="s">
        <v>48</v>
      </c>
      <c r="K16" s="10">
        <f>E34*0.001</f>
        <v>0</v>
      </c>
      <c r="L16" s="5"/>
      <c r="M16" s="2"/>
      <c r="N16" s="2"/>
      <c r="O16" s="2"/>
      <c r="P16" s="2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>
      <c r="A17" s="3"/>
      <c r="B17" s="51"/>
      <c r="C17" s="51"/>
      <c r="D17" s="29" t="s">
        <v>46</v>
      </c>
      <c r="E17" s="13">
        <v>12847.5</v>
      </c>
      <c r="F17" s="7"/>
      <c r="G17" s="11" t="s">
        <v>50</v>
      </c>
      <c r="H17" s="11">
        <v>48930</v>
      </c>
      <c r="I17" s="5"/>
      <c r="J17" s="12"/>
      <c r="K17" s="12"/>
      <c r="L17" s="3"/>
      <c r="M17" s="18"/>
      <c r="N17" s="18" t="s">
        <v>51</v>
      </c>
      <c r="O17" s="20" t="s">
        <v>52</v>
      </c>
      <c r="P17" s="8" t="s">
        <v>53</v>
      </c>
      <c r="Q17" s="5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>
      <c r="A18" s="3"/>
      <c r="B18" s="51"/>
      <c r="C18" s="51"/>
      <c r="D18" s="29" t="s">
        <v>49</v>
      </c>
      <c r="E18" s="13">
        <v>11929.5</v>
      </c>
      <c r="F18" s="5"/>
      <c r="G18" s="6"/>
      <c r="H18" s="6"/>
      <c r="I18" s="1"/>
      <c r="J18" s="2"/>
      <c r="K18" s="2"/>
      <c r="L18" s="3"/>
      <c r="M18" s="18" t="s">
        <v>55</v>
      </c>
      <c r="N18" s="21">
        <f>ROUNDDOWN(K50*(1+E78),0)</f>
        <v>97361</v>
      </c>
      <c r="O18" s="11" t="s">
        <v>56</v>
      </c>
      <c r="P18" s="11" t="s">
        <v>56</v>
      </c>
      <c r="Q18" s="5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>
      <c r="A19" s="3"/>
      <c r="B19" s="51"/>
      <c r="C19" s="52"/>
      <c r="D19" s="29" t="s">
        <v>54</v>
      </c>
      <c r="E19" s="13">
        <v>11929.5</v>
      </c>
      <c r="F19" s="7"/>
      <c r="G19" s="62" t="s">
        <v>57</v>
      </c>
      <c r="H19" s="61"/>
      <c r="I19" s="7"/>
      <c r="J19" s="62" t="s">
        <v>58</v>
      </c>
      <c r="K19" s="61"/>
      <c r="L19" s="7"/>
      <c r="M19" s="8" t="s">
        <v>59</v>
      </c>
      <c r="N19" s="11">
        <f>ROUNDDOWN(((K50+K6*0.15*(1+N8)*(1+SUM(K69:K74)))*(1.06+E78))*P9+(1-P9)*N18, 0)</f>
        <v>124969</v>
      </c>
      <c r="O19" s="10">
        <f>N19/(N18*(1+E78))-1</f>
        <v>0.28356323373835512</v>
      </c>
      <c r="P19" s="10">
        <f t="shared" ref="P19:P21" si="0">O19/(1+O19)</f>
        <v>0.22091878785938909</v>
      </c>
      <c r="Q19" s="5"/>
      <c r="R19" s="1"/>
      <c r="S19" s="1"/>
      <c r="T19" s="1"/>
      <c r="U19" s="1"/>
      <c r="V19" s="1"/>
      <c r="W19" s="1"/>
      <c r="X19" s="1"/>
      <c r="Y19" s="1"/>
      <c r="Z19" s="1"/>
    </row>
    <row r="20" spans="1:26" ht="16.5">
      <c r="A20" s="3"/>
      <c r="B20" s="51"/>
      <c r="C20" s="29" t="s">
        <v>40</v>
      </c>
      <c r="D20" s="29" t="s">
        <v>14</v>
      </c>
      <c r="E20" s="19">
        <v>0.08</v>
      </c>
      <c r="F20" s="7"/>
      <c r="G20" s="11" t="s">
        <v>37</v>
      </c>
      <c r="H20" s="11">
        <f>E14</f>
        <v>80139</v>
      </c>
      <c r="I20" s="7"/>
      <c r="J20" s="11" t="s">
        <v>61</v>
      </c>
      <c r="K20" s="10">
        <f>E30</f>
        <v>4.9500000000000002E-2</v>
      </c>
      <c r="L20" s="7"/>
      <c r="M20" s="8" t="s">
        <v>62</v>
      </c>
      <c r="N20" s="11">
        <f>ROUNDDOWN(N19*(1+0.1*(1+N7))*P10+N19*(1-P10), 0)</f>
        <v>139465</v>
      </c>
      <c r="O20" s="10">
        <f>N20/N18-1</f>
        <v>0.43245241934655554</v>
      </c>
      <c r="P20" s="10">
        <f t="shared" si="0"/>
        <v>0.3018965331803678</v>
      </c>
      <c r="Q20" s="5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>
      <c r="A21" s="3"/>
      <c r="B21" s="51"/>
      <c r="C21" s="29" t="s">
        <v>60</v>
      </c>
      <c r="D21" s="29" t="s">
        <v>41</v>
      </c>
      <c r="E21" s="19">
        <v>0.06</v>
      </c>
      <c r="F21" s="7"/>
      <c r="G21" s="11" t="s">
        <v>65</v>
      </c>
      <c r="H21" s="11">
        <f>E24</f>
        <v>0</v>
      </c>
      <c r="I21" s="7"/>
      <c r="J21" s="11" t="s">
        <v>66</v>
      </c>
      <c r="K21" s="10">
        <f>E25</f>
        <v>0</v>
      </c>
      <c r="L21" s="7"/>
      <c r="M21" s="22" t="s">
        <v>67</v>
      </c>
      <c r="N21" s="11">
        <f>ROUNDDOWN(N20*(1-MAX(N14,P8))+N20*(1+N13+P7)*MIN(N14,P8)+N20*IF(N14&gt;P8, (1+N13)*ABS(N14-P8), (1+P7)*ABS(N14-P8)),0)</f>
        <v>155746</v>
      </c>
      <c r="O21" s="10">
        <f>N21/N18-1</f>
        <v>0.5996754347223221</v>
      </c>
      <c r="P21" s="23">
        <f t="shared" si="0"/>
        <v>0.374873190964776</v>
      </c>
      <c r="Q21" s="5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3"/>
      <c r="B22" s="51"/>
      <c r="C22" s="50" t="s">
        <v>63</v>
      </c>
      <c r="D22" s="29" t="s">
        <v>64</v>
      </c>
      <c r="E22" s="19">
        <v>0</v>
      </c>
      <c r="F22" s="7"/>
      <c r="G22" s="11" t="s">
        <v>44</v>
      </c>
      <c r="H22" s="11">
        <f>E40</f>
        <v>0</v>
      </c>
      <c r="I22" s="5"/>
      <c r="J22" s="12"/>
      <c r="K22" s="12"/>
      <c r="L22" s="1"/>
      <c r="M22" s="12"/>
      <c r="N22" s="12"/>
      <c r="O22" s="12"/>
      <c r="P22" s="12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>
      <c r="A23" s="3"/>
      <c r="B23" s="51"/>
      <c r="C23" s="52"/>
      <c r="D23" s="29" t="s">
        <v>68</v>
      </c>
      <c r="E23" s="19">
        <v>0.15</v>
      </c>
      <c r="F23" s="7"/>
      <c r="G23" s="11" t="s">
        <v>47</v>
      </c>
      <c r="H23" s="11">
        <f>E27</f>
        <v>0</v>
      </c>
      <c r="I23" s="5"/>
      <c r="J23" s="2"/>
      <c r="K23" s="2"/>
      <c r="L23" s="1"/>
      <c r="M23" s="2"/>
      <c r="N23" s="24"/>
      <c r="O23" s="2"/>
      <c r="P23" s="2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>
      <c r="A24" s="3"/>
      <c r="B24" s="52"/>
      <c r="C24" s="29" t="s">
        <v>69</v>
      </c>
      <c r="D24" s="29" t="s">
        <v>70</v>
      </c>
      <c r="E24" s="13">
        <v>0</v>
      </c>
      <c r="F24" s="7"/>
      <c r="G24" s="11" t="s">
        <v>50</v>
      </c>
      <c r="H24" s="11">
        <v>15504</v>
      </c>
      <c r="I24" s="7"/>
      <c r="J24" s="62" t="s">
        <v>72</v>
      </c>
      <c r="K24" s="61"/>
      <c r="L24" s="7"/>
      <c r="M24" s="18" t="s">
        <v>73</v>
      </c>
      <c r="N24" s="18" t="s">
        <v>51</v>
      </c>
      <c r="O24" s="20" t="s">
        <v>52</v>
      </c>
      <c r="P24" s="8" t="s">
        <v>74</v>
      </c>
      <c r="Q24" s="5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>
      <c r="A25" s="3"/>
      <c r="B25" s="29" t="s">
        <v>71</v>
      </c>
      <c r="C25" s="29" t="s">
        <v>66</v>
      </c>
      <c r="D25" s="29" t="s">
        <v>58</v>
      </c>
      <c r="E25" s="19">
        <v>0</v>
      </c>
      <c r="F25" s="5"/>
      <c r="G25" s="6"/>
      <c r="H25" s="6"/>
      <c r="I25" s="3"/>
      <c r="J25" s="11" t="s">
        <v>77</v>
      </c>
      <c r="K25" s="14">
        <v>0</v>
      </c>
      <c r="L25" s="7"/>
      <c r="M25" s="18" t="s">
        <v>78</v>
      </c>
      <c r="N25" s="15">
        <f>ROUNDDOWN((N18*(1+E83)*E81*E82+N18*(1+E83)*(1-E81))*(6500/(6500*(1-E79)+6500))*(1+E80)*(1+E84), 0)</f>
        <v>248898</v>
      </c>
      <c r="O25" s="15" t="s">
        <v>56</v>
      </c>
      <c r="P25" s="11" t="s">
        <v>56</v>
      </c>
      <c r="Q25" s="5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>
      <c r="A26" s="3"/>
      <c r="B26" s="50" t="s">
        <v>75</v>
      </c>
      <c r="C26" s="50" t="s">
        <v>127</v>
      </c>
      <c r="D26" s="29" t="s">
        <v>76</v>
      </c>
      <c r="E26" s="13">
        <v>0</v>
      </c>
      <c r="F26" s="7"/>
      <c r="G26" s="62" t="s">
        <v>79</v>
      </c>
      <c r="H26" s="61"/>
      <c r="I26" s="7"/>
      <c r="J26" s="11" t="s">
        <v>80</v>
      </c>
      <c r="K26" s="10">
        <f>E33*0.01</f>
        <v>0</v>
      </c>
      <c r="L26" s="7"/>
      <c r="M26" s="18" t="s">
        <v>81</v>
      </c>
      <c r="N26" s="21">
        <f>ROUNDDOWN((N21*(E81+E42)*(E82+E41)+N21*(1-E81-E42))*(1+E83+E37)*(1+E80+E35)*(1+E36)*(6500/(6500*(1-E79)*(1-E43)+6500))*(1+E44)*(1+E84+E38), 0)</f>
        <v>429420</v>
      </c>
      <c r="O26" s="10">
        <f>N26/N25-1</f>
        <v>0.72528505652918063</v>
      </c>
      <c r="P26" s="25">
        <f>O26/(1+O26)</f>
        <v>0.42038563643984911</v>
      </c>
      <c r="Q26" s="5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>
      <c r="A27" s="3"/>
      <c r="B27" s="52"/>
      <c r="C27" s="52"/>
      <c r="D27" s="29" t="s">
        <v>70</v>
      </c>
      <c r="E27" s="13">
        <v>0</v>
      </c>
      <c r="F27" s="7"/>
      <c r="G27" s="11" t="s">
        <v>75</v>
      </c>
      <c r="H27" s="28">
        <v>0.24</v>
      </c>
      <c r="I27" s="7"/>
      <c r="J27" s="11" t="s">
        <v>84</v>
      </c>
      <c r="K27" s="10">
        <f>E20</f>
        <v>0.08</v>
      </c>
      <c r="L27" s="5"/>
      <c r="M27" s="12"/>
      <c r="N27" s="12"/>
      <c r="O27" s="12"/>
      <c r="P27" s="12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>
      <c r="A28" s="3"/>
      <c r="B28" s="63" t="s">
        <v>82</v>
      </c>
      <c r="C28" s="69"/>
      <c r="D28" s="26" t="s">
        <v>83</v>
      </c>
      <c r="E28" s="27">
        <v>0.01</v>
      </c>
      <c r="F28" s="7"/>
      <c r="G28" s="11" t="s">
        <v>50</v>
      </c>
      <c r="H28" s="10">
        <v>0.19040000000000001</v>
      </c>
      <c r="I28" s="7"/>
      <c r="J28" s="11" t="s">
        <v>86</v>
      </c>
      <c r="K28" s="10">
        <v>0.08</v>
      </c>
      <c r="L28" s="5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>
      <c r="A29" s="3"/>
      <c r="B29" s="48" t="s">
        <v>28</v>
      </c>
      <c r="C29" s="49"/>
      <c r="D29" s="29" t="s">
        <v>85</v>
      </c>
      <c r="E29" s="19">
        <v>0.08</v>
      </c>
      <c r="F29" s="7"/>
      <c r="G29" s="11" t="s">
        <v>88</v>
      </c>
      <c r="H29" s="10">
        <f>E22</f>
        <v>0</v>
      </c>
      <c r="I29" s="5"/>
      <c r="J29" s="6"/>
      <c r="K29" s="6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>
      <c r="A30" s="3"/>
      <c r="B30" s="53" t="s">
        <v>61</v>
      </c>
      <c r="C30" s="70"/>
      <c r="D30" s="29" t="s">
        <v>87</v>
      </c>
      <c r="E30" s="19">
        <v>4.9500000000000002E-2</v>
      </c>
      <c r="F30" s="7"/>
      <c r="G30" s="11" t="s">
        <v>61</v>
      </c>
      <c r="H30" s="10">
        <f>E31*0.01</f>
        <v>0.06</v>
      </c>
      <c r="I30" s="7"/>
      <c r="J30" s="62" t="s">
        <v>90</v>
      </c>
      <c r="K30" s="61"/>
      <c r="L30" s="5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>
      <c r="A31" s="3"/>
      <c r="B31" s="67"/>
      <c r="C31" s="71"/>
      <c r="D31" s="29" t="s">
        <v>89</v>
      </c>
      <c r="E31" s="13">
        <v>6</v>
      </c>
      <c r="F31" s="7"/>
      <c r="G31" s="11" t="s">
        <v>44</v>
      </c>
      <c r="H31" s="10">
        <f>E45</f>
        <v>0</v>
      </c>
      <c r="I31" s="7"/>
      <c r="J31" s="11" t="s">
        <v>84</v>
      </c>
      <c r="K31" s="14">
        <v>0</v>
      </c>
      <c r="L31" s="5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>
      <c r="A32" s="3"/>
      <c r="B32" s="72"/>
      <c r="C32" s="73"/>
      <c r="D32" s="29" t="s">
        <v>91</v>
      </c>
      <c r="E32" s="13">
        <v>6</v>
      </c>
      <c r="F32" s="5"/>
      <c r="G32" s="6"/>
      <c r="H32" s="6"/>
      <c r="I32" s="3"/>
      <c r="J32" s="11" t="s">
        <v>93</v>
      </c>
      <c r="K32" s="14">
        <v>0.1</v>
      </c>
      <c r="L32" s="5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>
      <c r="A33" s="3"/>
      <c r="B33" s="48" t="s">
        <v>80</v>
      </c>
      <c r="C33" s="49"/>
      <c r="D33" s="29" t="s">
        <v>92</v>
      </c>
      <c r="E33" s="13">
        <v>0</v>
      </c>
      <c r="F33" s="7"/>
      <c r="G33" s="62" t="s">
        <v>95</v>
      </c>
      <c r="H33" s="61"/>
      <c r="I33" s="5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>
      <c r="A34" s="3"/>
      <c r="B34" s="48" t="s">
        <v>48</v>
      </c>
      <c r="C34" s="49"/>
      <c r="D34" s="29" t="s">
        <v>94</v>
      </c>
      <c r="E34" s="13">
        <v>0</v>
      </c>
      <c r="F34" s="7"/>
      <c r="G34" s="11" t="s">
        <v>88</v>
      </c>
      <c r="H34" s="10">
        <f>E23</f>
        <v>0.15</v>
      </c>
      <c r="I34" s="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>
      <c r="A35" s="3"/>
      <c r="B35" s="53" t="s">
        <v>96</v>
      </c>
      <c r="C35" s="70"/>
      <c r="D35" s="29" t="s">
        <v>97</v>
      </c>
      <c r="E35" s="19">
        <v>3.5000000000000003E-2</v>
      </c>
      <c r="F35" s="7"/>
      <c r="G35" s="11" t="s">
        <v>44</v>
      </c>
      <c r="H35" s="28">
        <f>E46</f>
        <v>0</v>
      </c>
      <c r="I35" s="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>
      <c r="A36" s="3"/>
      <c r="B36" s="72"/>
      <c r="C36" s="73"/>
      <c r="D36" s="29" t="s">
        <v>98</v>
      </c>
      <c r="E36" s="13">
        <v>0</v>
      </c>
      <c r="F36" s="5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>
      <c r="A37" s="3"/>
      <c r="B37" s="53" t="s">
        <v>128</v>
      </c>
      <c r="C37" s="70"/>
      <c r="D37" s="29" t="s">
        <v>99</v>
      </c>
      <c r="E37" s="34">
        <v>7.0000000000000007E-2</v>
      </c>
      <c r="F37" s="5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>
      <c r="A38" s="3"/>
      <c r="B38" s="72"/>
      <c r="C38" s="73"/>
      <c r="D38" s="29" t="s">
        <v>100</v>
      </c>
      <c r="E38" s="34">
        <v>0</v>
      </c>
      <c r="F38" s="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>
      <c r="A39" s="3"/>
      <c r="B39" s="50" t="s">
        <v>44</v>
      </c>
      <c r="C39" s="50" t="s">
        <v>6</v>
      </c>
      <c r="D39" s="29" t="s">
        <v>8</v>
      </c>
      <c r="E39" s="13">
        <v>0</v>
      </c>
      <c r="F39" s="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>
      <c r="A40" s="3"/>
      <c r="B40" s="51"/>
      <c r="C40" s="51"/>
      <c r="D40" s="29" t="s">
        <v>13</v>
      </c>
      <c r="E40" s="13">
        <v>0</v>
      </c>
      <c r="F40" s="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>
      <c r="A41" s="3"/>
      <c r="B41" s="51"/>
      <c r="C41" s="51"/>
      <c r="D41" s="29" t="s">
        <v>101</v>
      </c>
      <c r="E41" s="19">
        <v>0</v>
      </c>
      <c r="F41" s="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>
      <c r="A42" s="3"/>
      <c r="B42" s="51"/>
      <c r="C42" s="51"/>
      <c r="D42" s="29" t="s">
        <v>102</v>
      </c>
      <c r="E42" s="19">
        <v>0</v>
      </c>
      <c r="F42" s="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>
      <c r="A43" s="3"/>
      <c r="B43" s="51"/>
      <c r="C43" s="51"/>
      <c r="D43" s="29" t="s">
        <v>103</v>
      </c>
      <c r="E43" s="19">
        <v>0</v>
      </c>
      <c r="F43" s="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>
      <c r="A44" s="3"/>
      <c r="B44" s="51"/>
      <c r="C44" s="51"/>
      <c r="D44" s="29" t="s">
        <v>104</v>
      </c>
      <c r="E44" s="19">
        <v>0</v>
      </c>
      <c r="F44" s="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3"/>
      <c r="B45" s="51"/>
      <c r="C45" s="51"/>
      <c r="D45" s="29" t="s">
        <v>64</v>
      </c>
      <c r="E45" s="19">
        <v>0</v>
      </c>
      <c r="F45" s="5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"/>
      <c r="B46" s="52"/>
      <c r="C46" s="52"/>
      <c r="D46" s="29" t="s">
        <v>68</v>
      </c>
      <c r="E46" s="19"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3"/>
      <c r="B48" s="30" t="s">
        <v>105</v>
      </c>
      <c r="C48" s="5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"/>
      <c r="B49" s="6"/>
      <c r="C49" s="2"/>
      <c r="D49" s="2"/>
      <c r="E49" s="2"/>
      <c r="F49" s="1"/>
      <c r="G49" s="2"/>
      <c r="H49" s="2"/>
      <c r="I49" s="1"/>
      <c r="J49" s="2"/>
      <c r="K49" s="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3"/>
      <c r="B50" s="8" t="s">
        <v>4</v>
      </c>
      <c r="C50" s="8" t="s">
        <v>5</v>
      </c>
      <c r="D50" s="8" t="s">
        <v>6</v>
      </c>
      <c r="E50" s="8" t="s">
        <v>7</v>
      </c>
      <c r="F50" s="7"/>
      <c r="G50" s="8" t="s">
        <v>8</v>
      </c>
      <c r="H50" s="9">
        <f>ROUNDDOWN(SUM(H54:H61)*(1+K54+K55),0)</f>
        <v>376086</v>
      </c>
      <c r="I50" s="7"/>
      <c r="J50" s="30" t="s">
        <v>106</v>
      </c>
      <c r="K50" s="9">
        <f>ROUNDDOWN(((H50*H51/6)^0.5*(1+SUM(K64:K65))+SUM(H71:H73))*(1+SUM(K69:K74)),0)</f>
        <v>97361</v>
      </c>
      <c r="L50" s="31"/>
      <c r="M50" s="32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3"/>
      <c r="B51" s="50" t="s">
        <v>16</v>
      </c>
      <c r="C51" s="50" t="s">
        <v>17</v>
      </c>
      <c r="D51" s="11" t="s">
        <v>18</v>
      </c>
      <c r="E51" s="13">
        <v>46228</v>
      </c>
      <c r="F51" s="7"/>
      <c r="G51" s="8" t="s">
        <v>13</v>
      </c>
      <c r="H51" s="9">
        <f>ROUNDDOWN(SUM(H64:H68)*(1+K59+K60),0)</f>
        <v>103175</v>
      </c>
      <c r="I51" s="5"/>
      <c r="J51" s="12"/>
      <c r="K51" s="1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3"/>
      <c r="B52" s="60"/>
      <c r="C52" s="60"/>
      <c r="D52" s="11" t="s">
        <v>21</v>
      </c>
      <c r="E52" s="13">
        <v>49200</v>
      </c>
      <c r="F52" s="5"/>
      <c r="G52" s="6"/>
      <c r="H52" s="6"/>
      <c r="I52" s="1"/>
      <c r="J52" s="2"/>
      <c r="K52" s="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3"/>
      <c r="B53" s="60"/>
      <c r="C53" s="60"/>
      <c r="D53" s="11" t="s">
        <v>26</v>
      </c>
      <c r="E53" s="13">
        <v>36982</v>
      </c>
      <c r="F53" s="7"/>
      <c r="G53" s="62" t="s">
        <v>22</v>
      </c>
      <c r="H53" s="61"/>
      <c r="I53" s="7"/>
      <c r="J53" s="62" t="s">
        <v>23</v>
      </c>
      <c r="K53" s="61"/>
      <c r="L53" s="5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3"/>
      <c r="B54" s="60"/>
      <c r="C54" s="60"/>
      <c r="D54" s="11" t="s">
        <v>30</v>
      </c>
      <c r="E54" s="13">
        <v>39954</v>
      </c>
      <c r="F54" s="7"/>
      <c r="G54" s="11" t="s">
        <v>27</v>
      </c>
      <c r="H54" s="15">
        <v>477</v>
      </c>
      <c r="I54" s="7"/>
      <c r="J54" s="11" t="s">
        <v>28</v>
      </c>
      <c r="K54" s="10">
        <f>E74</f>
        <v>0.08</v>
      </c>
      <c r="L54" s="5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3"/>
      <c r="B55" s="59"/>
      <c r="C55" s="59"/>
      <c r="D55" s="11" t="s">
        <v>33</v>
      </c>
      <c r="E55" s="13">
        <v>55473</v>
      </c>
      <c r="F55" s="7"/>
      <c r="G55" s="11" t="s">
        <v>31</v>
      </c>
      <c r="H55" s="13">
        <v>1500</v>
      </c>
      <c r="I55" s="7"/>
      <c r="J55" s="11" t="s">
        <v>32</v>
      </c>
      <c r="K55" s="17">
        <f>E73</f>
        <v>0.01</v>
      </c>
      <c r="L55" s="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3"/>
      <c r="B56" s="48" t="s">
        <v>37</v>
      </c>
      <c r="C56" s="61"/>
      <c r="D56" s="11" t="s">
        <v>13</v>
      </c>
      <c r="E56" s="13">
        <v>85847</v>
      </c>
      <c r="F56" s="7"/>
      <c r="G56" s="11" t="s">
        <v>34</v>
      </c>
      <c r="H56" s="13">
        <v>218</v>
      </c>
      <c r="I56" s="5"/>
      <c r="J56" s="12"/>
      <c r="K56" s="1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3"/>
      <c r="B57" s="50" t="s">
        <v>39</v>
      </c>
      <c r="C57" s="50" t="s">
        <v>17</v>
      </c>
      <c r="D57" s="11" t="s">
        <v>40</v>
      </c>
      <c r="E57" s="13">
        <v>16517.5</v>
      </c>
      <c r="F57" s="7"/>
      <c r="G57" s="11" t="s">
        <v>16</v>
      </c>
      <c r="H57" s="11">
        <f>SUM(E51:E55)</f>
        <v>227837</v>
      </c>
      <c r="I57" s="5"/>
      <c r="J57" s="2"/>
      <c r="K57" s="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3"/>
      <c r="B58" s="60"/>
      <c r="C58" s="60"/>
      <c r="D58" s="11" t="s">
        <v>43</v>
      </c>
      <c r="E58" s="13">
        <v>12847.5</v>
      </c>
      <c r="F58" s="7"/>
      <c r="G58" s="11" t="s">
        <v>39</v>
      </c>
      <c r="H58" s="11">
        <f>SUM(E57:E61)</f>
        <v>66071.5</v>
      </c>
      <c r="I58" s="7"/>
      <c r="J58" s="62" t="s">
        <v>41</v>
      </c>
      <c r="K58" s="61"/>
      <c r="L58" s="5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3"/>
      <c r="B59" s="60"/>
      <c r="C59" s="60"/>
      <c r="D59" s="11" t="s">
        <v>46</v>
      </c>
      <c r="E59" s="13">
        <v>12847.5</v>
      </c>
      <c r="F59" s="7"/>
      <c r="G59" s="11" t="s">
        <v>44</v>
      </c>
      <c r="H59" s="11">
        <f>E66</f>
        <v>0</v>
      </c>
      <c r="I59" s="7"/>
      <c r="J59" s="11" t="s">
        <v>45</v>
      </c>
      <c r="K59" s="10">
        <f>E63</f>
        <v>1.7999999999999999E-2</v>
      </c>
      <c r="L59" s="5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3"/>
      <c r="B60" s="60"/>
      <c r="C60" s="60"/>
      <c r="D60" s="11" t="s">
        <v>49</v>
      </c>
      <c r="E60" s="13">
        <v>11929.5</v>
      </c>
      <c r="F60" s="7"/>
      <c r="G60" s="11" t="s">
        <v>47</v>
      </c>
      <c r="H60" s="11">
        <f>E70</f>
        <v>0</v>
      </c>
      <c r="I60" s="7"/>
      <c r="J60" s="11" t="s">
        <v>48</v>
      </c>
      <c r="K60" s="10">
        <f>E76*0.001</f>
        <v>0</v>
      </c>
      <c r="L60" s="5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3"/>
      <c r="B61" s="60"/>
      <c r="C61" s="59"/>
      <c r="D61" s="11" t="s">
        <v>54</v>
      </c>
      <c r="E61" s="13">
        <v>11929.5</v>
      </c>
      <c r="F61" s="7"/>
      <c r="G61" s="11" t="s">
        <v>50</v>
      </c>
      <c r="H61" s="11">
        <v>48930</v>
      </c>
      <c r="I61" s="5"/>
      <c r="J61" s="12"/>
      <c r="K61" s="1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3"/>
      <c r="B62" s="60"/>
      <c r="C62" s="50" t="s">
        <v>60</v>
      </c>
      <c r="D62" s="11" t="s">
        <v>107</v>
      </c>
      <c r="E62" s="19">
        <v>9.4999999999999998E-3</v>
      </c>
      <c r="F62" s="5"/>
      <c r="G62" s="6"/>
      <c r="H62" s="6"/>
      <c r="I62" s="1"/>
      <c r="J62" s="2"/>
      <c r="K62" s="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>
      <c r="A63" s="3"/>
      <c r="B63" s="60"/>
      <c r="C63" s="59"/>
      <c r="D63" s="11" t="s">
        <v>41</v>
      </c>
      <c r="E63" s="19">
        <v>1.7999999999999999E-2</v>
      </c>
      <c r="F63" s="7"/>
      <c r="G63" s="62" t="s">
        <v>57</v>
      </c>
      <c r="H63" s="61"/>
      <c r="I63" s="7"/>
      <c r="J63" s="62" t="s">
        <v>58</v>
      </c>
      <c r="K63" s="61"/>
      <c r="L63" s="5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>
      <c r="A64" s="3"/>
      <c r="B64" s="60"/>
      <c r="C64" s="50" t="s">
        <v>69</v>
      </c>
      <c r="D64" s="11" t="s">
        <v>108</v>
      </c>
      <c r="E64" s="13">
        <v>0</v>
      </c>
      <c r="F64" s="7"/>
      <c r="G64" s="11" t="s">
        <v>37</v>
      </c>
      <c r="H64" s="11">
        <f>E56</f>
        <v>85847</v>
      </c>
      <c r="I64" s="7"/>
      <c r="J64" s="11" t="s">
        <v>61</v>
      </c>
      <c r="K64" s="10">
        <f>E75</f>
        <v>4.9500000000000002E-2</v>
      </c>
      <c r="L64" s="5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3"/>
      <c r="B65" s="59"/>
      <c r="C65" s="59"/>
      <c r="D65" s="11" t="s">
        <v>70</v>
      </c>
      <c r="E65" s="13">
        <v>0</v>
      </c>
      <c r="F65" s="7"/>
      <c r="G65" s="11" t="s">
        <v>65</v>
      </c>
      <c r="H65" s="11">
        <f>E65</f>
        <v>0</v>
      </c>
      <c r="I65" s="7"/>
      <c r="J65" s="11" t="s">
        <v>66</v>
      </c>
      <c r="K65" s="10">
        <f>E68</f>
        <v>0</v>
      </c>
      <c r="L65" s="5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>
      <c r="A66" s="3"/>
      <c r="B66" s="50" t="s">
        <v>44</v>
      </c>
      <c r="C66" s="50" t="s">
        <v>109</v>
      </c>
      <c r="D66" s="11" t="s">
        <v>8</v>
      </c>
      <c r="E66" s="13">
        <v>0</v>
      </c>
      <c r="F66" s="7"/>
      <c r="G66" s="11" t="s">
        <v>44</v>
      </c>
      <c r="H66" s="11">
        <f>E67</f>
        <v>0</v>
      </c>
      <c r="I66" s="5"/>
      <c r="J66" s="12"/>
      <c r="K66" s="1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3"/>
      <c r="B67" s="59"/>
      <c r="C67" s="59"/>
      <c r="D67" s="11" t="s">
        <v>13</v>
      </c>
      <c r="E67" s="13">
        <v>0</v>
      </c>
      <c r="F67" s="7"/>
      <c r="G67" s="11" t="s">
        <v>47</v>
      </c>
      <c r="H67" s="11">
        <f>E71</f>
        <v>0</v>
      </c>
      <c r="I67" s="5"/>
      <c r="J67" s="2"/>
      <c r="K67" s="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>
      <c r="A68" s="3"/>
      <c r="B68" s="11" t="s">
        <v>71</v>
      </c>
      <c r="C68" s="11" t="s">
        <v>66</v>
      </c>
      <c r="D68" s="11" t="s">
        <v>58</v>
      </c>
      <c r="E68" s="19">
        <v>0</v>
      </c>
      <c r="F68" s="7"/>
      <c r="G68" s="11" t="s">
        <v>50</v>
      </c>
      <c r="H68" s="11">
        <v>15504</v>
      </c>
      <c r="I68" s="7"/>
      <c r="J68" s="62" t="s">
        <v>107</v>
      </c>
      <c r="K68" s="61"/>
      <c r="L68" s="5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3"/>
      <c r="B69" s="50" t="s">
        <v>75</v>
      </c>
      <c r="C69" s="50" t="s">
        <v>69</v>
      </c>
      <c r="D69" s="11" t="s">
        <v>108</v>
      </c>
      <c r="E69" s="13">
        <v>0</v>
      </c>
      <c r="F69" s="5"/>
      <c r="G69" s="6"/>
      <c r="H69" s="6"/>
      <c r="I69" s="3"/>
      <c r="J69" s="11" t="s">
        <v>45</v>
      </c>
      <c r="K69" s="33">
        <f>E62</f>
        <v>9.4999999999999998E-3</v>
      </c>
      <c r="L69" s="5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3"/>
      <c r="B70" s="60"/>
      <c r="C70" s="60"/>
      <c r="D70" s="11" t="s">
        <v>76</v>
      </c>
      <c r="E70" s="13">
        <v>0</v>
      </c>
      <c r="F70" s="7"/>
      <c r="G70" s="62" t="s">
        <v>110</v>
      </c>
      <c r="H70" s="61"/>
      <c r="I70" s="7"/>
      <c r="J70" s="11" t="s">
        <v>111</v>
      </c>
      <c r="K70" s="10">
        <f>E72</f>
        <v>1.44E-2</v>
      </c>
      <c r="L70" s="5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3"/>
      <c r="B71" s="60"/>
      <c r="C71" s="59"/>
      <c r="D71" s="11" t="s">
        <v>70</v>
      </c>
      <c r="E71" s="13">
        <v>0</v>
      </c>
      <c r="F71" s="7"/>
      <c r="G71" s="11" t="s">
        <v>65</v>
      </c>
      <c r="H71" s="11">
        <f>E64</f>
        <v>0</v>
      </c>
      <c r="I71" s="7"/>
      <c r="J71" s="11" t="s">
        <v>112</v>
      </c>
      <c r="K71" s="33">
        <f>E77</f>
        <v>0</v>
      </c>
      <c r="L71" s="5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>
      <c r="A72" s="3"/>
      <c r="B72" s="59"/>
      <c r="C72" s="11" t="s">
        <v>113</v>
      </c>
      <c r="D72" s="11" t="s">
        <v>107</v>
      </c>
      <c r="E72" s="19">
        <v>1.44E-2</v>
      </c>
      <c r="F72" s="7"/>
      <c r="G72" s="11" t="s">
        <v>47</v>
      </c>
      <c r="H72" s="11">
        <f>E69</f>
        <v>0</v>
      </c>
      <c r="I72" s="7"/>
      <c r="J72" s="11" t="s">
        <v>114</v>
      </c>
      <c r="K72" s="19">
        <v>5.3999999999999999E-2</v>
      </c>
      <c r="L72" s="5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>
      <c r="A73" s="3"/>
      <c r="B73" s="63" t="s">
        <v>82</v>
      </c>
      <c r="C73" s="61"/>
      <c r="D73" s="26" t="s">
        <v>85</v>
      </c>
      <c r="E73" s="27">
        <v>0.01</v>
      </c>
      <c r="F73" s="7"/>
      <c r="G73" s="11" t="s">
        <v>50</v>
      </c>
      <c r="H73" s="11">
        <v>4281</v>
      </c>
      <c r="I73" s="7"/>
      <c r="J73" s="11" t="s">
        <v>115</v>
      </c>
      <c r="K73" s="14">
        <v>0</v>
      </c>
      <c r="L73" s="5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>
      <c r="A74" s="3"/>
      <c r="B74" s="48" t="s">
        <v>28</v>
      </c>
      <c r="C74" s="61"/>
      <c r="D74" s="11" t="s">
        <v>85</v>
      </c>
      <c r="E74" s="19">
        <v>0.08</v>
      </c>
      <c r="F74" s="5"/>
      <c r="G74" s="12"/>
      <c r="H74" s="12"/>
      <c r="I74" s="3"/>
      <c r="J74" s="11" t="s">
        <v>116</v>
      </c>
      <c r="K74" s="14">
        <v>0.02</v>
      </c>
      <c r="L74" s="5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>
      <c r="A75" s="3"/>
      <c r="B75" s="48" t="s">
        <v>61</v>
      </c>
      <c r="C75" s="61"/>
      <c r="D75" s="11" t="s">
        <v>87</v>
      </c>
      <c r="E75" s="19">
        <v>4.9500000000000002E-2</v>
      </c>
      <c r="F75" s="5"/>
      <c r="G75" s="1"/>
      <c r="H75" s="1"/>
      <c r="I75" s="1"/>
      <c r="J75" s="12"/>
      <c r="K75" s="1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>
      <c r="A76" s="3"/>
      <c r="B76" s="48" t="s">
        <v>48</v>
      </c>
      <c r="C76" s="61"/>
      <c r="D76" s="11" t="s">
        <v>94</v>
      </c>
      <c r="E76" s="13">
        <v>0</v>
      </c>
      <c r="F76" s="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>
      <c r="A77" s="3"/>
      <c r="B77" s="48" t="s">
        <v>117</v>
      </c>
      <c r="C77" s="61"/>
      <c r="D77" s="11" t="s">
        <v>107</v>
      </c>
      <c r="E77" s="19">
        <v>0</v>
      </c>
      <c r="F77" s="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>
      <c r="A78" s="3"/>
      <c r="B78" s="53" t="s">
        <v>118</v>
      </c>
      <c r="C78" s="54"/>
      <c r="D78" s="11" t="s">
        <v>107</v>
      </c>
      <c r="E78" s="19">
        <v>0</v>
      </c>
      <c r="F78" s="5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>
      <c r="A79" s="3"/>
      <c r="B79" s="57"/>
      <c r="C79" s="58"/>
      <c r="D79" s="11" t="s">
        <v>119</v>
      </c>
      <c r="E79" s="19">
        <v>0</v>
      </c>
      <c r="F79" s="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>
      <c r="A80" s="3"/>
      <c r="B80" s="48" t="s">
        <v>96</v>
      </c>
      <c r="C80" s="61"/>
      <c r="D80" s="11" t="s">
        <v>120</v>
      </c>
      <c r="E80" s="34">
        <v>0.15</v>
      </c>
      <c r="F80" s="5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>
      <c r="A81" s="3"/>
      <c r="B81" s="53" t="s">
        <v>121</v>
      </c>
      <c r="C81" s="54"/>
      <c r="D81" s="11" t="s">
        <v>122</v>
      </c>
      <c r="E81" s="34">
        <v>0.8</v>
      </c>
      <c r="F81" s="5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>
      <c r="A82" s="3"/>
      <c r="B82" s="55"/>
      <c r="C82" s="56"/>
      <c r="D82" s="11" t="s">
        <v>123</v>
      </c>
      <c r="E82" s="34">
        <v>2.6</v>
      </c>
      <c r="F82" s="5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>
      <c r="A83" s="3"/>
      <c r="B83" s="55"/>
      <c r="C83" s="56"/>
      <c r="D83" s="11" t="s">
        <v>124</v>
      </c>
      <c r="E83" s="34">
        <v>0.5</v>
      </c>
      <c r="F83" s="5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>
      <c r="A84" s="3"/>
      <c r="B84" s="57"/>
      <c r="C84" s="58"/>
      <c r="D84" s="29" t="s">
        <v>125</v>
      </c>
      <c r="E84" s="34">
        <v>0.3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>
      <c r="A85" s="1"/>
      <c r="B85" s="12"/>
      <c r="C85" s="1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56">
    <mergeCell ref="J68:K68"/>
    <mergeCell ref="B77:C77"/>
    <mergeCell ref="B74:C74"/>
    <mergeCell ref="B75:C75"/>
    <mergeCell ref="B76:C76"/>
    <mergeCell ref="B34:C34"/>
    <mergeCell ref="B35:C36"/>
    <mergeCell ref="G53:H53"/>
    <mergeCell ref="J30:K30"/>
    <mergeCell ref="J63:K63"/>
    <mergeCell ref="B51:B55"/>
    <mergeCell ref="C51:C55"/>
    <mergeCell ref="B37:C38"/>
    <mergeCell ref="B39:B46"/>
    <mergeCell ref="C39:C46"/>
    <mergeCell ref="J14:K14"/>
    <mergeCell ref="G9:H9"/>
    <mergeCell ref="G19:H19"/>
    <mergeCell ref="J19:K19"/>
    <mergeCell ref="B28:C28"/>
    <mergeCell ref="B2:E2"/>
    <mergeCell ref="G2:K2"/>
    <mergeCell ref="M2:Q2"/>
    <mergeCell ref="J9:K9"/>
    <mergeCell ref="B9:B13"/>
    <mergeCell ref="C9:C13"/>
    <mergeCell ref="B7:C8"/>
    <mergeCell ref="J24:K24"/>
    <mergeCell ref="G26:H26"/>
    <mergeCell ref="B73:C73"/>
    <mergeCell ref="G70:H70"/>
    <mergeCell ref="B57:B65"/>
    <mergeCell ref="C57:C61"/>
    <mergeCell ref="C62:C63"/>
    <mergeCell ref="G63:H63"/>
    <mergeCell ref="C64:C65"/>
    <mergeCell ref="G33:H33"/>
    <mergeCell ref="J53:K53"/>
    <mergeCell ref="B56:C56"/>
    <mergeCell ref="J58:K58"/>
    <mergeCell ref="B33:C33"/>
    <mergeCell ref="B29:C29"/>
    <mergeCell ref="B30:C32"/>
    <mergeCell ref="B81:C84"/>
    <mergeCell ref="B66:B67"/>
    <mergeCell ref="C66:C67"/>
    <mergeCell ref="B69:B72"/>
    <mergeCell ref="C69:C71"/>
    <mergeCell ref="B78:C79"/>
    <mergeCell ref="B80:C80"/>
    <mergeCell ref="B14:C14"/>
    <mergeCell ref="B15:B24"/>
    <mergeCell ref="C15:C19"/>
    <mergeCell ref="C22:C23"/>
    <mergeCell ref="C26:C27"/>
    <mergeCell ref="B26:B27"/>
  </mergeCells>
  <phoneticPr fontId="7" type="noConversion"/>
  <pageMargins left="0.7" right="0.7" top="0.75" bottom="0.75" header="0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E37AA-EB0E-4D5B-BA5D-216778D4708B}">
  <dimension ref="A1:Z1001"/>
  <sheetViews>
    <sheetView topLeftCell="A43" workbookViewId="0">
      <selection activeCell="E75" sqref="E75"/>
    </sheetView>
  </sheetViews>
  <sheetFormatPr defaultColWidth="14.42578125" defaultRowHeight="15" customHeight="1"/>
  <cols>
    <col min="1" max="1" width="3.7109375" customWidth="1"/>
    <col min="2" max="2" width="13" customWidth="1"/>
    <col min="3" max="3" width="12.85546875" customWidth="1"/>
    <col min="4" max="4" width="29.28515625" customWidth="1"/>
    <col min="5" max="5" width="12.7109375" customWidth="1"/>
    <col min="6" max="6" width="3.28515625" customWidth="1"/>
    <col min="7" max="7" width="19.85546875" customWidth="1"/>
    <col min="8" max="8" width="10.85546875" customWidth="1"/>
    <col min="9" max="9" width="3" customWidth="1"/>
    <col min="10" max="10" width="25" customWidth="1"/>
    <col min="11" max="11" width="8.7109375" customWidth="1"/>
    <col min="12" max="12" width="3" customWidth="1"/>
    <col min="13" max="13" width="25.28515625" customWidth="1"/>
    <col min="14" max="14" width="19.28515625" customWidth="1"/>
    <col min="15" max="15" width="21.5703125" customWidth="1"/>
    <col min="16" max="16" width="27.140625" customWidth="1"/>
    <col min="17" max="17" width="14.7109375" customWidth="1"/>
  </cols>
  <sheetData>
    <row r="1" spans="1:26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1"/>
      <c r="B2" s="64" t="s">
        <v>0</v>
      </c>
      <c r="C2" s="65"/>
      <c r="D2" s="65"/>
      <c r="E2" s="66"/>
      <c r="F2" s="1"/>
      <c r="G2" s="64" t="s">
        <v>1</v>
      </c>
      <c r="H2" s="65"/>
      <c r="I2" s="65"/>
      <c r="J2" s="65"/>
      <c r="K2" s="66"/>
      <c r="L2" s="1"/>
      <c r="M2" s="64" t="s">
        <v>2</v>
      </c>
      <c r="N2" s="65"/>
      <c r="O2" s="65"/>
      <c r="P2" s="65"/>
      <c r="Q2" s="66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customHeight="1">
      <c r="A4" s="3"/>
      <c r="B4" s="4" t="s">
        <v>3</v>
      </c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>
      <c r="A5" s="1"/>
      <c r="B5" s="6"/>
      <c r="C5" s="2"/>
      <c r="D5" s="2"/>
      <c r="E5" s="2"/>
      <c r="F5" s="1"/>
      <c r="G5" s="2"/>
      <c r="H5" s="2"/>
      <c r="I5" s="1"/>
      <c r="J5" s="2"/>
      <c r="K5" s="2"/>
      <c r="L5" s="1"/>
      <c r="M5" s="2"/>
      <c r="N5" s="2"/>
      <c r="O5" s="2"/>
      <c r="P5" s="2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>
      <c r="A6" s="3"/>
      <c r="B6" s="38" t="s">
        <v>4</v>
      </c>
      <c r="C6" s="38" t="s">
        <v>5</v>
      </c>
      <c r="D6" s="38" t="s">
        <v>6</v>
      </c>
      <c r="E6" s="38" t="s">
        <v>7</v>
      </c>
      <c r="F6" s="7"/>
      <c r="G6" s="8" t="s">
        <v>8</v>
      </c>
      <c r="H6" s="9">
        <f>ROUNDDOWN(SUM(H10:H17)*(1+K10+K11),0)</f>
        <v>358769</v>
      </c>
      <c r="I6" s="7"/>
      <c r="J6" s="4" t="s">
        <v>9</v>
      </c>
      <c r="K6" s="9">
        <f>ROUNDDOWN((H6*H7/6)^0.5*(1+SUM(K20:K21)),0)</f>
        <v>79367</v>
      </c>
      <c r="L6" s="7"/>
      <c r="M6" s="8" t="s">
        <v>10</v>
      </c>
      <c r="N6" s="10">
        <f>0.25/699*E8*(1+K31+K32)</f>
        <v>0.27896995708154504</v>
      </c>
      <c r="O6" s="8" t="s">
        <v>11</v>
      </c>
      <c r="P6" s="10">
        <f>E32*0.01</f>
        <v>0.06</v>
      </c>
      <c r="Q6" s="5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>
      <c r="A7" s="3"/>
      <c r="B7" s="68" t="s">
        <v>12</v>
      </c>
      <c r="C7" s="68"/>
      <c r="D7" s="41" t="s">
        <v>129</v>
      </c>
      <c r="E7" s="42">
        <v>1850</v>
      </c>
      <c r="F7" s="7"/>
      <c r="G7" s="8" t="s">
        <v>13</v>
      </c>
      <c r="H7" s="9">
        <f>ROUNDDOWN(SUM(H20:H24)*(1+K15+K16),0)</f>
        <v>95643</v>
      </c>
      <c r="I7" s="5"/>
      <c r="J7" s="12"/>
      <c r="K7" s="12"/>
      <c r="L7" s="3"/>
      <c r="M7" s="8" t="s">
        <v>14</v>
      </c>
      <c r="N7" s="10">
        <f>SUM(K25:K28)</f>
        <v>0.08</v>
      </c>
      <c r="O7" s="8" t="s">
        <v>15</v>
      </c>
      <c r="P7" s="45">
        <f>0.1*(1+N9)</f>
        <v>0.1</v>
      </c>
      <c r="Q7" s="5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>
      <c r="A8" s="3"/>
      <c r="B8" s="68"/>
      <c r="C8" s="68"/>
      <c r="D8" s="39" t="s">
        <v>126</v>
      </c>
      <c r="E8" s="13">
        <v>650</v>
      </c>
      <c r="F8" s="5"/>
      <c r="G8" s="6"/>
      <c r="H8" s="6"/>
      <c r="I8" s="1"/>
      <c r="J8" s="2"/>
      <c r="K8" s="2"/>
      <c r="L8" s="3"/>
      <c r="M8" s="8" t="s">
        <v>19</v>
      </c>
      <c r="N8" s="10">
        <f>SUM(H27:H31)</f>
        <v>0.4904</v>
      </c>
      <c r="O8" s="44" t="s">
        <v>20</v>
      </c>
      <c r="P8" s="47">
        <f>10/(60*(1-E7*0.0002147)*0.95*0.92)</f>
        <v>0.31634463320791978</v>
      </c>
      <c r="Q8" s="5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>
      <c r="A9" s="3"/>
      <c r="B9" s="51" t="s">
        <v>16</v>
      </c>
      <c r="C9" s="67" t="s">
        <v>17</v>
      </c>
      <c r="D9" s="39" t="s">
        <v>18</v>
      </c>
      <c r="E9" s="13">
        <v>46228</v>
      </c>
      <c r="F9" s="7"/>
      <c r="G9" s="62" t="s">
        <v>22</v>
      </c>
      <c r="H9" s="61"/>
      <c r="I9" s="7"/>
      <c r="J9" s="62" t="s">
        <v>23</v>
      </c>
      <c r="K9" s="61"/>
      <c r="L9" s="7"/>
      <c r="M9" s="8" t="s">
        <v>24</v>
      </c>
      <c r="N9" s="10">
        <f>SUM(H34:H35)</f>
        <v>0</v>
      </c>
      <c r="O9" s="8" t="s">
        <v>25</v>
      </c>
      <c r="P9" s="46">
        <v>1</v>
      </c>
      <c r="Q9" s="5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>
      <c r="A10" s="3"/>
      <c r="B10" s="51"/>
      <c r="C10" s="51"/>
      <c r="D10" s="36" t="s">
        <v>21</v>
      </c>
      <c r="E10" s="13">
        <v>49200</v>
      </c>
      <c r="F10" s="7"/>
      <c r="G10" s="29" t="s">
        <v>27</v>
      </c>
      <c r="H10" s="15">
        <v>477</v>
      </c>
      <c r="I10" s="7"/>
      <c r="J10" s="29" t="s">
        <v>28</v>
      </c>
      <c r="K10" s="10">
        <f>E29</f>
        <v>0.08</v>
      </c>
      <c r="L10" s="5"/>
      <c r="M10" s="12"/>
      <c r="N10" s="16"/>
      <c r="O10" s="8" t="s">
        <v>29</v>
      </c>
      <c r="P10" s="19">
        <v>1</v>
      </c>
      <c r="Q10" s="5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>
      <c r="A11" s="3"/>
      <c r="B11" s="51"/>
      <c r="C11" s="51"/>
      <c r="D11" s="29" t="s">
        <v>26</v>
      </c>
      <c r="E11" s="13">
        <v>36982</v>
      </c>
      <c r="F11" s="7"/>
      <c r="G11" s="29" t="s">
        <v>31</v>
      </c>
      <c r="H11" s="13">
        <v>1500</v>
      </c>
      <c r="I11" s="7"/>
      <c r="J11" s="29" t="s">
        <v>32</v>
      </c>
      <c r="K11" s="17">
        <f>E28</f>
        <v>0.01</v>
      </c>
      <c r="L11" s="5"/>
      <c r="M11" s="2"/>
      <c r="N11" s="2"/>
      <c r="O11" s="12"/>
      <c r="P11" s="12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>
      <c r="A12" s="3"/>
      <c r="B12" s="51"/>
      <c r="C12" s="51"/>
      <c r="D12" s="29" t="s">
        <v>30</v>
      </c>
      <c r="E12" s="13">
        <v>39954</v>
      </c>
      <c r="F12" s="7"/>
      <c r="G12" s="29" t="s">
        <v>34</v>
      </c>
      <c r="H12" s="13">
        <v>218</v>
      </c>
      <c r="I12" s="5"/>
      <c r="J12" s="12"/>
      <c r="K12" s="12"/>
      <c r="L12" s="3"/>
      <c r="M12" s="18" t="s">
        <v>35</v>
      </c>
      <c r="N12" s="18" t="s">
        <v>36</v>
      </c>
      <c r="O12" s="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>
      <c r="A13" s="3"/>
      <c r="B13" s="52"/>
      <c r="C13" s="52"/>
      <c r="D13" s="29" t="s">
        <v>33</v>
      </c>
      <c r="E13" s="13">
        <v>55473</v>
      </c>
      <c r="F13" s="7"/>
      <c r="G13" s="29" t="s">
        <v>16</v>
      </c>
      <c r="H13" s="29">
        <f>SUM(E9:E13)</f>
        <v>227837</v>
      </c>
      <c r="I13" s="5"/>
      <c r="J13" s="2"/>
      <c r="K13" s="2"/>
      <c r="L13" s="3"/>
      <c r="M13" s="18" t="s">
        <v>38</v>
      </c>
      <c r="N13" s="10">
        <f>0.1*(1+0.63/699*E8)*(1+N9+E32*0.01)</f>
        <v>0.16809871244635194</v>
      </c>
      <c r="O13" s="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>
      <c r="A14" s="3"/>
      <c r="B14" s="48" t="s">
        <v>37</v>
      </c>
      <c r="C14" s="49"/>
      <c r="D14" s="29" t="s">
        <v>13</v>
      </c>
      <c r="E14" s="13">
        <v>80139</v>
      </c>
      <c r="F14" s="7"/>
      <c r="G14" s="29" t="s">
        <v>39</v>
      </c>
      <c r="H14" s="29">
        <f>SUM(E15:E19)</f>
        <v>50184</v>
      </c>
      <c r="I14" s="7"/>
      <c r="J14" s="62" t="s">
        <v>41</v>
      </c>
      <c r="K14" s="61"/>
      <c r="L14" s="7"/>
      <c r="M14" s="8" t="s">
        <v>42</v>
      </c>
      <c r="N14" s="19">
        <v>0.4</v>
      </c>
      <c r="O14" s="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>
      <c r="A15" s="3"/>
      <c r="B15" s="50" t="s">
        <v>39</v>
      </c>
      <c r="C15" s="50" t="s">
        <v>17</v>
      </c>
      <c r="D15" s="29" t="s">
        <v>40</v>
      </c>
      <c r="E15" s="13">
        <v>12546</v>
      </c>
      <c r="F15" s="7"/>
      <c r="G15" s="29" t="s">
        <v>44</v>
      </c>
      <c r="H15" s="29">
        <f>E39</f>
        <v>0</v>
      </c>
      <c r="I15" s="7"/>
      <c r="J15" s="29" t="s">
        <v>45</v>
      </c>
      <c r="K15" s="10">
        <f>E21</f>
        <v>0</v>
      </c>
      <c r="L15" s="5"/>
      <c r="M15" s="12"/>
      <c r="N15" s="1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>
      <c r="A16" s="3"/>
      <c r="B16" s="51"/>
      <c r="C16" s="51"/>
      <c r="D16" s="29" t="s">
        <v>43</v>
      </c>
      <c r="E16" s="13">
        <v>9758</v>
      </c>
      <c r="F16" s="7"/>
      <c r="G16" s="29" t="s">
        <v>47</v>
      </c>
      <c r="H16" s="29">
        <f>E26</f>
        <v>0</v>
      </c>
      <c r="I16" s="7"/>
      <c r="J16" s="29" t="s">
        <v>48</v>
      </c>
      <c r="K16" s="10">
        <f>E34*0.001</f>
        <v>0</v>
      </c>
      <c r="L16" s="5"/>
      <c r="M16" s="2"/>
      <c r="N16" s="2"/>
      <c r="O16" s="2"/>
      <c r="P16" s="2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>
      <c r="A17" s="3"/>
      <c r="B17" s="51"/>
      <c r="C17" s="51"/>
      <c r="D17" s="29" t="s">
        <v>46</v>
      </c>
      <c r="E17" s="13">
        <v>9758</v>
      </c>
      <c r="F17" s="7"/>
      <c r="G17" s="29" t="s">
        <v>50</v>
      </c>
      <c r="H17" s="29">
        <v>48930</v>
      </c>
      <c r="I17" s="5"/>
      <c r="J17" s="12"/>
      <c r="K17" s="12"/>
      <c r="L17" s="3"/>
      <c r="M17" s="18"/>
      <c r="N17" s="18" t="s">
        <v>51</v>
      </c>
      <c r="O17" s="20" t="s">
        <v>52</v>
      </c>
      <c r="P17" s="8" t="s">
        <v>53</v>
      </c>
      <c r="Q17" s="5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>
      <c r="A18" s="3"/>
      <c r="B18" s="51"/>
      <c r="C18" s="51"/>
      <c r="D18" s="29" t="s">
        <v>49</v>
      </c>
      <c r="E18" s="13">
        <v>9061</v>
      </c>
      <c r="F18" s="5"/>
      <c r="G18" s="6"/>
      <c r="H18" s="6"/>
      <c r="I18" s="1"/>
      <c r="J18" s="2"/>
      <c r="K18" s="2"/>
      <c r="L18" s="3"/>
      <c r="M18" s="18" t="s">
        <v>55</v>
      </c>
      <c r="N18" s="21">
        <f>ROUNDDOWN(K50*(1+E78),0)</f>
        <v>97361</v>
      </c>
      <c r="O18" s="29" t="s">
        <v>56</v>
      </c>
      <c r="P18" s="29" t="s">
        <v>56</v>
      </c>
      <c r="Q18" s="5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>
      <c r="A19" s="3"/>
      <c r="B19" s="51"/>
      <c r="C19" s="52"/>
      <c r="D19" s="29" t="s">
        <v>54</v>
      </c>
      <c r="E19" s="13">
        <v>9061</v>
      </c>
      <c r="F19" s="7"/>
      <c r="G19" s="62" t="s">
        <v>57</v>
      </c>
      <c r="H19" s="61"/>
      <c r="I19" s="7"/>
      <c r="J19" s="62" t="s">
        <v>58</v>
      </c>
      <c r="K19" s="61"/>
      <c r="L19" s="7"/>
      <c r="M19" s="8" t="s">
        <v>59</v>
      </c>
      <c r="N19" s="29">
        <f>ROUNDDOWN(((K50+K6*0.15*(1+N8)*(1+SUM(K69:K74)))*(1.06+E78))*P9+(1-P9)*N18, 0)</f>
        <v>123851</v>
      </c>
      <c r="O19" s="10">
        <f>N19/(N18*(1+E78))-1</f>
        <v>0.272080196382535</v>
      </c>
      <c r="P19" s="10">
        <f t="shared" ref="P19:P21" si="0">O19/(1+O19)</f>
        <v>0.21388604048413007</v>
      </c>
      <c r="Q19" s="5"/>
      <c r="R19" s="1"/>
      <c r="S19" s="1"/>
      <c r="T19" s="1"/>
      <c r="U19" s="1"/>
      <c r="V19" s="1"/>
      <c r="W19" s="1"/>
      <c r="X19" s="1"/>
      <c r="Y19" s="1"/>
      <c r="Z19" s="1"/>
    </row>
    <row r="20" spans="1:26" ht="16.5">
      <c r="A20" s="3"/>
      <c r="B20" s="51"/>
      <c r="C20" s="29" t="s">
        <v>40</v>
      </c>
      <c r="D20" s="29" t="s">
        <v>14</v>
      </c>
      <c r="E20" s="19">
        <v>0</v>
      </c>
      <c r="F20" s="7"/>
      <c r="G20" s="29" t="s">
        <v>37</v>
      </c>
      <c r="H20" s="29">
        <f>E14</f>
        <v>80139</v>
      </c>
      <c r="I20" s="7"/>
      <c r="J20" s="29" t="s">
        <v>61</v>
      </c>
      <c r="K20" s="10">
        <f>E30</f>
        <v>4.9500000000000002E-2</v>
      </c>
      <c r="L20" s="7"/>
      <c r="M20" s="8" t="s">
        <v>62</v>
      </c>
      <c r="N20" s="29">
        <f>ROUNDDOWN(N19*(1+0.1*(1+N7))*P10+N19*(1-P10), 0)</f>
        <v>137226</v>
      </c>
      <c r="O20" s="10">
        <f>N20/N18-1</f>
        <v>0.40945553147564229</v>
      </c>
      <c r="P20" s="10">
        <f t="shared" si="0"/>
        <v>0.29050617229970999</v>
      </c>
      <c r="Q20" s="5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>
      <c r="A21" s="3"/>
      <c r="B21" s="51"/>
      <c r="C21" s="29" t="s">
        <v>60</v>
      </c>
      <c r="D21" s="29" t="s">
        <v>41</v>
      </c>
      <c r="E21" s="19">
        <v>0</v>
      </c>
      <c r="F21" s="7"/>
      <c r="G21" s="29" t="s">
        <v>65</v>
      </c>
      <c r="H21" s="29">
        <f>E24</f>
        <v>0</v>
      </c>
      <c r="I21" s="7"/>
      <c r="J21" s="29" t="s">
        <v>66</v>
      </c>
      <c r="K21" s="10">
        <f>E25</f>
        <v>0</v>
      </c>
      <c r="L21" s="7"/>
      <c r="M21" s="22" t="s">
        <v>67</v>
      </c>
      <c r="N21" s="29">
        <f>ROUNDDOWN(N20*(1-MAX(N14,P8))+N20*(1+N13+P7)*MIN(N14,P8)+N20*IF(N14&gt;P8, (1+N13)*ABS(N14-P8), (1+P7)*ABS(N14-P8)),0)</f>
        <v>150794</v>
      </c>
      <c r="O21" s="10">
        <f>N21/N18-1</f>
        <v>0.5488131798153264</v>
      </c>
      <c r="P21" s="23">
        <f t="shared" si="0"/>
        <v>0.35434433730785042</v>
      </c>
      <c r="Q21" s="5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3"/>
      <c r="B22" s="51"/>
      <c r="C22" s="50" t="s">
        <v>63</v>
      </c>
      <c r="D22" s="29" t="s">
        <v>64</v>
      </c>
      <c r="E22" s="19">
        <v>0</v>
      </c>
      <c r="F22" s="7"/>
      <c r="G22" s="29" t="s">
        <v>44</v>
      </c>
      <c r="H22" s="29">
        <f>E40</f>
        <v>0</v>
      </c>
      <c r="I22" s="5"/>
      <c r="J22" s="12"/>
      <c r="K22" s="12"/>
      <c r="L22" s="1"/>
      <c r="M22" s="12"/>
      <c r="N22" s="12"/>
      <c r="O22" s="12"/>
      <c r="P22" s="12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>
      <c r="A23" s="3"/>
      <c r="B23" s="51"/>
      <c r="C23" s="52"/>
      <c r="D23" s="29" t="s">
        <v>68</v>
      </c>
      <c r="E23" s="19">
        <v>0</v>
      </c>
      <c r="F23" s="7"/>
      <c r="G23" s="29" t="s">
        <v>47</v>
      </c>
      <c r="H23" s="29">
        <f>E27</f>
        <v>0</v>
      </c>
      <c r="I23" s="5"/>
      <c r="J23" s="2"/>
      <c r="K23" s="2"/>
      <c r="L23" s="1"/>
      <c r="M23" s="2"/>
      <c r="N23" s="24"/>
      <c r="O23" s="2"/>
      <c r="P23" s="2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>
      <c r="A24" s="3"/>
      <c r="B24" s="52"/>
      <c r="C24" s="29" t="s">
        <v>69</v>
      </c>
      <c r="D24" s="29" t="s">
        <v>70</v>
      </c>
      <c r="E24" s="13">
        <v>0</v>
      </c>
      <c r="F24" s="7"/>
      <c r="G24" s="29" t="s">
        <v>50</v>
      </c>
      <c r="H24" s="29">
        <v>15504</v>
      </c>
      <c r="I24" s="7"/>
      <c r="J24" s="62" t="s">
        <v>72</v>
      </c>
      <c r="K24" s="61"/>
      <c r="L24" s="7"/>
      <c r="M24" s="18" t="s">
        <v>73</v>
      </c>
      <c r="N24" s="18" t="s">
        <v>51</v>
      </c>
      <c r="O24" s="20" t="s">
        <v>52</v>
      </c>
      <c r="P24" s="8" t="s">
        <v>74</v>
      </c>
      <c r="Q24" s="5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>
      <c r="A25" s="3"/>
      <c r="B25" s="29" t="s">
        <v>71</v>
      </c>
      <c r="C25" s="29" t="s">
        <v>66</v>
      </c>
      <c r="D25" s="29" t="s">
        <v>58</v>
      </c>
      <c r="E25" s="19">
        <v>0</v>
      </c>
      <c r="F25" s="5"/>
      <c r="G25" s="6"/>
      <c r="H25" s="6"/>
      <c r="I25" s="3"/>
      <c r="J25" s="29" t="s">
        <v>77</v>
      </c>
      <c r="K25" s="19">
        <v>0</v>
      </c>
      <c r="L25" s="7"/>
      <c r="M25" s="18" t="s">
        <v>78</v>
      </c>
      <c r="N25" s="15">
        <f>ROUNDDOWN((N18*(1+E83)*E81*E82+N18*(1+E83)*(1-E81))*(6500/(6500*(1-E79)+6500))*(1+E80)*(1+E84), 0)</f>
        <v>248898</v>
      </c>
      <c r="O25" s="15" t="s">
        <v>56</v>
      </c>
      <c r="P25" s="29" t="s">
        <v>56</v>
      </c>
      <c r="Q25" s="5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>
      <c r="A26" s="3"/>
      <c r="B26" s="50" t="s">
        <v>75</v>
      </c>
      <c r="C26" s="50" t="s">
        <v>127</v>
      </c>
      <c r="D26" s="29" t="s">
        <v>76</v>
      </c>
      <c r="E26" s="13">
        <v>0</v>
      </c>
      <c r="F26" s="7"/>
      <c r="G26" s="62" t="s">
        <v>79</v>
      </c>
      <c r="H26" s="61"/>
      <c r="I26" s="7"/>
      <c r="J26" s="29" t="s">
        <v>80</v>
      </c>
      <c r="K26" s="10">
        <f>E33*0.01</f>
        <v>0</v>
      </c>
      <c r="L26" s="7"/>
      <c r="M26" s="18" t="s">
        <v>81</v>
      </c>
      <c r="N26" s="21">
        <f>ROUNDDOWN((N21*(E81+E42)*(E82+E41)+N21*(1-E81-E42))*(1+E83+E37)*(1+E80+E35)*(1+E36)*(6500/(6500*(1-E79)*(1-E43)+6500))*(1+E44)*(1+E84+E38), 0)</f>
        <v>433897</v>
      </c>
      <c r="O26" s="10">
        <f>N26/N25-1</f>
        <v>0.74327234449453194</v>
      </c>
      <c r="P26" s="25">
        <f>O26/(1+O26)</f>
        <v>0.4263661652419814</v>
      </c>
      <c r="Q26" s="5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>
      <c r="A27" s="3"/>
      <c r="B27" s="52"/>
      <c r="C27" s="52"/>
      <c r="D27" s="29" t="s">
        <v>70</v>
      </c>
      <c r="E27" s="13">
        <v>0</v>
      </c>
      <c r="F27" s="7"/>
      <c r="G27" s="29" t="s">
        <v>75</v>
      </c>
      <c r="H27" s="28">
        <v>0.24</v>
      </c>
      <c r="I27" s="7"/>
      <c r="J27" s="29" t="s">
        <v>84</v>
      </c>
      <c r="K27" s="10">
        <f>E20</f>
        <v>0</v>
      </c>
      <c r="L27" s="5"/>
      <c r="M27" s="12"/>
      <c r="N27" s="12"/>
      <c r="O27" s="12"/>
      <c r="P27" s="12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>
      <c r="A28" s="3"/>
      <c r="B28" s="63" t="s">
        <v>82</v>
      </c>
      <c r="C28" s="69"/>
      <c r="D28" s="26" t="s">
        <v>83</v>
      </c>
      <c r="E28" s="27">
        <v>0.01</v>
      </c>
      <c r="F28" s="7"/>
      <c r="G28" s="29" t="s">
        <v>50</v>
      </c>
      <c r="H28" s="10">
        <v>0.19040000000000001</v>
      </c>
      <c r="I28" s="7"/>
      <c r="J28" s="29" t="s">
        <v>86</v>
      </c>
      <c r="K28" s="10">
        <v>0.08</v>
      </c>
      <c r="L28" s="5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>
      <c r="A29" s="3"/>
      <c r="B29" s="48" t="s">
        <v>28</v>
      </c>
      <c r="C29" s="49"/>
      <c r="D29" s="29" t="s">
        <v>85</v>
      </c>
      <c r="E29" s="19">
        <v>0.08</v>
      </c>
      <c r="F29" s="7"/>
      <c r="G29" s="29" t="s">
        <v>88</v>
      </c>
      <c r="H29" s="10">
        <f>E22</f>
        <v>0</v>
      </c>
      <c r="I29" s="5"/>
      <c r="J29" s="6"/>
      <c r="K29" s="6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>
      <c r="A30" s="3"/>
      <c r="B30" s="53" t="s">
        <v>61</v>
      </c>
      <c r="C30" s="70"/>
      <c r="D30" s="29" t="s">
        <v>87</v>
      </c>
      <c r="E30" s="19">
        <v>4.9500000000000002E-2</v>
      </c>
      <c r="F30" s="7"/>
      <c r="G30" s="29" t="s">
        <v>61</v>
      </c>
      <c r="H30" s="10">
        <f>E31*0.01</f>
        <v>0.06</v>
      </c>
      <c r="I30" s="7"/>
      <c r="J30" s="62" t="s">
        <v>90</v>
      </c>
      <c r="K30" s="61"/>
      <c r="L30" s="5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>
      <c r="A31" s="3"/>
      <c r="B31" s="67"/>
      <c r="C31" s="71"/>
      <c r="D31" s="29" t="s">
        <v>89</v>
      </c>
      <c r="E31" s="13">
        <v>6</v>
      </c>
      <c r="F31" s="7"/>
      <c r="G31" s="29" t="s">
        <v>44</v>
      </c>
      <c r="H31" s="10">
        <f>E45</f>
        <v>0</v>
      </c>
      <c r="I31" s="7"/>
      <c r="J31" s="29" t="s">
        <v>84</v>
      </c>
      <c r="K31" s="19">
        <v>0</v>
      </c>
      <c r="L31" s="5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>
      <c r="A32" s="3"/>
      <c r="B32" s="72"/>
      <c r="C32" s="73"/>
      <c r="D32" s="29" t="s">
        <v>91</v>
      </c>
      <c r="E32" s="13">
        <v>6</v>
      </c>
      <c r="F32" s="5"/>
      <c r="G32" s="6"/>
      <c r="H32" s="6"/>
      <c r="I32" s="3"/>
      <c r="J32" s="29" t="s">
        <v>93</v>
      </c>
      <c r="K32" s="19">
        <v>0.2</v>
      </c>
      <c r="L32" s="5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>
      <c r="A33" s="3"/>
      <c r="B33" s="48" t="s">
        <v>80</v>
      </c>
      <c r="C33" s="49"/>
      <c r="D33" s="29" t="s">
        <v>92</v>
      </c>
      <c r="E33" s="13">
        <v>0</v>
      </c>
      <c r="F33" s="7"/>
      <c r="G33" s="62" t="s">
        <v>95</v>
      </c>
      <c r="H33" s="61"/>
      <c r="I33" s="5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>
      <c r="A34" s="3"/>
      <c r="B34" s="48" t="s">
        <v>48</v>
      </c>
      <c r="C34" s="49"/>
      <c r="D34" s="29" t="s">
        <v>94</v>
      </c>
      <c r="E34" s="13">
        <v>0</v>
      </c>
      <c r="F34" s="7"/>
      <c r="G34" s="29" t="s">
        <v>88</v>
      </c>
      <c r="H34" s="10">
        <f>E23</f>
        <v>0</v>
      </c>
      <c r="I34" s="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>
      <c r="A35" s="3"/>
      <c r="B35" s="53" t="s">
        <v>96</v>
      </c>
      <c r="C35" s="70"/>
      <c r="D35" s="29" t="s">
        <v>97</v>
      </c>
      <c r="E35" s="19">
        <v>3.5000000000000003E-2</v>
      </c>
      <c r="F35" s="7"/>
      <c r="G35" s="29" t="s">
        <v>44</v>
      </c>
      <c r="H35" s="28">
        <f>E46</f>
        <v>0</v>
      </c>
      <c r="I35" s="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>
      <c r="A36" s="3"/>
      <c r="B36" s="72"/>
      <c r="C36" s="73"/>
      <c r="D36" s="29" t="s">
        <v>98</v>
      </c>
      <c r="E36" s="13">
        <v>0</v>
      </c>
      <c r="F36" s="5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>
      <c r="A37" s="3"/>
      <c r="B37" s="53" t="s">
        <v>128</v>
      </c>
      <c r="C37" s="70"/>
      <c r="D37" s="29" t="s">
        <v>99</v>
      </c>
      <c r="E37" s="34">
        <v>0</v>
      </c>
      <c r="F37" s="5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>
      <c r="A38" s="3"/>
      <c r="B38" s="72"/>
      <c r="C38" s="73"/>
      <c r="D38" s="29" t="s">
        <v>100</v>
      </c>
      <c r="E38" s="34">
        <v>0.12</v>
      </c>
      <c r="F38" s="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>
      <c r="A39" s="3"/>
      <c r="B39" s="50" t="s">
        <v>44</v>
      </c>
      <c r="C39" s="50" t="s">
        <v>6</v>
      </c>
      <c r="D39" s="29" t="s">
        <v>8</v>
      </c>
      <c r="E39" s="13">
        <v>0</v>
      </c>
      <c r="F39" s="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>
      <c r="A40" s="3"/>
      <c r="B40" s="51"/>
      <c r="C40" s="51"/>
      <c r="D40" s="29" t="s">
        <v>13</v>
      </c>
      <c r="E40" s="13">
        <v>0</v>
      </c>
      <c r="F40" s="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>
      <c r="A41" s="3"/>
      <c r="B41" s="51"/>
      <c r="C41" s="51"/>
      <c r="D41" s="29" t="s">
        <v>101</v>
      </c>
      <c r="E41" s="19">
        <v>0</v>
      </c>
      <c r="F41" s="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>
      <c r="A42" s="3"/>
      <c r="B42" s="51"/>
      <c r="C42" s="51"/>
      <c r="D42" s="29" t="s">
        <v>102</v>
      </c>
      <c r="E42" s="19">
        <v>0</v>
      </c>
      <c r="F42" s="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>
      <c r="A43" s="3"/>
      <c r="B43" s="51"/>
      <c r="C43" s="51"/>
      <c r="D43" s="29" t="s">
        <v>103</v>
      </c>
      <c r="E43" s="19">
        <v>0</v>
      </c>
      <c r="F43" s="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>
      <c r="A44" s="3"/>
      <c r="B44" s="51"/>
      <c r="C44" s="51"/>
      <c r="D44" s="29" t="s">
        <v>104</v>
      </c>
      <c r="E44" s="19">
        <v>0</v>
      </c>
      <c r="F44" s="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3"/>
      <c r="B45" s="51"/>
      <c r="C45" s="51"/>
      <c r="D45" s="29" t="s">
        <v>64</v>
      </c>
      <c r="E45" s="19">
        <v>0</v>
      </c>
      <c r="F45" s="5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"/>
      <c r="B46" s="52"/>
      <c r="C46" s="52"/>
      <c r="D46" s="29" t="s">
        <v>68</v>
      </c>
      <c r="E46" s="19"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3"/>
      <c r="B48" s="35" t="s">
        <v>105</v>
      </c>
      <c r="C48" s="5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"/>
      <c r="B49" s="6"/>
      <c r="C49" s="2"/>
      <c r="D49" s="2"/>
      <c r="E49" s="2"/>
      <c r="F49" s="1"/>
      <c r="G49" s="2"/>
      <c r="H49" s="2"/>
      <c r="I49" s="1"/>
      <c r="J49" s="2"/>
      <c r="K49" s="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3"/>
      <c r="B50" s="8" t="s">
        <v>4</v>
      </c>
      <c r="C50" s="8" t="s">
        <v>5</v>
      </c>
      <c r="D50" s="8" t="s">
        <v>6</v>
      </c>
      <c r="E50" s="8" t="s">
        <v>7</v>
      </c>
      <c r="F50" s="7"/>
      <c r="G50" s="8" t="s">
        <v>8</v>
      </c>
      <c r="H50" s="9">
        <f>ROUNDDOWN(SUM(H54:H61)*(1+K54+K55),0)</f>
        <v>376086</v>
      </c>
      <c r="I50" s="7"/>
      <c r="J50" s="35" t="s">
        <v>106</v>
      </c>
      <c r="K50" s="9">
        <f>ROUNDDOWN(((H50*H51/6)^0.5*(1+SUM(K64:K65))+SUM(H71:H73))*(1+SUM(K69:K74)),0)</f>
        <v>97361</v>
      </c>
      <c r="L50" s="31"/>
      <c r="M50" s="32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3"/>
      <c r="B51" s="50" t="s">
        <v>16</v>
      </c>
      <c r="C51" s="50" t="s">
        <v>17</v>
      </c>
      <c r="D51" s="29" t="s">
        <v>18</v>
      </c>
      <c r="E51" s="13">
        <v>46228</v>
      </c>
      <c r="F51" s="7"/>
      <c r="G51" s="8" t="s">
        <v>13</v>
      </c>
      <c r="H51" s="9">
        <f>ROUNDDOWN(SUM(H64:H68)*(1+K59+K60),0)</f>
        <v>103175</v>
      </c>
      <c r="I51" s="5"/>
      <c r="J51" s="12"/>
      <c r="K51" s="1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3"/>
      <c r="B52" s="60"/>
      <c r="C52" s="60"/>
      <c r="D52" s="29" t="s">
        <v>21</v>
      </c>
      <c r="E52" s="13">
        <v>49200</v>
      </c>
      <c r="F52" s="5"/>
      <c r="G52" s="6"/>
      <c r="H52" s="6"/>
      <c r="I52" s="1"/>
      <c r="J52" s="2"/>
      <c r="K52" s="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3"/>
      <c r="B53" s="60"/>
      <c r="C53" s="60"/>
      <c r="D53" s="29" t="s">
        <v>26</v>
      </c>
      <c r="E53" s="13">
        <v>36982</v>
      </c>
      <c r="F53" s="7"/>
      <c r="G53" s="62" t="s">
        <v>22</v>
      </c>
      <c r="H53" s="61"/>
      <c r="I53" s="7"/>
      <c r="J53" s="62" t="s">
        <v>23</v>
      </c>
      <c r="K53" s="61"/>
      <c r="L53" s="5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3"/>
      <c r="B54" s="60"/>
      <c r="C54" s="60"/>
      <c r="D54" s="29" t="s">
        <v>30</v>
      </c>
      <c r="E54" s="13">
        <v>39954</v>
      </c>
      <c r="F54" s="7"/>
      <c r="G54" s="29" t="s">
        <v>27</v>
      </c>
      <c r="H54" s="15">
        <v>477</v>
      </c>
      <c r="I54" s="7"/>
      <c r="J54" s="29" t="s">
        <v>28</v>
      </c>
      <c r="K54" s="10">
        <f>E74</f>
        <v>0.08</v>
      </c>
      <c r="L54" s="5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3"/>
      <c r="B55" s="59"/>
      <c r="C55" s="59"/>
      <c r="D55" s="29" t="s">
        <v>33</v>
      </c>
      <c r="E55" s="13">
        <v>55473</v>
      </c>
      <c r="F55" s="7"/>
      <c r="G55" s="29" t="s">
        <v>31</v>
      </c>
      <c r="H55" s="13">
        <v>1500</v>
      </c>
      <c r="I55" s="7"/>
      <c r="J55" s="29" t="s">
        <v>32</v>
      </c>
      <c r="K55" s="17">
        <f>E73</f>
        <v>0.01</v>
      </c>
      <c r="L55" s="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3"/>
      <c r="B56" s="48" t="s">
        <v>37</v>
      </c>
      <c r="C56" s="61"/>
      <c r="D56" s="29" t="s">
        <v>13</v>
      </c>
      <c r="E56" s="13">
        <v>85847</v>
      </c>
      <c r="F56" s="7"/>
      <c r="G56" s="29" t="s">
        <v>34</v>
      </c>
      <c r="H56" s="13">
        <v>218</v>
      </c>
      <c r="I56" s="5"/>
      <c r="J56" s="12"/>
      <c r="K56" s="1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3"/>
      <c r="B57" s="50" t="s">
        <v>39</v>
      </c>
      <c r="C57" s="50" t="s">
        <v>17</v>
      </c>
      <c r="D57" s="29" t="s">
        <v>40</v>
      </c>
      <c r="E57" s="13">
        <v>16517.5</v>
      </c>
      <c r="F57" s="7"/>
      <c r="G57" s="29" t="s">
        <v>16</v>
      </c>
      <c r="H57" s="29">
        <f>SUM(E51:E55)</f>
        <v>227837</v>
      </c>
      <c r="I57" s="5"/>
      <c r="J57" s="2"/>
      <c r="K57" s="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3"/>
      <c r="B58" s="60"/>
      <c r="C58" s="60"/>
      <c r="D58" s="29" t="s">
        <v>43</v>
      </c>
      <c r="E58" s="13">
        <v>12847.5</v>
      </c>
      <c r="F58" s="7"/>
      <c r="G58" s="29" t="s">
        <v>39</v>
      </c>
      <c r="H58" s="29">
        <f>SUM(E57:E61)</f>
        <v>66071.5</v>
      </c>
      <c r="I58" s="7"/>
      <c r="J58" s="62" t="s">
        <v>41</v>
      </c>
      <c r="K58" s="61"/>
      <c r="L58" s="5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3"/>
      <c r="B59" s="60"/>
      <c r="C59" s="60"/>
      <c r="D59" s="29" t="s">
        <v>46</v>
      </c>
      <c r="E59" s="13">
        <v>12847.5</v>
      </c>
      <c r="F59" s="7"/>
      <c r="G59" s="29" t="s">
        <v>44</v>
      </c>
      <c r="H59" s="29">
        <f>E66</f>
        <v>0</v>
      </c>
      <c r="I59" s="7"/>
      <c r="J59" s="29" t="s">
        <v>45</v>
      </c>
      <c r="K59" s="10">
        <f>E63</f>
        <v>1.7999999999999999E-2</v>
      </c>
      <c r="L59" s="5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3"/>
      <c r="B60" s="60"/>
      <c r="C60" s="60"/>
      <c r="D60" s="29" t="s">
        <v>49</v>
      </c>
      <c r="E60" s="13">
        <v>11929.5</v>
      </c>
      <c r="F60" s="7"/>
      <c r="G60" s="29" t="s">
        <v>47</v>
      </c>
      <c r="H60" s="29">
        <f>E70</f>
        <v>0</v>
      </c>
      <c r="I60" s="7"/>
      <c r="J60" s="29" t="s">
        <v>48</v>
      </c>
      <c r="K60" s="10">
        <f>E76*0.001</f>
        <v>0</v>
      </c>
      <c r="L60" s="5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3"/>
      <c r="B61" s="60"/>
      <c r="C61" s="59"/>
      <c r="D61" s="29" t="s">
        <v>54</v>
      </c>
      <c r="E61" s="13">
        <v>11929.5</v>
      </c>
      <c r="F61" s="7"/>
      <c r="G61" s="29" t="s">
        <v>50</v>
      </c>
      <c r="H61" s="29">
        <v>48930</v>
      </c>
      <c r="I61" s="5"/>
      <c r="J61" s="12"/>
      <c r="K61" s="1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3"/>
      <c r="B62" s="60"/>
      <c r="C62" s="50" t="s">
        <v>60</v>
      </c>
      <c r="D62" s="29" t="s">
        <v>107</v>
      </c>
      <c r="E62" s="19">
        <v>9.4999999999999998E-3</v>
      </c>
      <c r="F62" s="5"/>
      <c r="G62" s="6"/>
      <c r="H62" s="6"/>
      <c r="I62" s="1"/>
      <c r="J62" s="2"/>
      <c r="K62" s="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>
      <c r="A63" s="3"/>
      <c r="B63" s="60"/>
      <c r="C63" s="59"/>
      <c r="D63" s="29" t="s">
        <v>41</v>
      </c>
      <c r="E63" s="19">
        <v>1.7999999999999999E-2</v>
      </c>
      <c r="F63" s="7"/>
      <c r="G63" s="62" t="s">
        <v>57</v>
      </c>
      <c r="H63" s="61"/>
      <c r="I63" s="7"/>
      <c r="J63" s="62" t="s">
        <v>58</v>
      </c>
      <c r="K63" s="61"/>
      <c r="L63" s="5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>
      <c r="A64" s="3"/>
      <c r="B64" s="60"/>
      <c r="C64" s="50" t="s">
        <v>69</v>
      </c>
      <c r="D64" s="29" t="s">
        <v>108</v>
      </c>
      <c r="E64" s="13">
        <v>0</v>
      </c>
      <c r="F64" s="7"/>
      <c r="G64" s="29" t="s">
        <v>37</v>
      </c>
      <c r="H64" s="29">
        <f>E56</f>
        <v>85847</v>
      </c>
      <c r="I64" s="7"/>
      <c r="J64" s="29" t="s">
        <v>61</v>
      </c>
      <c r="K64" s="10">
        <f>E75</f>
        <v>4.9500000000000002E-2</v>
      </c>
      <c r="L64" s="5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3"/>
      <c r="B65" s="59"/>
      <c r="C65" s="59"/>
      <c r="D65" s="29" t="s">
        <v>70</v>
      </c>
      <c r="E65" s="13">
        <v>0</v>
      </c>
      <c r="F65" s="7"/>
      <c r="G65" s="29" t="s">
        <v>65</v>
      </c>
      <c r="H65" s="29">
        <f>E65</f>
        <v>0</v>
      </c>
      <c r="I65" s="7"/>
      <c r="J65" s="29" t="s">
        <v>66</v>
      </c>
      <c r="K65" s="10">
        <f>E68</f>
        <v>0</v>
      </c>
      <c r="L65" s="5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>
      <c r="A66" s="3"/>
      <c r="B66" s="50" t="s">
        <v>44</v>
      </c>
      <c r="C66" s="50" t="s">
        <v>109</v>
      </c>
      <c r="D66" s="29" t="s">
        <v>8</v>
      </c>
      <c r="E66" s="13">
        <v>0</v>
      </c>
      <c r="F66" s="7"/>
      <c r="G66" s="29" t="s">
        <v>44</v>
      </c>
      <c r="H66" s="29">
        <f>E67</f>
        <v>0</v>
      </c>
      <c r="I66" s="5"/>
      <c r="J66" s="12"/>
      <c r="K66" s="1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3"/>
      <c r="B67" s="59"/>
      <c r="C67" s="59"/>
      <c r="D67" s="29" t="s">
        <v>13</v>
      </c>
      <c r="E67" s="13">
        <v>0</v>
      </c>
      <c r="F67" s="7"/>
      <c r="G67" s="29" t="s">
        <v>47</v>
      </c>
      <c r="H67" s="29">
        <f>E71</f>
        <v>0</v>
      </c>
      <c r="I67" s="5"/>
      <c r="J67" s="2"/>
      <c r="K67" s="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>
      <c r="A68" s="3"/>
      <c r="B68" s="29" t="s">
        <v>71</v>
      </c>
      <c r="C68" s="29" t="s">
        <v>66</v>
      </c>
      <c r="D68" s="29" t="s">
        <v>58</v>
      </c>
      <c r="E68" s="19">
        <v>0</v>
      </c>
      <c r="F68" s="7"/>
      <c r="G68" s="29" t="s">
        <v>50</v>
      </c>
      <c r="H68" s="29">
        <v>15504</v>
      </c>
      <c r="I68" s="7"/>
      <c r="J68" s="62" t="s">
        <v>107</v>
      </c>
      <c r="K68" s="61"/>
      <c r="L68" s="5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3"/>
      <c r="B69" s="50" t="s">
        <v>75</v>
      </c>
      <c r="C69" s="50" t="s">
        <v>69</v>
      </c>
      <c r="D69" s="29" t="s">
        <v>108</v>
      </c>
      <c r="E69" s="13">
        <v>0</v>
      </c>
      <c r="F69" s="5"/>
      <c r="G69" s="6"/>
      <c r="H69" s="6"/>
      <c r="I69" s="3"/>
      <c r="J69" s="29" t="s">
        <v>45</v>
      </c>
      <c r="K69" s="33">
        <f>E62</f>
        <v>9.4999999999999998E-3</v>
      </c>
      <c r="L69" s="5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3"/>
      <c r="B70" s="60"/>
      <c r="C70" s="60"/>
      <c r="D70" s="29" t="s">
        <v>76</v>
      </c>
      <c r="E70" s="13">
        <v>0</v>
      </c>
      <c r="F70" s="7"/>
      <c r="G70" s="62" t="s">
        <v>110</v>
      </c>
      <c r="H70" s="61"/>
      <c r="I70" s="7"/>
      <c r="J70" s="29" t="s">
        <v>111</v>
      </c>
      <c r="K70" s="10">
        <f>E72</f>
        <v>1.44E-2</v>
      </c>
      <c r="L70" s="5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3"/>
      <c r="B71" s="60"/>
      <c r="C71" s="59"/>
      <c r="D71" s="29" t="s">
        <v>70</v>
      </c>
      <c r="E71" s="13">
        <v>0</v>
      </c>
      <c r="F71" s="7"/>
      <c r="G71" s="29" t="s">
        <v>65</v>
      </c>
      <c r="H71" s="29">
        <f>E64</f>
        <v>0</v>
      </c>
      <c r="I71" s="7"/>
      <c r="J71" s="29" t="s">
        <v>112</v>
      </c>
      <c r="K71" s="33">
        <f>E77</f>
        <v>0</v>
      </c>
      <c r="L71" s="5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>
      <c r="A72" s="3"/>
      <c r="B72" s="59"/>
      <c r="C72" s="29" t="s">
        <v>113</v>
      </c>
      <c r="D72" s="29" t="s">
        <v>107</v>
      </c>
      <c r="E72" s="19">
        <v>1.44E-2</v>
      </c>
      <c r="F72" s="7"/>
      <c r="G72" s="29" t="s">
        <v>47</v>
      </c>
      <c r="H72" s="29">
        <f>E69</f>
        <v>0</v>
      </c>
      <c r="I72" s="7"/>
      <c r="J72" s="29" t="s">
        <v>114</v>
      </c>
      <c r="K72" s="19">
        <v>5.3999999999999999E-2</v>
      </c>
      <c r="L72" s="5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>
      <c r="A73" s="3"/>
      <c r="B73" s="63" t="s">
        <v>82</v>
      </c>
      <c r="C73" s="61"/>
      <c r="D73" s="26" t="s">
        <v>85</v>
      </c>
      <c r="E73" s="27">
        <v>0.01</v>
      </c>
      <c r="F73" s="7"/>
      <c r="G73" s="29" t="s">
        <v>50</v>
      </c>
      <c r="H73" s="29">
        <v>4281</v>
      </c>
      <c r="I73" s="7"/>
      <c r="J73" s="29" t="s">
        <v>115</v>
      </c>
      <c r="K73" s="19">
        <v>0</v>
      </c>
      <c r="L73" s="5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>
      <c r="A74" s="3"/>
      <c r="B74" s="48" t="s">
        <v>28</v>
      </c>
      <c r="C74" s="61"/>
      <c r="D74" s="29" t="s">
        <v>85</v>
      </c>
      <c r="E74" s="19">
        <v>0.08</v>
      </c>
      <c r="F74" s="5"/>
      <c r="G74" s="12"/>
      <c r="H74" s="12"/>
      <c r="I74" s="3"/>
      <c r="J74" s="29" t="s">
        <v>116</v>
      </c>
      <c r="K74" s="19">
        <v>0.02</v>
      </c>
      <c r="L74" s="5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>
      <c r="A75" s="3"/>
      <c r="B75" s="48" t="s">
        <v>61</v>
      </c>
      <c r="C75" s="61"/>
      <c r="D75" s="29" t="s">
        <v>87</v>
      </c>
      <c r="E75" s="19">
        <v>4.9500000000000002E-2</v>
      </c>
      <c r="F75" s="5"/>
      <c r="G75" s="1"/>
      <c r="H75" s="1"/>
      <c r="I75" s="1"/>
      <c r="J75" s="12"/>
      <c r="K75" s="1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>
      <c r="A76" s="3"/>
      <c r="B76" s="48" t="s">
        <v>48</v>
      </c>
      <c r="C76" s="61"/>
      <c r="D76" s="29" t="s">
        <v>94</v>
      </c>
      <c r="E76" s="13">
        <v>0</v>
      </c>
      <c r="F76" s="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>
      <c r="A77" s="3"/>
      <c r="B77" s="48" t="s">
        <v>117</v>
      </c>
      <c r="C77" s="61"/>
      <c r="D77" s="29" t="s">
        <v>107</v>
      </c>
      <c r="E77" s="19">
        <v>0</v>
      </c>
      <c r="F77" s="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>
      <c r="A78" s="3"/>
      <c r="B78" s="53" t="s">
        <v>118</v>
      </c>
      <c r="C78" s="54"/>
      <c r="D78" s="29" t="s">
        <v>107</v>
      </c>
      <c r="E78" s="19">
        <v>0</v>
      </c>
      <c r="F78" s="5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>
      <c r="A79" s="3"/>
      <c r="B79" s="57"/>
      <c r="C79" s="58"/>
      <c r="D79" s="29" t="s">
        <v>119</v>
      </c>
      <c r="E79" s="19">
        <v>0</v>
      </c>
      <c r="F79" s="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>
      <c r="A80" s="3"/>
      <c r="B80" s="48" t="s">
        <v>96</v>
      </c>
      <c r="C80" s="61"/>
      <c r="D80" s="29" t="s">
        <v>120</v>
      </c>
      <c r="E80" s="34">
        <v>0.15</v>
      </c>
      <c r="F80" s="5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>
      <c r="A81" s="3"/>
      <c r="B81" s="53" t="s">
        <v>121</v>
      </c>
      <c r="C81" s="54"/>
      <c r="D81" s="29" t="s">
        <v>122</v>
      </c>
      <c r="E81" s="34">
        <v>0.8</v>
      </c>
      <c r="F81" s="5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>
      <c r="A82" s="3"/>
      <c r="B82" s="55"/>
      <c r="C82" s="56"/>
      <c r="D82" s="29" t="s">
        <v>123</v>
      </c>
      <c r="E82" s="34">
        <v>2.6</v>
      </c>
      <c r="F82" s="5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>
      <c r="A83" s="3"/>
      <c r="B83" s="55"/>
      <c r="C83" s="56"/>
      <c r="D83" s="29" t="s">
        <v>124</v>
      </c>
      <c r="E83" s="34">
        <v>0.5</v>
      </c>
      <c r="F83" s="5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>
      <c r="A84" s="3"/>
      <c r="B84" s="57"/>
      <c r="C84" s="58"/>
      <c r="D84" s="29" t="s">
        <v>125</v>
      </c>
      <c r="E84" s="34">
        <v>0.3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>
      <c r="A85" s="1"/>
      <c r="B85" s="12"/>
      <c r="C85" s="1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56">
    <mergeCell ref="B2:E2"/>
    <mergeCell ref="G2:K2"/>
    <mergeCell ref="M2:Q2"/>
    <mergeCell ref="B7:C8"/>
    <mergeCell ref="B9:B13"/>
    <mergeCell ref="C9:C13"/>
    <mergeCell ref="G9:H9"/>
    <mergeCell ref="J9:K9"/>
    <mergeCell ref="B14:C14"/>
    <mergeCell ref="J14:K14"/>
    <mergeCell ref="B15:B24"/>
    <mergeCell ref="C15:C19"/>
    <mergeCell ref="G19:H19"/>
    <mergeCell ref="J19:K19"/>
    <mergeCell ref="C22:C23"/>
    <mergeCell ref="J24:K24"/>
    <mergeCell ref="B26:B27"/>
    <mergeCell ref="C26:C27"/>
    <mergeCell ref="G26:H26"/>
    <mergeCell ref="B28:C28"/>
    <mergeCell ref="B29:C29"/>
    <mergeCell ref="J53:K53"/>
    <mergeCell ref="J30:K30"/>
    <mergeCell ref="B33:C33"/>
    <mergeCell ref="G33:H33"/>
    <mergeCell ref="B34:C34"/>
    <mergeCell ref="B35:C36"/>
    <mergeCell ref="B37:C38"/>
    <mergeCell ref="B30:C32"/>
    <mergeCell ref="B39:B46"/>
    <mergeCell ref="C39:C46"/>
    <mergeCell ref="B51:B55"/>
    <mergeCell ref="C51:C55"/>
    <mergeCell ref="G53:H53"/>
    <mergeCell ref="B56:C56"/>
    <mergeCell ref="B57:B65"/>
    <mergeCell ref="C57:C61"/>
    <mergeCell ref="J58:K58"/>
    <mergeCell ref="C62:C63"/>
    <mergeCell ref="G63:H63"/>
    <mergeCell ref="J63:K63"/>
    <mergeCell ref="C64:C65"/>
    <mergeCell ref="B66:B67"/>
    <mergeCell ref="C66:C67"/>
    <mergeCell ref="J68:K68"/>
    <mergeCell ref="B69:B72"/>
    <mergeCell ref="C69:C71"/>
    <mergeCell ref="G70:H70"/>
    <mergeCell ref="B80:C80"/>
    <mergeCell ref="B81:C84"/>
    <mergeCell ref="B73:C73"/>
    <mergeCell ref="B74:C74"/>
    <mergeCell ref="B75:C75"/>
    <mergeCell ref="B76:C76"/>
    <mergeCell ref="B77:C77"/>
    <mergeCell ref="B78:C79"/>
  </mergeCells>
  <phoneticPr fontId="7" type="noConversion"/>
  <pageMargins left="0.7" right="0.7" top="0.75" bottom="0.75" header="0" footer="0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69634-040F-40E3-887C-E3BE4DC16E37}">
  <dimension ref="A1:Z1001"/>
  <sheetViews>
    <sheetView workbookViewId="0">
      <selection activeCell="P8" sqref="P8"/>
    </sheetView>
  </sheetViews>
  <sheetFormatPr defaultColWidth="14.42578125" defaultRowHeight="15" customHeight="1"/>
  <cols>
    <col min="1" max="1" width="3.7109375" customWidth="1"/>
    <col min="2" max="2" width="13" customWidth="1"/>
    <col min="3" max="3" width="12.85546875" customWidth="1"/>
    <col min="4" max="4" width="29.28515625" customWidth="1"/>
    <col min="5" max="5" width="12.7109375" customWidth="1"/>
    <col min="6" max="6" width="3.28515625" customWidth="1"/>
    <col min="7" max="7" width="19.85546875" customWidth="1"/>
    <col min="8" max="8" width="10.85546875" customWidth="1"/>
    <col min="9" max="9" width="3" customWidth="1"/>
    <col min="10" max="10" width="25" customWidth="1"/>
    <col min="11" max="11" width="8.7109375" customWidth="1"/>
    <col min="12" max="12" width="3" customWidth="1"/>
    <col min="13" max="13" width="25.28515625" customWidth="1"/>
    <col min="14" max="14" width="19.28515625" customWidth="1"/>
    <col min="15" max="15" width="21.5703125" customWidth="1"/>
    <col min="16" max="16" width="27.140625" customWidth="1"/>
    <col min="17" max="17" width="14.7109375" customWidth="1"/>
  </cols>
  <sheetData>
    <row r="1" spans="1:26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1"/>
      <c r="B2" s="64" t="s">
        <v>0</v>
      </c>
      <c r="C2" s="65"/>
      <c r="D2" s="65"/>
      <c r="E2" s="66"/>
      <c r="F2" s="1"/>
      <c r="G2" s="64" t="s">
        <v>1</v>
      </c>
      <c r="H2" s="65"/>
      <c r="I2" s="65"/>
      <c r="J2" s="65"/>
      <c r="K2" s="66"/>
      <c r="L2" s="1"/>
      <c r="M2" s="64" t="s">
        <v>2</v>
      </c>
      <c r="N2" s="65"/>
      <c r="O2" s="65"/>
      <c r="P2" s="65"/>
      <c r="Q2" s="66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customHeight="1">
      <c r="A4" s="3"/>
      <c r="B4" s="4" t="s">
        <v>3</v>
      </c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>
      <c r="A5" s="1"/>
      <c r="B5" s="6"/>
      <c r="C5" s="2"/>
      <c r="D5" s="2"/>
      <c r="E5" s="2"/>
      <c r="F5" s="1"/>
      <c r="G5" s="2"/>
      <c r="H5" s="2"/>
      <c r="I5" s="1"/>
      <c r="J5" s="2"/>
      <c r="K5" s="2"/>
      <c r="L5" s="1"/>
      <c r="M5" s="2"/>
      <c r="N5" s="2"/>
      <c r="O5" s="2"/>
      <c r="P5" s="2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>
      <c r="A6" s="3"/>
      <c r="B6" s="38" t="s">
        <v>4</v>
      </c>
      <c r="C6" s="38" t="s">
        <v>5</v>
      </c>
      <c r="D6" s="38" t="s">
        <v>6</v>
      </c>
      <c r="E6" s="38" t="s">
        <v>7</v>
      </c>
      <c r="F6" s="7"/>
      <c r="G6" s="8" t="s">
        <v>8</v>
      </c>
      <c r="H6" s="9">
        <f>ROUNDDOWN(SUM(H10:H17)*(1+K10+K11),0)</f>
        <v>376086</v>
      </c>
      <c r="I6" s="7"/>
      <c r="J6" s="4" t="s">
        <v>9</v>
      </c>
      <c r="K6" s="9">
        <f>ROUNDDOWN((H6*H7/6)^0.5*(1+SUM(K20:K21)),0)</f>
        <v>83662</v>
      </c>
      <c r="L6" s="7"/>
      <c r="M6" s="8" t="s">
        <v>10</v>
      </c>
      <c r="N6" s="10">
        <f>0.25/699*E8*(1+K31+K32)</f>
        <v>0.25572246065808302</v>
      </c>
      <c r="O6" s="8" t="s">
        <v>11</v>
      </c>
      <c r="P6" s="10">
        <f>E32*0.01</f>
        <v>0.06</v>
      </c>
      <c r="Q6" s="5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>
      <c r="A7" s="3"/>
      <c r="B7" s="68" t="s">
        <v>12</v>
      </c>
      <c r="C7" s="68"/>
      <c r="D7" s="41" t="s">
        <v>129</v>
      </c>
      <c r="E7" s="42">
        <v>1850</v>
      </c>
      <c r="F7" s="7"/>
      <c r="G7" s="8" t="s">
        <v>13</v>
      </c>
      <c r="H7" s="9">
        <f>ROUNDDOWN(SUM(H20:H24)*(1+K15+K16),0)</f>
        <v>101381</v>
      </c>
      <c r="I7" s="5"/>
      <c r="J7" s="12"/>
      <c r="K7" s="12"/>
      <c r="L7" s="3"/>
      <c r="M7" s="8" t="s">
        <v>14</v>
      </c>
      <c r="N7" s="10">
        <f>SUM(K25:K28)</f>
        <v>0.16</v>
      </c>
      <c r="O7" s="8" t="s">
        <v>15</v>
      </c>
      <c r="P7" s="10">
        <f>0.1*(1+N9)</f>
        <v>0.11499999999999999</v>
      </c>
      <c r="Q7" s="5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>
      <c r="A8" s="3"/>
      <c r="B8" s="68"/>
      <c r="C8" s="68"/>
      <c r="D8" s="39" t="s">
        <v>126</v>
      </c>
      <c r="E8" s="40">
        <v>650</v>
      </c>
      <c r="F8" s="5"/>
      <c r="G8" s="6"/>
      <c r="H8" s="6"/>
      <c r="I8" s="1"/>
      <c r="J8" s="2"/>
      <c r="K8" s="2"/>
      <c r="L8" s="3"/>
      <c r="M8" s="8" t="s">
        <v>19</v>
      </c>
      <c r="N8" s="10">
        <f>SUM(H27:H31)</f>
        <v>0.4904</v>
      </c>
      <c r="O8" s="8" t="s">
        <v>20</v>
      </c>
      <c r="P8" s="43">
        <f>10/(60*(1-E7*0.0002147)*0.95*0.9*0.93)</f>
        <v>0.34771453112459522</v>
      </c>
      <c r="Q8" s="5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>
      <c r="A9" s="3"/>
      <c r="B9" s="51" t="s">
        <v>16</v>
      </c>
      <c r="C9" s="67" t="s">
        <v>17</v>
      </c>
      <c r="D9" s="39" t="s">
        <v>18</v>
      </c>
      <c r="E9" s="40">
        <v>46228</v>
      </c>
      <c r="F9" s="7"/>
      <c r="G9" s="62" t="s">
        <v>22</v>
      </c>
      <c r="H9" s="61"/>
      <c r="I9" s="7"/>
      <c r="J9" s="62" t="s">
        <v>23</v>
      </c>
      <c r="K9" s="61"/>
      <c r="L9" s="7"/>
      <c r="M9" s="8" t="s">
        <v>24</v>
      </c>
      <c r="N9" s="10">
        <f>SUM(H34:H35)</f>
        <v>0.15</v>
      </c>
      <c r="O9" s="8" t="s">
        <v>25</v>
      </c>
      <c r="P9" s="19">
        <v>1</v>
      </c>
      <c r="Q9" s="5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>
      <c r="A10" s="3"/>
      <c r="B10" s="51"/>
      <c r="C10" s="51"/>
      <c r="D10" s="36" t="s">
        <v>21</v>
      </c>
      <c r="E10" s="37">
        <v>49200</v>
      </c>
      <c r="F10" s="7"/>
      <c r="G10" s="29" t="s">
        <v>27</v>
      </c>
      <c r="H10" s="15">
        <v>477</v>
      </c>
      <c r="I10" s="7"/>
      <c r="J10" s="29" t="s">
        <v>28</v>
      </c>
      <c r="K10" s="10">
        <f>E29</f>
        <v>0.08</v>
      </c>
      <c r="L10" s="5"/>
      <c r="M10" s="12"/>
      <c r="N10" s="16"/>
      <c r="O10" s="8" t="s">
        <v>29</v>
      </c>
      <c r="P10" s="19">
        <v>1</v>
      </c>
      <c r="Q10" s="5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>
      <c r="A11" s="3"/>
      <c r="B11" s="51"/>
      <c r="C11" s="51"/>
      <c r="D11" s="29" t="s">
        <v>26</v>
      </c>
      <c r="E11" s="13">
        <v>36982</v>
      </c>
      <c r="F11" s="7"/>
      <c r="G11" s="29" t="s">
        <v>31</v>
      </c>
      <c r="H11" s="13">
        <v>1500</v>
      </c>
      <c r="I11" s="7"/>
      <c r="J11" s="29" t="s">
        <v>32</v>
      </c>
      <c r="K11" s="17">
        <f>E28</f>
        <v>0.01</v>
      </c>
      <c r="L11" s="5"/>
      <c r="M11" s="2"/>
      <c r="N11" s="2"/>
      <c r="O11" s="12"/>
      <c r="P11" s="12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>
      <c r="A12" s="3"/>
      <c r="B12" s="51"/>
      <c r="C12" s="51"/>
      <c r="D12" s="29" t="s">
        <v>30</v>
      </c>
      <c r="E12" s="13">
        <v>39954</v>
      </c>
      <c r="F12" s="7"/>
      <c r="G12" s="29" t="s">
        <v>34</v>
      </c>
      <c r="H12" s="13">
        <v>218</v>
      </c>
      <c r="I12" s="5"/>
      <c r="J12" s="12"/>
      <c r="K12" s="12"/>
      <c r="L12" s="3"/>
      <c r="M12" s="18" t="s">
        <v>35</v>
      </c>
      <c r="N12" s="18" t="s">
        <v>36</v>
      </c>
      <c r="O12" s="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>
      <c r="A13" s="3"/>
      <c r="B13" s="52"/>
      <c r="C13" s="52"/>
      <c r="D13" s="29" t="s">
        <v>33</v>
      </c>
      <c r="E13" s="13">
        <v>55473</v>
      </c>
      <c r="F13" s="7"/>
      <c r="G13" s="29" t="s">
        <v>16</v>
      </c>
      <c r="H13" s="29">
        <f>SUM(E9:E13)</f>
        <v>227837</v>
      </c>
      <c r="I13" s="5"/>
      <c r="J13" s="2"/>
      <c r="K13" s="2"/>
      <c r="L13" s="3"/>
      <c r="M13" s="18" t="s">
        <v>38</v>
      </c>
      <c r="N13" s="10">
        <f>0.1*(1+0.63/699*E8)*(1+N9+E32*0.01)</f>
        <v>0.19188626609442061</v>
      </c>
      <c r="O13" s="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>
      <c r="A14" s="3"/>
      <c r="B14" s="48" t="s">
        <v>37</v>
      </c>
      <c r="C14" s="49"/>
      <c r="D14" s="29" t="s">
        <v>13</v>
      </c>
      <c r="E14" s="13">
        <v>80139</v>
      </c>
      <c r="F14" s="7"/>
      <c r="G14" s="29" t="s">
        <v>39</v>
      </c>
      <c r="H14" s="29">
        <f>SUM(E15:E19)</f>
        <v>66071.5</v>
      </c>
      <c r="I14" s="7"/>
      <c r="J14" s="62" t="s">
        <v>41</v>
      </c>
      <c r="K14" s="61"/>
      <c r="L14" s="7"/>
      <c r="M14" s="8" t="s">
        <v>42</v>
      </c>
      <c r="N14" s="19">
        <v>0.4</v>
      </c>
      <c r="O14" s="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>
      <c r="A15" s="3"/>
      <c r="B15" s="50" t="s">
        <v>39</v>
      </c>
      <c r="C15" s="50" t="s">
        <v>17</v>
      </c>
      <c r="D15" s="29" t="s">
        <v>40</v>
      </c>
      <c r="E15" s="13">
        <v>16517.5</v>
      </c>
      <c r="F15" s="7"/>
      <c r="G15" s="29" t="s">
        <v>44</v>
      </c>
      <c r="H15" s="29">
        <f>E39</f>
        <v>0</v>
      </c>
      <c r="I15" s="7"/>
      <c r="J15" s="29" t="s">
        <v>45</v>
      </c>
      <c r="K15" s="10">
        <f>E21</f>
        <v>0.06</v>
      </c>
      <c r="L15" s="5"/>
      <c r="M15" s="12"/>
      <c r="N15" s="1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>
      <c r="A16" s="3"/>
      <c r="B16" s="51"/>
      <c r="C16" s="51"/>
      <c r="D16" s="29" t="s">
        <v>43</v>
      </c>
      <c r="E16" s="13">
        <v>12847.5</v>
      </c>
      <c r="F16" s="7"/>
      <c r="G16" s="29" t="s">
        <v>47</v>
      </c>
      <c r="H16" s="29">
        <f>E26</f>
        <v>0</v>
      </c>
      <c r="I16" s="7"/>
      <c r="J16" s="29" t="s">
        <v>48</v>
      </c>
      <c r="K16" s="10">
        <f>E34*0.001</f>
        <v>0</v>
      </c>
      <c r="L16" s="5"/>
      <c r="M16" s="2"/>
      <c r="N16" s="2"/>
      <c r="O16" s="2"/>
      <c r="P16" s="2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>
      <c r="A17" s="3"/>
      <c r="B17" s="51"/>
      <c r="C17" s="51"/>
      <c r="D17" s="29" t="s">
        <v>46</v>
      </c>
      <c r="E17" s="13">
        <v>12847.5</v>
      </c>
      <c r="F17" s="7"/>
      <c r="G17" s="29" t="s">
        <v>50</v>
      </c>
      <c r="H17" s="29">
        <v>48930</v>
      </c>
      <c r="I17" s="5"/>
      <c r="J17" s="12"/>
      <c r="K17" s="12"/>
      <c r="L17" s="3"/>
      <c r="M17" s="18"/>
      <c r="N17" s="18" t="s">
        <v>51</v>
      </c>
      <c r="O17" s="20" t="s">
        <v>52</v>
      </c>
      <c r="P17" s="8" t="s">
        <v>53</v>
      </c>
      <c r="Q17" s="5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>
      <c r="A18" s="3"/>
      <c r="B18" s="51"/>
      <c r="C18" s="51"/>
      <c r="D18" s="29" t="s">
        <v>49</v>
      </c>
      <c r="E18" s="13">
        <v>11929.5</v>
      </c>
      <c r="F18" s="5"/>
      <c r="G18" s="6"/>
      <c r="H18" s="6"/>
      <c r="I18" s="1"/>
      <c r="J18" s="2"/>
      <c r="K18" s="2"/>
      <c r="L18" s="3"/>
      <c r="M18" s="18" t="s">
        <v>55</v>
      </c>
      <c r="N18" s="21">
        <f>ROUNDDOWN(K50*(1+E78),0)</f>
        <v>93582</v>
      </c>
      <c r="O18" s="29" t="s">
        <v>56</v>
      </c>
      <c r="P18" s="29" t="s">
        <v>56</v>
      </c>
      <c r="Q18" s="5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>
      <c r="A19" s="3"/>
      <c r="B19" s="51"/>
      <c r="C19" s="52"/>
      <c r="D19" s="29" t="s">
        <v>54</v>
      </c>
      <c r="E19" s="13">
        <v>11929.5</v>
      </c>
      <c r="F19" s="7"/>
      <c r="G19" s="62" t="s">
        <v>57</v>
      </c>
      <c r="H19" s="61"/>
      <c r="I19" s="7"/>
      <c r="J19" s="62" t="s">
        <v>58</v>
      </c>
      <c r="K19" s="61"/>
      <c r="L19" s="7"/>
      <c r="M19" s="8" t="s">
        <v>59</v>
      </c>
      <c r="N19" s="29">
        <f>ROUNDDOWN(((K50+K6*0.15*(1+N8)*(1+SUM(K69:K74)))*(1.06+E78))*P9+(1-P9)*N18, 0)</f>
        <v>120775</v>
      </c>
      <c r="O19" s="10">
        <f>N19/(N18*(1+E78))-1</f>
        <v>0.29057938492445134</v>
      </c>
      <c r="P19" s="10">
        <f t="shared" ref="P19:P21" si="0">O19/(1+O19)</f>
        <v>0.22515421237838962</v>
      </c>
      <c r="Q19" s="5"/>
      <c r="R19" s="1"/>
      <c r="S19" s="1"/>
      <c r="T19" s="1"/>
      <c r="U19" s="1"/>
      <c r="V19" s="1"/>
      <c r="W19" s="1"/>
      <c r="X19" s="1"/>
      <c r="Y19" s="1"/>
      <c r="Z19" s="1"/>
    </row>
    <row r="20" spans="1:26" ht="16.5">
      <c r="A20" s="3"/>
      <c r="B20" s="51"/>
      <c r="C20" s="29" t="s">
        <v>40</v>
      </c>
      <c r="D20" s="29" t="s">
        <v>14</v>
      </c>
      <c r="E20" s="19">
        <v>0.08</v>
      </c>
      <c r="F20" s="7"/>
      <c r="G20" s="29" t="s">
        <v>37</v>
      </c>
      <c r="H20" s="29">
        <f>E14</f>
        <v>80139</v>
      </c>
      <c r="I20" s="7"/>
      <c r="J20" s="29" t="s">
        <v>61</v>
      </c>
      <c r="K20" s="10">
        <f>E30</f>
        <v>4.9500000000000002E-2</v>
      </c>
      <c r="L20" s="7"/>
      <c r="M20" s="8" t="s">
        <v>62</v>
      </c>
      <c r="N20" s="29">
        <f>ROUNDDOWN(N19*(1+0.1*(1+N7))*P10+N19*(1-P10), 0)</f>
        <v>134784</v>
      </c>
      <c r="O20" s="10">
        <f>N20/N18-1</f>
        <v>0.44027697634160412</v>
      </c>
      <c r="P20" s="10">
        <f t="shared" si="0"/>
        <v>0.30568910256410253</v>
      </c>
      <c r="Q20" s="5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>
      <c r="A21" s="3"/>
      <c r="B21" s="51"/>
      <c r="C21" s="29" t="s">
        <v>60</v>
      </c>
      <c r="D21" s="29" t="s">
        <v>41</v>
      </c>
      <c r="E21" s="19">
        <v>0.06</v>
      </c>
      <c r="F21" s="7"/>
      <c r="G21" s="29" t="s">
        <v>65</v>
      </c>
      <c r="H21" s="29">
        <f>E24</f>
        <v>0</v>
      </c>
      <c r="I21" s="7"/>
      <c r="J21" s="29" t="s">
        <v>66</v>
      </c>
      <c r="K21" s="10">
        <f>E25</f>
        <v>0</v>
      </c>
      <c r="L21" s="7"/>
      <c r="M21" s="22" t="s">
        <v>67</v>
      </c>
      <c r="N21" s="29">
        <f>ROUNDDOWN(N20*(1-MAX(N14,P8))+N20*(1+N13+P7)*MIN(N14,P8)+N20*IF(N14&gt;P8, (1+N13)*ABS(N14-P8), (1+P7)*ABS(N14-P8)),0)</f>
        <v>150518</v>
      </c>
      <c r="O21" s="10">
        <f>N21/N18-1</f>
        <v>0.60840759975208902</v>
      </c>
      <c r="P21" s="23">
        <f t="shared" si="0"/>
        <v>0.37826705111680992</v>
      </c>
      <c r="Q21" s="5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3"/>
      <c r="B22" s="51"/>
      <c r="C22" s="50" t="s">
        <v>63</v>
      </c>
      <c r="D22" s="29" t="s">
        <v>64</v>
      </c>
      <c r="E22" s="19">
        <v>0</v>
      </c>
      <c r="F22" s="7"/>
      <c r="G22" s="29" t="s">
        <v>44</v>
      </c>
      <c r="H22" s="29">
        <f>E40</f>
        <v>0</v>
      </c>
      <c r="I22" s="5"/>
      <c r="J22" s="12"/>
      <c r="K22" s="12"/>
      <c r="L22" s="1"/>
      <c r="M22" s="12"/>
      <c r="N22" s="12"/>
      <c r="O22" s="12"/>
      <c r="P22" s="12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>
      <c r="A23" s="3"/>
      <c r="B23" s="51"/>
      <c r="C23" s="52"/>
      <c r="D23" s="29" t="s">
        <v>68</v>
      </c>
      <c r="E23" s="19">
        <v>0.15</v>
      </c>
      <c r="F23" s="7"/>
      <c r="G23" s="29" t="s">
        <v>47</v>
      </c>
      <c r="H23" s="29">
        <f>E27</f>
        <v>0</v>
      </c>
      <c r="I23" s="5"/>
      <c r="J23" s="2"/>
      <c r="K23" s="2"/>
      <c r="L23" s="1"/>
      <c r="M23" s="2"/>
      <c r="N23" s="24"/>
      <c r="O23" s="2"/>
      <c r="P23" s="2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>
      <c r="A24" s="3"/>
      <c r="B24" s="52"/>
      <c r="C24" s="29" t="s">
        <v>69</v>
      </c>
      <c r="D24" s="29" t="s">
        <v>70</v>
      </c>
      <c r="E24" s="13">
        <v>0</v>
      </c>
      <c r="F24" s="7"/>
      <c r="G24" s="29" t="s">
        <v>50</v>
      </c>
      <c r="H24" s="29">
        <v>15504</v>
      </c>
      <c r="I24" s="7"/>
      <c r="J24" s="62" t="s">
        <v>72</v>
      </c>
      <c r="K24" s="61"/>
      <c r="L24" s="7"/>
      <c r="M24" s="18" t="s">
        <v>73</v>
      </c>
      <c r="N24" s="18" t="s">
        <v>51</v>
      </c>
      <c r="O24" s="20" t="s">
        <v>52</v>
      </c>
      <c r="P24" s="8" t="s">
        <v>74</v>
      </c>
      <c r="Q24" s="5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>
      <c r="A25" s="3"/>
      <c r="B25" s="29" t="s">
        <v>71</v>
      </c>
      <c r="C25" s="29" t="s">
        <v>66</v>
      </c>
      <c r="D25" s="29" t="s">
        <v>58</v>
      </c>
      <c r="E25" s="19">
        <v>0</v>
      </c>
      <c r="F25" s="5"/>
      <c r="G25" s="6"/>
      <c r="H25" s="6"/>
      <c r="I25" s="3"/>
      <c r="J25" s="29" t="s">
        <v>77</v>
      </c>
      <c r="K25" s="19">
        <v>0</v>
      </c>
      <c r="L25" s="7"/>
      <c r="M25" s="18" t="s">
        <v>78</v>
      </c>
      <c r="N25" s="15">
        <f>ROUNDDOWN((N18*(1+E83)*E81*E82+N18*(1+E83)*(1-E81))*(6500/(6500*(1-E79)+6500))*(1+E80)*(1+E84), 0)</f>
        <v>159491</v>
      </c>
      <c r="O25" s="15" t="s">
        <v>56</v>
      </c>
      <c r="P25" s="29" t="s">
        <v>56</v>
      </c>
      <c r="Q25" s="5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>
      <c r="A26" s="3"/>
      <c r="B26" s="50" t="s">
        <v>75</v>
      </c>
      <c r="C26" s="50" t="s">
        <v>127</v>
      </c>
      <c r="D26" s="29" t="s">
        <v>76</v>
      </c>
      <c r="E26" s="13">
        <v>0</v>
      </c>
      <c r="F26" s="7"/>
      <c r="G26" s="62" t="s">
        <v>79</v>
      </c>
      <c r="H26" s="61"/>
      <c r="I26" s="7"/>
      <c r="J26" s="29" t="s">
        <v>80</v>
      </c>
      <c r="K26" s="10">
        <f>E33*0.01</f>
        <v>0</v>
      </c>
      <c r="L26" s="7"/>
      <c r="M26" s="18" t="s">
        <v>81</v>
      </c>
      <c r="N26" s="21">
        <f>ROUNDDOWN((N21*(E81+E42)*(E82+E41)+N21*(1-E81-E42))*(1+E83+E37)*(1+E80+E35)*(1+E36)*(6500/(6500*(1-E79)*(1-E43)+6500))*(1+E44)*(1+E84+E38), 0)</f>
        <v>282838</v>
      </c>
      <c r="O26" s="10">
        <f>N26/N25-1</f>
        <v>0.77337906214143737</v>
      </c>
      <c r="P26" s="25">
        <f>O26/(1+O26)</f>
        <v>0.43610476668623027</v>
      </c>
      <c r="Q26" s="5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>
      <c r="A27" s="3"/>
      <c r="B27" s="52"/>
      <c r="C27" s="52"/>
      <c r="D27" s="29" t="s">
        <v>70</v>
      </c>
      <c r="E27" s="13">
        <v>0</v>
      </c>
      <c r="F27" s="7"/>
      <c r="G27" s="29" t="s">
        <v>75</v>
      </c>
      <c r="H27" s="28">
        <v>0.24</v>
      </c>
      <c r="I27" s="7"/>
      <c r="J27" s="29" t="s">
        <v>84</v>
      </c>
      <c r="K27" s="10">
        <f>E20</f>
        <v>0.08</v>
      </c>
      <c r="L27" s="5"/>
      <c r="M27" s="12"/>
      <c r="N27" s="12"/>
      <c r="O27" s="12"/>
      <c r="P27" s="12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>
      <c r="A28" s="3"/>
      <c r="B28" s="63" t="s">
        <v>82</v>
      </c>
      <c r="C28" s="69"/>
      <c r="D28" s="26" t="s">
        <v>83</v>
      </c>
      <c r="E28" s="27">
        <v>0.01</v>
      </c>
      <c r="F28" s="7"/>
      <c r="G28" s="29" t="s">
        <v>50</v>
      </c>
      <c r="H28" s="10">
        <v>0.19040000000000001</v>
      </c>
      <c r="I28" s="7"/>
      <c r="J28" s="29" t="s">
        <v>86</v>
      </c>
      <c r="K28" s="10">
        <v>0.08</v>
      </c>
      <c r="L28" s="5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>
      <c r="A29" s="3"/>
      <c r="B29" s="48" t="s">
        <v>28</v>
      </c>
      <c r="C29" s="49"/>
      <c r="D29" s="29" t="s">
        <v>85</v>
      </c>
      <c r="E29" s="19">
        <v>0.08</v>
      </c>
      <c r="F29" s="7"/>
      <c r="G29" s="29" t="s">
        <v>88</v>
      </c>
      <c r="H29" s="10">
        <f>E22</f>
        <v>0</v>
      </c>
      <c r="I29" s="5"/>
      <c r="J29" s="6"/>
      <c r="K29" s="6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>
      <c r="A30" s="3"/>
      <c r="B30" s="53" t="s">
        <v>61</v>
      </c>
      <c r="C30" s="70"/>
      <c r="D30" s="29" t="s">
        <v>87</v>
      </c>
      <c r="E30" s="19">
        <v>4.9500000000000002E-2</v>
      </c>
      <c r="F30" s="7"/>
      <c r="G30" s="29" t="s">
        <v>61</v>
      </c>
      <c r="H30" s="10">
        <f>E31*0.01</f>
        <v>0.06</v>
      </c>
      <c r="I30" s="7"/>
      <c r="J30" s="62" t="s">
        <v>90</v>
      </c>
      <c r="K30" s="61"/>
      <c r="L30" s="5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>
      <c r="A31" s="3"/>
      <c r="B31" s="67"/>
      <c r="C31" s="71"/>
      <c r="D31" s="29" t="s">
        <v>89</v>
      </c>
      <c r="E31" s="13">
        <v>6</v>
      </c>
      <c r="F31" s="7"/>
      <c r="G31" s="29" t="s">
        <v>44</v>
      </c>
      <c r="H31" s="10">
        <f>E45</f>
        <v>0</v>
      </c>
      <c r="I31" s="7"/>
      <c r="J31" s="29" t="s">
        <v>84</v>
      </c>
      <c r="K31" s="19">
        <v>0</v>
      </c>
      <c r="L31" s="5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>
      <c r="A32" s="3"/>
      <c r="B32" s="72"/>
      <c r="C32" s="73"/>
      <c r="D32" s="29" t="s">
        <v>91</v>
      </c>
      <c r="E32" s="13">
        <v>6</v>
      </c>
      <c r="F32" s="5"/>
      <c r="G32" s="6"/>
      <c r="H32" s="6"/>
      <c r="I32" s="3"/>
      <c r="J32" s="29" t="s">
        <v>93</v>
      </c>
      <c r="K32" s="19">
        <v>0.1</v>
      </c>
      <c r="L32" s="5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>
      <c r="A33" s="3"/>
      <c r="B33" s="48" t="s">
        <v>80</v>
      </c>
      <c r="C33" s="49"/>
      <c r="D33" s="29" t="s">
        <v>92</v>
      </c>
      <c r="E33" s="13">
        <v>0</v>
      </c>
      <c r="F33" s="7"/>
      <c r="G33" s="62" t="s">
        <v>95</v>
      </c>
      <c r="H33" s="61"/>
      <c r="I33" s="5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>
      <c r="A34" s="3"/>
      <c r="B34" s="48" t="s">
        <v>48</v>
      </c>
      <c r="C34" s="49"/>
      <c r="D34" s="29" t="s">
        <v>94</v>
      </c>
      <c r="E34" s="13">
        <v>0</v>
      </c>
      <c r="F34" s="7"/>
      <c r="G34" s="29" t="s">
        <v>88</v>
      </c>
      <c r="H34" s="10">
        <f>E23</f>
        <v>0.15</v>
      </c>
      <c r="I34" s="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>
      <c r="A35" s="3"/>
      <c r="B35" s="53" t="s">
        <v>96</v>
      </c>
      <c r="C35" s="70"/>
      <c r="D35" s="29" t="s">
        <v>97</v>
      </c>
      <c r="E35" s="19">
        <v>3.5000000000000003E-2</v>
      </c>
      <c r="F35" s="7"/>
      <c r="G35" s="29" t="s">
        <v>44</v>
      </c>
      <c r="H35" s="28">
        <f>E46</f>
        <v>0</v>
      </c>
      <c r="I35" s="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>
      <c r="A36" s="3"/>
      <c r="B36" s="72"/>
      <c r="C36" s="73"/>
      <c r="D36" s="29" t="s">
        <v>98</v>
      </c>
      <c r="E36" s="13">
        <v>0</v>
      </c>
      <c r="F36" s="5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>
      <c r="A37" s="3"/>
      <c r="B37" s="53" t="s">
        <v>128</v>
      </c>
      <c r="C37" s="70"/>
      <c r="D37" s="29" t="s">
        <v>99</v>
      </c>
      <c r="E37" s="34">
        <v>7.0000000000000007E-2</v>
      </c>
      <c r="F37" s="5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>
      <c r="A38" s="3"/>
      <c r="B38" s="72"/>
      <c r="C38" s="73"/>
      <c r="D38" s="29" t="s">
        <v>100</v>
      </c>
      <c r="E38" s="34">
        <v>0</v>
      </c>
      <c r="F38" s="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>
      <c r="A39" s="3"/>
      <c r="B39" s="50" t="s">
        <v>44</v>
      </c>
      <c r="C39" s="50" t="s">
        <v>6</v>
      </c>
      <c r="D39" s="29" t="s">
        <v>8</v>
      </c>
      <c r="E39" s="13">
        <v>0</v>
      </c>
      <c r="F39" s="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>
      <c r="A40" s="3"/>
      <c r="B40" s="51"/>
      <c r="C40" s="51"/>
      <c r="D40" s="29" t="s">
        <v>13</v>
      </c>
      <c r="E40" s="13">
        <v>0</v>
      </c>
      <c r="F40" s="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>
      <c r="A41" s="3"/>
      <c r="B41" s="51"/>
      <c r="C41" s="51"/>
      <c r="D41" s="29" t="s">
        <v>101</v>
      </c>
      <c r="E41" s="19">
        <v>0</v>
      </c>
      <c r="F41" s="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>
      <c r="A42" s="3"/>
      <c r="B42" s="51"/>
      <c r="C42" s="51"/>
      <c r="D42" s="29" t="s">
        <v>102</v>
      </c>
      <c r="E42" s="19">
        <v>0</v>
      </c>
      <c r="F42" s="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>
      <c r="A43" s="3"/>
      <c r="B43" s="51"/>
      <c r="C43" s="51"/>
      <c r="D43" s="29" t="s">
        <v>103</v>
      </c>
      <c r="E43" s="19">
        <v>0</v>
      </c>
      <c r="F43" s="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>
      <c r="A44" s="3"/>
      <c r="B44" s="51"/>
      <c r="C44" s="51"/>
      <c r="D44" s="29" t="s">
        <v>104</v>
      </c>
      <c r="E44" s="19">
        <v>0</v>
      </c>
      <c r="F44" s="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3"/>
      <c r="B45" s="51"/>
      <c r="C45" s="51"/>
      <c r="D45" s="29" t="s">
        <v>64</v>
      </c>
      <c r="E45" s="19">
        <v>0</v>
      </c>
      <c r="F45" s="5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"/>
      <c r="B46" s="52"/>
      <c r="C46" s="52"/>
      <c r="D46" s="29" t="s">
        <v>68</v>
      </c>
      <c r="E46" s="19"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3"/>
      <c r="B48" s="35" t="s">
        <v>105</v>
      </c>
      <c r="C48" s="5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"/>
      <c r="B49" s="6"/>
      <c r="C49" s="2"/>
      <c r="D49" s="2"/>
      <c r="E49" s="2"/>
      <c r="F49" s="1"/>
      <c r="G49" s="2"/>
      <c r="H49" s="2"/>
      <c r="I49" s="1"/>
      <c r="J49" s="2"/>
      <c r="K49" s="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3"/>
      <c r="B50" s="8" t="s">
        <v>4</v>
      </c>
      <c r="C50" s="8" t="s">
        <v>5</v>
      </c>
      <c r="D50" s="8" t="s">
        <v>6</v>
      </c>
      <c r="E50" s="8" t="s">
        <v>7</v>
      </c>
      <c r="F50" s="7"/>
      <c r="G50" s="8" t="s">
        <v>8</v>
      </c>
      <c r="H50" s="9">
        <f>ROUNDDOWN(SUM(H54:H61)*(1+K54+K55),0)</f>
        <v>358769</v>
      </c>
      <c r="I50" s="7"/>
      <c r="J50" s="35" t="s">
        <v>106</v>
      </c>
      <c r="K50" s="9">
        <f>ROUNDDOWN(((H50*H51/6)^0.5*(1+SUM(K64:K65))+SUM(H71:H73))*(1+SUM(K69:K74)),0)</f>
        <v>93582</v>
      </c>
      <c r="L50" s="31"/>
      <c r="M50" s="32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3"/>
      <c r="B51" s="50" t="s">
        <v>16</v>
      </c>
      <c r="C51" s="50" t="s">
        <v>17</v>
      </c>
      <c r="D51" s="29" t="s">
        <v>18</v>
      </c>
      <c r="E51" s="13">
        <v>46228</v>
      </c>
      <c r="F51" s="7"/>
      <c r="G51" s="8" t="s">
        <v>13</v>
      </c>
      <c r="H51" s="9">
        <f>ROUNDDOWN(SUM(H64:H68)*(1+K59+K60),0)</f>
        <v>101351</v>
      </c>
      <c r="I51" s="5"/>
      <c r="J51" s="12"/>
      <c r="K51" s="1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3"/>
      <c r="B52" s="60"/>
      <c r="C52" s="60"/>
      <c r="D52" s="29" t="s">
        <v>21</v>
      </c>
      <c r="E52" s="13">
        <v>49200</v>
      </c>
      <c r="F52" s="5"/>
      <c r="G52" s="6"/>
      <c r="H52" s="6"/>
      <c r="I52" s="1"/>
      <c r="J52" s="2"/>
      <c r="K52" s="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3"/>
      <c r="B53" s="60"/>
      <c r="C53" s="60"/>
      <c r="D53" s="29" t="s">
        <v>26</v>
      </c>
      <c r="E53" s="13">
        <v>36982</v>
      </c>
      <c r="F53" s="7"/>
      <c r="G53" s="62" t="s">
        <v>22</v>
      </c>
      <c r="H53" s="61"/>
      <c r="I53" s="7"/>
      <c r="J53" s="62" t="s">
        <v>23</v>
      </c>
      <c r="K53" s="61"/>
      <c r="L53" s="5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3"/>
      <c r="B54" s="60"/>
      <c r="C54" s="60"/>
      <c r="D54" s="29" t="s">
        <v>30</v>
      </c>
      <c r="E54" s="13">
        <v>39954</v>
      </c>
      <c r="F54" s="7"/>
      <c r="G54" s="29" t="s">
        <v>27</v>
      </c>
      <c r="H54" s="15">
        <v>477</v>
      </c>
      <c r="I54" s="7"/>
      <c r="J54" s="29" t="s">
        <v>28</v>
      </c>
      <c r="K54" s="10">
        <f>E74</f>
        <v>0.08</v>
      </c>
      <c r="L54" s="5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3"/>
      <c r="B55" s="59"/>
      <c r="C55" s="59"/>
      <c r="D55" s="29" t="s">
        <v>33</v>
      </c>
      <c r="E55" s="13">
        <v>55473</v>
      </c>
      <c r="F55" s="7"/>
      <c r="G55" s="29" t="s">
        <v>31</v>
      </c>
      <c r="H55" s="13">
        <v>1500</v>
      </c>
      <c r="I55" s="7"/>
      <c r="J55" s="29" t="s">
        <v>32</v>
      </c>
      <c r="K55" s="17">
        <f>E73</f>
        <v>0.01</v>
      </c>
      <c r="L55" s="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3"/>
      <c r="B56" s="48" t="s">
        <v>37</v>
      </c>
      <c r="C56" s="61"/>
      <c r="D56" s="29" t="s">
        <v>13</v>
      </c>
      <c r="E56" s="13">
        <v>85847</v>
      </c>
      <c r="F56" s="7"/>
      <c r="G56" s="29" t="s">
        <v>34</v>
      </c>
      <c r="H56" s="13">
        <v>218</v>
      </c>
      <c r="I56" s="5"/>
      <c r="J56" s="12"/>
      <c r="K56" s="1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3"/>
      <c r="B57" s="50" t="s">
        <v>39</v>
      </c>
      <c r="C57" s="50" t="s">
        <v>17</v>
      </c>
      <c r="D57" s="29" t="s">
        <v>40</v>
      </c>
      <c r="E57" s="13">
        <v>12546</v>
      </c>
      <c r="F57" s="7"/>
      <c r="G57" s="29" t="s">
        <v>16</v>
      </c>
      <c r="H57" s="29">
        <f>SUM(E51:E55)</f>
        <v>227837</v>
      </c>
      <c r="I57" s="5"/>
      <c r="J57" s="2"/>
      <c r="K57" s="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3"/>
      <c r="B58" s="60"/>
      <c r="C58" s="60"/>
      <c r="D58" s="29" t="s">
        <v>43</v>
      </c>
      <c r="E58" s="13">
        <v>9758</v>
      </c>
      <c r="F58" s="7"/>
      <c r="G58" s="29" t="s">
        <v>39</v>
      </c>
      <c r="H58" s="29">
        <f>SUM(E57:E61)</f>
        <v>50184</v>
      </c>
      <c r="I58" s="7"/>
      <c r="J58" s="62" t="s">
        <v>41</v>
      </c>
      <c r="K58" s="61"/>
      <c r="L58" s="5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3"/>
      <c r="B59" s="60"/>
      <c r="C59" s="60"/>
      <c r="D59" s="29" t="s">
        <v>46</v>
      </c>
      <c r="E59" s="13">
        <v>9758</v>
      </c>
      <c r="F59" s="7"/>
      <c r="G59" s="29" t="s">
        <v>44</v>
      </c>
      <c r="H59" s="29">
        <f>E66</f>
        <v>0</v>
      </c>
      <c r="I59" s="7"/>
      <c r="J59" s="29" t="s">
        <v>45</v>
      </c>
      <c r="K59" s="10">
        <f>E63</f>
        <v>0</v>
      </c>
      <c r="L59" s="5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3"/>
      <c r="B60" s="60"/>
      <c r="C60" s="60"/>
      <c r="D60" s="29" t="s">
        <v>49</v>
      </c>
      <c r="E60" s="13">
        <v>9061</v>
      </c>
      <c r="F60" s="7"/>
      <c r="G60" s="29" t="s">
        <v>47</v>
      </c>
      <c r="H60" s="29">
        <f>E70</f>
        <v>0</v>
      </c>
      <c r="I60" s="7"/>
      <c r="J60" s="29" t="s">
        <v>48</v>
      </c>
      <c r="K60" s="10">
        <f>E76*0.001</f>
        <v>0</v>
      </c>
      <c r="L60" s="5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3"/>
      <c r="B61" s="60"/>
      <c r="C61" s="59"/>
      <c r="D61" s="29" t="s">
        <v>54</v>
      </c>
      <c r="E61" s="13">
        <v>9061</v>
      </c>
      <c r="F61" s="7"/>
      <c r="G61" s="29" t="s">
        <v>50</v>
      </c>
      <c r="H61" s="29">
        <v>48930</v>
      </c>
      <c r="I61" s="5"/>
      <c r="J61" s="12"/>
      <c r="K61" s="1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3"/>
      <c r="B62" s="60"/>
      <c r="C62" s="50" t="s">
        <v>60</v>
      </c>
      <c r="D62" s="29" t="s">
        <v>107</v>
      </c>
      <c r="E62" s="19">
        <v>0</v>
      </c>
      <c r="F62" s="5"/>
      <c r="G62" s="6"/>
      <c r="H62" s="6"/>
      <c r="I62" s="1"/>
      <c r="J62" s="2"/>
      <c r="K62" s="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>
      <c r="A63" s="3"/>
      <c r="B63" s="60"/>
      <c r="C63" s="59"/>
      <c r="D63" s="29" t="s">
        <v>41</v>
      </c>
      <c r="E63" s="19">
        <v>0</v>
      </c>
      <c r="F63" s="7"/>
      <c r="G63" s="62" t="s">
        <v>57</v>
      </c>
      <c r="H63" s="61"/>
      <c r="I63" s="7"/>
      <c r="J63" s="62" t="s">
        <v>58</v>
      </c>
      <c r="K63" s="61"/>
      <c r="L63" s="5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>
      <c r="A64" s="3"/>
      <c r="B64" s="60"/>
      <c r="C64" s="50" t="s">
        <v>69</v>
      </c>
      <c r="D64" s="29" t="s">
        <v>108</v>
      </c>
      <c r="E64" s="13">
        <v>0</v>
      </c>
      <c r="F64" s="7"/>
      <c r="G64" s="29" t="s">
        <v>37</v>
      </c>
      <c r="H64" s="29">
        <f>E56</f>
        <v>85847</v>
      </c>
      <c r="I64" s="7"/>
      <c r="J64" s="29" t="s">
        <v>61</v>
      </c>
      <c r="K64" s="10">
        <f>E75</f>
        <v>4.9500000000000002E-2</v>
      </c>
      <c r="L64" s="5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3"/>
      <c r="B65" s="59"/>
      <c r="C65" s="59"/>
      <c r="D65" s="29" t="s">
        <v>70</v>
      </c>
      <c r="E65" s="13">
        <v>0</v>
      </c>
      <c r="F65" s="7"/>
      <c r="G65" s="29" t="s">
        <v>65</v>
      </c>
      <c r="H65" s="29">
        <f>E65</f>
        <v>0</v>
      </c>
      <c r="I65" s="7"/>
      <c r="J65" s="29" t="s">
        <v>66</v>
      </c>
      <c r="K65" s="10">
        <f>E68</f>
        <v>0</v>
      </c>
      <c r="L65" s="5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>
      <c r="A66" s="3"/>
      <c r="B66" s="50" t="s">
        <v>44</v>
      </c>
      <c r="C66" s="50" t="s">
        <v>109</v>
      </c>
      <c r="D66" s="29" t="s">
        <v>8</v>
      </c>
      <c r="E66" s="13">
        <v>0</v>
      </c>
      <c r="F66" s="7"/>
      <c r="G66" s="29" t="s">
        <v>44</v>
      </c>
      <c r="H66" s="29">
        <f>E67</f>
        <v>0</v>
      </c>
      <c r="I66" s="5"/>
      <c r="J66" s="12"/>
      <c r="K66" s="1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3"/>
      <c r="B67" s="59"/>
      <c r="C67" s="59"/>
      <c r="D67" s="29" t="s">
        <v>13</v>
      </c>
      <c r="E67" s="13">
        <v>0</v>
      </c>
      <c r="F67" s="7"/>
      <c r="G67" s="29" t="s">
        <v>47</v>
      </c>
      <c r="H67" s="29">
        <f>E71</f>
        <v>0</v>
      </c>
      <c r="I67" s="5"/>
      <c r="J67" s="2"/>
      <c r="K67" s="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>
      <c r="A68" s="3"/>
      <c r="B68" s="29" t="s">
        <v>71</v>
      </c>
      <c r="C68" s="29" t="s">
        <v>66</v>
      </c>
      <c r="D68" s="29" t="s">
        <v>58</v>
      </c>
      <c r="E68" s="19">
        <v>0</v>
      </c>
      <c r="F68" s="7"/>
      <c r="G68" s="29" t="s">
        <v>50</v>
      </c>
      <c r="H68" s="29">
        <v>15504</v>
      </c>
      <c r="I68" s="7"/>
      <c r="J68" s="62" t="s">
        <v>107</v>
      </c>
      <c r="K68" s="61"/>
      <c r="L68" s="5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3"/>
      <c r="B69" s="50" t="s">
        <v>75</v>
      </c>
      <c r="C69" s="50" t="s">
        <v>69</v>
      </c>
      <c r="D69" s="29" t="s">
        <v>108</v>
      </c>
      <c r="E69" s="13">
        <v>0</v>
      </c>
      <c r="F69" s="5"/>
      <c r="G69" s="6"/>
      <c r="H69" s="6"/>
      <c r="I69" s="3"/>
      <c r="J69" s="29" t="s">
        <v>45</v>
      </c>
      <c r="K69" s="33">
        <f>E62</f>
        <v>0</v>
      </c>
      <c r="L69" s="5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3"/>
      <c r="B70" s="60"/>
      <c r="C70" s="60"/>
      <c r="D70" s="29" t="s">
        <v>76</v>
      </c>
      <c r="E70" s="13">
        <v>0</v>
      </c>
      <c r="F70" s="7"/>
      <c r="G70" s="62" t="s">
        <v>110</v>
      </c>
      <c r="H70" s="61"/>
      <c r="I70" s="7"/>
      <c r="J70" s="29" t="s">
        <v>111</v>
      </c>
      <c r="K70" s="10">
        <f>E72</f>
        <v>1.44E-2</v>
      </c>
      <c r="L70" s="5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3"/>
      <c r="B71" s="60"/>
      <c r="C71" s="59"/>
      <c r="D71" s="29" t="s">
        <v>70</v>
      </c>
      <c r="E71" s="13">
        <v>0</v>
      </c>
      <c r="F71" s="7"/>
      <c r="G71" s="29" t="s">
        <v>65</v>
      </c>
      <c r="H71" s="29">
        <f>E64</f>
        <v>0</v>
      </c>
      <c r="I71" s="7"/>
      <c r="J71" s="29" t="s">
        <v>112</v>
      </c>
      <c r="K71" s="33">
        <f>E77</f>
        <v>0</v>
      </c>
      <c r="L71" s="5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>
      <c r="A72" s="3"/>
      <c r="B72" s="59"/>
      <c r="C72" s="29" t="s">
        <v>113</v>
      </c>
      <c r="D72" s="29" t="s">
        <v>107</v>
      </c>
      <c r="E72" s="19">
        <v>1.44E-2</v>
      </c>
      <c r="F72" s="7"/>
      <c r="G72" s="29" t="s">
        <v>47</v>
      </c>
      <c r="H72" s="29">
        <f>E69</f>
        <v>0</v>
      </c>
      <c r="I72" s="7"/>
      <c r="J72" s="29" t="s">
        <v>114</v>
      </c>
      <c r="K72" s="19">
        <v>5.3999999999999999E-2</v>
      </c>
      <c r="L72" s="5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>
      <c r="A73" s="3"/>
      <c r="B73" s="63" t="s">
        <v>82</v>
      </c>
      <c r="C73" s="61"/>
      <c r="D73" s="26" t="s">
        <v>85</v>
      </c>
      <c r="E73" s="27">
        <v>0.01</v>
      </c>
      <c r="F73" s="7"/>
      <c r="G73" s="29" t="s">
        <v>50</v>
      </c>
      <c r="H73" s="29">
        <v>4281</v>
      </c>
      <c r="I73" s="7"/>
      <c r="J73" s="29" t="s">
        <v>115</v>
      </c>
      <c r="K73" s="19">
        <v>0</v>
      </c>
      <c r="L73" s="5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>
      <c r="A74" s="3"/>
      <c r="B74" s="48" t="s">
        <v>28</v>
      </c>
      <c r="C74" s="61"/>
      <c r="D74" s="29" t="s">
        <v>85</v>
      </c>
      <c r="E74" s="19">
        <v>0.08</v>
      </c>
      <c r="F74" s="5"/>
      <c r="G74" s="12"/>
      <c r="H74" s="12"/>
      <c r="I74" s="3"/>
      <c r="J74" s="29" t="s">
        <v>116</v>
      </c>
      <c r="K74" s="19">
        <v>0.02</v>
      </c>
      <c r="L74" s="5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>
      <c r="A75" s="3"/>
      <c r="B75" s="48" t="s">
        <v>61</v>
      </c>
      <c r="C75" s="61"/>
      <c r="D75" s="29" t="s">
        <v>87</v>
      </c>
      <c r="E75" s="19">
        <v>4.9500000000000002E-2</v>
      </c>
      <c r="F75" s="5"/>
      <c r="G75" s="1"/>
      <c r="H75" s="1"/>
      <c r="I75" s="1"/>
      <c r="J75" s="12"/>
      <c r="K75" s="1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>
      <c r="A76" s="3"/>
      <c r="B76" s="48" t="s">
        <v>48</v>
      </c>
      <c r="C76" s="61"/>
      <c r="D76" s="29" t="s">
        <v>94</v>
      </c>
      <c r="E76" s="13">
        <v>0</v>
      </c>
      <c r="F76" s="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>
      <c r="A77" s="3"/>
      <c r="B77" s="48" t="s">
        <v>117</v>
      </c>
      <c r="C77" s="61"/>
      <c r="D77" s="29" t="s">
        <v>107</v>
      </c>
      <c r="E77" s="19">
        <v>0</v>
      </c>
      <c r="F77" s="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>
      <c r="A78" s="3"/>
      <c r="B78" s="53" t="s">
        <v>118</v>
      </c>
      <c r="C78" s="54"/>
      <c r="D78" s="29" t="s">
        <v>107</v>
      </c>
      <c r="E78" s="19">
        <v>0</v>
      </c>
      <c r="F78" s="5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>
      <c r="A79" s="3"/>
      <c r="B79" s="57"/>
      <c r="C79" s="58"/>
      <c r="D79" s="29" t="s">
        <v>119</v>
      </c>
      <c r="E79" s="19">
        <v>0</v>
      </c>
      <c r="F79" s="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>
      <c r="A80" s="3"/>
      <c r="B80" s="48" t="s">
        <v>96</v>
      </c>
      <c r="C80" s="61"/>
      <c r="D80" s="29" t="s">
        <v>120</v>
      </c>
      <c r="E80" s="34">
        <v>0.15</v>
      </c>
      <c r="F80" s="5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>
      <c r="A81" s="3"/>
      <c r="B81" s="53" t="s">
        <v>121</v>
      </c>
      <c r="C81" s="54"/>
      <c r="D81" s="29" t="s">
        <v>122</v>
      </c>
      <c r="E81" s="34">
        <v>0.8</v>
      </c>
      <c r="F81" s="5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>
      <c r="A82" s="3"/>
      <c r="B82" s="55"/>
      <c r="C82" s="56"/>
      <c r="D82" s="29" t="s">
        <v>123</v>
      </c>
      <c r="E82" s="34">
        <v>2.6</v>
      </c>
      <c r="F82" s="5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>
      <c r="A83" s="3"/>
      <c r="B83" s="55"/>
      <c r="C83" s="56"/>
      <c r="D83" s="29" t="s">
        <v>124</v>
      </c>
      <c r="E83" s="34">
        <v>0</v>
      </c>
      <c r="F83" s="5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>
      <c r="A84" s="3"/>
      <c r="B84" s="57"/>
      <c r="C84" s="58"/>
      <c r="D84" s="29" t="s">
        <v>125</v>
      </c>
      <c r="E84" s="34">
        <v>0.3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>
      <c r="A85" s="1"/>
      <c r="B85" s="12"/>
      <c r="C85" s="1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56">
    <mergeCell ref="B2:E2"/>
    <mergeCell ref="G2:K2"/>
    <mergeCell ref="M2:Q2"/>
    <mergeCell ref="B7:C8"/>
    <mergeCell ref="B9:B13"/>
    <mergeCell ref="C9:C13"/>
    <mergeCell ref="G9:H9"/>
    <mergeCell ref="J9:K9"/>
    <mergeCell ref="B14:C14"/>
    <mergeCell ref="J14:K14"/>
    <mergeCell ref="B15:B24"/>
    <mergeCell ref="C15:C19"/>
    <mergeCell ref="G19:H19"/>
    <mergeCell ref="J19:K19"/>
    <mergeCell ref="C22:C23"/>
    <mergeCell ref="J24:K24"/>
    <mergeCell ref="B26:B27"/>
    <mergeCell ref="C26:C27"/>
    <mergeCell ref="G26:H26"/>
    <mergeCell ref="B28:C28"/>
    <mergeCell ref="B29:C29"/>
    <mergeCell ref="J53:K53"/>
    <mergeCell ref="J30:K30"/>
    <mergeCell ref="B33:C33"/>
    <mergeCell ref="G33:H33"/>
    <mergeCell ref="B34:C34"/>
    <mergeCell ref="B35:C36"/>
    <mergeCell ref="B37:C38"/>
    <mergeCell ref="B30:C32"/>
    <mergeCell ref="B39:B46"/>
    <mergeCell ref="C39:C46"/>
    <mergeCell ref="B51:B55"/>
    <mergeCell ref="C51:C55"/>
    <mergeCell ref="G53:H53"/>
    <mergeCell ref="B56:C56"/>
    <mergeCell ref="B57:B65"/>
    <mergeCell ref="C57:C61"/>
    <mergeCell ref="J58:K58"/>
    <mergeCell ref="C62:C63"/>
    <mergeCell ref="G63:H63"/>
    <mergeCell ref="J63:K63"/>
    <mergeCell ref="C64:C65"/>
    <mergeCell ref="B66:B67"/>
    <mergeCell ref="C66:C67"/>
    <mergeCell ref="J68:K68"/>
    <mergeCell ref="B69:B72"/>
    <mergeCell ref="C69:C71"/>
    <mergeCell ref="G70:H70"/>
    <mergeCell ref="B80:C80"/>
    <mergeCell ref="B81:C84"/>
    <mergeCell ref="B73:C73"/>
    <mergeCell ref="B74:C74"/>
    <mergeCell ref="B75:C75"/>
    <mergeCell ref="B76:C76"/>
    <mergeCell ref="B77:C77"/>
    <mergeCell ref="B78:C79"/>
  </mergeCells>
  <phoneticPr fontId="7" type="noConversion"/>
  <pageMargins left="0.7" right="0.7" top="0.75" bottom="0.75" header="0" footer="0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379DF-A558-4FEB-BC04-595D84450182}">
  <dimension ref="A1:Z1001"/>
  <sheetViews>
    <sheetView workbookViewId="0">
      <selection activeCell="P8" sqref="P8"/>
    </sheetView>
  </sheetViews>
  <sheetFormatPr defaultColWidth="14.42578125" defaultRowHeight="15" customHeight="1"/>
  <cols>
    <col min="1" max="1" width="3.7109375" customWidth="1"/>
    <col min="2" max="2" width="13" customWidth="1"/>
    <col min="3" max="3" width="12.85546875" customWidth="1"/>
    <col min="4" max="4" width="29.28515625" customWidth="1"/>
    <col min="5" max="5" width="12.7109375" customWidth="1"/>
    <col min="6" max="6" width="3.28515625" customWidth="1"/>
    <col min="7" max="7" width="19.85546875" customWidth="1"/>
    <col min="8" max="8" width="10.85546875" customWidth="1"/>
    <col min="9" max="9" width="3" customWidth="1"/>
    <col min="10" max="10" width="25" customWidth="1"/>
    <col min="11" max="11" width="8.7109375" customWidth="1"/>
    <col min="12" max="12" width="3" customWidth="1"/>
    <col min="13" max="13" width="25.28515625" customWidth="1"/>
    <col min="14" max="14" width="19.28515625" customWidth="1"/>
    <col min="15" max="15" width="21.5703125" customWidth="1"/>
    <col min="16" max="16" width="27.140625" customWidth="1"/>
    <col min="17" max="17" width="14.7109375" customWidth="1"/>
  </cols>
  <sheetData>
    <row r="1" spans="1:26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1"/>
      <c r="B2" s="64" t="s">
        <v>0</v>
      </c>
      <c r="C2" s="65"/>
      <c r="D2" s="65"/>
      <c r="E2" s="66"/>
      <c r="F2" s="1"/>
      <c r="G2" s="64" t="s">
        <v>1</v>
      </c>
      <c r="H2" s="65"/>
      <c r="I2" s="65"/>
      <c r="J2" s="65"/>
      <c r="K2" s="66"/>
      <c r="L2" s="1"/>
      <c r="M2" s="64" t="s">
        <v>2</v>
      </c>
      <c r="N2" s="65"/>
      <c r="O2" s="65"/>
      <c r="P2" s="65"/>
      <c r="Q2" s="66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customHeight="1">
      <c r="A4" s="3"/>
      <c r="B4" s="4" t="s">
        <v>3</v>
      </c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>
      <c r="A5" s="1"/>
      <c r="B5" s="6"/>
      <c r="C5" s="2"/>
      <c r="D5" s="2"/>
      <c r="E5" s="2"/>
      <c r="F5" s="1"/>
      <c r="G5" s="2"/>
      <c r="H5" s="2"/>
      <c r="I5" s="1"/>
      <c r="J5" s="2"/>
      <c r="K5" s="2"/>
      <c r="L5" s="1"/>
      <c r="M5" s="2"/>
      <c r="N5" s="2"/>
      <c r="O5" s="2"/>
      <c r="P5" s="2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>
      <c r="A6" s="3"/>
      <c r="B6" s="38" t="s">
        <v>4</v>
      </c>
      <c r="C6" s="38" t="s">
        <v>5</v>
      </c>
      <c r="D6" s="38" t="s">
        <v>6</v>
      </c>
      <c r="E6" s="38" t="s">
        <v>7</v>
      </c>
      <c r="F6" s="7"/>
      <c r="G6" s="8" t="s">
        <v>8</v>
      </c>
      <c r="H6" s="9">
        <f>ROUNDDOWN(SUM(H10:H17)*(1+K10+K11),0)</f>
        <v>358769</v>
      </c>
      <c r="I6" s="7"/>
      <c r="J6" s="4" t="s">
        <v>9</v>
      </c>
      <c r="K6" s="9">
        <f>ROUNDDOWN((H6*H7/6)^0.5*(1+SUM(K20:K21)),0)</f>
        <v>79367</v>
      </c>
      <c r="L6" s="7"/>
      <c r="M6" s="8" t="s">
        <v>10</v>
      </c>
      <c r="N6" s="10">
        <f>0.25/699*E8*(1+K31+K32)</f>
        <v>0.27896995708154504</v>
      </c>
      <c r="O6" s="8" t="s">
        <v>11</v>
      </c>
      <c r="P6" s="10">
        <f>E32*0.01</f>
        <v>0.06</v>
      </c>
      <c r="Q6" s="5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>
      <c r="A7" s="3"/>
      <c r="B7" s="68" t="s">
        <v>12</v>
      </c>
      <c r="C7" s="68"/>
      <c r="D7" s="41" t="s">
        <v>129</v>
      </c>
      <c r="E7" s="42">
        <v>1850</v>
      </c>
      <c r="F7" s="7"/>
      <c r="G7" s="8" t="s">
        <v>13</v>
      </c>
      <c r="H7" s="9">
        <f>ROUNDDOWN(SUM(H20:H24)*(1+K15+K16),0)</f>
        <v>95643</v>
      </c>
      <c r="I7" s="5"/>
      <c r="J7" s="12"/>
      <c r="K7" s="12"/>
      <c r="L7" s="3"/>
      <c r="M7" s="8" t="s">
        <v>14</v>
      </c>
      <c r="N7" s="10">
        <f>SUM(K25:K28)</f>
        <v>0.08</v>
      </c>
      <c r="O7" s="8" t="s">
        <v>15</v>
      </c>
      <c r="P7" s="10">
        <f>0.1*(1+N9)</f>
        <v>0.1</v>
      </c>
      <c r="Q7" s="5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>
      <c r="A8" s="3"/>
      <c r="B8" s="68"/>
      <c r="C8" s="68"/>
      <c r="D8" s="39" t="s">
        <v>126</v>
      </c>
      <c r="E8" s="13">
        <v>650</v>
      </c>
      <c r="F8" s="5"/>
      <c r="G8" s="6"/>
      <c r="H8" s="6"/>
      <c r="I8" s="1"/>
      <c r="J8" s="2"/>
      <c r="K8" s="2"/>
      <c r="L8" s="3"/>
      <c r="M8" s="8" t="s">
        <v>19</v>
      </c>
      <c r="N8" s="10">
        <f>SUM(H27:H31)</f>
        <v>0.4904</v>
      </c>
      <c r="O8" s="8" t="s">
        <v>20</v>
      </c>
      <c r="P8" s="43">
        <f>10/(60*(1-E7*0.0002147)*0.95*0.92)</f>
        <v>0.31634463320791978</v>
      </c>
      <c r="Q8" s="5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>
      <c r="A9" s="3"/>
      <c r="B9" s="51" t="s">
        <v>16</v>
      </c>
      <c r="C9" s="67" t="s">
        <v>17</v>
      </c>
      <c r="D9" s="39" t="s">
        <v>18</v>
      </c>
      <c r="E9" s="13">
        <v>46228</v>
      </c>
      <c r="F9" s="7"/>
      <c r="G9" s="62" t="s">
        <v>22</v>
      </c>
      <c r="H9" s="61"/>
      <c r="I9" s="7"/>
      <c r="J9" s="62" t="s">
        <v>23</v>
      </c>
      <c r="K9" s="61"/>
      <c r="L9" s="7"/>
      <c r="M9" s="8" t="s">
        <v>24</v>
      </c>
      <c r="N9" s="10">
        <f>SUM(H34:H35)</f>
        <v>0</v>
      </c>
      <c r="O9" s="8" t="s">
        <v>25</v>
      </c>
      <c r="P9" s="19">
        <v>1</v>
      </c>
      <c r="Q9" s="5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>
      <c r="A10" s="3"/>
      <c r="B10" s="51"/>
      <c r="C10" s="51"/>
      <c r="D10" s="36" t="s">
        <v>21</v>
      </c>
      <c r="E10" s="13">
        <v>49200</v>
      </c>
      <c r="F10" s="7"/>
      <c r="G10" s="29" t="s">
        <v>27</v>
      </c>
      <c r="H10" s="15">
        <v>477</v>
      </c>
      <c r="I10" s="7"/>
      <c r="J10" s="29" t="s">
        <v>28</v>
      </c>
      <c r="K10" s="10">
        <f>E29</f>
        <v>0.08</v>
      </c>
      <c r="L10" s="5"/>
      <c r="M10" s="12"/>
      <c r="N10" s="16"/>
      <c r="O10" s="8" t="s">
        <v>29</v>
      </c>
      <c r="P10" s="19">
        <v>1</v>
      </c>
      <c r="Q10" s="5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>
      <c r="A11" s="3"/>
      <c r="B11" s="51"/>
      <c r="C11" s="51"/>
      <c r="D11" s="29" t="s">
        <v>26</v>
      </c>
      <c r="E11" s="13">
        <v>36982</v>
      </c>
      <c r="F11" s="7"/>
      <c r="G11" s="29" t="s">
        <v>31</v>
      </c>
      <c r="H11" s="13">
        <v>1500</v>
      </c>
      <c r="I11" s="7"/>
      <c r="J11" s="29" t="s">
        <v>32</v>
      </c>
      <c r="K11" s="17">
        <f>E28</f>
        <v>0.01</v>
      </c>
      <c r="L11" s="5"/>
      <c r="M11" s="2"/>
      <c r="N11" s="2"/>
      <c r="O11" s="12"/>
      <c r="P11" s="12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>
      <c r="A12" s="3"/>
      <c r="B12" s="51"/>
      <c r="C12" s="51"/>
      <c r="D12" s="29" t="s">
        <v>30</v>
      </c>
      <c r="E12" s="13">
        <v>39954</v>
      </c>
      <c r="F12" s="7"/>
      <c r="G12" s="29" t="s">
        <v>34</v>
      </c>
      <c r="H12" s="13">
        <v>218</v>
      </c>
      <c r="I12" s="5"/>
      <c r="J12" s="12"/>
      <c r="K12" s="12"/>
      <c r="L12" s="3"/>
      <c r="M12" s="18" t="s">
        <v>35</v>
      </c>
      <c r="N12" s="18" t="s">
        <v>36</v>
      </c>
      <c r="O12" s="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>
      <c r="A13" s="3"/>
      <c r="B13" s="52"/>
      <c r="C13" s="52"/>
      <c r="D13" s="29" t="s">
        <v>33</v>
      </c>
      <c r="E13" s="13">
        <v>55473</v>
      </c>
      <c r="F13" s="7"/>
      <c r="G13" s="29" t="s">
        <v>16</v>
      </c>
      <c r="H13" s="29">
        <f>SUM(E9:E13)</f>
        <v>227837</v>
      </c>
      <c r="I13" s="5"/>
      <c r="J13" s="2"/>
      <c r="K13" s="2"/>
      <c r="L13" s="3"/>
      <c r="M13" s="18" t="s">
        <v>38</v>
      </c>
      <c r="N13" s="10">
        <f>0.1*(1+0.63/699*E8)*(1+N9+E32*0.01)</f>
        <v>0.16809871244635194</v>
      </c>
      <c r="O13" s="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>
      <c r="A14" s="3"/>
      <c r="B14" s="48" t="s">
        <v>37</v>
      </c>
      <c r="C14" s="49"/>
      <c r="D14" s="29" t="s">
        <v>13</v>
      </c>
      <c r="E14" s="13">
        <v>80139</v>
      </c>
      <c r="F14" s="7"/>
      <c r="G14" s="29" t="s">
        <v>39</v>
      </c>
      <c r="H14" s="29">
        <f>SUM(E15:E19)</f>
        <v>50184</v>
      </c>
      <c r="I14" s="7"/>
      <c r="J14" s="62" t="s">
        <v>41</v>
      </c>
      <c r="K14" s="61"/>
      <c r="L14" s="7"/>
      <c r="M14" s="8" t="s">
        <v>42</v>
      </c>
      <c r="N14" s="19">
        <v>0.4</v>
      </c>
      <c r="O14" s="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>
      <c r="A15" s="3"/>
      <c r="B15" s="50" t="s">
        <v>39</v>
      </c>
      <c r="C15" s="50" t="s">
        <v>17</v>
      </c>
      <c r="D15" s="29" t="s">
        <v>40</v>
      </c>
      <c r="E15" s="13">
        <v>12546</v>
      </c>
      <c r="F15" s="7"/>
      <c r="G15" s="29" t="s">
        <v>44</v>
      </c>
      <c r="H15" s="29">
        <f>E39</f>
        <v>0</v>
      </c>
      <c r="I15" s="7"/>
      <c r="J15" s="29" t="s">
        <v>45</v>
      </c>
      <c r="K15" s="10">
        <f>E21</f>
        <v>0</v>
      </c>
      <c r="L15" s="5"/>
      <c r="M15" s="12"/>
      <c r="N15" s="1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>
      <c r="A16" s="3"/>
      <c r="B16" s="51"/>
      <c r="C16" s="51"/>
      <c r="D16" s="29" t="s">
        <v>43</v>
      </c>
      <c r="E16" s="13">
        <v>9758</v>
      </c>
      <c r="F16" s="7"/>
      <c r="G16" s="29" t="s">
        <v>47</v>
      </c>
      <c r="H16" s="29">
        <f>E26</f>
        <v>0</v>
      </c>
      <c r="I16" s="7"/>
      <c r="J16" s="29" t="s">
        <v>48</v>
      </c>
      <c r="K16" s="10">
        <f>E34*0.001</f>
        <v>0</v>
      </c>
      <c r="L16" s="5"/>
      <c r="M16" s="2"/>
      <c r="N16" s="2"/>
      <c r="O16" s="2"/>
      <c r="P16" s="2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>
      <c r="A17" s="3"/>
      <c r="B17" s="51"/>
      <c r="C17" s="51"/>
      <c r="D17" s="29" t="s">
        <v>46</v>
      </c>
      <c r="E17" s="13">
        <v>9758</v>
      </c>
      <c r="F17" s="7"/>
      <c r="G17" s="29" t="s">
        <v>50</v>
      </c>
      <c r="H17" s="29">
        <v>48930</v>
      </c>
      <c r="I17" s="5"/>
      <c r="J17" s="12"/>
      <c r="K17" s="12"/>
      <c r="L17" s="3"/>
      <c r="M17" s="18"/>
      <c r="N17" s="18" t="s">
        <v>51</v>
      </c>
      <c r="O17" s="20" t="s">
        <v>52</v>
      </c>
      <c r="P17" s="8" t="s">
        <v>53</v>
      </c>
      <c r="Q17" s="5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>
      <c r="A18" s="3"/>
      <c r="B18" s="51"/>
      <c r="C18" s="51"/>
      <c r="D18" s="29" t="s">
        <v>49</v>
      </c>
      <c r="E18" s="13">
        <v>9061</v>
      </c>
      <c r="F18" s="5"/>
      <c r="G18" s="6"/>
      <c r="H18" s="6"/>
      <c r="I18" s="1"/>
      <c r="J18" s="2"/>
      <c r="K18" s="2"/>
      <c r="L18" s="3"/>
      <c r="M18" s="18" t="s">
        <v>55</v>
      </c>
      <c r="N18" s="21">
        <f>ROUNDDOWN(K50*(1+E78),0)</f>
        <v>93582</v>
      </c>
      <c r="O18" s="29" t="s">
        <v>56</v>
      </c>
      <c r="P18" s="29" t="s">
        <v>56</v>
      </c>
      <c r="Q18" s="5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>
      <c r="A19" s="3"/>
      <c r="B19" s="51"/>
      <c r="C19" s="52"/>
      <c r="D19" s="29" t="s">
        <v>54</v>
      </c>
      <c r="E19" s="13">
        <v>9061</v>
      </c>
      <c r="F19" s="7"/>
      <c r="G19" s="62" t="s">
        <v>57</v>
      </c>
      <c r="H19" s="61"/>
      <c r="I19" s="7"/>
      <c r="J19" s="62" t="s">
        <v>58</v>
      </c>
      <c r="K19" s="61"/>
      <c r="L19" s="7"/>
      <c r="M19" s="8" t="s">
        <v>59</v>
      </c>
      <c r="N19" s="29">
        <f>ROUNDDOWN(((K50+K6*0.15*(1+N8)*(1+SUM(K69:K74)))*(1.06+E78))*P9+(1-P9)*N18, 0)</f>
        <v>119667</v>
      </c>
      <c r="O19" s="10">
        <f>N19/(N18*(1+E78))-1</f>
        <v>0.27873950118612556</v>
      </c>
      <c r="P19" s="10">
        <f t="shared" ref="P19:P21" si="0">O19/(1+O19)</f>
        <v>0.21797989420642283</v>
      </c>
      <c r="Q19" s="5"/>
      <c r="R19" s="1"/>
      <c r="S19" s="1"/>
      <c r="T19" s="1"/>
      <c r="U19" s="1"/>
      <c r="V19" s="1"/>
      <c r="W19" s="1"/>
      <c r="X19" s="1"/>
      <c r="Y19" s="1"/>
      <c r="Z19" s="1"/>
    </row>
    <row r="20" spans="1:26" ht="16.5">
      <c r="A20" s="3"/>
      <c r="B20" s="51"/>
      <c r="C20" s="29" t="s">
        <v>40</v>
      </c>
      <c r="D20" s="29" t="s">
        <v>14</v>
      </c>
      <c r="E20" s="19">
        <v>0</v>
      </c>
      <c r="F20" s="7"/>
      <c r="G20" s="29" t="s">
        <v>37</v>
      </c>
      <c r="H20" s="29">
        <f>E14</f>
        <v>80139</v>
      </c>
      <c r="I20" s="7"/>
      <c r="J20" s="29" t="s">
        <v>61</v>
      </c>
      <c r="K20" s="10">
        <f>E30</f>
        <v>4.9500000000000002E-2</v>
      </c>
      <c r="L20" s="7"/>
      <c r="M20" s="8" t="s">
        <v>62</v>
      </c>
      <c r="N20" s="29">
        <f>ROUNDDOWN(N19*(1+0.1*(1+N7))*P10+N19*(1-P10), 0)</f>
        <v>132591</v>
      </c>
      <c r="O20" s="10">
        <f>N20/N18-1</f>
        <v>0.41684298262486386</v>
      </c>
      <c r="P20" s="10">
        <f t="shared" si="0"/>
        <v>0.29420548906034349</v>
      </c>
      <c r="Q20" s="5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>
      <c r="A21" s="3"/>
      <c r="B21" s="51"/>
      <c r="C21" s="29" t="s">
        <v>60</v>
      </c>
      <c r="D21" s="29" t="s">
        <v>41</v>
      </c>
      <c r="E21" s="19">
        <v>0</v>
      </c>
      <c r="F21" s="7"/>
      <c r="G21" s="29" t="s">
        <v>65</v>
      </c>
      <c r="H21" s="29">
        <f>E24</f>
        <v>0</v>
      </c>
      <c r="I21" s="7"/>
      <c r="J21" s="29" t="s">
        <v>66</v>
      </c>
      <c r="K21" s="10">
        <f>E25</f>
        <v>0</v>
      </c>
      <c r="L21" s="7"/>
      <c r="M21" s="22" t="s">
        <v>67</v>
      </c>
      <c r="N21" s="29">
        <f>ROUNDDOWN(N20*(1-MAX(N14,P8))+N20*(1+N13+P7)*MIN(N14,P8)+N20*IF(N14&gt;P8, (1+N13)*ABS(N14-P8), (1+P7)*ABS(N14-P8)),0)</f>
        <v>145700</v>
      </c>
      <c r="O21" s="10">
        <f>N21/N18-1</f>
        <v>0.55692333995853893</v>
      </c>
      <c r="P21" s="23">
        <f t="shared" si="0"/>
        <v>0.35770761839396015</v>
      </c>
      <c r="Q21" s="5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3"/>
      <c r="B22" s="51"/>
      <c r="C22" s="50" t="s">
        <v>63</v>
      </c>
      <c r="D22" s="29" t="s">
        <v>64</v>
      </c>
      <c r="E22" s="19">
        <v>0</v>
      </c>
      <c r="F22" s="7"/>
      <c r="G22" s="29" t="s">
        <v>44</v>
      </c>
      <c r="H22" s="29">
        <f>E40</f>
        <v>0</v>
      </c>
      <c r="I22" s="5"/>
      <c r="J22" s="12"/>
      <c r="K22" s="12"/>
      <c r="L22" s="1"/>
      <c r="M22" s="12"/>
      <c r="N22" s="12"/>
      <c r="O22" s="12"/>
      <c r="P22" s="12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>
      <c r="A23" s="3"/>
      <c r="B23" s="51"/>
      <c r="C23" s="52"/>
      <c r="D23" s="29" t="s">
        <v>68</v>
      </c>
      <c r="E23" s="19">
        <v>0</v>
      </c>
      <c r="F23" s="7"/>
      <c r="G23" s="29" t="s">
        <v>47</v>
      </c>
      <c r="H23" s="29">
        <f>E27</f>
        <v>0</v>
      </c>
      <c r="I23" s="5"/>
      <c r="J23" s="2"/>
      <c r="K23" s="2"/>
      <c r="L23" s="1"/>
      <c r="M23" s="2"/>
      <c r="N23" s="24"/>
      <c r="O23" s="2"/>
      <c r="P23" s="2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>
      <c r="A24" s="3"/>
      <c r="B24" s="52"/>
      <c r="C24" s="29" t="s">
        <v>69</v>
      </c>
      <c r="D24" s="29" t="s">
        <v>70</v>
      </c>
      <c r="E24" s="13">
        <v>0</v>
      </c>
      <c r="F24" s="7"/>
      <c r="G24" s="29" t="s">
        <v>50</v>
      </c>
      <c r="H24" s="29">
        <v>15504</v>
      </c>
      <c r="I24" s="7"/>
      <c r="J24" s="62" t="s">
        <v>72</v>
      </c>
      <c r="K24" s="61"/>
      <c r="L24" s="7"/>
      <c r="M24" s="18" t="s">
        <v>73</v>
      </c>
      <c r="N24" s="18" t="s">
        <v>51</v>
      </c>
      <c r="O24" s="20" t="s">
        <v>52</v>
      </c>
      <c r="P24" s="8" t="s">
        <v>74</v>
      </c>
      <c r="Q24" s="5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>
      <c r="A25" s="3"/>
      <c r="B25" s="29" t="s">
        <v>71</v>
      </c>
      <c r="C25" s="29" t="s">
        <v>66</v>
      </c>
      <c r="D25" s="29" t="s">
        <v>58</v>
      </c>
      <c r="E25" s="19">
        <v>0</v>
      </c>
      <c r="F25" s="5"/>
      <c r="G25" s="6"/>
      <c r="H25" s="6"/>
      <c r="I25" s="3"/>
      <c r="J25" s="29" t="s">
        <v>77</v>
      </c>
      <c r="K25" s="19">
        <v>0</v>
      </c>
      <c r="L25" s="7"/>
      <c r="M25" s="18" t="s">
        <v>78</v>
      </c>
      <c r="N25" s="15">
        <f>ROUNDDOWN((N18*(1+E83)*E81*E82+N18*(1+E83)*(1-E81))*(6500/(6500*(1-E79)+6500))*(1+E80)*(1+E84), 0)</f>
        <v>159491</v>
      </c>
      <c r="O25" s="15" t="s">
        <v>56</v>
      </c>
      <c r="P25" s="29" t="s">
        <v>56</v>
      </c>
      <c r="Q25" s="5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>
      <c r="A26" s="3"/>
      <c r="B26" s="50" t="s">
        <v>75</v>
      </c>
      <c r="C26" s="50" t="s">
        <v>127</v>
      </c>
      <c r="D26" s="29" t="s">
        <v>76</v>
      </c>
      <c r="E26" s="13">
        <v>0</v>
      </c>
      <c r="F26" s="7"/>
      <c r="G26" s="62" t="s">
        <v>79</v>
      </c>
      <c r="H26" s="61"/>
      <c r="I26" s="7"/>
      <c r="J26" s="29" t="s">
        <v>80</v>
      </c>
      <c r="K26" s="10">
        <f>E33*0.01</f>
        <v>0</v>
      </c>
      <c r="L26" s="7"/>
      <c r="M26" s="18" t="s">
        <v>81</v>
      </c>
      <c r="N26" s="21">
        <f>ROUNDDOWN((N21*(E81+E42)*(E82+E41)+N21*(1-E81-E42))*(1+E83+E37)*(1+E80+E35)*(1+E36)*(6500/(6500*(1-E79)*(1-E43)+6500))*(1+E44)*(1+E84+E38), 0)</f>
        <v>279493</v>
      </c>
      <c r="O26" s="10">
        <f>N26/N25-1</f>
        <v>0.75240609187979257</v>
      </c>
      <c r="P26" s="25">
        <f>O26/(1+O26)</f>
        <v>0.4293560124940517</v>
      </c>
      <c r="Q26" s="5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>
      <c r="A27" s="3"/>
      <c r="B27" s="52"/>
      <c r="C27" s="52"/>
      <c r="D27" s="29" t="s">
        <v>70</v>
      </c>
      <c r="E27" s="13">
        <v>0</v>
      </c>
      <c r="F27" s="7"/>
      <c r="G27" s="29" t="s">
        <v>75</v>
      </c>
      <c r="H27" s="28">
        <v>0.24</v>
      </c>
      <c r="I27" s="7"/>
      <c r="J27" s="29" t="s">
        <v>84</v>
      </c>
      <c r="K27" s="10">
        <f>E20</f>
        <v>0</v>
      </c>
      <c r="L27" s="5"/>
      <c r="M27" s="12"/>
      <c r="N27" s="12"/>
      <c r="O27" s="12"/>
      <c r="P27" s="12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>
      <c r="A28" s="3"/>
      <c r="B28" s="63" t="s">
        <v>82</v>
      </c>
      <c r="C28" s="69"/>
      <c r="D28" s="26" t="s">
        <v>83</v>
      </c>
      <c r="E28" s="27">
        <v>0.01</v>
      </c>
      <c r="F28" s="7"/>
      <c r="G28" s="29" t="s">
        <v>50</v>
      </c>
      <c r="H28" s="10">
        <v>0.19040000000000001</v>
      </c>
      <c r="I28" s="7"/>
      <c r="J28" s="29" t="s">
        <v>86</v>
      </c>
      <c r="K28" s="10">
        <v>0.08</v>
      </c>
      <c r="L28" s="5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>
      <c r="A29" s="3"/>
      <c r="B29" s="48" t="s">
        <v>28</v>
      </c>
      <c r="C29" s="49"/>
      <c r="D29" s="29" t="s">
        <v>85</v>
      </c>
      <c r="E29" s="19">
        <v>0.08</v>
      </c>
      <c r="F29" s="7"/>
      <c r="G29" s="29" t="s">
        <v>88</v>
      </c>
      <c r="H29" s="10">
        <f>E22</f>
        <v>0</v>
      </c>
      <c r="I29" s="5"/>
      <c r="J29" s="6"/>
      <c r="K29" s="6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>
      <c r="A30" s="3"/>
      <c r="B30" s="53" t="s">
        <v>61</v>
      </c>
      <c r="C30" s="70"/>
      <c r="D30" s="29" t="s">
        <v>87</v>
      </c>
      <c r="E30" s="19">
        <v>4.9500000000000002E-2</v>
      </c>
      <c r="F30" s="7"/>
      <c r="G30" s="29" t="s">
        <v>61</v>
      </c>
      <c r="H30" s="10">
        <f>E31*0.01</f>
        <v>0.06</v>
      </c>
      <c r="I30" s="7"/>
      <c r="J30" s="62" t="s">
        <v>90</v>
      </c>
      <c r="K30" s="61"/>
      <c r="L30" s="5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>
      <c r="A31" s="3"/>
      <c r="B31" s="67"/>
      <c r="C31" s="71"/>
      <c r="D31" s="29" t="s">
        <v>89</v>
      </c>
      <c r="E31" s="13">
        <v>6</v>
      </c>
      <c r="F31" s="7"/>
      <c r="G31" s="29" t="s">
        <v>44</v>
      </c>
      <c r="H31" s="10">
        <f>E45</f>
        <v>0</v>
      </c>
      <c r="I31" s="7"/>
      <c r="J31" s="29" t="s">
        <v>84</v>
      </c>
      <c r="K31" s="19">
        <v>0</v>
      </c>
      <c r="L31" s="5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>
      <c r="A32" s="3"/>
      <c r="B32" s="72"/>
      <c r="C32" s="73"/>
      <c r="D32" s="29" t="s">
        <v>91</v>
      </c>
      <c r="E32" s="13">
        <v>6</v>
      </c>
      <c r="F32" s="5"/>
      <c r="G32" s="6"/>
      <c r="H32" s="6"/>
      <c r="I32" s="3"/>
      <c r="J32" s="29" t="s">
        <v>93</v>
      </c>
      <c r="K32" s="19">
        <v>0.2</v>
      </c>
      <c r="L32" s="5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>
      <c r="A33" s="3"/>
      <c r="B33" s="48" t="s">
        <v>80</v>
      </c>
      <c r="C33" s="49"/>
      <c r="D33" s="29" t="s">
        <v>92</v>
      </c>
      <c r="E33" s="13">
        <v>0</v>
      </c>
      <c r="F33" s="7"/>
      <c r="G33" s="62" t="s">
        <v>95</v>
      </c>
      <c r="H33" s="61"/>
      <c r="I33" s="5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>
      <c r="A34" s="3"/>
      <c r="B34" s="48" t="s">
        <v>48</v>
      </c>
      <c r="C34" s="49"/>
      <c r="D34" s="29" t="s">
        <v>94</v>
      </c>
      <c r="E34" s="13">
        <v>0</v>
      </c>
      <c r="F34" s="7"/>
      <c r="G34" s="29" t="s">
        <v>88</v>
      </c>
      <c r="H34" s="10">
        <f>E23</f>
        <v>0</v>
      </c>
      <c r="I34" s="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>
      <c r="A35" s="3"/>
      <c r="B35" s="53" t="s">
        <v>96</v>
      </c>
      <c r="C35" s="70"/>
      <c r="D35" s="29" t="s">
        <v>97</v>
      </c>
      <c r="E35" s="19">
        <v>3.5000000000000003E-2</v>
      </c>
      <c r="F35" s="7"/>
      <c r="G35" s="29" t="s">
        <v>44</v>
      </c>
      <c r="H35" s="28">
        <f>E46</f>
        <v>0</v>
      </c>
      <c r="I35" s="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>
      <c r="A36" s="3"/>
      <c r="B36" s="72"/>
      <c r="C36" s="73"/>
      <c r="D36" s="29" t="s">
        <v>98</v>
      </c>
      <c r="E36" s="13">
        <v>0</v>
      </c>
      <c r="F36" s="5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>
      <c r="A37" s="3"/>
      <c r="B37" s="53" t="s">
        <v>128</v>
      </c>
      <c r="C37" s="70"/>
      <c r="D37" s="29" t="s">
        <v>99</v>
      </c>
      <c r="E37" s="34">
        <v>0</v>
      </c>
      <c r="F37" s="5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>
      <c r="A38" s="3"/>
      <c r="B38" s="72"/>
      <c r="C38" s="73"/>
      <c r="D38" s="29" t="s">
        <v>100</v>
      </c>
      <c r="E38" s="34">
        <v>0.12</v>
      </c>
      <c r="F38" s="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>
      <c r="A39" s="3"/>
      <c r="B39" s="50" t="s">
        <v>44</v>
      </c>
      <c r="C39" s="50" t="s">
        <v>6</v>
      </c>
      <c r="D39" s="29" t="s">
        <v>8</v>
      </c>
      <c r="E39" s="13">
        <v>0</v>
      </c>
      <c r="F39" s="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>
      <c r="A40" s="3"/>
      <c r="B40" s="51"/>
      <c r="C40" s="51"/>
      <c r="D40" s="29" t="s">
        <v>13</v>
      </c>
      <c r="E40" s="13">
        <v>0</v>
      </c>
      <c r="F40" s="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>
      <c r="A41" s="3"/>
      <c r="B41" s="51"/>
      <c r="C41" s="51"/>
      <c r="D41" s="29" t="s">
        <v>101</v>
      </c>
      <c r="E41" s="19">
        <v>0</v>
      </c>
      <c r="F41" s="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>
      <c r="A42" s="3"/>
      <c r="B42" s="51"/>
      <c r="C42" s="51"/>
      <c r="D42" s="29" t="s">
        <v>102</v>
      </c>
      <c r="E42" s="19">
        <v>0</v>
      </c>
      <c r="F42" s="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>
      <c r="A43" s="3"/>
      <c r="B43" s="51"/>
      <c r="C43" s="51"/>
      <c r="D43" s="29" t="s">
        <v>103</v>
      </c>
      <c r="E43" s="19">
        <v>0</v>
      </c>
      <c r="F43" s="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>
      <c r="A44" s="3"/>
      <c r="B44" s="51"/>
      <c r="C44" s="51"/>
      <c r="D44" s="29" t="s">
        <v>104</v>
      </c>
      <c r="E44" s="19">
        <v>0</v>
      </c>
      <c r="F44" s="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3"/>
      <c r="B45" s="51"/>
      <c r="C45" s="51"/>
      <c r="D45" s="29" t="s">
        <v>64</v>
      </c>
      <c r="E45" s="19">
        <v>0</v>
      </c>
      <c r="F45" s="5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"/>
      <c r="B46" s="52"/>
      <c r="C46" s="52"/>
      <c r="D46" s="29" t="s">
        <v>68</v>
      </c>
      <c r="E46" s="19"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3"/>
      <c r="B48" s="35" t="s">
        <v>105</v>
      </c>
      <c r="C48" s="5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"/>
      <c r="B49" s="6"/>
      <c r="C49" s="2"/>
      <c r="D49" s="2"/>
      <c r="E49" s="2"/>
      <c r="F49" s="1"/>
      <c r="G49" s="2"/>
      <c r="H49" s="2"/>
      <c r="I49" s="1"/>
      <c r="J49" s="2"/>
      <c r="K49" s="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3"/>
      <c r="B50" s="8" t="s">
        <v>4</v>
      </c>
      <c r="C50" s="8" t="s">
        <v>5</v>
      </c>
      <c r="D50" s="8" t="s">
        <v>6</v>
      </c>
      <c r="E50" s="8" t="s">
        <v>7</v>
      </c>
      <c r="F50" s="7"/>
      <c r="G50" s="8" t="s">
        <v>8</v>
      </c>
      <c r="H50" s="9">
        <f>ROUNDDOWN(SUM(H54:H61)*(1+K54+K55),0)</f>
        <v>358769</v>
      </c>
      <c r="I50" s="7"/>
      <c r="J50" s="35" t="s">
        <v>106</v>
      </c>
      <c r="K50" s="9">
        <f>ROUNDDOWN(((H50*H51/6)^0.5*(1+SUM(K64:K65))+SUM(H71:H73))*(1+SUM(K69:K74)),0)</f>
        <v>93582</v>
      </c>
      <c r="L50" s="31"/>
      <c r="M50" s="32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3"/>
      <c r="B51" s="50" t="s">
        <v>16</v>
      </c>
      <c r="C51" s="50" t="s">
        <v>17</v>
      </c>
      <c r="D51" s="29" t="s">
        <v>18</v>
      </c>
      <c r="E51" s="13">
        <v>46228</v>
      </c>
      <c r="F51" s="7"/>
      <c r="G51" s="8" t="s">
        <v>13</v>
      </c>
      <c r="H51" s="9">
        <f>ROUNDDOWN(SUM(H64:H68)*(1+K59+K60),0)</f>
        <v>101351</v>
      </c>
      <c r="I51" s="5"/>
      <c r="J51" s="12"/>
      <c r="K51" s="1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3"/>
      <c r="B52" s="60"/>
      <c r="C52" s="60"/>
      <c r="D52" s="29" t="s">
        <v>21</v>
      </c>
      <c r="E52" s="13">
        <v>49200</v>
      </c>
      <c r="F52" s="5"/>
      <c r="G52" s="6"/>
      <c r="H52" s="6"/>
      <c r="I52" s="1"/>
      <c r="J52" s="2"/>
      <c r="K52" s="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3"/>
      <c r="B53" s="60"/>
      <c r="C53" s="60"/>
      <c r="D53" s="29" t="s">
        <v>26</v>
      </c>
      <c r="E53" s="13">
        <v>36982</v>
      </c>
      <c r="F53" s="7"/>
      <c r="G53" s="62" t="s">
        <v>22</v>
      </c>
      <c r="H53" s="61"/>
      <c r="I53" s="7"/>
      <c r="J53" s="62" t="s">
        <v>23</v>
      </c>
      <c r="K53" s="61"/>
      <c r="L53" s="5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3"/>
      <c r="B54" s="60"/>
      <c r="C54" s="60"/>
      <c r="D54" s="29" t="s">
        <v>30</v>
      </c>
      <c r="E54" s="13">
        <v>39954</v>
      </c>
      <c r="F54" s="7"/>
      <c r="G54" s="29" t="s">
        <v>27</v>
      </c>
      <c r="H54" s="15">
        <v>477</v>
      </c>
      <c r="I54" s="7"/>
      <c r="J54" s="29" t="s">
        <v>28</v>
      </c>
      <c r="K54" s="10">
        <f>E74</f>
        <v>0.08</v>
      </c>
      <c r="L54" s="5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3"/>
      <c r="B55" s="59"/>
      <c r="C55" s="59"/>
      <c r="D55" s="29" t="s">
        <v>33</v>
      </c>
      <c r="E55" s="13">
        <v>55473</v>
      </c>
      <c r="F55" s="7"/>
      <c r="G55" s="29" t="s">
        <v>31</v>
      </c>
      <c r="H55" s="13">
        <v>1500</v>
      </c>
      <c r="I55" s="7"/>
      <c r="J55" s="29" t="s">
        <v>32</v>
      </c>
      <c r="K55" s="17">
        <f>E73</f>
        <v>0.01</v>
      </c>
      <c r="L55" s="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3"/>
      <c r="B56" s="48" t="s">
        <v>37</v>
      </c>
      <c r="C56" s="61"/>
      <c r="D56" s="29" t="s">
        <v>13</v>
      </c>
      <c r="E56" s="13">
        <v>85847</v>
      </c>
      <c r="F56" s="7"/>
      <c r="G56" s="29" t="s">
        <v>34</v>
      </c>
      <c r="H56" s="13">
        <v>218</v>
      </c>
      <c r="I56" s="5"/>
      <c r="J56" s="12"/>
      <c r="K56" s="1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3"/>
      <c r="B57" s="50" t="s">
        <v>39</v>
      </c>
      <c r="C57" s="50" t="s">
        <v>17</v>
      </c>
      <c r="D57" s="29" t="s">
        <v>40</v>
      </c>
      <c r="E57" s="13">
        <v>12546</v>
      </c>
      <c r="F57" s="7"/>
      <c r="G57" s="29" t="s">
        <v>16</v>
      </c>
      <c r="H57" s="29">
        <f>SUM(E51:E55)</f>
        <v>227837</v>
      </c>
      <c r="I57" s="5"/>
      <c r="J57" s="2"/>
      <c r="K57" s="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3"/>
      <c r="B58" s="60"/>
      <c r="C58" s="60"/>
      <c r="D58" s="29" t="s">
        <v>43</v>
      </c>
      <c r="E58" s="13">
        <v>9758</v>
      </c>
      <c r="F58" s="7"/>
      <c r="G58" s="29" t="s">
        <v>39</v>
      </c>
      <c r="H58" s="29">
        <f>SUM(E57:E61)</f>
        <v>50184</v>
      </c>
      <c r="I58" s="7"/>
      <c r="J58" s="62" t="s">
        <v>41</v>
      </c>
      <c r="K58" s="61"/>
      <c r="L58" s="5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3"/>
      <c r="B59" s="60"/>
      <c r="C59" s="60"/>
      <c r="D59" s="29" t="s">
        <v>46</v>
      </c>
      <c r="E59" s="13">
        <v>9758</v>
      </c>
      <c r="F59" s="7"/>
      <c r="G59" s="29" t="s">
        <v>44</v>
      </c>
      <c r="H59" s="29">
        <f>E66</f>
        <v>0</v>
      </c>
      <c r="I59" s="7"/>
      <c r="J59" s="29" t="s">
        <v>45</v>
      </c>
      <c r="K59" s="10">
        <f>E63</f>
        <v>0</v>
      </c>
      <c r="L59" s="5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3"/>
      <c r="B60" s="60"/>
      <c r="C60" s="60"/>
      <c r="D60" s="29" t="s">
        <v>49</v>
      </c>
      <c r="E60" s="13">
        <v>9061</v>
      </c>
      <c r="F60" s="7"/>
      <c r="G60" s="29" t="s">
        <v>47</v>
      </c>
      <c r="H60" s="29">
        <f>E70</f>
        <v>0</v>
      </c>
      <c r="I60" s="7"/>
      <c r="J60" s="29" t="s">
        <v>48</v>
      </c>
      <c r="K60" s="10">
        <f>E76*0.001</f>
        <v>0</v>
      </c>
      <c r="L60" s="5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3"/>
      <c r="B61" s="60"/>
      <c r="C61" s="59"/>
      <c r="D61" s="29" t="s">
        <v>54</v>
      </c>
      <c r="E61" s="13">
        <v>9061</v>
      </c>
      <c r="F61" s="7"/>
      <c r="G61" s="29" t="s">
        <v>50</v>
      </c>
      <c r="H61" s="29">
        <v>48930</v>
      </c>
      <c r="I61" s="5"/>
      <c r="J61" s="12"/>
      <c r="K61" s="1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3"/>
      <c r="B62" s="60"/>
      <c r="C62" s="50" t="s">
        <v>60</v>
      </c>
      <c r="D62" s="29" t="s">
        <v>107</v>
      </c>
      <c r="E62" s="19">
        <v>0</v>
      </c>
      <c r="F62" s="5"/>
      <c r="G62" s="6"/>
      <c r="H62" s="6"/>
      <c r="I62" s="1"/>
      <c r="J62" s="2"/>
      <c r="K62" s="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>
      <c r="A63" s="3"/>
      <c r="B63" s="60"/>
      <c r="C63" s="59"/>
      <c r="D63" s="29" t="s">
        <v>41</v>
      </c>
      <c r="E63" s="19">
        <v>0</v>
      </c>
      <c r="F63" s="7"/>
      <c r="G63" s="62" t="s">
        <v>57</v>
      </c>
      <c r="H63" s="61"/>
      <c r="I63" s="7"/>
      <c r="J63" s="62" t="s">
        <v>58</v>
      </c>
      <c r="K63" s="61"/>
      <c r="L63" s="5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>
      <c r="A64" s="3"/>
      <c r="B64" s="60"/>
      <c r="C64" s="50" t="s">
        <v>69</v>
      </c>
      <c r="D64" s="29" t="s">
        <v>108</v>
      </c>
      <c r="E64" s="13">
        <v>0</v>
      </c>
      <c r="F64" s="7"/>
      <c r="G64" s="29" t="s">
        <v>37</v>
      </c>
      <c r="H64" s="29">
        <f>E56</f>
        <v>85847</v>
      </c>
      <c r="I64" s="7"/>
      <c r="J64" s="29" t="s">
        <v>61</v>
      </c>
      <c r="K64" s="10">
        <f>E75</f>
        <v>4.9500000000000002E-2</v>
      </c>
      <c r="L64" s="5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3"/>
      <c r="B65" s="59"/>
      <c r="C65" s="59"/>
      <c r="D65" s="29" t="s">
        <v>70</v>
      </c>
      <c r="E65" s="13">
        <v>0</v>
      </c>
      <c r="F65" s="7"/>
      <c r="G65" s="29" t="s">
        <v>65</v>
      </c>
      <c r="H65" s="29">
        <f>E65</f>
        <v>0</v>
      </c>
      <c r="I65" s="7"/>
      <c r="J65" s="29" t="s">
        <v>66</v>
      </c>
      <c r="K65" s="10">
        <f>E68</f>
        <v>0</v>
      </c>
      <c r="L65" s="5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>
      <c r="A66" s="3"/>
      <c r="B66" s="50" t="s">
        <v>44</v>
      </c>
      <c r="C66" s="50" t="s">
        <v>109</v>
      </c>
      <c r="D66" s="29" t="s">
        <v>8</v>
      </c>
      <c r="E66" s="13">
        <v>0</v>
      </c>
      <c r="F66" s="7"/>
      <c r="G66" s="29" t="s">
        <v>44</v>
      </c>
      <c r="H66" s="29">
        <f>E67</f>
        <v>0</v>
      </c>
      <c r="I66" s="5"/>
      <c r="J66" s="12"/>
      <c r="K66" s="1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3"/>
      <c r="B67" s="59"/>
      <c r="C67" s="59"/>
      <c r="D67" s="29" t="s">
        <v>13</v>
      </c>
      <c r="E67" s="13">
        <v>0</v>
      </c>
      <c r="F67" s="7"/>
      <c r="G67" s="29" t="s">
        <v>47</v>
      </c>
      <c r="H67" s="29">
        <f>E71</f>
        <v>0</v>
      </c>
      <c r="I67" s="5"/>
      <c r="J67" s="2"/>
      <c r="K67" s="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>
      <c r="A68" s="3"/>
      <c r="B68" s="29" t="s">
        <v>71</v>
      </c>
      <c r="C68" s="29" t="s">
        <v>66</v>
      </c>
      <c r="D68" s="29" t="s">
        <v>58</v>
      </c>
      <c r="E68" s="19">
        <v>0</v>
      </c>
      <c r="F68" s="7"/>
      <c r="G68" s="29" t="s">
        <v>50</v>
      </c>
      <c r="H68" s="29">
        <v>15504</v>
      </c>
      <c r="I68" s="7"/>
      <c r="J68" s="62" t="s">
        <v>107</v>
      </c>
      <c r="K68" s="61"/>
      <c r="L68" s="5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3"/>
      <c r="B69" s="50" t="s">
        <v>75</v>
      </c>
      <c r="C69" s="50" t="s">
        <v>69</v>
      </c>
      <c r="D69" s="29" t="s">
        <v>108</v>
      </c>
      <c r="E69" s="13">
        <v>0</v>
      </c>
      <c r="F69" s="5"/>
      <c r="G69" s="6"/>
      <c r="H69" s="6"/>
      <c r="I69" s="3"/>
      <c r="J69" s="29" t="s">
        <v>45</v>
      </c>
      <c r="K69" s="33">
        <f>E62</f>
        <v>0</v>
      </c>
      <c r="L69" s="5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3"/>
      <c r="B70" s="60"/>
      <c r="C70" s="60"/>
      <c r="D70" s="29" t="s">
        <v>76</v>
      </c>
      <c r="E70" s="13">
        <v>0</v>
      </c>
      <c r="F70" s="7"/>
      <c r="G70" s="62" t="s">
        <v>110</v>
      </c>
      <c r="H70" s="61"/>
      <c r="I70" s="7"/>
      <c r="J70" s="29" t="s">
        <v>111</v>
      </c>
      <c r="K70" s="10">
        <f>E72</f>
        <v>1.44E-2</v>
      </c>
      <c r="L70" s="5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3"/>
      <c r="B71" s="60"/>
      <c r="C71" s="59"/>
      <c r="D71" s="29" t="s">
        <v>70</v>
      </c>
      <c r="E71" s="13">
        <v>0</v>
      </c>
      <c r="F71" s="7"/>
      <c r="G71" s="29" t="s">
        <v>65</v>
      </c>
      <c r="H71" s="29">
        <f>E64</f>
        <v>0</v>
      </c>
      <c r="I71" s="7"/>
      <c r="J71" s="29" t="s">
        <v>112</v>
      </c>
      <c r="K71" s="33">
        <f>E77</f>
        <v>0</v>
      </c>
      <c r="L71" s="5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>
      <c r="A72" s="3"/>
      <c r="B72" s="59"/>
      <c r="C72" s="29" t="s">
        <v>113</v>
      </c>
      <c r="D72" s="29" t="s">
        <v>107</v>
      </c>
      <c r="E72" s="19">
        <v>1.44E-2</v>
      </c>
      <c r="F72" s="7"/>
      <c r="G72" s="29" t="s">
        <v>47</v>
      </c>
      <c r="H72" s="29">
        <f>E69</f>
        <v>0</v>
      </c>
      <c r="I72" s="7"/>
      <c r="J72" s="29" t="s">
        <v>114</v>
      </c>
      <c r="K72" s="19">
        <v>5.3999999999999999E-2</v>
      </c>
      <c r="L72" s="5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>
      <c r="A73" s="3"/>
      <c r="B73" s="63" t="s">
        <v>82</v>
      </c>
      <c r="C73" s="61"/>
      <c r="D73" s="26" t="s">
        <v>85</v>
      </c>
      <c r="E73" s="27">
        <v>0.01</v>
      </c>
      <c r="F73" s="7"/>
      <c r="G73" s="29" t="s">
        <v>50</v>
      </c>
      <c r="H73" s="29">
        <v>4281</v>
      </c>
      <c r="I73" s="7"/>
      <c r="J73" s="29" t="s">
        <v>115</v>
      </c>
      <c r="K73" s="19">
        <v>0</v>
      </c>
      <c r="L73" s="5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>
      <c r="A74" s="3"/>
      <c r="B74" s="48" t="s">
        <v>28</v>
      </c>
      <c r="C74" s="61"/>
      <c r="D74" s="29" t="s">
        <v>85</v>
      </c>
      <c r="E74" s="19">
        <v>0.08</v>
      </c>
      <c r="F74" s="5"/>
      <c r="G74" s="12"/>
      <c r="H74" s="12"/>
      <c r="I74" s="3"/>
      <c r="J74" s="29" t="s">
        <v>116</v>
      </c>
      <c r="K74" s="19">
        <v>0.02</v>
      </c>
      <c r="L74" s="5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>
      <c r="A75" s="3"/>
      <c r="B75" s="48" t="s">
        <v>61</v>
      </c>
      <c r="C75" s="61"/>
      <c r="D75" s="29" t="s">
        <v>87</v>
      </c>
      <c r="E75" s="19">
        <v>4.9500000000000002E-2</v>
      </c>
      <c r="F75" s="5"/>
      <c r="G75" s="1"/>
      <c r="H75" s="1"/>
      <c r="I75" s="1"/>
      <c r="J75" s="12"/>
      <c r="K75" s="1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>
      <c r="A76" s="3"/>
      <c r="B76" s="48" t="s">
        <v>48</v>
      </c>
      <c r="C76" s="61"/>
      <c r="D76" s="29" t="s">
        <v>94</v>
      </c>
      <c r="E76" s="13">
        <v>0</v>
      </c>
      <c r="F76" s="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>
      <c r="A77" s="3"/>
      <c r="B77" s="48" t="s">
        <v>117</v>
      </c>
      <c r="C77" s="61"/>
      <c r="D77" s="29" t="s">
        <v>107</v>
      </c>
      <c r="E77" s="19">
        <v>0</v>
      </c>
      <c r="F77" s="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>
      <c r="A78" s="3"/>
      <c r="B78" s="53" t="s">
        <v>118</v>
      </c>
      <c r="C78" s="54"/>
      <c r="D78" s="29" t="s">
        <v>107</v>
      </c>
      <c r="E78" s="19">
        <v>0</v>
      </c>
      <c r="F78" s="5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>
      <c r="A79" s="3"/>
      <c r="B79" s="57"/>
      <c r="C79" s="58"/>
      <c r="D79" s="29" t="s">
        <v>119</v>
      </c>
      <c r="E79" s="19">
        <v>0</v>
      </c>
      <c r="F79" s="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>
      <c r="A80" s="3"/>
      <c r="B80" s="48" t="s">
        <v>96</v>
      </c>
      <c r="C80" s="61"/>
      <c r="D80" s="29" t="s">
        <v>120</v>
      </c>
      <c r="E80" s="34">
        <v>0.15</v>
      </c>
      <c r="F80" s="5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>
      <c r="A81" s="3"/>
      <c r="B81" s="53" t="s">
        <v>121</v>
      </c>
      <c r="C81" s="54"/>
      <c r="D81" s="29" t="s">
        <v>122</v>
      </c>
      <c r="E81" s="34">
        <v>0.8</v>
      </c>
      <c r="F81" s="5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>
      <c r="A82" s="3"/>
      <c r="B82" s="55"/>
      <c r="C82" s="56"/>
      <c r="D82" s="29" t="s">
        <v>123</v>
      </c>
      <c r="E82" s="34">
        <v>2.6</v>
      </c>
      <c r="F82" s="5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>
      <c r="A83" s="3"/>
      <c r="B83" s="55"/>
      <c r="C83" s="56"/>
      <c r="D83" s="29" t="s">
        <v>124</v>
      </c>
      <c r="E83" s="34">
        <v>0</v>
      </c>
      <c r="F83" s="5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>
      <c r="A84" s="3"/>
      <c r="B84" s="57"/>
      <c r="C84" s="58"/>
      <c r="D84" s="29" t="s">
        <v>125</v>
      </c>
      <c r="E84" s="34">
        <v>0.3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>
      <c r="A85" s="1"/>
      <c r="B85" s="12"/>
      <c r="C85" s="1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56">
    <mergeCell ref="B2:E2"/>
    <mergeCell ref="G2:K2"/>
    <mergeCell ref="M2:Q2"/>
    <mergeCell ref="B7:C8"/>
    <mergeCell ref="B9:B13"/>
    <mergeCell ref="C9:C13"/>
    <mergeCell ref="G9:H9"/>
    <mergeCell ref="J9:K9"/>
    <mergeCell ref="B14:C14"/>
    <mergeCell ref="J14:K14"/>
    <mergeCell ref="B15:B24"/>
    <mergeCell ref="C15:C19"/>
    <mergeCell ref="G19:H19"/>
    <mergeCell ref="J19:K19"/>
    <mergeCell ref="C22:C23"/>
    <mergeCell ref="J24:K24"/>
    <mergeCell ref="B26:B27"/>
    <mergeCell ref="C26:C27"/>
    <mergeCell ref="G26:H26"/>
    <mergeCell ref="B28:C28"/>
    <mergeCell ref="B29:C29"/>
    <mergeCell ref="J53:K53"/>
    <mergeCell ref="J30:K30"/>
    <mergeCell ref="B33:C33"/>
    <mergeCell ref="G33:H33"/>
    <mergeCell ref="B34:C34"/>
    <mergeCell ref="B35:C36"/>
    <mergeCell ref="B37:C38"/>
    <mergeCell ref="B30:C32"/>
    <mergeCell ref="B39:B46"/>
    <mergeCell ref="C39:C46"/>
    <mergeCell ref="B51:B55"/>
    <mergeCell ref="C51:C55"/>
    <mergeCell ref="G53:H53"/>
    <mergeCell ref="B56:C56"/>
    <mergeCell ref="B57:B65"/>
    <mergeCell ref="C57:C61"/>
    <mergeCell ref="J58:K58"/>
    <mergeCell ref="C62:C63"/>
    <mergeCell ref="G63:H63"/>
    <mergeCell ref="J63:K63"/>
    <mergeCell ref="C64:C65"/>
    <mergeCell ref="B66:B67"/>
    <mergeCell ref="C66:C67"/>
    <mergeCell ref="J68:K68"/>
    <mergeCell ref="B69:B72"/>
    <mergeCell ref="C69:C71"/>
    <mergeCell ref="G70:H70"/>
    <mergeCell ref="B80:C80"/>
    <mergeCell ref="B81:C84"/>
    <mergeCell ref="B73:C73"/>
    <mergeCell ref="B74:C74"/>
    <mergeCell ref="B75:C75"/>
    <mergeCell ref="B76:C76"/>
    <mergeCell ref="B77:C77"/>
    <mergeCell ref="B78:C79"/>
  </mergeCells>
  <phoneticPr fontId="7" type="noConversion"/>
  <pageMargins left="0.7" right="0.7" top="0.75" bottom="0.75" header="0" footer="0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99F57-0570-4643-8F91-929231C0C125}">
  <dimension ref="A1:Z1001"/>
  <sheetViews>
    <sheetView workbookViewId="0">
      <selection activeCell="O16" sqref="O16"/>
    </sheetView>
  </sheetViews>
  <sheetFormatPr defaultColWidth="14.42578125" defaultRowHeight="15" customHeight="1"/>
  <cols>
    <col min="1" max="1" width="3.7109375" customWidth="1"/>
    <col min="2" max="2" width="13" customWidth="1"/>
    <col min="3" max="3" width="12.85546875" customWidth="1"/>
    <col min="4" max="4" width="29.28515625" customWidth="1"/>
    <col min="5" max="5" width="12.7109375" customWidth="1"/>
    <col min="6" max="6" width="3.28515625" customWidth="1"/>
    <col min="7" max="7" width="19.85546875" customWidth="1"/>
    <col min="8" max="8" width="10.85546875" customWidth="1"/>
    <col min="9" max="9" width="3" customWidth="1"/>
    <col min="10" max="10" width="25" customWidth="1"/>
    <col min="11" max="11" width="8.7109375" customWidth="1"/>
    <col min="12" max="12" width="3" customWidth="1"/>
    <col min="13" max="13" width="25.28515625" customWidth="1"/>
    <col min="14" max="14" width="19.28515625" customWidth="1"/>
    <col min="15" max="15" width="21.5703125" customWidth="1"/>
    <col min="16" max="16" width="27.140625" customWidth="1"/>
    <col min="17" max="17" width="14.7109375" customWidth="1"/>
  </cols>
  <sheetData>
    <row r="1" spans="1:26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1"/>
      <c r="B2" s="64" t="s">
        <v>0</v>
      </c>
      <c r="C2" s="65"/>
      <c r="D2" s="65"/>
      <c r="E2" s="66"/>
      <c r="F2" s="1"/>
      <c r="G2" s="64" t="s">
        <v>1</v>
      </c>
      <c r="H2" s="65"/>
      <c r="I2" s="65"/>
      <c r="J2" s="65"/>
      <c r="K2" s="66"/>
      <c r="L2" s="1"/>
      <c r="M2" s="64" t="s">
        <v>2</v>
      </c>
      <c r="N2" s="65"/>
      <c r="O2" s="65"/>
      <c r="P2" s="65"/>
      <c r="Q2" s="66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customHeight="1">
      <c r="A4" s="3"/>
      <c r="B4" s="4" t="s">
        <v>3</v>
      </c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>
      <c r="A5" s="1"/>
      <c r="B5" s="6"/>
      <c r="C5" s="2"/>
      <c r="D5" s="2"/>
      <c r="E5" s="2"/>
      <c r="F5" s="1"/>
      <c r="G5" s="2"/>
      <c r="H5" s="2"/>
      <c r="I5" s="1"/>
      <c r="J5" s="2"/>
      <c r="K5" s="2"/>
      <c r="L5" s="1"/>
      <c r="M5" s="2"/>
      <c r="N5" s="2"/>
      <c r="O5" s="2"/>
      <c r="P5" s="2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>
      <c r="A6" s="3"/>
      <c r="B6" s="38" t="s">
        <v>4</v>
      </c>
      <c r="C6" s="38" t="s">
        <v>5</v>
      </c>
      <c r="D6" s="38" t="s">
        <v>6</v>
      </c>
      <c r="E6" s="38" t="s">
        <v>7</v>
      </c>
      <c r="F6" s="7"/>
      <c r="G6" s="8" t="s">
        <v>8</v>
      </c>
      <c r="H6" s="9">
        <f>ROUNDDOWN(SUM(H10:H17)*(1+K10+K11),0)</f>
        <v>376086</v>
      </c>
      <c r="I6" s="7"/>
      <c r="J6" s="4" t="s">
        <v>9</v>
      </c>
      <c r="K6" s="9">
        <f>ROUNDDOWN((H6*H7/6)^0.5*(1+SUM(K20:K21)),0)</f>
        <v>82709</v>
      </c>
      <c r="L6" s="7"/>
      <c r="M6" s="8" t="s">
        <v>10</v>
      </c>
      <c r="N6" s="10">
        <f>0.25/699*E8*(1+K31+K32)</f>
        <v>0.25572246065808302</v>
      </c>
      <c r="O6" s="8" t="s">
        <v>11</v>
      </c>
      <c r="P6" s="10">
        <f>E32*0.01</f>
        <v>0.06</v>
      </c>
      <c r="Q6" s="5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>
      <c r="A7" s="3"/>
      <c r="B7" s="68" t="s">
        <v>12</v>
      </c>
      <c r="C7" s="68"/>
      <c r="D7" s="41" t="s">
        <v>129</v>
      </c>
      <c r="E7" s="42">
        <v>1850</v>
      </c>
      <c r="F7" s="7"/>
      <c r="G7" s="8" t="s">
        <v>13</v>
      </c>
      <c r="H7" s="9">
        <f>ROUNDDOWN(SUM(H20:H24)*(1+K15+K16),0)</f>
        <v>99086</v>
      </c>
      <c r="I7" s="5"/>
      <c r="J7" s="12"/>
      <c r="K7" s="12"/>
      <c r="L7" s="3"/>
      <c r="M7" s="8" t="s">
        <v>14</v>
      </c>
      <c r="N7" s="10">
        <f>SUM(K25:K28)</f>
        <v>0.128</v>
      </c>
      <c r="O7" s="8" t="s">
        <v>15</v>
      </c>
      <c r="P7" s="10">
        <f>0.1*(1+N9)</f>
        <v>0.10900000000000001</v>
      </c>
      <c r="Q7" s="5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>
      <c r="A8" s="3"/>
      <c r="B8" s="68"/>
      <c r="C8" s="68"/>
      <c r="D8" s="39" t="s">
        <v>126</v>
      </c>
      <c r="E8" s="40">
        <v>650</v>
      </c>
      <c r="F8" s="5"/>
      <c r="G8" s="6"/>
      <c r="H8" s="6"/>
      <c r="I8" s="1"/>
      <c r="J8" s="2"/>
      <c r="K8" s="2"/>
      <c r="L8" s="3"/>
      <c r="M8" s="8" t="s">
        <v>19</v>
      </c>
      <c r="N8" s="10">
        <f>SUM(H27:H31)</f>
        <v>0.4904</v>
      </c>
      <c r="O8" s="8" t="s">
        <v>20</v>
      </c>
      <c r="P8" s="43">
        <f>10/(60*(1-E7*0.0002147)*0.95*0.9*0.93)</f>
        <v>0.34771453112459522</v>
      </c>
      <c r="Q8" s="5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>
      <c r="A9" s="3"/>
      <c r="B9" s="51" t="s">
        <v>16</v>
      </c>
      <c r="C9" s="67" t="s">
        <v>17</v>
      </c>
      <c r="D9" s="39" t="s">
        <v>18</v>
      </c>
      <c r="E9" s="40">
        <v>46228</v>
      </c>
      <c r="F9" s="7"/>
      <c r="G9" s="62" t="s">
        <v>22</v>
      </c>
      <c r="H9" s="61"/>
      <c r="I9" s="7"/>
      <c r="J9" s="62" t="s">
        <v>23</v>
      </c>
      <c r="K9" s="61"/>
      <c r="L9" s="7"/>
      <c r="M9" s="8" t="s">
        <v>24</v>
      </c>
      <c r="N9" s="10">
        <f>SUM(H34:H35)</f>
        <v>0.09</v>
      </c>
      <c r="O9" s="8" t="s">
        <v>25</v>
      </c>
      <c r="P9" s="19">
        <v>1</v>
      </c>
      <c r="Q9" s="5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>
      <c r="A10" s="3"/>
      <c r="B10" s="51"/>
      <c r="C10" s="51"/>
      <c r="D10" s="36" t="s">
        <v>21</v>
      </c>
      <c r="E10" s="37">
        <v>49200</v>
      </c>
      <c r="F10" s="7"/>
      <c r="G10" s="29" t="s">
        <v>27</v>
      </c>
      <c r="H10" s="15">
        <v>477</v>
      </c>
      <c r="I10" s="7"/>
      <c r="J10" s="29" t="s">
        <v>28</v>
      </c>
      <c r="K10" s="10">
        <f>E29</f>
        <v>0.08</v>
      </c>
      <c r="L10" s="5"/>
      <c r="M10" s="12"/>
      <c r="N10" s="16"/>
      <c r="O10" s="8" t="s">
        <v>29</v>
      </c>
      <c r="P10" s="19">
        <v>1</v>
      </c>
      <c r="Q10" s="5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>
      <c r="A11" s="3"/>
      <c r="B11" s="51"/>
      <c r="C11" s="51"/>
      <c r="D11" s="29" t="s">
        <v>26</v>
      </c>
      <c r="E11" s="13">
        <v>36982</v>
      </c>
      <c r="F11" s="7"/>
      <c r="G11" s="29" t="s">
        <v>31</v>
      </c>
      <c r="H11" s="13">
        <v>1500</v>
      </c>
      <c r="I11" s="7"/>
      <c r="J11" s="29" t="s">
        <v>32</v>
      </c>
      <c r="K11" s="17">
        <f>E28</f>
        <v>0.01</v>
      </c>
      <c r="L11" s="5"/>
      <c r="M11" s="2"/>
      <c r="N11" s="2"/>
      <c r="O11" s="12"/>
      <c r="P11" s="12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>
      <c r="A12" s="3"/>
      <c r="B12" s="51"/>
      <c r="C12" s="51"/>
      <c r="D12" s="29" t="s">
        <v>30</v>
      </c>
      <c r="E12" s="13">
        <v>39954</v>
      </c>
      <c r="F12" s="7"/>
      <c r="G12" s="29" t="s">
        <v>34</v>
      </c>
      <c r="H12" s="13">
        <v>218</v>
      </c>
      <c r="I12" s="5"/>
      <c r="J12" s="12"/>
      <c r="K12" s="12"/>
      <c r="L12" s="3"/>
      <c r="M12" s="18" t="s">
        <v>35</v>
      </c>
      <c r="N12" s="18" t="s">
        <v>36</v>
      </c>
      <c r="O12" s="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>
      <c r="A13" s="3"/>
      <c r="B13" s="52"/>
      <c r="C13" s="52"/>
      <c r="D13" s="29" t="s">
        <v>33</v>
      </c>
      <c r="E13" s="13">
        <v>55473</v>
      </c>
      <c r="F13" s="7"/>
      <c r="G13" s="29" t="s">
        <v>16</v>
      </c>
      <c r="H13" s="29">
        <f>SUM(E9:E13)</f>
        <v>227837</v>
      </c>
      <c r="I13" s="5"/>
      <c r="J13" s="2"/>
      <c r="K13" s="2"/>
      <c r="L13" s="3"/>
      <c r="M13" s="18" t="s">
        <v>38</v>
      </c>
      <c r="N13" s="10">
        <f>0.1*(1+0.63/699*E8)*(1+N9+E32*0.01)</f>
        <v>0.18237124463519316</v>
      </c>
      <c r="O13" s="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>
      <c r="A14" s="3"/>
      <c r="B14" s="48" t="s">
        <v>37</v>
      </c>
      <c r="C14" s="49"/>
      <c r="D14" s="29" t="s">
        <v>13</v>
      </c>
      <c r="E14" s="13">
        <v>80139</v>
      </c>
      <c r="F14" s="7"/>
      <c r="G14" s="29" t="s">
        <v>39</v>
      </c>
      <c r="H14" s="29">
        <f>SUM(E15:E19)</f>
        <v>66071.5</v>
      </c>
      <c r="I14" s="7"/>
      <c r="J14" s="62" t="s">
        <v>41</v>
      </c>
      <c r="K14" s="61"/>
      <c r="L14" s="7"/>
      <c r="M14" s="8" t="s">
        <v>42</v>
      </c>
      <c r="N14" s="19">
        <v>0.4</v>
      </c>
      <c r="O14" s="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>
      <c r="A15" s="3"/>
      <c r="B15" s="50" t="s">
        <v>39</v>
      </c>
      <c r="C15" s="50" t="s">
        <v>17</v>
      </c>
      <c r="D15" s="29" t="s">
        <v>40</v>
      </c>
      <c r="E15" s="13">
        <v>16517.5</v>
      </c>
      <c r="F15" s="7"/>
      <c r="G15" s="29" t="s">
        <v>44</v>
      </c>
      <c r="H15" s="29">
        <f>E39</f>
        <v>0</v>
      </c>
      <c r="I15" s="7"/>
      <c r="J15" s="29" t="s">
        <v>45</v>
      </c>
      <c r="K15" s="10">
        <f>E21</f>
        <v>3.5999999999999997E-2</v>
      </c>
      <c r="L15" s="5"/>
      <c r="M15" s="12"/>
      <c r="N15" s="1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>
      <c r="A16" s="3"/>
      <c r="B16" s="51"/>
      <c r="C16" s="51"/>
      <c r="D16" s="29" t="s">
        <v>43</v>
      </c>
      <c r="E16" s="13">
        <v>12847.5</v>
      </c>
      <c r="F16" s="7"/>
      <c r="G16" s="29" t="s">
        <v>47</v>
      </c>
      <c r="H16" s="29">
        <f>E26</f>
        <v>0</v>
      </c>
      <c r="I16" s="7"/>
      <c r="J16" s="29" t="s">
        <v>48</v>
      </c>
      <c r="K16" s="10">
        <f>E34*0.001</f>
        <v>0</v>
      </c>
      <c r="L16" s="5"/>
      <c r="M16" s="2"/>
      <c r="N16" s="2"/>
      <c r="O16" s="2"/>
      <c r="P16" s="2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>
      <c r="A17" s="3"/>
      <c r="B17" s="51"/>
      <c r="C17" s="51"/>
      <c r="D17" s="29" t="s">
        <v>46</v>
      </c>
      <c r="E17" s="13">
        <v>12847.5</v>
      </c>
      <c r="F17" s="7"/>
      <c r="G17" s="29" t="s">
        <v>50</v>
      </c>
      <c r="H17" s="29">
        <v>48930</v>
      </c>
      <c r="I17" s="5"/>
      <c r="J17" s="12"/>
      <c r="K17" s="12"/>
      <c r="L17" s="3"/>
      <c r="M17" s="18"/>
      <c r="N17" s="18" t="s">
        <v>51</v>
      </c>
      <c r="O17" s="20" t="s">
        <v>52</v>
      </c>
      <c r="P17" s="8" t="s">
        <v>53</v>
      </c>
      <c r="Q17" s="5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>
      <c r="A18" s="3"/>
      <c r="B18" s="51"/>
      <c r="C18" s="51"/>
      <c r="D18" s="29" t="s">
        <v>49</v>
      </c>
      <c r="E18" s="13">
        <v>11929.5</v>
      </c>
      <c r="F18" s="5"/>
      <c r="G18" s="6"/>
      <c r="H18" s="6"/>
      <c r="I18" s="1"/>
      <c r="J18" s="2"/>
      <c r="K18" s="2"/>
      <c r="L18" s="3"/>
      <c r="M18" s="18" t="s">
        <v>55</v>
      </c>
      <c r="N18" s="21">
        <f>ROUNDDOWN(K50*(1+E78),0)</f>
        <v>97361</v>
      </c>
      <c r="O18" s="29" t="s">
        <v>56</v>
      </c>
      <c r="P18" s="29" t="s">
        <v>56</v>
      </c>
      <c r="Q18" s="5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>
      <c r="A19" s="3"/>
      <c r="B19" s="51"/>
      <c r="C19" s="52"/>
      <c r="D19" s="29" t="s">
        <v>54</v>
      </c>
      <c r="E19" s="13">
        <v>11929.5</v>
      </c>
      <c r="F19" s="7"/>
      <c r="G19" s="62" t="s">
        <v>57</v>
      </c>
      <c r="H19" s="61"/>
      <c r="I19" s="7"/>
      <c r="J19" s="62" t="s">
        <v>58</v>
      </c>
      <c r="K19" s="61"/>
      <c r="L19" s="7"/>
      <c r="M19" s="8" t="s">
        <v>59</v>
      </c>
      <c r="N19" s="29">
        <f>ROUNDDOWN(((K50+K6*0.15*(1+N8)*(1+SUM(K69:K74)))*(1.06+E78))*P9+(1-P9)*N18, 0)</f>
        <v>124721</v>
      </c>
      <c r="O19" s="10">
        <f>N19/(N18*(1+E78))-1</f>
        <v>0.28101601257176889</v>
      </c>
      <c r="P19" s="10">
        <f t="shared" ref="P19:P21" si="0">O19/(1+O19)</f>
        <v>0.21936963302090259</v>
      </c>
      <c r="Q19" s="5"/>
      <c r="R19" s="1"/>
      <c r="S19" s="1"/>
      <c r="T19" s="1"/>
      <c r="U19" s="1"/>
      <c r="V19" s="1"/>
      <c r="W19" s="1"/>
      <c r="X19" s="1"/>
      <c r="Y19" s="1"/>
      <c r="Z19" s="1"/>
    </row>
    <row r="20" spans="1:26" ht="16.5">
      <c r="A20" s="3"/>
      <c r="B20" s="51"/>
      <c r="C20" s="29" t="s">
        <v>40</v>
      </c>
      <c r="D20" s="29" t="s">
        <v>14</v>
      </c>
      <c r="E20" s="19">
        <v>4.8000000000000001E-2</v>
      </c>
      <c r="F20" s="7"/>
      <c r="G20" s="29" t="s">
        <v>37</v>
      </c>
      <c r="H20" s="29">
        <f>E14</f>
        <v>80139</v>
      </c>
      <c r="I20" s="7"/>
      <c r="J20" s="29" t="s">
        <v>61</v>
      </c>
      <c r="K20" s="10">
        <f>E30</f>
        <v>4.9500000000000002E-2</v>
      </c>
      <c r="L20" s="7"/>
      <c r="M20" s="8" t="s">
        <v>62</v>
      </c>
      <c r="N20" s="29">
        <f>ROUNDDOWN(N19*(1+0.1*(1+N7))*P10+N19*(1-P10), 0)</f>
        <v>138789</v>
      </c>
      <c r="O20" s="10">
        <f>N20/N18-1</f>
        <v>0.42550918745699007</v>
      </c>
      <c r="P20" s="10">
        <f t="shared" si="0"/>
        <v>0.29849627852351418</v>
      </c>
      <c r="Q20" s="5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>
      <c r="A21" s="3"/>
      <c r="B21" s="51"/>
      <c r="C21" s="29" t="s">
        <v>60</v>
      </c>
      <c r="D21" s="29" t="s">
        <v>41</v>
      </c>
      <c r="E21" s="19">
        <v>3.5999999999999997E-2</v>
      </c>
      <c r="F21" s="7"/>
      <c r="G21" s="29" t="s">
        <v>65</v>
      </c>
      <c r="H21" s="29">
        <f>E24</f>
        <v>0</v>
      </c>
      <c r="I21" s="7"/>
      <c r="J21" s="29" t="s">
        <v>66</v>
      </c>
      <c r="K21" s="10">
        <f>E25</f>
        <v>0</v>
      </c>
      <c r="L21" s="7"/>
      <c r="M21" s="22" t="s">
        <v>67</v>
      </c>
      <c r="N21" s="29">
        <f>ROUNDDOWN(N20*(1-MAX(N14,P8))+N20*(1+N13+P7)*MIN(N14,P8)+N20*IF(N14&gt;P8, (1+N13)*ABS(N14-P8), (1+P7)*ABS(N14-P8)),0)</f>
        <v>154173</v>
      </c>
      <c r="O21" s="10">
        <f>N21/N18-1</f>
        <v>0.5835190682100635</v>
      </c>
      <c r="P21" s="23">
        <f t="shared" si="0"/>
        <v>0.36849513209187079</v>
      </c>
      <c r="Q21" s="5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3"/>
      <c r="B22" s="51"/>
      <c r="C22" s="50" t="s">
        <v>63</v>
      </c>
      <c r="D22" s="29" t="s">
        <v>64</v>
      </c>
      <c r="E22" s="19">
        <v>0</v>
      </c>
      <c r="F22" s="7"/>
      <c r="G22" s="29" t="s">
        <v>44</v>
      </c>
      <c r="H22" s="29">
        <f>E40</f>
        <v>0</v>
      </c>
      <c r="I22" s="5"/>
      <c r="J22" s="12"/>
      <c r="K22" s="12"/>
      <c r="L22" s="1"/>
      <c r="M22" s="12"/>
      <c r="N22" s="12"/>
      <c r="O22" s="12"/>
      <c r="P22" s="12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>
      <c r="A23" s="3"/>
      <c r="B23" s="51"/>
      <c r="C23" s="52"/>
      <c r="D23" s="29" t="s">
        <v>68</v>
      </c>
      <c r="E23" s="19">
        <v>0.09</v>
      </c>
      <c r="F23" s="7"/>
      <c r="G23" s="29" t="s">
        <v>47</v>
      </c>
      <c r="H23" s="29">
        <f>E27</f>
        <v>0</v>
      </c>
      <c r="I23" s="5"/>
      <c r="J23" s="2"/>
      <c r="K23" s="2"/>
      <c r="L23" s="1"/>
      <c r="M23" s="2"/>
      <c r="N23" s="24"/>
      <c r="O23" s="2"/>
      <c r="P23" s="2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>
      <c r="A24" s="3"/>
      <c r="B24" s="52"/>
      <c r="C24" s="29" t="s">
        <v>69</v>
      </c>
      <c r="D24" s="29" t="s">
        <v>70</v>
      </c>
      <c r="E24" s="13">
        <v>0</v>
      </c>
      <c r="F24" s="7"/>
      <c r="G24" s="29" t="s">
        <v>50</v>
      </c>
      <c r="H24" s="29">
        <v>15504</v>
      </c>
      <c r="I24" s="7"/>
      <c r="J24" s="62" t="s">
        <v>72</v>
      </c>
      <c r="K24" s="61"/>
      <c r="L24" s="7"/>
      <c r="M24" s="18" t="s">
        <v>73</v>
      </c>
      <c r="N24" s="18" t="s">
        <v>51</v>
      </c>
      <c r="O24" s="20" t="s">
        <v>52</v>
      </c>
      <c r="P24" s="8" t="s">
        <v>74</v>
      </c>
      <c r="Q24" s="5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>
      <c r="A25" s="3"/>
      <c r="B25" s="29" t="s">
        <v>71</v>
      </c>
      <c r="C25" s="29" t="s">
        <v>66</v>
      </c>
      <c r="D25" s="29" t="s">
        <v>58</v>
      </c>
      <c r="E25" s="19">
        <v>0</v>
      </c>
      <c r="F25" s="5"/>
      <c r="G25" s="6"/>
      <c r="H25" s="6"/>
      <c r="I25" s="3"/>
      <c r="J25" s="29" t="s">
        <v>77</v>
      </c>
      <c r="K25" s="19">
        <v>0</v>
      </c>
      <c r="L25" s="7"/>
      <c r="M25" s="18" t="s">
        <v>78</v>
      </c>
      <c r="N25" s="15">
        <f>ROUNDDOWN((N18*(1+E83)*E81*E82+N18*(1+E83)*(1-E81))*(6500/(6500*(1-E79)+6500))*(1+E80)*(1+E84), 0)</f>
        <v>248898</v>
      </c>
      <c r="O25" s="15" t="s">
        <v>56</v>
      </c>
      <c r="P25" s="29" t="s">
        <v>56</v>
      </c>
      <c r="Q25" s="5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>
      <c r="A26" s="3"/>
      <c r="B26" s="50" t="s">
        <v>75</v>
      </c>
      <c r="C26" s="50" t="s">
        <v>127</v>
      </c>
      <c r="D26" s="29" t="s">
        <v>76</v>
      </c>
      <c r="E26" s="13">
        <v>0</v>
      </c>
      <c r="F26" s="7"/>
      <c r="G26" s="62" t="s">
        <v>79</v>
      </c>
      <c r="H26" s="61"/>
      <c r="I26" s="7"/>
      <c r="J26" s="29" t="s">
        <v>80</v>
      </c>
      <c r="K26" s="10">
        <f>E33*0.01</f>
        <v>0</v>
      </c>
      <c r="L26" s="7"/>
      <c r="M26" s="18" t="s">
        <v>81</v>
      </c>
      <c r="N26" s="21">
        <f>ROUNDDOWN((N21*(E81+E42)*(E82+E41)+N21*(1-E81-E42))*(1+E83+E37)*(1+E80+E35)*(1+E36)*(6500/(6500*(1-E79)*(1-E43)+6500))*(1+E44)*(1+E84+E38), 0)</f>
        <v>425083</v>
      </c>
      <c r="O26" s="10">
        <f>N26/N25-1</f>
        <v>0.70786024797306535</v>
      </c>
      <c r="P26" s="25">
        <f>O26/(1+O26)</f>
        <v>0.41447199723348149</v>
      </c>
      <c r="Q26" s="5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>
      <c r="A27" s="3"/>
      <c r="B27" s="52"/>
      <c r="C27" s="52"/>
      <c r="D27" s="29" t="s">
        <v>70</v>
      </c>
      <c r="E27" s="13">
        <v>0</v>
      </c>
      <c r="F27" s="7"/>
      <c r="G27" s="29" t="s">
        <v>75</v>
      </c>
      <c r="H27" s="28">
        <v>0.24</v>
      </c>
      <c r="I27" s="7"/>
      <c r="J27" s="29" t="s">
        <v>84</v>
      </c>
      <c r="K27" s="10">
        <f>E20</f>
        <v>4.8000000000000001E-2</v>
      </c>
      <c r="L27" s="5"/>
      <c r="M27" s="12"/>
      <c r="N27" s="12"/>
      <c r="O27" s="12"/>
      <c r="P27" s="12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>
      <c r="A28" s="3"/>
      <c r="B28" s="63" t="s">
        <v>82</v>
      </c>
      <c r="C28" s="69"/>
      <c r="D28" s="26" t="s">
        <v>83</v>
      </c>
      <c r="E28" s="27">
        <v>0.01</v>
      </c>
      <c r="F28" s="7"/>
      <c r="G28" s="29" t="s">
        <v>50</v>
      </c>
      <c r="H28" s="10">
        <v>0.19040000000000001</v>
      </c>
      <c r="I28" s="7"/>
      <c r="J28" s="29" t="s">
        <v>86</v>
      </c>
      <c r="K28" s="10">
        <v>0.08</v>
      </c>
      <c r="L28" s="5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>
      <c r="A29" s="3"/>
      <c r="B29" s="48" t="s">
        <v>28</v>
      </c>
      <c r="C29" s="49"/>
      <c r="D29" s="29" t="s">
        <v>85</v>
      </c>
      <c r="E29" s="19">
        <v>0.08</v>
      </c>
      <c r="F29" s="7"/>
      <c r="G29" s="29" t="s">
        <v>88</v>
      </c>
      <c r="H29" s="10">
        <f>E22</f>
        <v>0</v>
      </c>
      <c r="I29" s="5"/>
      <c r="J29" s="6"/>
      <c r="K29" s="6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>
      <c r="A30" s="3"/>
      <c r="B30" s="53" t="s">
        <v>61</v>
      </c>
      <c r="C30" s="70"/>
      <c r="D30" s="29" t="s">
        <v>87</v>
      </c>
      <c r="E30" s="19">
        <v>4.9500000000000002E-2</v>
      </c>
      <c r="F30" s="7"/>
      <c r="G30" s="29" t="s">
        <v>61</v>
      </c>
      <c r="H30" s="10">
        <f>E31*0.01</f>
        <v>0.06</v>
      </c>
      <c r="I30" s="7"/>
      <c r="J30" s="62" t="s">
        <v>90</v>
      </c>
      <c r="K30" s="61"/>
      <c r="L30" s="5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>
      <c r="A31" s="3"/>
      <c r="B31" s="67"/>
      <c r="C31" s="71"/>
      <c r="D31" s="29" t="s">
        <v>89</v>
      </c>
      <c r="E31" s="13">
        <v>6</v>
      </c>
      <c r="F31" s="7"/>
      <c r="G31" s="29" t="s">
        <v>44</v>
      </c>
      <c r="H31" s="10">
        <f>E45</f>
        <v>0</v>
      </c>
      <c r="I31" s="7"/>
      <c r="J31" s="29" t="s">
        <v>84</v>
      </c>
      <c r="K31" s="19">
        <v>0</v>
      </c>
      <c r="L31" s="5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>
      <c r="A32" s="3"/>
      <c r="B32" s="72"/>
      <c r="C32" s="73"/>
      <c r="D32" s="29" t="s">
        <v>91</v>
      </c>
      <c r="E32" s="13">
        <v>6</v>
      </c>
      <c r="F32" s="5"/>
      <c r="G32" s="6"/>
      <c r="H32" s="6"/>
      <c r="I32" s="3"/>
      <c r="J32" s="29" t="s">
        <v>93</v>
      </c>
      <c r="K32" s="19">
        <v>0.1</v>
      </c>
      <c r="L32" s="5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>
      <c r="A33" s="3"/>
      <c r="B33" s="48" t="s">
        <v>80</v>
      </c>
      <c r="C33" s="49"/>
      <c r="D33" s="29" t="s">
        <v>92</v>
      </c>
      <c r="E33" s="13">
        <v>0</v>
      </c>
      <c r="F33" s="7"/>
      <c r="G33" s="62" t="s">
        <v>95</v>
      </c>
      <c r="H33" s="61"/>
      <c r="I33" s="5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>
      <c r="A34" s="3"/>
      <c r="B34" s="48" t="s">
        <v>48</v>
      </c>
      <c r="C34" s="49"/>
      <c r="D34" s="29" t="s">
        <v>94</v>
      </c>
      <c r="E34" s="13">
        <v>0</v>
      </c>
      <c r="F34" s="7"/>
      <c r="G34" s="29" t="s">
        <v>88</v>
      </c>
      <c r="H34" s="10">
        <f>E23</f>
        <v>0.09</v>
      </c>
      <c r="I34" s="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>
      <c r="A35" s="3"/>
      <c r="B35" s="53" t="s">
        <v>96</v>
      </c>
      <c r="C35" s="70"/>
      <c r="D35" s="29" t="s">
        <v>97</v>
      </c>
      <c r="E35" s="19">
        <v>3.5000000000000003E-2</v>
      </c>
      <c r="F35" s="7"/>
      <c r="G35" s="29" t="s">
        <v>44</v>
      </c>
      <c r="H35" s="28">
        <f>E46</f>
        <v>0</v>
      </c>
      <c r="I35" s="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>
      <c r="A36" s="3"/>
      <c r="B36" s="72"/>
      <c r="C36" s="73"/>
      <c r="D36" s="29" t="s">
        <v>98</v>
      </c>
      <c r="E36" s="13">
        <v>0</v>
      </c>
      <c r="F36" s="5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>
      <c r="A37" s="3"/>
      <c r="B37" s="53" t="s">
        <v>128</v>
      </c>
      <c r="C37" s="70"/>
      <c r="D37" s="29" t="s">
        <v>99</v>
      </c>
      <c r="E37" s="34">
        <v>7.0000000000000007E-2</v>
      </c>
      <c r="F37" s="5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>
      <c r="A38" s="3"/>
      <c r="B38" s="72"/>
      <c r="C38" s="73"/>
      <c r="D38" s="29" t="s">
        <v>100</v>
      </c>
      <c r="E38" s="34">
        <v>0</v>
      </c>
      <c r="F38" s="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>
      <c r="A39" s="3"/>
      <c r="B39" s="50" t="s">
        <v>44</v>
      </c>
      <c r="C39" s="50" t="s">
        <v>6</v>
      </c>
      <c r="D39" s="29" t="s">
        <v>8</v>
      </c>
      <c r="E39" s="13">
        <v>0</v>
      </c>
      <c r="F39" s="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>
      <c r="A40" s="3"/>
      <c r="B40" s="51"/>
      <c r="C40" s="51"/>
      <c r="D40" s="29" t="s">
        <v>13</v>
      </c>
      <c r="E40" s="13">
        <v>0</v>
      </c>
      <c r="F40" s="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>
      <c r="A41" s="3"/>
      <c r="B41" s="51"/>
      <c r="C41" s="51"/>
      <c r="D41" s="29" t="s">
        <v>101</v>
      </c>
      <c r="E41" s="19">
        <v>0</v>
      </c>
      <c r="F41" s="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>
      <c r="A42" s="3"/>
      <c r="B42" s="51"/>
      <c r="C42" s="51"/>
      <c r="D42" s="29" t="s">
        <v>102</v>
      </c>
      <c r="E42" s="19">
        <v>0</v>
      </c>
      <c r="F42" s="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>
      <c r="A43" s="3"/>
      <c r="B43" s="51"/>
      <c r="C43" s="51"/>
      <c r="D43" s="29" t="s">
        <v>103</v>
      </c>
      <c r="E43" s="19">
        <v>0</v>
      </c>
      <c r="F43" s="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>
      <c r="A44" s="3"/>
      <c r="B44" s="51"/>
      <c r="C44" s="51"/>
      <c r="D44" s="29" t="s">
        <v>104</v>
      </c>
      <c r="E44" s="19">
        <v>0</v>
      </c>
      <c r="F44" s="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3"/>
      <c r="B45" s="51"/>
      <c r="C45" s="51"/>
      <c r="D45" s="29" t="s">
        <v>64</v>
      </c>
      <c r="E45" s="19">
        <v>0</v>
      </c>
      <c r="F45" s="5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"/>
      <c r="B46" s="52"/>
      <c r="C46" s="52"/>
      <c r="D46" s="29" t="s">
        <v>68</v>
      </c>
      <c r="E46" s="19"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3"/>
      <c r="B48" s="35" t="s">
        <v>105</v>
      </c>
      <c r="C48" s="5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"/>
      <c r="B49" s="6"/>
      <c r="C49" s="2"/>
      <c r="D49" s="2"/>
      <c r="E49" s="2"/>
      <c r="F49" s="1"/>
      <c r="G49" s="2"/>
      <c r="H49" s="2"/>
      <c r="I49" s="1"/>
      <c r="J49" s="2"/>
      <c r="K49" s="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3"/>
      <c r="B50" s="8" t="s">
        <v>4</v>
      </c>
      <c r="C50" s="8" t="s">
        <v>5</v>
      </c>
      <c r="D50" s="8" t="s">
        <v>6</v>
      </c>
      <c r="E50" s="8" t="s">
        <v>7</v>
      </c>
      <c r="F50" s="7"/>
      <c r="G50" s="8" t="s">
        <v>8</v>
      </c>
      <c r="H50" s="9">
        <f>ROUNDDOWN(SUM(H54:H61)*(1+K54+K55),0)</f>
        <v>376086</v>
      </c>
      <c r="I50" s="7"/>
      <c r="J50" s="35" t="s">
        <v>106</v>
      </c>
      <c r="K50" s="9">
        <f>ROUNDDOWN(((H50*H51/6)^0.5*(1+SUM(K64:K65))+SUM(H71:H73))*(1+SUM(K69:K74)),0)</f>
        <v>97361</v>
      </c>
      <c r="L50" s="31"/>
      <c r="M50" s="32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3"/>
      <c r="B51" s="50" t="s">
        <v>16</v>
      </c>
      <c r="C51" s="50" t="s">
        <v>17</v>
      </c>
      <c r="D51" s="29" t="s">
        <v>18</v>
      </c>
      <c r="E51" s="13">
        <v>46228</v>
      </c>
      <c r="F51" s="7"/>
      <c r="G51" s="8" t="s">
        <v>13</v>
      </c>
      <c r="H51" s="9">
        <f>ROUNDDOWN(SUM(H64:H68)*(1+K59+K60),0)</f>
        <v>103175</v>
      </c>
      <c r="I51" s="5"/>
      <c r="J51" s="12"/>
      <c r="K51" s="1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3"/>
      <c r="B52" s="60"/>
      <c r="C52" s="60"/>
      <c r="D52" s="29" t="s">
        <v>21</v>
      </c>
      <c r="E52" s="13">
        <v>49200</v>
      </c>
      <c r="F52" s="5"/>
      <c r="G52" s="6"/>
      <c r="H52" s="6"/>
      <c r="I52" s="1"/>
      <c r="J52" s="2"/>
      <c r="K52" s="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3"/>
      <c r="B53" s="60"/>
      <c r="C53" s="60"/>
      <c r="D53" s="29" t="s">
        <v>26</v>
      </c>
      <c r="E53" s="13">
        <v>36982</v>
      </c>
      <c r="F53" s="7"/>
      <c r="G53" s="62" t="s">
        <v>22</v>
      </c>
      <c r="H53" s="61"/>
      <c r="I53" s="7"/>
      <c r="J53" s="62" t="s">
        <v>23</v>
      </c>
      <c r="K53" s="61"/>
      <c r="L53" s="5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3"/>
      <c r="B54" s="60"/>
      <c r="C54" s="60"/>
      <c r="D54" s="29" t="s">
        <v>30</v>
      </c>
      <c r="E54" s="13">
        <v>39954</v>
      </c>
      <c r="F54" s="7"/>
      <c r="G54" s="29" t="s">
        <v>27</v>
      </c>
      <c r="H54" s="15">
        <v>477</v>
      </c>
      <c r="I54" s="7"/>
      <c r="J54" s="29" t="s">
        <v>28</v>
      </c>
      <c r="K54" s="10">
        <f>E74</f>
        <v>0.08</v>
      </c>
      <c r="L54" s="5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3"/>
      <c r="B55" s="59"/>
      <c r="C55" s="59"/>
      <c r="D55" s="29" t="s">
        <v>33</v>
      </c>
      <c r="E55" s="13">
        <v>55473</v>
      </c>
      <c r="F55" s="7"/>
      <c r="G55" s="29" t="s">
        <v>31</v>
      </c>
      <c r="H55" s="13">
        <v>1500</v>
      </c>
      <c r="I55" s="7"/>
      <c r="J55" s="29" t="s">
        <v>32</v>
      </c>
      <c r="K55" s="17">
        <f>E73</f>
        <v>0.01</v>
      </c>
      <c r="L55" s="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3"/>
      <c r="B56" s="48" t="s">
        <v>37</v>
      </c>
      <c r="C56" s="61"/>
      <c r="D56" s="29" t="s">
        <v>13</v>
      </c>
      <c r="E56" s="13">
        <v>85847</v>
      </c>
      <c r="F56" s="7"/>
      <c r="G56" s="29" t="s">
        <v>34</v>
      </c>
      <c r="H56" s="13">
        <v>218</v>
      </c>
      <c r="I56" s="5"/>
      <c r="J56" s="12"/>
      <c r="K56" s="1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3"/>
      <c r="B57" s="50" t="s">
        <v>39</v>
      </c>
      <c r="C57" s="50" t="s">
        <v>17</v>
      </c>
      <c r="D57" s="29" t="s">
        <v>40</v>
      </c>
      <c r="E57" s="13">
        <v>16517.5</v>
      </c>
      <c r="F57" s="7"/>
      <c r="G57" s="29" t="s">
        <v>16</v>
      </c>
      <c r="H57" s="29">
        <f>SUM(E51:E55)</f>
        <v>227837</v>
      </c>
      <c r="I57" s="5"/>
      <c r="J57" s="2"/>
      <c r="K57" s="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3"/>
      <c r="B58" s="60"/>
      <c r="C58" s="60"/>
      <c r="D58" s="29" t="s">
        <v>43</v>
      </c>
      <c r="E58" s="13">
        <v>12847.5</v>
      </c>
      <c r="F58" s="7"/>
      <c r="G58" s="29" t="s">
        <v>39</v>
      </c>
      <c r="H58" s="29">
        <f>SUM(E57:E61)</f>
        <v>66071.5</v>
      </c>
      <c r="I58" s="7"/>
      <c r="J58" s="62" t="s">
        <v>41</v>
      </c>
      <c r="K58" s="61"/>
      <c r="L58" s="5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3"/>
      <c r="B59" s="60"/>
      <c r="C59" s="60"/>
      <c r="D59" s="29" t="s">
        <v>46</v>
      </c>
      <c r="E59" s="13">
        <v>12847.5</v>
      </c>
      <c r="F59" s="7"/>
      <c r="G59" s="29" t="s">
        <v>44</v>
      </c>
      <c r="H59" s="29">
        <f>E66</f>
        <v>0</v>
      </c>
      <c r="I59" s="7"/>
      <c r="J59" s="29" t="s">
        <v>45</v>
      </c>
      <c r="K59" s="10">
        <f>E63</f>
        <v>1.7999999999999999E-2</v>
      </c>
      <c r="L59" s="5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3"/>
      <c r="B60" s="60"/>
      <c r="C60" s="60"/>
      <c r="D60" s="29" t="s">
        <v>49</v>
      </c>
      <c r="E60" s="13">
        <v>11929.5</v>
      </c>
      <c r="F60" s="7"/>
      <c r="G60" s="29" t="s">
        <v>47</v>
      </c>
      <c r="H60" s="29">
        <f>E70</f>
        <v>0</v>
      </c>
      <c r="I60" s="7"/>
      <c r="J60" s="29" t="s">
        <v>48</v>
      </c>
      <c r="K60" s="10">
        <f>E76*0.001</f>
        <v>0</v>
      </c>
      <c r="L60" s="5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3"/>
      <c r="B61" s="60"/>
      <c r="C61" s="59"/>
      <c r="D61" s="29" t="s">
        <v>54</v>
      </c>
      <c r="E61" s="13">
        <v>11929.5</v>
      </c>
      <c r="F61" s="7"/>
      <c r="G61" s="29" t="s">
        <v>50</v>
      </c>
      <c r="H61" s="29">
        <v>48930</v>
      </c>
      <c r="I61" s="5"/>
      <c r="J61" s="12"/>
      <c r="K61" s="1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3"/>
      <c r="B62" s="60"/>
      <c r="C62" s="50" t="s">
        <v>60</v>
      </c>
      <c r="D62" s="29" t="s">
        <v>107</v>
      </c>
      <c r="E62" s="19">
        <v>9.4999999999999998E-3</v>
      </c>
      <c r="F62" s="5"/>
      <c r="G62" s="6"/>
      <c r="H62" s="6"/>
      <c r="I62" s="1"/>
      <c r="J62" s="2"/>
      <c r="K62" s="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>
      <c r="A63" s="3"/>
      <c r="B63" s="60"/>
      <c r="C63" s="59"/>
      <c r="D63" s="29" t="s">
        <v>41</v>
      </c>
      <c r="E63" s="19">
        <v>1.7999999999999999E-2</v>
      </c>
      <c r="F63" s="7"/>
      <c r="G63" s="62" t="s">
        <v>57</v>
      </c>
      <c r="H63" s="61"/>
      <c r="I63" s="7"/>
      <c r="J63" s="62" t="s">
        <v>58</v>
      </c>
      <c r="K63" s="61"/>
      <c r="L63" s="5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>
      <c r="A64" s="3"/>
      <c r="B64" s="60"/>
      <c r="C64" s="50" t="s">
        <v>69</v>
      </c>
      <c r="D64" s="29" t="s">
        <v>108</v>
      </c>
      <c r="E64" s="13">
        <v>0</v>
      </c>
      <c r="F64" s="7"/>
      <c r="G64" s="29" t="s">
        <v>37</v>
      </c>
      <c r="H64" s="29">
        <f>E56</f>
        <v>85847</v>
      </c>
      <c r="I64" s="7"/>
      <c r="J64" s="29" t="s">
        <v>61</v>
      </c>
      <c r="K64" s="10">
        <f>E75</f>
        <v>4.9500000000000002E-2</v>
      </c>
      <c r="L64" s="5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3"/>
      <c r="B65" s="59"/>
      <c r="C65" s="59"/>
      <c r="D65" s="29" t="s">
        <v>70</v>
      </c>
      <c r="E65" s="13">
        <v>0</v>
      </c>
      <c r="F65" s="7"/>
      <c r="G65" s="29" t="s">
        <v>65</v>
      </c>
      <c r="H65" s="29">
        <f>E65</f>
        <v>0</v>
      </c>
      <c r="I65" s="7"/>
      <c r="J65" s="29" t="s">
        <v>66</v>
      </c>
      <c r="K65" s="10">
        <f>E68</f>
        <v>0</v>
      </c>
      <c r="L65" s="5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>
      <c r="A66" s="3"/>
      <c r="B66" s="50" t="s">
        <v>44</v>
      </c>
      <c r="C66" s="50" t="s">
        <v>109</v>
      </c>
      <c r="D66" s="29" t="s">
        <v>8</v>
      </c>
      <c r="E66" s="13">
        <v>0</v>
      </c>
      <c r="F66" s="7"/>
      <c r="G66" s="29" t="s">
        <v>44</v>
      </c>
      <c r="H66" s="29">
        <f>E67</f>
        <v>0</v>
      </c>
      <c r="I66" s="5"/>
      <c r="J66" s="12"/>
      <c r="K66" s="1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3"/>
      <c r="B67" s="59"/>
      <c r="C67" s="59"/>
      <c r="D67" s="29" t="s">
        <v>13</v>
      </c>
      <c r="E67" s="13">
        <v>0</v>
      </c>
      <c r="F67" s="7"/>
      <c r="G67" s="29" t="s">
        <v>47</v>
      </c>
      <c r="H67" s="29">
        <f>E71</f>
        <v>0</v>
      </c>
      <c r="I67" s="5"/>
      <c r="J67" s="2"/>
      <c r="K67" s="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>
      <c r="A68" s="3"/>
      <c r="B68" s="29" t="s">
        <v>71</v>
      </c>
      <c r="C68" s="29" t="s">
        <v>66</v>
      </c>
      <c r="D68" s="29" t="s">
        <v>58</v>
      </c>
      <c r="E68" s="19">
        <v>0</v>
      </c>
      <c r="F68" s="7"/>
      <c r="G68" s="29" t="s">
        <v>50</v>
      </c>
      <c r="H68" s="29">
        <v>15504</v>
      </c>
      <c r="I68" s="7"/>
      <c r="J68" s="62" t="s">
        <v>107</v>
      </c>
      <c r="K68" s="61"/>
      <c r="L68" s="5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3"/>
      <c r="B69" s="50" t="s">
        <v>75</v>
      </c>
      <c r="C69" s="50" t="s">
        <v>69</v>
      </c>
      <c r="D69" s="29" t="s">
        <v>108</v>
      </c>
      <c r="E69" s="13">
        <v>0</v>
      </c>
      <c r="F69" s="5"/>
      <c r="G69" s="6"/>
      <c r="H69" s="6"/>
      <c r="I69" s="3"/>
      <c r="J69" s="29" t="s">
        <v>45</v>
      </c>
      <c r="K69" s="33">
        <f>E62</f>
        <v>9.4999999999999998E-3</v>
      </c>
      <c r="L69" s="5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3"/>
      <c r="B70" s="60"/>
      <c r="C70" s="60"/>
      <c r="D70" s="29" t="s">
        <v>76</v>
      </c>
      <c r="E70" s="13">
        <v>0</v>
      </c>
      <c r="F70" s="7"/>
      <c r="G70" s="62" t="s">
        <v>110</v>
      </c>
      <c r="H70" s="61"/>
      <c r="I70" s="7"/>
      <c r="J70" s="29" t="s">
        <v>111</v>
      </c>
      <c r="K70" s="10">
        <f>E72</f>
        <v>1.44E-2</v>
      </c>
      <c r="L70" s="5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3"/>
      <c r="B71" s="60"/>
      <c r="C71" s="59"/>
      <c r="D71" s="29" t="s">
        <v>70</v>
      </c>
      <c r="E71" s="13">
        <v>0</v>
      </c>
      <c r="F71" s="7"/>
      <c r="G71" s="29" t="s">
        <v>65</v>
      </c>
      <c r="H71" s="29">
        <f>E64</f>
        <v>0</v>
      </c>
      <c r="I71" s="7"/>
      <c r="J71" s="29" t="s">
        <v>112</v>
      </c>
      <c r="K71" s="33">
        <f>E77</f>
        <v>0</v>
      </c>
      <c r="L71" s="5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>
      <c r="A72" s="3"/>
      <c r="B72" s="59"/>
      <c r="C72" s="29" t="s">
        <v>113</v>
      </c>
      <c r="D72" s="29" t="s">
        <v>107</v>
      </c>
      <c r="E72" s="19">
        <v>1.44E-2</v>
      </c>
      <c r="F72" s="7"/>
      <c r="G72" s="29" t="s">
        <v>47</v>
      </c>
      <c r="H72" s="29">
        <f>E69</f>
        <v>0</v>
      </c>
      <c r="I72" s="7"/>
      <c r="J72" s="29" t="s">
        <v>114</v>
      </c>
      <c r="K72" s="19">
        <v>5.3999999999999999E-2</v>
      </c>
      <c r="L72" s="5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>
      <c r="A73" s="3"/>
      <c r="B73" s="63" t="s">
        <v>82</v>
      </c>
      <c r="C73" s="61"/>
      <c r="D73" s="26" t="s">
        <v>85</v>
      </c>
      <c r="E73" s="27">
        <v>0.01</v>
      </c>
      <c r="F73" s="7"/>
      <c r="G73" s="29" t="s">
        <v>50</v>
      </c>
      <c r="H73" s="29">
        <v>4281</v>
      </c>
      <c r="I73" s="7"/>
      <c r="J73" s="29" t="s">
        <v>115</v>
      </c>
      <c r="K73" s="19">
        <v>0</v>
      </c>
      <c r="L73" s="5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>
      <c r="A74" s="3"/>
      <c r="B74" s="48" t="s">
        <v>28</v>
      </c>
      <c r="C74" s="61"/>
      <c r="D74" s="29" t="s">
        <v>85</v>
      </c>
      <c r="E74" s="19">
        <v>0.08</v>
      </c>
      <c r="F74" s="5"/>
      <c r="G74" s="12"/>
      <c r="H74" s="12"/>
      <c r="I74" s="3"/>
      <c r="J74" s="29" t="s">
        <v>116</v>
      </c>
      <c r="K74" s="19">
        <v>0.02</v>
      </c>
      <c r="L74" s="5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>
      <c r="A75" s="3"/>
      <c r="B75" s="48" t="s">
        <v>61</v>
      </c>
      <c r="C75" s="61"/>
      <c r="D75" s="29" t="s">
        <v>87</v>
      </c>
      <c r="E75" s="19">
        <v>4.9500000000000002E-2</v>
      </c>
      <c r="F75" s="5"/>
      <c r="G75" s="1"/>
      <c r="H75" s="1"/>
      <c r="I75" s="1"/>
      <c r="J75" s="12"/>
      <c r="K75" s="1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>
      <c r="A76" s="3"/>
      <c r="B76" s="48" t="s">
        <v>48</v>
      </c>
      <c r="C76" s="61"/>
      <c r="D76" s="29" t="s">
        <v>94</v>
      </c>
      <c r="E76" s="13">
        <v>0</v>
      </c>
      <c r="F76" s="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>
      <c r="A77" s="3"/>
      <c r="B77" s="48" t="s">
        <v>117</v>
      </c>
      <c r="C77" s="61"/>
      <c r="D77" s="29" t="s">
        <v>107</v>
      </c>
      <c r="E77" s="19">
        <v>0</v>
      </c>
      <c r="F77" s="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>
      <c r="A78" s="3"/>
      <c r="B78" s="53" t="s">
        <v>118</v>
      </c>
      <c r="C78" s="54"/>
      <c r="D78" s="29" t="s">
        <v>107</v>
      </c>
      <c r="E78" s="19">
        <v>0</v>
      </c>
      <c r="F78" s="5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>
      <c r="A79" s="3"/>
      <c r="B79" s="57"/>
      <c r="C79" s="58"/>
      <c r="D79" s="29" t="s">
        <v>119</v>
      </c>
      <c r="E79" s="19">
        <v>0</v>
      </c>
      <c r="F79" s="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>
      <c r="A80" s="3"/>
      <c r="B80" s="48" t="s">
        <v>96</v>
      </c>
      <c r="C80" s="61"/>
      <c r="D80" s="29" t="s">
        <v>120</v>
      </c>
      <c r="E80" s="34">
        <v>0.15</v>
      </c>
      <c r="F80" s="5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>
      <c r="A81" s="3"/>
      <c r="B81" s="53" t="s">
        <v>121</v>
      </c>
      <c r="C81" s="54"/>
      <c r="D81" s="29" t="s">
        <v>122</v>
      </c>
      <c r="E81" s="34">
        <v>0.8</v>
      </c>
      <c r="F81" s="5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>
      <c r="A82" s="3"/>
      <c r="B82" s="55"/>
      <c r="C82" s="56"/>
      <c r="D82" s="29" t="s">
        <v>123</v>
      </c>
      <c r="E82" s="34">
        <v>2.6</v>
      </c>
      <c r="F82" s="5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>
      <c r="A83" s="3"/>
      <c r="B83" s="55"/>
      <c r="C83" s="56"/>
      <c r="D83" s="29" t="s">
        <v>124</v>
      </c>
      <c r="E83" s="34">
        <v>0.5</v>
      </c>
      <c r="F83" s="5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>
      <c r="A84" s="3"/>
      <c r="B84" s="57"/>
      <c r="C84" s="58"/>
      <c r="D84" s="29" t="s">
        <v>125</v>
      </c>
      <c r="E84" s="34">
        <v>0.3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>
      <c r="A85" s="1"/>
      <c r="B85" s="12"/>
      <c r="C85" s="1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56">
    <mergeCell ref="B2:E2"/>
    <mergeCell ref="G2:K2"/>
    <mergeCell ref="M2:Q2"/>
    <mergeCell ref="B7:C8"/>
    <mergeCell ref="B9:B13"/>
    <mergeCell ref="C9:C13"/>
    <mergeCell ref="G9:H9"/>
    <mergeCell ref="J9:K9"/>
    <mergeCell ref="B14:C14"/>
    <mergeCell ref="J14:K14"/>
    <mergeCell ref="B15:B24"/>
    <mergeCell ref="C15:C19"/>
    <mergeCell ref="G19:H19"/>
    <mergeCell ref="J19:K19"/>
    <mergeCell ref="C22:C23"/>
    <mergeCell ref="J24:K24"/>
    <mergeCell ref="B26:B27"/>
    <mergeCell ref="C26:C27"/>
    <mergeCell ref="G26:H26"/>
    <mergeCell ref="B28:C28"/>
    <mergeCell ref="B29:C29"/>
    <mergeCell ref="J53:K53"/>
    <mergeCell ref="J30:K30"/>
    <mergeCell ref="B33:C33"/>
    <mergeCell ref="G33:H33"/>
    <mergeCell ref="B34:C34"/>
    <mergeCell ref="B35:C36"/>
    <mergeCell ref="B37:C38"/>
    <mergeCell ref="B30:C32"/>
    <mergeCell ref="B39:B46"/>
    <mergeCell ref="C39:C46"/>
    <mergeCell ref="B51:B55"/>
    <mergeCell ref="C51:C55"/>
    <mergeCell ref="G53:H53"/>
    <mergeCell ref="B56:C56"/>
    <mergeCell ref="B57:B65"/>
    <mergeCell ref="C57:C61"/>
    <mergeCell ref="J58:K58"/>
    <mergeCell ref="C62:C63"/>
    <mergeCell ref="G63:H63"/>
    <mergeCell ref="J63:K63"/>
    <mergeCell ref="C64:C65"/>
    <mergeCell ref="B66:B67"/>
    <mergeCell ref="C66:C67"/>
    <mergeCell ref="J68:K68"/>
    <mergeCell ref="B69:B72"/>
    <mergeCell ref="C69:C71"/>
    <mergeCell ref="G70:H70"/>
    <mergeCell ref="B80:C80"/>
    <mergeCell ref="B81:C84"/>
    <mergeCell ref="B73:C73"/>
    <mergeCell ref="B74:C74"/>
    <mergeCell ref="B75:C75"/>
    <mergeCell ref="B76:C76"/>
    <mergeCell ref="B77:C77"/>
    <mergeCell ref="B78:C79"/>
  </mergeCells>
  <phoneticPr fontId="7" type="noConversion"/>
  <pageMargins left="0.7" right="0.7" top="0.75" bottom="0.75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2부위 앜패(1660)</vt:lpstr>
      <vt:lpstr>갈망(1660)</vt:lpstr>
      <vt:lpstr>2부위 앜패(3T)</vt:lpstr>
      <vt:lpstr>갈망(3T)</vt:lpstr>
      <vt:lpstr>2부위 앜패(1660)-중단일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김대훈</cp:lastModifiedBy>
  <dcterms:modified xsi:type="dcterms:W3CDTF">2024-11-19T11:27:41Z</dcterms:modified>
</cp:coreProperties>
</file>