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MyCOM\Desktop\백업\새 폴더\"/>
    </mc:Choice>
  </mc:AlternateContent>
  <xr:revisionPtr revIDLastSave="1" documentId="13_ncr:1_{0F349E98-7A8E-4424-A249-02CEAFE979DF}" xr6:coauthVersionLast="47" xr6:coauthVersionMax="47" xr10:uidLastSave="{63671E4B-C513-48F7-A054-D51C0397502B}"/>
  <bookViews>
    <workbookView xWindow="-120" yWindow="-120" windowWidth="29040" windowHeight="15840" xr2:uid="{901BA741-774F-4041-AECE-E7666E51726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I4" i="1"/>
  <c r="H4" i="1"/>
  <c r="F4" i="1"/>
  <c r="E4" i="1"/>
  <c r="J4" i="1"/>
  <c r="D4" i="1"/>
  <c r="C4" i="1"/>
  <c r="R15" i="1"/>
  <c r="G6" i="1"/>
  <c r="N20" i="1"/>
  <c r="N18" i="1"/>
  <c r="N15" i="1"/>
  <c r="N14" i="1"/>
  <c r="N13" i="1"/>
  <c r="N12" i="1"/>
  <c r="N4" i="1"/>
  <c r="N5" i="1"/>
  <c r="N6" i="1"/>
  <c r="N7" i="1"/>
  <c r="N8" i="1"/>
  <c r="N9" i="1"/>
  <c r="N10" i="1"/>
  <c r="N11" i="1"/>
  <c r="N21" i="1"/>
  <c r="N23" i="1"/>
  <c r="R9" i="1"/>
  <c r="H7" i="1" s="1"/>
  <c r="C14" i="1"/>
  <c r="R5" i="1"/>
  <c r="R6" i="1"/>
  <c r="R7" i="1"/>
  <c r="R4" i="1"/>
  <c r="C13" i="1" s="1"/>
  <c r="C12" i="1" l="1"/>
  <c r="D12" i="1" s="1"/>
  <c r="F13" i="1"/>
  <c r="E13" i="1"/>
  <c r="D13" i="1"/>
  <c r="J13" i="1"/>
  <c r="I13" i="1"/>
  <c r="H13" i="1"/>
  <c r="G13" i="1"/>
  <c r="G7" i="1"/>
  <c r="H6" i="1"/>
  <c r="H8" i="1"/>
  <c r="C10" i="1" l="1"/>
  <c r="D10" i="1"/>
  <c r="I12" i="1"/>
  <c r="J10" i="1" s="1"/>
  <c r="G12" i="1"/>
  <c r="H12" i="1" s="1"/>
  <c r="E12" i="1"/>
  <c r="G10" i="1" l="1"/>
  <c r="H10" i="1"/>
  <c r="J12" i="1"/>
  <c r="F12" i="1"/>
  <c r="E10" i="1"/>
  <c r="F10" i="1"/>
  <c r="I10" i="1"/>
  <c r="F23" i="1" l="1"/>
  <c r="H23" i="1" s="1"/>
  <c r="J23" i="1" s="1"/>
  <c r="F25" i="1"/>
  <c r="H25" i="1" s="1"/>
  <c r="J25" i="1" s="1"/>
  <c r="F22" i="1"/>
  <c r="H22" i="1" s="1"/>
  <c r="J22" i="1" s="1"/>
  <c r="F19" i="1"/>
  <c r="H19" i="1" s="1"/>
  <c r="J19" i="1" s="1"/>
  <c r="F20" i="1"/>
  <c r="H20" i="1" s="1"/>
  <c r="J20" i="1" s="1"/>
  <c r="F18" i="1"/>
  <c r="H18" i="1" s="1"/>
  <c r="J18" i="1" s="1"/>
  <c r="F21" i="1"/>
  <c r="H21" i="1" s="1"/>
  <c r="J21" i="1" s="1"/>
  <c r="F24" i="1"/>
  <c r="H24" i="1" s="1"/>
  <c r="J24" i="1" s="1"/>
</calcChain>
</file>

<file path=xl/sharedStrings.xml><?xml version="1.0" encoding="utf-8"?>
<sst xmlns="http://schemas.openxmlformats.org/spreadsheetml/2006/main" count="70" uniqueCount="63">
  <si>
    <t>카블</t>
    <phoneticPr fontId="1" type="noConversion"/>
  </si>
  <si>
    <t>에블</t>
    <phoneticPr fontId="1" type="noConversion"/>
  </si>
  <si>
    <t>카디</t>
    <phoneticPr fontId="1" type="noConversion"/>
  </si>
  <si>
    <t>에디</t>
    <phoneticPr fontId="1" type="noConversion"/>
  </si>
  <si>
    <t>레조</t>
    <phoneticPr fontId="1" type="noConversion"/>
  </si>
  <si>
    <t>어썰트</t>
    <phoneticPr fontId="1" type="noConversion"/>
  </si>
  <si>
    <t>마테리얼</t>
    <phoneticPr fontId="1" type="noConversion"/>
  </si>
  <si>
    <t>저주화살</t>
    <phoneticPr fontId="1" type="noConversion"/>
  </si>
  <si>
    <t>보총계산기</t>
    <phoneticPr fontId="1" type="noConversion"/>
  </si>
  <si>
    <t>표기값</t>
    <phoneticPr fontId="1" type="noConversion"/>
  </si>
  <si>
    <t>가동</t>
    <phoneticPr fontId="1" type="noConversion"/>
  </si>
  <si>
    <t>방무계산기</t>
    <phoneticPr fontId="1" type="noConversion"/>
  </si>
  <si>
    <t>반영</t>
    <phoneticPr fontId="1" type="noConversion"/>
  </si>
  <si>
    <t>퍼뎀(재사용)</t>
    <phoneticPr fontId="1" type="noConversion"/>
  </si>
  <si>
    <t>스탯창 보공</t>
    <phoneticPr fontId="1" type="noConversion"/>
  </si>
  <si>
    <t>스탯창방무</t>
    <phoneticPr fontId="1" type="noConversion"/>
  </si>
  <si>
    <t>5차코강</t>
    <phoneticPr fontId="1" type="noConversion"/>
  </si>
  <si>
    <t>스탯창 뎀퍼</t>
    <phoneticPr fontId="1" type="noConversion"/>
  </si>
  <si>
    <t>노블방무</t>
    <phoneticPr fontId="1" type="noConversion"/>
  </si>
  <si>
    <t>추가보총</t>
    <phoneticPr fontId="1" type="noConversion"/>
  </si>
  <si>
    <t>스탯창상추뎀</t>
    <phoneticPr fontId="1" type="noConversion"/>
  </si>
  <si>
    <t>모법</t>
    <phoneticPr fontId="1" type="noConversion"/>
  </si>
  <si>
    <t>1-추가방무</t>
    <phoneticPr fontId="1" type="noConversion"/>
  </si>
  <si>
    <t>노블보공</t>
    <phoneticPr fontId="1" type="noConversion"/>
  </si>
  <si>
    <t>VIP</t>
    <phoneticPr fontId="1" type="noConversion"/>
  </si>
  <si>
    <t>딜레이</t>
    <phoneticPr fontId="1" type="noConversion"/>
  </si>
  <si>
    <t>노블데미지</t>
    <phoneticPr fontId="1" type="noConversion"/>
  </si>
  <si>
    <t>추가최종뎀</t>
    <phoneticPr fontId="1" type="noConversion"/>
  </si>
  <si>
    <t>반빨별</t>
    <phoneticPr fontId="1" type="noConversion"/>
  </si>
  <si>
    <t>이그노어가드</t>
    <phoneticPr fontId="1" type="noConversion"/>
  </si>
  <si>
    <t>최종퍼뎀</t>
    <phoneticPr fontId="1" type="noConversion"/>
  </si>
  <si>
    <t>세이람</t>
    <phoneticPr fontId="1" type="noConversion"/>
  </si>
  <si>
    <t>캐릭터보총</t>
    <phoneticPr fontId="1" type="noConversion"/>
  </si>
  <si>
    <t>와헌유니온</t>
    <phoneticPr fontId="1" type="noConversion"/>
  </si>
  <si>
    <t>재사용</t>
    <phoneticPr fontId="1" type="noConversion"/>
  </si>
  <si>
    <t>1-캐릭터방무</t>
    <phoneticPr fontId="1" type="noConversion"/>
  </si>
  <si>
    <t>카데나</t>
    <phoneticPr fontId="1" type="noConversion"/>
  </si>
  <si>
    <t>1-재사용</t>
    <phoneticPr fontId="1" type="noConversion"/>
  </si>
  <si>
    <t>일리움</t>
    <phoneticPr fontId="1" type="noConversion"/>
  </si>
  <si>
    <t>아크</t>
    <phoneticPr fontId="1" type="noConversion"/>
  </si>
  <si>
    <t>DEX% 효율</t>
    <phoneticPr fontId="1" type="noConversion"/>
  </si>
  <si>
    <t>카인</t>
    <phoneticPr fontId="1" type="noConversion"/>
  </si>
  <si>
    <t>모자덱잠재</t>
    <phoneticPr fontId="1" type="noConversion"/>
  </si>
  <si>
    <t>쿨감</t>
    <phoneticPr fontId="1" type="noConversion"/>
  </si>
  <si>
    <t>딜사이클</t>
    <phoneticPr fontId="1" type="noConversion"/>
  </si>
  <si>
    <t>사이클 dps</t>
    <phoneticPr fontId="1" type="noConversion"/>
  </si>
  <si>
    <t>저주화살 합 dps</t>
    <phoneticPr fontId="1" type="noConversion"/>
  </si>
  <si>
    <t>스탯퍼 약보정 dps</t>
    <phoneticPr fontId="1" type="noConversion"/>
  </si>
  <si>
    <t>모도</t>
    <phoneticPr fontId="1" type="noConversion"/>
  </si>
  <si>
    <t>6블디콤레</t>
    <phoneticPr fontId="1" type="noConversion"/>
  </si>
  <si>
    <t>5블디블콤레</t>
    <phoneticPr fontId="1" type="noConversion"/>
  </si>
  <si>
    <t>엔버</t>
    <phoneticPr fontId="1" type="noConversion"/>
  </si>
  <si>
    <t>마코</t>
    <phoneticPr fontId="1" type="noConversion"/>
  </si>
  <si>
    <t>레벨</t>
    <phoneticPr fontId="1" type="noConversion"/>
  </si>
  <si>
    <t>5블디레</t>
  </si>
  <si>
    <t>에픽&amp;메용2</t>
    <phoneticPr fontId="1" type="noConversion"/>
  </si>
  <si>
    <t>5블디콤레</t>
  </si>
  <si>
    <t>컨티</t>
    <phoneticPr fontId="1" type="noConversion"/>
  </si>
  <si>
    <t>4블디블콤레</t>
  </si>
  <si>
    <t>4블디레</t>
  </si>
  <si>
    <t>인챈트인핸스</t>
    <phoneticPr fontId="1" type="noConversion"/>
  </si>
  <si>
    <t>4블디콤레</t>
  </si>
  <si>
    <t>3.5블디레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</si>
</sst>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0E9D-FC1D-481D-A797-85677D61EFFF}">
  <dimension ref="B3:R25"/>
  <sheetViews>
    <sheetView tabSelected="1" topLeftCell="A2" workbookViewId="0">
      <selection activeCell="G4" sqref="G4"/>
    </sheetView>
  </sheetViews>
  <sheetFormatPr defaultRowHeight="16.5"/>
  <cols>
    <col min="2" max="2" width="13.5" customWidth="1"/>
    <col min="12" max="12" width="12.875" customWidth="1"/>
    <col min="16" max="16" width="13.25" customWidth="1"/>
  </cols>
  <sheetData>
    <row r="3" spans="2:18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L3" t="s">
        <v>8</v>
      </c>
      <c r="M3" t="s">
        <v>9</v>
      </c>
      <c r="N3" t="s">
        <v>10</v>
      </c>
      <c r="P3" t="s">
        <v>11</v>
      </c>
      <c r="Q3" t="s">
        <v>9</v>
      </c>
      <c r="R3" t="s">
        <v>12</v>
      </c>
    </row>
    <row r="4" spans="2:18">
      <c r="B4" t="s">
        <v>13</v>
      </c>
      <c r="C4">
        <f>(660+11*Q20)*6</f>
        <v>5940</v>
      </c>
      <c r="D4">
        <f>(240+Q20*3)*IF(Q20&gt;20,2.4,1.7)*3*(0.51+0.01*ROUNDDOWN((Q20-1)/3,0))</f>
        <v>1425.6</v>
      </c>
      <c r="E4">
        <f>(325+5*Q21)*12</f>
        <v>5700</v>
      </c>
      <c r="F4">
        <f>(185+3*Q21)*3*3.1*0.55</f>
        <v>1406.625</v>
      </c>
      <c r="G4">
        <f>((920+29*Q22)*6*4+(891+24*Q22)*10)*1.1^5/C14/5</f>
        <v>26243.538124137944</v>
      </c>
      <c r="H4">
        <f>((774+36*Q23)*10+(696+32*Q23)*7)/C14</f>
        <v>41561.379310344826</v>
      </c>
      <c r="I4">
        <f>(405+4*Q23)*8/C14</f>
        <v>5793.1034482758623</v>
      </c>
      <c r="J4">
        <f>(120+2*Q20)*4*16</f>
        <v>11520</v>
      </c>
      <c r="L4" t="s">
        <v>14</v>
      </c>
      <c r="M4">
        <v>516</v>
      </c>
      <c r="N4">
        <f t="shared" ref="N4:N11" si="0">M4</f>
        <v>516</v>
      </c>
      <c r="P4" t="s">
        <v>15</v>
      </c>
      <c r="Q4">
        <v>97.4482</v>
      </c>
      <c r="R4">
        <f>1-Q4/100</f>
        <v>2.5518000000000041E-2</v>
      </c>
    </row>
    <row r="5" spans="2:18">
      <c r="B5" t="s">
        <v>16</v>
      </c>
      <c r="C5">
        <v>2.2000000000000002</v>
      </c>
      <c r="D5">
        <v>2.2000000000000002</v>
      </c>
      <c r="E5">
        <v>2.2000000000000002</v>
      </c>
      <c r="F5">
        <v>2.2000000000000002</v>
      </c>
      <c r="G5">
        <v>2.2000000000000002</v>
      </c>
      <c r="H5">
        <v>2.2000000000000002</v>
      </c>
      <c r="I5">
        <v>1</v>
      </c>
      <c r="J5">
        <v>2.2000000000000002</v>
      </c>
      <c r="L5" t="s">
        <v>17</v>
      </c>
      <c r="M5">
        <v>71</v>
      </c>
      <c r="N5">
        <f t="shared" si="0"/>
        <v>71</v>
      </c>
      <c r="P5" t="s">
        <v>18</v>
      </c>
      <c r="Q5">
        <v>26</v>
      </c>
      <c r="R5">
        <f t="shared" ref="R5:R7" si="1">1-Q5/100</f>
        <v>0.74</v>
      </c>
    </row>
    <row r="6" spans="2:18">
      <c r="B6" t="s">
        <v>19</v>
      </c>
      <c r="C6">
        <v>20</v>
      </c>
      <c r="D6">
        <v>0</v>
      </c>
      <c r="E6">
        <v>20</v>
      </c>
      <c r="F6">
        <v>0</v>
      </c>
      <c r="G6">
        <f>70</f>
        <v>70</v>
      </c>
      <c r="H6">
        <f>70+N23</f>
        <v>80</v>
      </c>
      <c r="I6">
        <v>0</v>
      </c>
      <c r="J6">
        <v>0</v>
      </c>
      <c r="L6" t="s">
        <v>20</v>
      </c>
      <c r="M6">
        <v>6</v>
      </c>
      <c r="N6">
        <f t="shared" si="0"/>
        <v>6</v>
      </c>
      <c r="P6" t="s">
        <v>21</v>
      </c>
      <c r="Q6">
        <v>9</v>
      </c>
      <c r="R6">
        <f t="shared" si="1"/>
        <v>0.91</v>
      </c>
    </row>
    <row r="7" spans="2:18">
      <c r="B7" t="s">
        <v>22</v>
      </c>
      <c r="C7">
        <v>0.8</v>
      </c>
      <c r="D7">
        <v>0.8</v>
      </c>
      <c r="E7">
        <v>0.8</v>
      </c>
      <c r="F7">
        <v>0.8</v>
      </c>
      <c r="G7">
        <f>0.8*R9</f>
        <v>0.8</v>
      </c>
      <c r="H7">
        <f>0.8*R9</f>
        <v>0.8</v>
      </c>
      <c r="I7">
        <v>1</v>
      </c>
      <c r="J7">
        <v>0.8</v>
      </c>
      <c r="L7" t="s">
        <v>23</v>
      </c>
      <c r="M7">
        <v>30</v>
      </c>
      <c r="N7">
        <f t="shared" si="0"/>
        <v>30</v>
      </c>
      <c r="P7" t="s">
        <v>24</v>
      </c>
      <c r="Q7">
        <v>15</v>
      </c>
      <c r="R7">
        <f t="shared" si="1"/>
        <v>0.85</v>
      </c>
    </row>
    <row r="8" spans="2:18">
      <c r="B8" t="s">
        <v>25</v>
      </c>
      <c r="C8">
        <v>0.21</v>
      </c>
      <c r="E8">
        <v>0.24</v>
      </c>
      <c r="H8">
        <f>0.63/C14</f>
        <v>0.86896551724137938</v>
      </c>
      <c r="L8" t="s">
        <v>26</v>
      </c>
      <c r="M8">
        <v>30</v>
      </c>
      <c r="N8">
        <f t="shared" si="0"/>
        <v>30</v>
      </c>
    </row>
    <row r="9" spans="2:18">
      <c r="B9" t="s">
        <v>27</v>
      </c>
      <c r="C9">
        <v>1</v>
      </c>
      <c r="D9">
        <v>1</v>
      </c>
      <c r="E9">
        <v>1</v>
      </c>
      <c r="F9">
        <v>1</v>
      </c>
      <c r="G9">
        <v>1.1000000000000001</v>
      </c>
      <c r="H9">
        <v>1.1000000000000001</v>
      </c>
      <c r="I9">
        <v>1</v>
      </c>
      <c r="J9">
        <v>1</v>
      </c>
      <c r="L9" t="s">
        <v>28</v>
      </c>
      <c r="M9">
        <v>20</v>
      </c>
      <c r="N9">
        <f t="shared" si="0"/>
        <v>20</v>
      </c>
      <c r="P9" t="s">
        <v>29</v>
      </c>
      <c r="Q9">
        <v>0</v>
      </c>
      <c r="R9">
        <f>1-Q9/100</f>
        <v>1</v>
      </c>
    </row>
    <row r="10" spans="2:18">
      <c r="B10" t="s">
        <v>30</v>
      </c>
      <c r="C10">
        <f>C4*C5*(C6+C12)/C12*(1-C13*C7)*C9</f>
        <v>13180.003438630365</v>
      </c>
      <c r="D10">
        <f>D4*D5*(D6+C12)/C12*(1-C13*D7)*D9</f>
        <v>3099.672105767931</v>
      </c>
      <c r="E10">
        <f>E4*E5*(E6+E12)/E12*(1-E13*E7)*E9</f>
        <v>12647.478047170551</v>
      </c>
      <c r="F10">
        <f>F4*F5*(F6+E12)/E12*(1-E13*F7)*F9</f>
        <v>3058.4148960268071</v>
      </c>
      <c r="G10">
        <f>G4*G5*(G6+G12)/G12*(1-G13*G7)*G9</f>
        <v>67269.774215255893</v>
      </c>
      <c r="H10">
        <f>H4*H5*(H6+G12)/G12*(1-G13*H7)*H9</f>
        <v>107552.47913505731</v>
      </c>
      <c r="I10">
        <f>I4*I5*(I6+I12)/I12*(1-I13*I7)*I9</f>
        <v>5708.4879425048275</v>
      </c>
      <c r="J10">
        <f>J4*J5*(J6+I12)/I12*(1-I13*J7)*J9</f>
        <v>25047.855400144897</v>
      </c>
      <c r="L10" t="s">
        <v>24</v>
      </c>
      <c r="M10">
        <v>15</v>
      </c>
      <c r="N10">
        <f t="shared" si="0"/>
        <v>15</v>
      </c>
    </row>
    <row r="11" spans="2:18">
      <c r="L11" t="s">
        <v>31</v>
      </c>
      <c r="M11">
        <v>10</v>
      </c>
      <c r="N11">
        <f t="shared" si="0"/>
        <v>10</v>
      </c>
    </row>
    <row r="12" spans="2:18">
      <c r="B12" t="s">
        <v>32</v>
      </c>
      <c r="C12">
        <f>100+SUM(N4:N21)</f>
        <v>975.83333333333337</v>
      </c>
      <c r="D12">
        <f>C12</f>
        <v>975.83333333333337</v>
      </c>
      <c r="E12">
        <f>C12</f>
        <v>975.83333333333337</v>
      </c>
      <c r="F12">
        <f t="shared" ref="F12" si="2">E12</f>
        <v>975.83333333333337</v>
      </c>
      <c r="G12">
        <f>C12</f>
        <v>975.83333333333337</v>
      </c>
      <c r="H12">
        <f t="shared" ref="H12" si="3">G12</f>
        <v>975.83333333333337</v>
      </c>
      <c r="I12">
        <f>C12</f>
        <v>975.83333333333337</v>
      </c>
      <c r="J12">
        <f t="shared" ref="J12" si="4">I12</f>
        <v>975.83333333333337</v>
      </c>
      <c r="L12" t="s">
        <v>33</v>
      </c>
      <c r="M12">
        <v>20</v>
      </c>
      <c r="N12">
        <f>M12/5</f>
        <v>4</v>
      </c>
      <c r="P12" t="s">
        <v>34</v>
      </c>
      <c r="Q12">
        <v>27.5</v>
      </c>
    </row>
    <row r="13" spans="2:18">
      <c r="B13" t="s">
        <v>35</v>
      </c>
      <c r="C13">
        <f>R4*R5*R6*R7</f>
        <v>1.4606248020000025E-2</v>
      </c>
      <c r="D13">
        <f>C13</f>
        <v>1.4606248020000025E-2</v>
      </c>
      <c r="E13">
        <f>C13</f>
        <v>1.4606248020000025E-2</v>
      </c>
      <c r="F13">
        <f>C13</f>
        <v>1.4606248020000025E-2</v>
      </c>
      <c r="G13">
        <f>C13</f>
        <v>1.4606248020000025E-2</v>
      </c>
      <c r="H13">
        <f>C13</f>
        <v>1.4606248020000025E-2</v>
      </c>
      <c r="I13">
        <f>C13</f>
        <v>1.4606248020000025E-2</v>
      </c>
      <c r="J13">
        <f>C13</f>
        <v>1.4606248020000025E-2</v>
      </c>
      <c r="L13" t="s">
        <v>36</v>
      </c>
      <c r="M13">
        <v>6</v>
      </c>
      <c r="N13">
        <f>M13</f>
        <v>6</v>
      </c>
    </row>
    <row r="14" spans="2:18">
      <c r="B14" t="s">
        <v>37</v>
      </c>
      <c r="C14">
        <f>1-Q12/100</f>
        <v>0.72499999999999998</v>
      </c>
      <c r="L14" t="s">
        <v>38</v>
      </c>
      <c r="M14">
        <v>12</v>
      </c>
      <c r="N14">
        <f>M14</f>
        <v>12</v>
      </c>
    </row>
    <row r="15" spans="2:18">
      <c r="L15" t="s">
        <v>39</v>
      </c>
      <c r="M15">
        <v>11</v>
      </c>
      <c r="N15">
        <f>M15</f>
        <v>11</v>
      </c>
      <c r="P15" t="s">
        <v>40</v>
      </c>
      <c r="Q15">
        <v>8.2000000000000003E-2</v>
      </c>
      <c r="R15">
        <f>Q15/100</f>
        <v>8.1999999999999998E-4</v>
      </c>
    </row>
    <row r="16" spans="2:18">
      <c r="L16" t="s">
        <v>41</v>
      </c>
      <c r="M16">
        <v>17</v>
      </c>
      <c r="N16">
        <v>8.5</v>
      </c>
      <c r="P16" t="s">
        <v>42</v>
      </c>
      <c r="Q16">
        <v>13</v>
      </c>
      <c r="R16">
        <v>9</v>
      </c>
    </row>
    <row r="17" spans="3:17">
      <c r="C17" t="s">
        <v>43</v>
      </c>
      <c r="D17" t="s">
        <v>44</v>
      </c>
      <c r="F17" t="s">
        <v>45</v>
      </c>
      <c r="H17" t="s">
        <v>46</v>
      </c>
      <c r="J17" t="s">
        <v>47</v>
      </c>
      <c r="L17" t="s">
        <v>48</v>
      </c>
      <c r="M17">
        <v>18</v>
      </c>
      <c r="N17">
        <v>9</v>
      </c>
    </row>
    <row r="18" spans="3:17">
      <c r="C18" s="1">
        <v>0</v>
      </c>
      <c r="D18" t="s">
        <v>49</v>
      </c>
      <c r="F18">
        <f>(C10*6+D10*6+E10*6+F10*5+G10+H10+I10*3)/(C8*6+E8*6+H8)</f>
        <v>106698.34476341902</v>
      </c>
      <c r="H18">
        <f>F18+J10/18.8</f>
        <v>108030.67749746928</v>
      </c>
      <c r="J18">
        <f>H18</f>
        <v>108030.67749746928</v>
      </c>
      <c r="L18" t="s">
        <v>21</v>
      </c>
      <c r="M18">
        <v>9</v>
      </c>
      <c r="N18">
        <f>M18</f>
        <v>9</v>
      </c>
    </row>
    <row r="19" spans="3:17">
      <c r="C19" s="1">
        <v>2</v>
      </c>
      <c r="D19" t="s">
        <v>50</v>
      </c>
      <c r="F19">
        <f>(C10*6+D10*5+E10*5+F10*5+G10+H10+I10*3)/(C8*6+E8*5+H8)</f>
        <v>109660.36180421227</v>
      </c>
      <c r="H19">
        <f>F19+J10/16.8</f>
        <v>111151.30557803041</v>
      </c>
      <c r="J19">
        <f>H19*(1-R15*Q16)</f>
        <v>109966.43266056861</v>
      </c>
      <c r="L19" t="s">
        <v>51</v>
      </c>
      <c r="M19">
        <v>45</v>
      </c>
      <c r="N19">
        <v>10</v>
      </c>
      <c r="P19" t="s">
        <v>52</v>
      </c>
      <c r="Q19" t="s">
        <v>53</v>
      </c>
    </row>
    <row r="20" spans="3:17">
      <c r="C20" s="1">
        <v>2</v>
      </c>
      <c r="D20" t="s">
        <v>54</v>
      </c>
      <c r="F20">
        <f>(C10*5+D10*5+E10*5+F10*5+G10+I10*2)/(C8*5+E8*5)</f>
        <v>106050.93001699726</v>
      </c>
      <c r="H20">
        <f>F20+J10/16.8</f>
        <v>107541.8737908154</v>
      </c>
      <c r="J20">
        <f>H20*(1-R15*Q16)</f>
        <v>106395.47741620531</v>
      </c>
      <c r="L20" t="s">
        <v>55</v>
      </c>
      <c r="M20">
        <v>30</v>
      </c>
      <c r="N20">
        <f>M20/2</f>
        <v>15</v>
      </c>
      <c r="P20" t="s">
        <v>0</v>
      </c>
      <c r="Q20">
        <v>30</v>
      </c>
    </row>
    <row r="21" spans="3:17">
      <c r="C21" s="1">
        <v>3</v>
      </c>
      <c r="D21" t="s">
        <v>56</v>
      </c>
      <c r="F21">
        <f>(C10*5+D10*5+E10*5+F10*4+G10+H10+I10*3)/(C8*5+E8*5+H8)</f>
        <v>111837.44827942064</v>
      </c>
      <c r="H21">
        <f>F21+J10/15.8</f>
        <v>113422.75558322728</v>
      </c>
      <c r="J21">
        <f>H21*(1-R15*(Q16+R16))</f>
        <v>111376.60907250585</v>
      </c>
      <c r="L21" t="s">
        <v>57</v>
      </c>
      <c r="M21">
        <v>140</v>
      </c>
      <c r="N21">
        <f>M21*8/12</f>
        <v>93.333333333333329</v>
      </c>
      <c r="P21" t="s">
        <v>2</v>
      </c>
      <c r="Q21">
        <v>30</v>
      </c>
    </row>
    <row r="22" spans="3:17">
      <c r="C22" s="1">
        <v>4</v>
      </c>
      <c r="D22" t="s">
        <v>58</v>
      </c>
      <c r="F22">
        <f>(C10*5+D10*4+E10*4+F10*4+G10+H10+I10*3)/(C8*5+E8*4+H8)</f>
        <v>115690.85929378823</v>
      </c>
      <c r="H22">
        <f>F22+J10/14.8</f>
        <v>117383.28195596019</v>
      </c>
      <c r="J22">
        <f>H22*(1-R15*Q16*2)</f>
        <v>114880.67038465913</v>
      </c>
      <c r="P22" t="s">
        <v>4</v>
      </c>
      <c r="Q22">
        <v>30</v>
      </c>
    </row>
    <row r="23" spans="3:17">
      <c r="C23" s="1">
        <v>5</v>
      </c>
      <c r="D23" t="s">
        <v>59</v>
      </c>
      <c r="F23">
        <f>(C10*4+D10*4+E10*4+F10*4+G10+I10*2)/(C8*4+E8*4)</f>
        <v>114793.90225036012</v>
      </c>
      <c r="H23">
        <f>F23+J10/13.8</f>
        <v>116608.96423587787</v>
      </c>
      <c r="J23">
        <f>H23*(1-R15*(Q16*2+R16))</f>
        <v>113262.28696230818</v>
      </c>
      <c r="L23" t="s">
        <v>60</v>
      </c>
      <c r="M23">
        <v>10</v>
      </c>
      <c r="N23">
        <f>M23</f>
        <v>10</v>
      </c>
      <c r="P23" t="s">
        <v>5</v>
      </c>
      <c r="Q23">
        <v>30</v>
      </c>
    </row>
    <row r="24" spans="3:17">
      <c r="C24" s="1">
        <v>6</v>
      </c>
      <c r="D24" t="s">
        <v>61</v>
      </c>
      <c r="F24">
        <f>(C10*4+D10*4+E10*4+F10*3+G10+H10+I10*3)/(C8*4+E8*4+H8)</f>
        <v>118709.50530663207</v>
      </c>
      <c r="H24">
        <f>F24+J10/12.8</f>
        <v>120666.36900976839</v>
      </c>
      <c r="J24">
        <f>H24*(1-R15*Q16*3)</f>
        <v>116807.458528836</v>
      </c>
    </row>
    <row r="25" spans="3:17">
      <c r="C25" s="1">
        <v>7</v>
      </c>
      <c r="D25" t="s">
        <v>62</v>
      </c>
      <c r="F25">
        <f>(C10*7+D10*7+E10*7+F10*7+G10*2+I10*4)/(C8*7+E8*7)</f>
        <v>121038.88241704785</v>
      </c>
      <c r="H25">
        <f>F25+J10/11.8</f>
        <v>123161.58202722961</v>
      </c>
      <c r="J25">
        <f>H25*(1-R15*(Q16*3+R16))</f>
        <v>118313.94215863786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이 지후</dc:creator>
  <cp:keywords/>
  <dc:description/>
  <cp:lastModifiedBy>이지후(학부생-지능형반도체융합전자전공)</cp:lastModifiedBy>
  <cp:revision/>
  <dcterms:created xsi:type="dcterms:W3CDTF">2025-01-17T03:23:03Z</dcterms:created>
  <dcterms:modified xsi:type="dcterms:W3CDTF">2025-01-17T13:08:56Z</dcterms:modified>
  <cp:category/>
  <cp:contentStatus/>
</cp:coreProperties>
</file>