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onhun\OneDrive\바탕 화면\"/>
    </mc:Choice>
  </mc:AlternateContent>
  <xr:revisionPtr revIDLastSave="0" documentId="13_ncr:1_{81E5EF7C-76E8-498E-A3C3-2F354210AE28}" xr6:coauthVersionLast="47" xr6:coauthVersionMax="47" xr10:uidLastSave="{00000000-0000-0000-0000-000000000000}"/>
  <bookViews>
    <workbookView xWindow="1950" yWindow="480" windowWidth="27765" windowHeight="21120" xr2:uid="{4776E51A-4FE7-470E-A210-61C49E69738C}"/>
  </bookViews>
  <sheets>
    <sheet name="악세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0" i="1" l="1"/>
  <c r="E79" i="1"/>
  <c r="E62" i="1"/>
  <c r="E61" i="1"/>
  <c r="D57" i="1"/>
  <c r="D55" i="1"/>
  <c r="D53" i="1"/>
  <c r="D44" i="1"/>
  <c r="D42" i="1"/>
  <c r="E36" i="1"/>
  <c r="F31" i="1"/>
  <c r="D30" i="1"/>
  <c r="D28" i="1"/>
  <c r="D32" i="1" s="1"/>
  <c r="F32" i="1" s="1"/>
  <c r="F22" i="1"/>
  <c r="F29" i="1" s="1"/>
  <c r="F21" i="1"/>
  <c r="F20" i="1"/>
  <c r="D19" i="1"/>
  <c r="F19" i="1" s="1"/>
  <c r="F18" i="1"/>
  <c r="F17" i="1"/>
  <c r="D22" i="1" s="1"/>
  <c r="G22" i="1" s="1"/>
  <c r="D17" i="1"/>
  <c r="F16" i="1"/>
  <c r="F15" i="1"/>
  <c r="D15" i="1"/>
  <c r="F14" i="1"/>
  <c r="R10" i="1"/>
  <c r="P10" i="1"/>
  <c r="R9" i="1"/>
  <c r="P9" i="1"/>
  <c r="R8" i="1"/>
  <c r="R7" i="1"/>
  <c r="R6" i="1"/>
  <c r="R5" i="1"/>
  <c r="R4" i="1"/>
  <c r="R11" i="1" s="1"/>
  <c r="R12" i="1" s="1"/>
  <c r="P4" i="1"/>
  <c r="S5" i="1" l="1"/>
  <c r="F30" i="1"/>
  <c r="F5" i="1"/>
  <c r="F33" i="1"/>
  <c r="F34" i="1"/>
  <c r="F35" i="1"/>
  <c r="C22" i="1"/>
  <c r="E4" i="1" s="1"/>
  <c r="F36" i="1"/>
  <c r="F27" i="1"/>
  <c r="F28" i="1"/>
  <c r="C37" i="1" l="1"/>
  <c r="E5" i="1" s="1"/>
  <c r="F37" i="1"/>
  <c r="D37" i="1"/>
  <c r="G37" i="1" s="1"/>
  <c r="S6" i="1" s="1"/>
  <c r="P5" i="1"/>
  <c r="G5" i="1"/>
  <c r="H5" i="1" s="1"/>
  <c r="F42" i="1" l="1"/>
  <c r="F41" i="1"/>
  <c r="F6" i="1"/>
  <c r="F45" i="1"/>
  <c r="F47" i="1"/>
  <c r="F46" i="1"/>
  <c r="F44" i="1"/>
  <c r="F43" i="1"/>
  <c r="P6" i="1" l="1"/>
  <c r="G6" i="1"/>
  <c r="H6" i="1" s="1"/>
  <c r="F48" i="1"/>
  <c r="D48" i="1"/>
  <c r="G48" i="1" s="1"/>
  <c r="C48" i="1"/>
  <c r="E6" i="1" s="1"/>
  <c r="S7" i="1" l="1"/>
  <c r="F68" i="1"/>
  <c r="F55" i="1"/>
  <c r="F67" i="1"/>
  <c r="F66" i="1"/>
  <c r="F54" i="1"/>
  <c r="F65" i="1"/>
  <c r="F53" i="1"/>
  <c r="F64" i="1"/>
  <c r="F63" i="1"/>
  <c r="F52" i="1"/>
  <c r="F62" i="1"/>
  <c r="F60" i="1"/>
  <c r="F61" i="1"/>
  <c r="F58" i="1"/>
  <c r="F59" i="1"/>
  <c r="F71" i="1"/>
  <c r="F57" i="1"/>
  <c r="F7" i="1"/>
  <c r="F70" i="1"/>
  <c r="F69" i="1"/>
  <c r="F56" i="1"/>
  <c r="F72" i="1" l="1"/>
  <c r="C72" i="1"/>
  <c r="E7" i="1" s="1"/>
  <c r="G7" i="1"/>
  <c r="H7" i="1" s="1"/>
  <c r="P7" i="1"/>
  <c r="F82" i="1" l="1"/>
  <c r="F81" i="1"/>
  <c r="F80" i="1"/>
  <c r="F78" i="1"/>
  <c r="F94" i="1"/>
  <c r="F79" i="1"/>
  <c r="F93" i="1"/>
  <c r="F92" i="1"/>
  <c r="F91" i="1"/>
  <c r="F77" i="1"/>
  <c r="F90" i="1"/>
  <c r="F76" i="1"/>
  <c r="F89" i="1"/>
  <c r="F88" i="1"/>
  <c r="F87" i="1"/>
  <c r="D72" i="1"/>
  <c r="G72" i="1" s="1"/>
  <c r="F86" i="1"/>
  <c r="F85" i="1"/>
  <c r="F84" i="1"/>
  <c r="F83" i="1"/>
  <c r="F8" i="1"/>
  <c r="F95" i="1" l="1"/>
  <c r="C95" i="1"/>
  <c r="E8" i="1" s="1"/>
  <c r="P8" i="1"/>
  <c r="P11" i="1" s="1"/>
  <c r="R13" i="1" s="1"/>
  <c r="G8" i="1"/>
  <c r="H8" i="1" s="1"/>
  <c r="S8" i="1"/>
  <c r="F9" i="1" l="1"/>
  <c r="G9" i="1" s="1"/>
  <c r="D95" i="1"/>
  <c r="G95" i="1" s="1"/>
  <c r="S9" i="1" s="1"/>
  <c r="H9" i="1" l="1"/>
  <c r="K4" i="1" s="1"/>
  <c r="R14" i="1" l="1"/>
  <c r="L4" i="1"/>
</calcChain>
</file>

<file path=xl/sharedStrings.xml><?xml version="1.0" encoding="utf-8"?>
<sst xmlns="http://schemas.openxmlformats.org/spreadsheetml/2006/main" count="67" uniqueCount="41">
  <si>
    <t>시장가(단위: 억)</t>
    <phoneticPr fontId="2" type="noConversion"/>
  </si>
  <si>
    <t>구매가능</t>
    <phoneticPr fontId="2" type="noConversion"/>
  </si>
  <si>
    <t>추천스택</t>
    <phoneticPr fontId="2" type="noConversion"/>
  </si>
  <si>
    <t>일반구매시</t>
    <phoneticPr fontId="2" type="noConversion"/>
  </si>
  <si>
    <t>판매이윤</t>
    <phoneticPr fontId="2" type="noConversion"/>
  </si>
  <si>
    <t>일반당이득</t>
    <phoneticPr fontId="2" type="noConversion"/>
  </si>
  <si>
    <t>최대개당이득</t>
    <phoneticPr fontId="2" type="noConversion"/>
  </si>
  <si>
    <t>최대이익률</t>
    <phoneticPr fontId="2" type="noConversion"/>
  </si>
  <si>
    <t>사용</t>
    <phoneticPr fontId="2" type="noConversion"/>
  </si>
  <si>
    <t>획득</t>
    <phoneticPr fontId="2" type="noConversion"/>
  </si>
  <si>
    <t>(이론값)</t>
    <phoneticPr fontId="2" type="noConversion"/>
  </si>
  <si>
    <t>일반</t>
    <phoneticPr fontId="2" type="noConversion"/>
  </si>
  <si>
    <t>장</t>
    <phoneticPr fontId="2" type="noConversion"/>
  </si>
  <si>
    <t>권장</t>
    <phoneticPr fontId="2" type="noConversion"/>
  </si>
  <si>
    <t>&gt;0.015</t>
    <phoneticPr fontId="2" type="noConversion"/>
  </si>
  <si>
    <t>&gt;25%</t>
    <phoneticPr fontId="2" type="noConversion"/>
  </si>
  <si>
    <t>광</t>
    <phoneticPr fontId="2" type="noConversion"/>
  </si>
  <si>
    <t>고</t>
    <phoneticPr fontId="2" type="noConversion"/>
  </si>
  <si>
    <t>유</t>
    <phoneticPr fontId="2" type="noConversion"/>
  </si>
  <si>
    <t>동</t>
    <phoneticPr fontId="2" type="noConversion"/>
  </si>
  <si>
    <t>블스</t>
    <phoneticPr fontId="2" type="noConversion"/>
  </si>
  <si>
    <t>합계</t>
    <phoneticPr fontId="2" type="noConversion"/>
  </si>
  <si>
    <t>일반-&gt;장</t>
    <phoneticPr fontId="2" type="noConversion"/>
  </si>
  <si>
    <t>제수수료</t>
    <phoneticPr fontId="2" type="noConversion"/>
  </si>
  <si>
    <t>스택</t>
    <phoneticPr fontId="2" type="noConversion"/>
  </si>
  <si>
    <t>확률</t>
    <phoneticPr fontId="2" type="noConversion"/>
  </si>
  <si>
    <t>비용</t>
    <phoneticPr fontId="2" type="noConversion"/>
  </si>
  <si>
    <t>강화 기댓값</t>
    <phoneticPr fontId="2" type="noConversion"/>
  </si>
  <si>
    <t>이득</t>
    <phoneticPr fontId="2" type="noConversion"/>
  </si>
  <si>
    <t>이론적이득</t>
    <phoneticPr fontId="2" type="noConversion"/>
  </si>
  <si>
    <t>배율</t>
    <phoneticPr fontId="2" type="noConversion"/>
  </si>
  <si>
    <t>최적스택</t>
    <phoneticPr fontId="2" type="noConversion"/>
  </si>
  <si>
    <t>장-&gt;광</t>
    <phoneticPr fontId="2" type="noConversion"/>
  </si>
  <si>
    <t>스택</t>
  </si>
  <si>
    <t>확률</t>
  </si>
  <si>
    <t>비용</t>
  </si>
  <si>
    <t>강화 기댓값</t>
  </si>
  <si>
    <t>최적스택</t>
  </si>
  <si>
    <t>광-&gt;고</t>
    <phoneticPr fontId="2" type="noConversion"/>
  </si>
  <si>
    <t>고-&gt;유</t>
    <phoneticPr fontId="2" type="noConversion"/>
  </si>
  <si>
    <t>유-&gt;동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</si>
</sst>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"/>
    <numFmt numFmtId="177" formatCode="0.0"/>
    <numFmt numFmtId="178" formatCode="0.000"/>
    <numFmt numFmtId="179" formatCode="0.0%"/>
  </numFmts>
  <fonts count="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176" fontId="0" fillId="0" borderId="1" xfId="0" applyNumberFormat="1" applyBorder="1">
      <alignment vertical="center"/>
    </xf>
    <xf numFmtId="9" fontId="0" fillId="0" borderId="1" xfId="1" applyFont="1" applyBorder="1">
      <alignment vertical="center"/>
    </xf>
    <xf numFmtId="0" fontId="0" fillId="0" borderId="1" xfId="0" applyBorder="1" applyAlignment="1">
      <alignment horizontal="right" vertical="center"/>
    </xf>
    <xf numFmtId="2" fontId="0" fillId="0" borderId="1" xfId="0" applyNumberFormat="1" applyBorder="1">
      <alignment vertical="center"/>
    </xf>
    <xf numFmtId="176" fontId="0" fillId="0" borderId="0" xfId="0" applyNumberFormat="1">
      <alignment vertical="center"/>
    </xf>
    <xf numFmtId="0" fontId="0" fillId="4" borderId="1" xfId="0" applyFill="1" applyBorder="1">
      <alignment vertical="center"/>
    </xf>
    <xf numFmtId="176" fontId="0" fillId="4" borderId="1" xfId="0" applyNumberFormat="1" applyFill="1" applyBorder="1">
      <alignment vertical="center"/>
    </xf>
    <xf numFmtId="177" fontId="0" fillId="0" borderId="1" xfId="0" applyNumberForma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>
      <alignment vertical="center"/>
    </xf>
    <xf numFmtId="176" fontId="0" fillId="5" borderId="1" xfId="0" applyNumberFormat="1" applyFill="1" applyBorder="1">
      <alignment vertical="center"/>
    </xf>
    <xf numFmtId="178" fontId="0" fillId="0" borderId="0" xfId="0" applyNumberFormat="1">
      <alignment vertical="center"/>
    </xf>
    <xf numFmtId="179" fontId="0" fillId="0" borderId="0" xfId="1" applyNumberFormat="1" applyFont="1">
      <alignment vertical="center"/>
    </xf>
    <xf numFmtId="0" fontId="0" fillId="0" borderId="1" xfId="0" applyBorder="1" applyAlignment="1">
      <alignment horizontal="center" vertical="center"/>
    </xf>
  </cellXfs>
  <cellStyles count="2">
    <cellStyle name="백분율" xfId="1" builtinId="5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FDE48-FD5E-4812-B81F-853827EB1D65}">
  <dimension ref="B3:S159"/>
  <sheetViews>
    <sheetView tabSelected="1" workbookViewId="0">
      <selection activeCell="D8" sqref="D8"/>
    </sheetView>
  </sheetViews>
  <sheetFormatPr defaultRowHeight="16.5" x14ac:dyDescent="0.3"/>
  <cols>
    <col min="3" max="3" width="15.5" bestFit="1" customWidth="1"/>
    <col min="4" max="7" width="15.5" customWidth="1"/>
    <col min="8" max="8" width="11" bestFit="1" customWidth="1"/>
    <col min="9" max="9" width="12.75" bestFit="1" customWidth="1"/>
    <col min="10" max="10" width="5.25" bestFit="1" customWidth="1"/>
    <col min="11" max="11" width="12.75" bestFit="1" customWidth="1"/>
    <col min="12" max="12" width="12.75" customWidth="1"/>
    <col min="14" max="14" width="11.625" bestFit="1" customWidth="1"/>
    <col min="17" max="17" width="11" bestFit="1" customWidth="1"/>
  </cols>
  <sheetData>
    <row r="3" spans="2:19" x14ac:dyDescent="0.3">
      <c r="B3" s="1"/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K3" s="1" t="s">
        <v>6</v>
      </c>
      <c r="L3" s="1" t="s">
        <v>7</v>
      </c>
      <c r="N3" s="1"/>
      <c r="O3" s="18" t="s">
        <v>8</v>
      </c>
      <c r="P3" s="18"/>
      <c r="Q3" s="18" t="s">
        <v>9</v>
      </c>
      <c r="R3" s="18"/>
      <c r="S3" s="1" t="s">
        <v>10</v>
      </c>
    </row>
    <row r="4" spans="2:19" x14ac:dyDescent="0.3">
      <c r="B4" s="1" t="s">
        <v>11</v>
      </c>
      <c r="C4" s="3">
        <v>6.8000000000000005E-2</v>
      </c>
      <c r="D4" s="4"/>
      <c r="E4" s="1">
        <f>C22</f>
        <v>20</v>
      </c>
      <c r="F4" s="4"/>
      <c r="G4" s="4"/>
      <c r="H4" s="4"/>
      <c r="K4" s="5">
        <f>MAX(H5:H9)</f>
        <v>3.1771190036900362E-2</v>
      </c>
      <c r="L4" s="6">
        <f>K4/C4</f>
        <v>0.46722338289559351</v>
      </c>
      <c r="N4" s="1" t="s">
        <v>11</v>
      </c>
      <c r="O4" s="3">
        <v>200</v>
      </c>
      <c r="P4" s="1">
        <f>C4*O4</f>
        <v>13.600000000000001</v>
      </c>
      <c r="Q4" s="3"/>
      <c r="R4" s="1">
        <f t="shared" ref="R4:R10" si="0">C4*Q4</f>
        <v>0</v>
      </c>
      <c r="S4" s="1"/>
    </row>
    <row r="5" spans="2:19" x14ac:dyDescent="0.3">
      <c r="B5" s="1" t="s">
        <v>12</v>
      </c>
      <c r="C5" s="3">
        <v>0.20499999999999999</v>
      </c>
      <c r="D5" s="3">
        <v>1</v>
      </c>
      <c r="E5" s="1">
        <f>C37</f>
        <v>35</v>
      </c>
      <c r="F5" s="5">
        <f>F22</f>
        <v>0.20499999999999999</v>
      </c>
      <c r="G5" s="5">
        <f>C5*0.845-F5</f>
        <v>-3.1774999999999998E-2</v>
      </c>
      <c r="H5" s="5">
        <f>G5/G22</f>
        <v>-1.1280124999999998E-2</v>
      </c>
      <c r="J5" t="s">
        <v>13</v>
      </c>
      <c r="K5" s="7" t="s">
        <v>14</v>
      </c>
      <c r="L5" s="7" t="s">
        <v>15</v>
      </c>
      <c r="N5" s="1" t="s">
        <v>12</v>
      </c>
      <c r="O5" s="3"/>
      <c r="P5" s="1">
        <f>F5*O5</f>
        <v>0</v>
      </c>
      <c r="Q5" s="3"/>
      <c r="R5" s="1">
        <f t="shared" si="0"/>
        <v>0</v>
      </c>
      <c r="S5" s="8">
        <f>O5+O4/G22</f>
        <v>71</v>
      </c>
    </row>
    <row r="6" spans="2:19" x14ac:dyDescent="0.3">
      <c r="B6" s="1" t="s">
        <v>16</v>
      </c>
      <c r="C6" s="3">
        <v>1.23</v>
      </c>
      <c r="D6" s="3"/>
      <c r="E6" s="1">
        <f>C48</f>
        <v>40</v>
      </c>
      <c r="F6" s="5">
        <f>F37</f>
        <v>0.7698666666666667</v>
      </c>
      <c r="G6" s="5">
        <f t="shared" ref="G6:G9" si="1">C6*0.845-F6</f>
        <v>0.2694833333333333</v>
      </c>
      <c r="H6" s="5">
        <f>G6/G37</f>
        <v>3.1771190036900362E-2</v>
      </c>
      <c r="N6" s="1" t="s">
        <v>16</v>
      </c>
      <c r="O6" s="3"/>
      <c r="P6" s="1">
        <f t="shared" ref="P6:P7" si="2">F6*O6</f>
        <v>0</v>
      </c>
      <c r="Q6" s="3"/>
      <c r="R6" s="1">
        <f t="shared" si="0"/>
        <v>0</v>
      </c>
      <c r="S6" s="8">
        <f>O6+S5/G37*G22</f>
        <v>23.579335793357931</v>
      </c>
    </row>
    <row r="7" spans="2:19" x14ac:dyDescent="0.3">
      <c r="B7" s="1" t="s">
        <v>17</v>
      </c>
      <c r="C7" s="3"/>
      <c r="D7" s="3"/>
      <c r="E7" s="1">
        <f>C72</f>
        <v>70</v>
      </c>
      <c r="F7" s="5">
        <f>F48</f>
        <v>2.5103111111111112</v>
      </c>
      <c r="G7" s="5">
        <f t="shared" si="1"/>
        <v>-2.5103111111111112</v>
      </c>
      <c r="H7" s="5">
        <f>G7/G48</f>
        <v>-9.9279303515431586E-2</v>
      </c>
      <c r="N7" s="1" t="s">
        <v>17</v>
      </c>
      <c r="O7" s="3"/>
      <c r="P7" s="1">
        <f t="shared" si="2"/>
        <v>0</v>
      </c>
      <c r="Q7" s="3">
        <v>7</v>
      </c>
      <c r="R7" s="1">
        <f t="shared" si="0"/>
        <v>0</v>
      </c>
      <c r="S7" s="8">
        <f>O7+S6/G48*G37</f>
        <v>7.9097210760851615</v>
      </c>
    </row>
    <row r="8" spans="2:19" x14ac:dyDescent="0.3">
      <c r="B8" s="1" t="s">
        <v>18</v>
      </c>
      <c r="C8" s="3"/>
      <c r="D8" s="3"/>
      <c r="E8" s="1">
        <f>C95</f>
        <v>160</v>
      </c>
      <c r="F8" s="5">
        <f>F72</f>
        <v>16.641555555555556</v>
      </c>
      <c r="G8" s="5">
        <f t="shared" si="1"/>
        <v>-16.641555555555556</v>
      </c>
      <c r="H8" s="5">
        <f>G8/G72</f>
        <v>-0.12662232630137529</v>
      </c>
      <c r="N8" s="1" t="s">
        <v>18</v>
      </c>
      <c r="O8" s="3"/>
      <c r="P8" s="1">
        <f>F8*O8</f>
        <v>0</v>
      </c>
      <c r="Q8" s="3"/>
      <c r="R8" s="1">
        <f t="shared" si="0"/>
        <v>0</v>
      </c>
      <c r="S8" s="8">
        <f>O8+S7/G72*G48</f>
        <v>1.5217607017404589</v>
      </c>
    </row>
    <row r="9" spans="2:19" x14ac:dyDescent="0.3">
      <c r="B9" s="1" t="s">
        <v>19</v>
      </c>
      <c r="C9" s="3"/>
      <c r="D9" s="4"/>
      <c r="E9" s="4"/>
      <c r="F9" s="5">
        <f>F95</f>
        <v>258.58300653594767</v>
      </c>
      <c r="G9" s="5">
        <f t="shared" si="1"/>
        <v>-258.58300653594767</v>
      </c>
      <c r="H9" s="5">
        <f>G9/G95</f>
        <v>-0.16597524639370995</v>
      </c>
      <c r="N9" s="1" t="s">
        <v>19</v>
      </c>
      <c r="O9" s="3"/>
      <c r="P9" s="1">
        <f t="shared" ref="P9" si="3">C9*O9</f>
        <v>0</v>
      </c>
      <c r="Q9" s="3"/>
      <c r="R9" s="1">
        <f t="shared" si="0"/>
        <v>0</v>
      </c>
      <c r="S9" s="8">
        <f>O9+S8/G95*G72</f>
        <v>0.12837289551015904</v>
      </c>
    </row>
    <row r="10" spans="2:19" x14ac:dyDescent="0.3">
      <c r="N10" s="1" t="s">
        <v>20</v>
      </c>
      <c r="O10" s="3">
        <v>4000</v>
      </c>
      <c r="P10" s="1">
        <f>O10*0.0013</f>
        <v>5.2</v>
      </c>
      <c r="Q10" s="3"/>
      <c r="R10" s="1">
        <f t="shared" si="0"/>
        <v>0</v>
      </c>
    </row>
    <row r="11" spans="2:19" x14ac:dyDescent="0.3">
      <c r="O11" s="1" t="s">
        <v>21</v>
      </c>
      <c r="P11" s="1">
        <f>SUM(P4:P10)</f>
        <v>18.8</v>
      </c>
      <c r="Q11" s="1" t="s">
        <v>21</v>
      </c>
      <c r="R11" s="1">
        <f>SUM(R4:R9)</f>
        <v>0</v>
      </c>
    </row>
    <row r="12" spans="2:19" x14ac:dyDescent="0.3">
      <c r="C12" s="2" t="s">
        <v>22</v>
      </c>
      <c r="D12" s="2"/>
      <c r="E12" s="2"/>
      <c r="F12" s="2"/>
      <c r="Q12" s="1" t="s">
        <v>23</v>
      </c>
      <c r="R12" s="1">
        <f>R11*0.848</f>
        <v>0</v>
      </c>
    </row>
    <row r="13" spans="2:19" x14ac:dyDescent="0.3">
      <c r="C13" s="1" t="s">
        <v>24</v>
      </c>
      <c r="D13" s="1" t="s">
        <v>25</v>
      </c>
      <c r="E13" s="1" t="s">
        <v>26</v>
      </c>
      <c r="F13" s="1" t="s">
        <v>27</v>
      </c>
      <c r="Q13" s="1" t="s">
        <v>28</v>
      </c>
      <c r="R13" s="1">
        <f>R12-P11</f>
        <v>-18.8</v>
      </c>
    </row>
    <row r="14" spans="2:19" x14ac:dyDescent="0.3">
      <c r="C14" s="1">
        <v>20</v>
      </c>
      <c r="D14" s="1">
        <v>0.71</v>
      </c>
      <c r="E14" s="1">
        <v>3.9599999999999996E-2</v>
      </c>
      <c r="F14" s="5">
        <f>$C$4*2/D14+E14</f>
        <v>0.23114929577464791</v>
      </c>
      <c r="Q14" s="1" t="s">
        <v>29</v>
      </c>
      <c r="R14" s="1">
        <f>K4*(O4+O5*G22)</f>
        <v>6.3542380073800722</v>
      </c>
    </row>
    <row r="15" spans="2:19" x14ac:dyDescent="0.3">
      <c r="C15" s="1">
        <v>25</v>
      </c>
      <c r="D15" s="1">
        <f>(D14+D16)/2</f>
        <v>0.73499999999999999</v>
      </c>
      <c r="E15" s="1">
        <v>6.359999999999999E-2</v>
      </c>
      <c r="F15" s="5">
        <f t="shared" ref="F15:F21" si="4">$C$4*2/D15+E15</f>
        <v>0.24863401360544218</v>
      </c>
    </row>
    <row r="16" spans="2:19" x14ac:dyDescent="0.3">
      <c r="C16" s="1">
        <v>30</v>
      </c>
      <c r="D16" s="1">
        <v>0.76</v>
      </c>
      <c r="E16" s="1">
        <v>0.10079999999999999</v>
      </c>
      <c r="F16" s="5">
        <f t="shared" si="4"/>
        <v>0.27974736842105263</v>
      </c>
    </row>
    <row r="17" spans="2:7" x14ac:dyDescent="0.3">
      <c r="C17" s="1">
        <v>35</v>
      </c>
      <c r="D17" s="1">
        <f>(D16+D18)/2</f>
        <v>0.78500000000000003</v>
      </c>
      <c r="E17" s="1">
        <v>0.16319999999999998</v>
      </c>
      <c r="F17" s="5">
        <f t="shared" si="4"/>
        <v>0.33644840764331208</v>
      </c>
    </row>
    <row r="18" spans="2:7" x14ac:dyDescent="0.3">
      <c r="C18" s="1">
        <v>40</v>
      </c>
      <c r="D18" s="1">
        <v>0.81</v>
      </c>
      <c r="E18" s="1">
        <v>0.27599999999999997</v>
      </c>
      <c r="F18" s="5">
        <f t="shared" si="4"/>
        <v>0.4439012345679012</v>
      </c>
    </row>
    <row r="19" spans="2:7" x14ac:dyDescent="0.3">
      <c r="C19" s="1">
        <v>45</v>
      </c>
      <c r="D19" s="1">
        <f>D16+D16-D15</f>
        <v>0.78500000000000003</v>
      </c>
      <c r="E19" s="1">
        <v>0.48719999999999997</v>
      </c>
      <c r="F19" s="5">
        <f t="shared" si="4"/>
        <v>0.66044840764331214</v>
      </c>
    </row>
    <row r="20" spans="2:7" x14ac:dyDescent="0.3">
      <c r="C20" s="1">
        <v>50</v>
      </c>
      <c r="D20" s="1">
        <v>0.86</v>
      </c>
      <c r="E20" s="1">
        <v>1</v>
      </c>
      <c r="F20" s="5">
        <f t="shared" si="4"/>
        <v>1.1581395348837209</v>
      </c>
    </row>
    <row r="21" spans="2:7" x14ac:dyDescent="0.3">
      <c r="B21" s="9"/>
      <c r="C21" s="1">
        <v>60</v>
      </c>
      <c r="D21" s="1">
        <v>0.9</v>
      </c>
      <c r="E21" s="1">
        <v>2</v>
      </c>
      <c r="F21" s="5">
        <f t="shared" si="4"/>
        <v>2.1511111111111112</v>
      </c>
      <c r="G21" s="2" t="s">
        <v>30</v>
      </c>
    </row>
    <row r="22" spans="2:7" x14ac:dyDescent="0.3">
      <c r="B22" t="s">
        <v>31</v>
      </c>
      <c r="C22" s="10">
        <f>INDEX(C14:C21, MATCH(MIN($F$14:$F$21), $F$14:$F$21, 0))</f>
        <v>20</v>
      </c>
      <c r="D22" s="10">
        <f>INDEX(D14:D21, MATCH(MIN($F$14:$F$21), $F$14:$F$21, 0))</f>
        <v>0.71</v>
      </c>
      <c r="E22" s="10"/>
      <c r="F22" s="11">
        <f>IF($D$5,$C$5,MIN(F14:F21))</f>
        <v>0.20499999999999999</v>
      </c>
      <c r="G22" s="12">
        <f>2/D22</f>
        <v>2.8169014084507045</v>
      </c>
    </row>
    <row r="23" spans="2:7" x14ac:dyDescent="0.3">
      <c r="F23" s="9"/>
    </row>
    <row r="25" spans="2:7" x14ac:dyDescent="0.3">
      <c r="C25" s="2" t="s">
        <v>32</v>
      </c>
      <c r="D25" s="2"/>
      <c r="E25" s="2"/>
      <c r="F25" s="2"/>
    </row>
    <row r="26" spans="2:7" x14ac:dyDescent="0.3">
      <c r="C26" s="1" t="s">
        <v>33</v>
      </c>
      <c r="D26" s="1" t="s">
        <v>34</v>
      </c>
      <c r="E26" s="1" t="s">
        <v>35</v>
      </c>
      <c r="F26" s="1" t="s">
        <v>36</v>
      </c>
    </row>
    <row r="27" spans="2:7" x14ac:dyDescent="0.3">
      <c r="C27" s="1">
        <v>20</v>
      </c>
      <c r="D27" s="1">
        <v>0.3</v>
      </c>
      <c r="E27" s="1">
        <v>3.9599999999999996E-2</v>
      </c>
      <c r="F27" s="5">
        <f t="shared" ref="F27:F36" si="5">($F$22+$C$4)/D27+E27</f>
        <v>0.94960000000000011</v>
      </c>
    </row>
    <row r="28" spans="2:7" x14ac:dyDescent="0.3">
      <c r="C28" s="1">
        <v>25</v>
      </c>
      <c r="D28" s="1">
        <f>(D27+D29)/2</f>
        <v>0.35</v>
      </c>
      <c r="E28" s="1">
        <v>6.359999999999999E-2</v>
      </c>
      <c r="F28" s="5">
        <f t="shared" si="5"/>
        <v>0.84360000000000013</v>
      </c>
    </row>
    <row r="29" spans="2:7" x14ac:dyDescent="0.3">
      <c r="C29" s="1">
        <v>30</v>
      </c>
      <c r="D29" s="1">
        <v>0.4</v>
      </c>
      <c r="E29" s="1">
        <v>0.10079999999999999</v>
      </c>
      <c r="F29" s="5">
        <f t="shared" si="5"/>
        <v>0.7833</v>
      </c>
    </row>
    <row r="30" spans="2:7" x14ac:dyDescent="0.3">
      <c r="C30" s="1">
        <v>35</v>
      </c>
      <c r="D30" s="1">
        <f>(D29+D31)/2</f>
        <v>0.45</v>
      </c>
      <c r="E30" s="1">
        <v>0.16319999999999998</v>
      </c>
      <c r="F30" s="5">
        <f t="shared" si="5"/>
        <v>0.7698666666666667</v>
      </c>
    </row>
    <row r="31" spans="2:7" x14ac:dyDescent="0.3">
      <c r="C31" s="1">
        <v>40</v>
      </c>
      <c r="D31" s="1">
        <v>0.5</v>
      </c>
      <c r="E31" s="1">
        <v>0.27599999999999997</v>
      </c>
      <c r="F31" s="5">
        <f t="shared" si="5"/>
        <v>0.82200000000000006</v>
      </c>
    </row>
    <row r="32" spans="2:7" x14ac:dyDescent="0.3">
      <c r="C32" s="1">
        <v>45</v>
      </c>
      <c r="D32" s="1">
        <f>D29+D29-D28</f>
        <v>0.45000000000000007</v>
      </c>
      <c r="E32" s="1">
        <v>0.48719999999999997</v>
      </c>
      <c r="F32" s="5">
        <f t="shared" si="5"/>
        <v>1.0938666666666665</v>
      </c>
    </row>
    <row r="33" spans="2:7" x14ac:dyDescent="0.3">
      <c r="C33" s="1">
        <v>50</v>
      </c>
      <c r="D33" s="1">
        <v>0.52</v>
      </c>
      <c r="E33" s="1">
        <v>1</v>
      </c>
      <c r="F33" s="5">
        <f t="shared" si="5"/>
        <v>1.5249999999999999</v>
      </c>
    </row>
    <row r="34" spans="2:7" x14ac:dyDescent="0.3">
      <c r="C34" s="1">
        <v>60</v>
      </c>
      <c r="D34" s="1">
        <v>0.54</v>
      </c>
      <c r="E34" s="1">
        <v>2</v>
      </c>
      <c r="F34" s="5">
        <f t="shared" si="5"/>
        <v>2.5055555555555555</v>
      </c>
    </row>
    <row r="35" spans="2:7" x14ac:dyDescent="0.3">
      <c r="C35" s="1">
        <v>70</v>
      </c>
      <c r="D35" s="1">
        <v>0.56000000000000005</v>
      </c>
      <c r="E35" s="1">
        <v>3.75</v>
      </c>
      <c r="F35" s="5">
        <f t="shared" si="5"/>
        <v>4.2374999999999998</v>
      </c>
    </row>
    <row r="36" spans="2:7" x14ac:dyDescent="0.3">
      <c r="C36" s="1">
        <v>80</v>
      </c>
      <c r="D36" s="1">
        <v>0.57999999999999996</v>
      </c>
      <c r="E36" s="1">
        <f>0.25*25</f>
        <v>6.25</v>
      </c>
      <c r="F36" s="5">
        <f t="shared" si="5"/>
        <v>6.7206896551724142</v>
      </c>
      <c r="G36" s="2" t="s">
        <v>30</v>
      </c>
    </row>
    <row r="37" spans="2:7" x14ac:dyDescent="0.3">
      <c r="B37" t="s">
        <v>37</v>
      </c>
      <c r="C37" s="10">
        <f>INDEX(C27:C36, MATCH(MIN(F27:F36), F27:F36, 0))</f>
        <v>35</v>
      </c>
      <c r="D37" s="10">
        <f>INDEX(D27:D36, MATCH(MIN(F27:F36), F27:F36, 0))</f>
        <v>0.45</v>
      </c>
      <c r="E37" s="10"/>
      <c r="F37" s="11">
        <f>IF(D6,C6,MIN(F27:F36))</f>
        <v>0.7698666666666667</v>
      </c>
      <c r="G37" s="12">
        <f>(G22+1)/D37</f>
        <v>8.4820031298904546</v>
      </c>
    </row>
    <row r="39" spans="2:7" x14ac:dyDescent="0.3">
      <c r="C39" s="13" t="s">
        <v>38</v>
      </c>
      <c r="D39" s="13"/>
      <c r="E39" s="13"/>
      <c r="F39" s="13"/>
    </row>
    <row r="40" spans="2:7" x14ac:dyDescent="0.3">
      <c r="C40" s="14" t="s">
        <v>33</v>
      </c>
      <c r="D40" s="14" t="s">
        <v>34</v>
      </c>
      <c r="E40" s="14" t="s">
        <v>35</v>
      </c>
      <c r="F40" s="14" t="s">
        <v>36</v>
      </c>
    </row>
    <row r="41" spans="2:7" x14ac:dyDescent="0.3">
      <c r="C41" s="14">
        <v>20</v>
      </c>
      <c r="D41" s="14">
        <v>0.22500000000000001</v>
      </c>
      <c r="E41" s="14">
        <v>3.9599999999999996E-2</v>
      </c>
      <c r="F41" s="15">
        <f t="shared" ref="F41:F47" si="6">($F$37+$C$4)/D41+E41</f>
        <v>3.763451851851852</v>
      </c>
    </row>
    <row r="42" spans="2:7" x14ac:dyDescent="0.3">
      <c r="C42" s="14">
        <v>25</v>
      </c>
      <c r="D42" s="14">
        <f>(D41+D43)/2</f>
        <v>0.26250000000000001</v>
      </c>
      <c r="E42" s="14">
        <v>6.359999999999999E-2</v>
      </c>
      <c r="F42" s="15">
        <f t="shared" si="6"/>
        <v>3.2554730158730161</v>
      </c>
    </row>
    <row r="43" spans="2:7" x14ac:dyDescent="0.3">
      <c r="C43" s="14">
        <v>30</v>
      </c>
      <c r="D43" s="14">
        <v>0.3</v>
      </c>
      <c r="E43" s="14">
        <v>0.10079999999999999</v>
      </c>
      <c r="F43" s="15">
        <f t="shared" si="6"/>
        <v>2.8936888888888892</v>
      </c>
    </row>
    <row r="44" spans="2:7" x14ac:dyDescent="0.3">
      <c r="C44" s="14">
        <v>35</v>
      </c>
      <c r="D44" s="14">
        <f>(D43+D45)/2</f>
        <v>0.33750000000000002</v>
      </c>
      <c r="E44" s="14">
        <v>0.16319999999999998</v>
      </c>
      <c r="F44" s="15">
        <f t="shared" si="6"/>
        <v>2.6457679012345676</v>
      </c>
    </row>
    <row r="45" spans="2:7" x14ac:dyDescent="0.3">
      <c r="C45" s="14">
        <v>40</v>
      </c>
      <c r="D45" s="14">
        <v>0.375</v>
      </c>
      <c r="E45" s="14">
        <v>0.27599999999999997</v>
      </c>
      <c r="F45" s="15">
        <f t="shared" si="6"/>
        <v>2.5103111111111112</v>
      </c>
    </row>
    <row r="46" spans="2:7" x14ac:dyDescent="0.3">
      <c r="C46" s="14">
        <v>45</v>
      </c>
      <c r="D46" s="14">
        <v>0.41</v>
      </c>
      <c r="E46" s="14">
        <v>0.48719999999999997</v>
      </c>
      <c r="F46" s="15">
        <f t="shared" si="6"/>
        <v>2.5307772357723581</v>
      </c>
    </row>
    <row r="47" spans="2:7" x14ac:dyDescent="0.3">
      <c r="C47" s="14">
        <v>50</v>
      </c>
      <c r="D47" s="14">
        <v>0.41399999999999998</v>
      </c>
      <c r="E47" s="14">
        <v>1</v>
      </c>
      <c r="F47" s="15">
        <f t="shared" si="6"/>
        <v>3.0238325281803546</v>
      </c>
      <c r="G47" s="2" t="s">
        <v>30</v>
      </c>
    </row>
    <row r="48" spans="2:7" x14ac:dyDescent="0.3">
      <c r="B48" t="s">
        <v>37</v>
      </c>
      <c r="C48" s="10">
        <f>INDEX(C41:C47, MATCH(MIN(F41:F47), F41:F47, 0))</f>
        <v>40</v>
      </c>
      <c r="D48" s="10">
        <f>INDEX(D41:D47, MATCH(MIN(F41:F47), F41:F47, 0))</f>
        <v>0.375</v>
      </c>
      <c r="E48" s="10"/>
      <c r="F48" s="11">
        <f>IF(D7,C7,MIN(F41:F47))</f>
        <v>2.5103111111111112</v>
      </c>
      <c r="G48" s="12">
        <f>(G37+1)/D48</f>
        <v>25.28534167970788</v>
      </c>
    </row>
    <row r="50" spans="3:6" x14ac:dyDescent="0.3">
      <c r="C50" s="2" t="s">
        <v>39</v>
      </c>
      <c r="D50" s="2"/>
      <c r="E50" s="2"/>
      <c r="F50" s="2"/>
    </row>
    <row r="51" spans="3:6" x14ac:dyDescent="0.3">
      <c r="C51" s="1" t="s">
        <v>33</v>
      </c>
      <c r="D51" s="1" t="s">
        <v>34</v>
      </c>
      <c r="E51" s="1" t="s">
        <v>35</v>
      </c>
      <c r="F51" s="1" t="s">
        <v>36</v>
      </c>
    </row>
    <row r="52" spans="3:6" x14ac:dyDescent="0.3">
      <c r="C52" s="1">
        <v>20</v>
      </c>
      <c r="D52" s="1">
        <v>7.4999999999999997E-2</v>
      </c>
      <c r="E52" s="1">
        <v>3.9599999999999996E-2</v>
      </c>
      <c r="F52" s="5">
        <f t="shared" ref="F52:F71" si="7">($F$48+$C$4)/D52+E52</f>
        <v>34.417081481481482</v>
      </c>
    </row>
    <row r="53" spans="3:6" x14ac:dyDescent="0.3">
      <c r="C53" s="1">
        <v>25</v>
      </c>
      <c r="D53" s="1">
        <f>(D52+D54)/2</f>
        <v>8.7499999999999994E-2</v>
      </c>
      <c r="E53" s="1">
        <v>6.359999999999999E-2</v>
      </c>
      <c r="F53" s="5">
        <f t="shared" si="7"/>
        <v>29.530012698412701</v>
      </c>
    </row>
    <row r="54" spans="3:6" x14ac:dyDescent="0.3">
      <c r="C54" s="1">
        <v>30</v>
      </c>
      <c r="D54" s="1">
        <v>0.1</v>
      </c>
      <c r="E54" s="1">
        <v>0.10079999999999999</v>
      </c>
      <c r="F54" s="5">
        <f t="shared" si="7"/>
        <v>25.883911111111111</v>
      </c>
    </row>
    <row r="55" spans="3:6" x14ac:dyDescent="0.3">
      <c r="C55" s="1">
        <v>35</v>
      </c>
      <c r="D55" s="1">
        <f>(D54+D56)/2</f>
        <v>0.1125</v>
      </c>
      <c r="E55" s="1">
        <v>0.16319999999999998</v>
      </c>
      <c r="F55" s="5">
        <f t="shared" si="7"/>
        <v>23.081520987654322</v>
      </c>
    </row>
    <row r="56" spans="3:6" x14ac:dyDescent="0.3">
      <c r="C56" s="1">
        <v>40</v>
      </c>
      <c r="D56" s="1">
        <v>0.125</v>
      </c>
      <c r="E56" s="1">
        <v>0.27599999999999997</v>
      </c>
      <c r="F56" s="5">
        <f t="shared" si="7"/>
        <v>20.90248888888889</v>
      </c>
    </row>
    <row r="57" spans="3:6" x14ac:dyDescent="0.3">
      <c r="C57" s="1">
        <v>45</v>
      </c>
      <c r="D57" s="1">
        <f>D55+D55-D54</f>
        <v>0.125</v>
      </c>
      <c r="E57" s="1">
        <v>0.48719999999999997</v>
      </c>
      <c r="F57" s="5">
        <f t="shared" si="7"/>
        <v>21.113688888888891</v>
      </c>
    </row>
    <row r="58" spans="3:6" x14ac:dyDescent="0.3">
      <c r="C58" s="1">
        <v>50</v>
      </c>
      <c r="D58" s="1">
        <v>0.15</v>
      </c>
      <c r="E58" s="1">
        <v>1</v>
      </c>
      <c r="F58" s="5">
        <f t="shared" si="7"/>
        <v>18.188740740740741</v>
      </c>
    </row>
    <row r="59" spans="3:6" x14ac:dyDescent="0.3">
      <c r="C59" s="1">
        <v>60</v>
      </c>
      <c r="D59" s="1">
        <v>0.17499999999999999</v>
      </c>
      <c r="E59" s="1">
        <v>2</v>
      </c>
      <c r="F59" s="5">
        <f t="shared" si="7"/>
        <v>16.733206349206348</v>
      </c>
    </row>
    <row r="60" spans="3:6" x14ac:dyDescent="0.3">
      <c r="C60" s="1">
        <v>70</v>
      </c>
      <c r="D60" s="1">
        <v>0.2</v>
      </c>
      <c r="E60" s="1">
        <v>3.75</v>
      </c>
      <c r="F60" s="5">
        <f t="shared" si="7"/>
        <v>16.641555555555556</v>
      </c>
    </row>
    <row r="61" spans="3:6" x14ac:dyDescent="0.3">
      <c r="C61" s="1">
        <v>80</v>
      </c>
      <c r="D61" s="1">
        <v>0.22500000000000001</v>
      </c>
      <c r="E61" s="1">
        <f>0.25*25</f>
        <v>6.25</v>
      </c>
      <c r="F61" s="5">
        <f t="shared" si="7"/>
        <v>17.709160493827163</v>
      </c>
    </row>
    <row r="62" spans="3:6" x14ac:dyDescent="0.3">
      <c r="C62" s="1">
        <v>90</v>
      </c>
      <c r="D62" s="1">
        <v>0.25</v>
      </c>
      <c r="E62" s="1">
        <f>0.25*35</f>
        <v>8.75</v>
      </c>
      <c r="F62" s="5">
        <f t="shared" si="7"/>
        <v>19.063244444444443</v>
      </c>
    </row>
    <row r="63" spans="3:6" x14ac:dyDescent="0.3">
      <c r="C63" s="1">
        <v>100</v>
      </c>
      <c r="D63" s="1">
        <v>0.27500000000000002</v>
      </c>
      <c r="E63" s="1">
        <v>10</v>
      </c>
      <c r="F63" s="5">
        <f t="shared" si="7"/>
        <v>19.375676767676765</v>
      </c>
    </row>
    <row r="64" spans="3:6" x14ac:dyDescent="0.3">
      <c r="C64" s="1">
        <v>110</v>
      </c>
      <c r="D64" s="1">
        <v>0.3</v>
      </c>
      <c r="E64" s="1">
        <v>15.2</v>
      </c>
      <c r="F64" s="5">
        <f t="shared" si="7"/>
        <v>23.79437037037037</v>
      </c>
    </row>
    <row r="65" spans="2:7" x14ac:dyDescent="0.3">
      <c r="C65" s="1">
        <v>120</v>
      </c>
      <c r="D65" s="1">
        <v>0.30499999999999999</v>
      </c>
      <c r="E65" s="1">
        <v>24</v>
      </c>
      <c r="F65" s="5">
        <f t="shared" si="7"/>
        <v>32.453479052823312</v>
      </c>
    </row>
    <row r="66" spans="2:7" x14ac:dyDescent="0.3">
      <c r="C66" s="1">
        <v>130</v>
      </c>
      <c r="D66" s="1">
        <v>0.31</v>
      </c>
      <c r="E66" s="1">
        <v>32</v>
      </c>
      <c r="F66" s="5">
        <f t="shared" si="7"/>
        <v>40.317132616487456</v>
      </c>
    </row>
    <row r="67" spans="2:7" x14ac:dyDescent="0.3">
      <c r="C67" s="1">
        <v>140</v>
      </c>
      <c r="D67" s="1">
        <v>0.315</v>
      </c>
      <c r="E67" s="1">
        <v>41</v>
      </c>
      <c r="F67" s="5">
        <f t="shared" si="7"/>
        <v>49.18511463844797</v>
      </c>
    </row>
    <row r="68" spans="2:7" x14ac:dyDescent="0.3">
      <c r="C68" s="1">
        <v>150</v>
      </c>
      <c r="D68" s="1">
        <v>0.32</v>
      </c>
      <c r="E68" s="1">
        <v>51</v>
      </c>
      <c r="F68" s="5">
        <f t="shared" si="7"/>
        <v>59.057222222222222</v>
      </c>
    </row>
    <row r="69" spans="2:7" x14ac:dyDescent="0.3">
      <c r="C69" s="1">
        <v>160</v>
      </c>
      <c r="D69" s="1">
        <v>0.32500000000000001</v>
      </c>
      <c r="E69" s="1">
        <v>62</v>
      </c>
      <c r="F69" s="5">
        <f t="shared" si="7"/>
        <v>69.933264957264953</v>
      </c>
    </row>
    <row r="70" spans="2:7" x14ac:dyDescent="0.3">
      <c r="C70" s="1">
        <v>170</v>
      </c>
      <c r="D70" s="1">
        <v>0.33</v>
      </c>
      <c r="E70" s="1">
        <v>75</v>
      </c>
      <c r="F70" s="5">
        <f t="shared" si="7"/>
        <v>82.813063973063976</v>
      </c>
    </row>
    <row r="71" spans="2:7" x14ac:dyDescent="0.3">
      <c r="C71" s="1">
        <v>180</v>
      </c>
      <c r="D71" s="1">
        <v>0.33500000000000002</v>
      </c>
      <c r="E71" s="1">
        <v>90</v>
      </c>
      <c r="F71" s="5">
        <f t="shared" si="7"/>
        <v>97.696451077943621</v>
      </c>
      <c r="G71" s="2" t="s">
        <v>30</v>
      </c>
    </row>
    <row r="72" spans="2:7" x14ac:dyDescent="0.3">
      <c r="B72" t="s">
        <v>37</v>
      </c>
      <c r="C72" s="10">
        <f>INDEX(C52:C71, MATCH(MIN(F52:F71), F52:F71, 0))</f>
        <v>70</v>
      </c>
      <c r="D72" s="10">
        <f>INDEX(D52:D71, MATCH(F72, F52:F71, 0))</f>
        <v>0.2</v>
      </c>
      <c r="E72" s="10"/>
      <c r="F72" s="11">
        <f>MIN(F52:F71)</f>
        <v>16.641555555555556</v>
      </c>
      <c r="G72" s="12">
        <f>(G48+1)/D72</f>
        <v>131.4267083985394</v>
      </c>
    </row>
    <row r="74" spans="2:7" x14ac:dyDescent="0.3">
      <c r="C74" s="2" t="s">
        <v>40</v>
      </c>
      <c r="D74" s="2"/>
      <c r="E74" s="2"/>
      <c r="F74" s="2"/>
    </row>
    <row r="75" spans="2:7" x14ac:dyDescent="0.3">
      <c r="C75" s="1" t="s">
        <v>33</v>
      </c>
      <c r="D75" s="1" t="s">
        <v>34</v>
      </c>
      <c r="E75" s="1" t="s">
        <v>35</v>
      </c>
      <c r="F75" s="1" t="s">
        <v>36</v>
      </c>
    </row>
    <row r="76" spans="2:7" x14ac:dyDescent="0.3">
      <c r="C76" s="1">
        <v>50</v>
      </c>
      <c r="D76" s="1">
        <v>0.03</v>
      </c>
      <c r="E76" s="1">
        <v>1</v>
      </c>
      <c r="F76" s="5">
        <f t="shared" ref="F76:F94" si="8">($F$72+$C$4)/D76+E76</f>
        <v>557.98518518518529</v>
      </c>
    </row>
    <row r="77" spans="2:7" x14ac:dyDescent="0.3">
      <c r="C77" s="1">
        <v>60</v>
      </c>
      <c r="D77" s="1">
        <v>3.5000000000000003E-2</v>
      </c>
      <c r="E77" s="1">
        <v>2</v>
      </c>
      <c r="F77" s="5">
        <f t="shared" si="8"/>
        <v>479.41587301587299</v>
      </c>
    </row>
    <row r="78" spans="2:7" x14ac:dyDescent="0.3">
      <c r="C78" s="1">
        <v>70</v>
      </c>
      <c r="D78" s="1">
        <v>0.04</v>
      </c>
      <c r="E78" s="1">
        <v>3.75</v>
      </c>
      <c r="F78" s="5">
        <f t="shared" si="8"/>
        <v>421.48888888888894</v>
      </c>
    </row>
    <row r="79" spans="2:7" x14ac:dyDescent="0.3">
      <c r="C79" s="1">
        <v>80</v>
      </c>
      <c r="D79" s="1">
        <v>4.4999999999999998E-2</v>
      </c>
      <c r="E79" s="1">
        <f>0.25*25</f>
        <v>6.25</v>
      </c>
      <c r="F79" s="5">
        <f t="shared" si="8"/>
        <v>377.57345679012349</v>
      </c>
    </row>
    <row r="80" spans="2:7" x14ac:dyDescent="0.3">
      <c r="C80" s="1">
        <v>90</v>
      </c>
      <c r="D80" s="1">
        <v>0.05</v>
      </c>
      <c r="E80" s="1">
        <f>0.25*35</f>
        <v>8.75</v>
      </c>
      <c r="F80" s="5">
        <f t="shared" si="8"/>
        <v>342.94111111111113</v>
      </c>
    </row>
    <row r="81" spans="2:7" x14ac:dyDescent="0.3">
      <c r="C81" s="1">
        <v>100</v>
      </c>
      <c r="D81" s="1">
        <v>5.5E-2</v>
      </c>
      <c r="E81" s="1">
        <v>10</v>
      </c>
      <c r="F81" s="5">
        <f t="shared" si="8"/>
        <v>313.81010101010105</v>
      </c>
    </row>
    <row r="82" spans="2:7" x14ac:dyDescent="0.3">
      <c r="C82" s="1">
        <v>110</v>
      </c>
      <c r="D82" s="1">
        <v>0.06</v>
      </c>
      <c r="E82" s="1">
        <v>15.2</v>
      </c>
      <c r="F82" s="5">
        <f t="shared" si="8"/>
        <v>293.69259259259263</v>
      </c>
    </row>
    <row r="83" spans="2:7" x14ac:dyDescent="0.3">
      <c r="C83" s="1">
        <v>120</v>
      </c>
      <c r="D83" s="1">
        <v>6.5000000000000002E-2</v>
      </c>
      <c r="E83" s="1">
        <v>24</v>
      </c>
      <c r="F83" s="5">
        <f t="shared" si="8"/>
        <v>281.07008547008547</v>
      </c>
    </row>
    <row r="84" spans="2:7" x14ac:dyDescent="0.3">
      <c r="C84" s="1">
        <v>130</v>
      </c>
      <c r="D84" s="1">
        <v>7.0000000000000007E-2</v>
      </c>
      <c r="E84" s="1">
        <v>32</v>
      </c>
      <c r="F84" s="5">
        <f t="shared" si="8"/>
        <v>270.70793650793649</v>
      </c>
    </row>
    <row r="85" spans="2:7" x14ac:dyDescent="0.3">
      <c r="C85" s="1">
        <v>140</v>
      </c>
      <c r="D85" s="1">
        <v>7.4999999999999997E-2</v>
      </c>
      <c r="E85" s="1">
        <v>41</v>
      </c>
      <c r="F85" s="5">
        <f t="shared" si="8"/>
        <v>263.7940740740741</v>
      </c>
    </row>
    <row r="86" spans="2:7" x14ac:dyDescent="0.3">
      <c r="C86" s="1">
        <v>150</v>
      </c>
      <c r="D86" s="1">
        <v>0.08</v>
      </c>
      <c r="E86" s="1">
        <v>51</v>
      </c>
      <c r="F86" s="5">
        <f t="shared" si="8"/>
        <v>259.86944444444447</v>
      </c>
    </row>
    <row r="87" spans="2:7" x14ac:dyDescent="0.3">
      <c r="C87" s="1">
        <v>160</v>
      </c>
      <c r="D87" s="1">
        <v>8.5000000000000006E-2</v>
      </c>
      <c r="E87" s="1">
        <v>62</v>
      </c>
      <c r="F87" s="5">
        <f t="shared" si="8"/>
        <v>258.58300653594767</v>
      </c>
    </row>
    <row r="88" spans="2:7" x14ac:dyDescent="0.3">
      <c r="C88" s="1">
        <v>170</v>
      </c>
      <c r="D88" s="1">
        <v>0.09</v>
      </c>
      <c r="E88" s="1">
        <v>75</v>
      </c>
      <c r="F88" s="5">
        <f t="shared" si="8"/>
        <v>260.66172839506174</v>
      </c>
    </row>
    <row r="89" spans="2:7" x14ac:dyDescent="0.3">
      <c r="C89" s="1">
        <v>180</v>
      </c>
      <c r="D89" s="1">
        <v>9.5000000000000001E-2</v>
      </c>
      <c r="E89" s="1">
        <v>90</v>
      </c>
      <c r="F89" s="5">
        <f t="shared" si="8"/>
        <v>265.89005847953217</v>
      </c>
    </row>
    <row r="90" spans="2:7" x14ac:dyDescent="0.3">
      <c r="C90" s="1">
        <v>190</v>
      </c>
      <c r="D90" s="1">
        <v>0.1</v>
      </c>
      <c r="E90" s="1">
        <v>105</v>
      </c>
      <c r="F90" s="5">
        <f t="shared" si="8"/>
        <v>272.09555555555556</v>
      </c>
    </row>
    <row r="91" spans="2:7" x14ac:dyDescent="0.3">
      <c r="C91" s="1">
        <v>200</v>
      </c>
      <c r="D91" s="1">
        <v>0.105</v>
      </c>
      <c r="E91" s="1">
        <v>121</v>
      </c>
      <c r="F91" s="5">
        <f t="shared" si="8"/>
        <v>280.13862433862437</v>
      </c>
    </row>
    <row r="92" spans="2:7" x14ac:dyDescent="0.3">
      <c r="C92" s="1">
        <v>210</v>
      </c>
      <c r="D92" s="1">
        <v>0.11</v>
      </c>
      <c r="E92" s="1">
        <v>142</v>
      </c>
      <c r="F92" s="5">
        <f t="shared" si="8"/>
        <v>293.90505050505055</v>
      </c>
    </row>
    <row r="93" spans="2:7" x14ac:dyDescent="0.3">
      <c r="C93" s="1">
        <v>220</v>
      </c>
      <c r="D93" s="1">
        <v>0.115</v>
      </c>
      <c r="E93" s="1">
        <v>162</v>
      </c>
      <c r="F93" s="5">
        <f t="shared" si="8"/>
        <v>307.30048309178744</v>
      </c>
    </row>
    <row r="94" spans="2:7" x14ac:dyDescent="0.3">
      <c r="C94" s="1">
        <v>230</v>
      </c>
      <c r="D94" s="1">
        <v>0.12</v>
      </c>
      <c r="E94" s="1">
        <v>188</v>
      </c>
      <c r="F94" s="5">
        <f t="shared" si="8"/>
        <v>327.24629629629635</v>
      </c>
      <c r="G94" s="2" t="s">
        <v>30</v>
      </c>
    </row>
    <row r="95" spans="2:7" x14ac:dyDescent="0.3">
      <c r="B95" t="s">
        <v>37</v>
      </c>
      <c r="C95" s="10">
        <f>INDEX(C76:C94, MATCH(MIN(F76:F94), F76:F94, 0))</f>
        <v>160</v>
      </c>
      <c r="D95" s="10">
        <f>INDEX(D76:D94, MATCH(F95, F76:F94, 0))</f>
        <v>8.5000000000000006E-2</v>
      </c>
      <c r="E95" s="10"/>
      <c r="F95" s="11">
        <f>MIN(F76:F94)</f>
        <v>258.58300653594767</v>
      </c>
      <c r="G95" s="12">
        <f>(G72+1)/D95</f>
        <v>1557.961275276934</v>
      </c>
    </row>
    <row r="124" spans="14:15" x14ac:dyDescent="0.3">
      <c r="N124" s="16"/>
      <c r="O124" s="17"/>
    </row>
    <row r="125" spans="14:15" x14ac:dyDescent="0.3">
      <c r="N125" s="16"/>
      <c r="O125" s="17"/>
    </row>
    <row r="126" spans="14:15" x14ac:dyDescent="0.3">
      <c r="N126" s="16"/>
      <c r="O126" s="17"/>
    </row>
    <row r="127" spans="14:15" x14ac:dyDescent="0.3">
      <c r="N127" s="16"/>
      <c r="O127" s="17"/>
    </row>
    <row r="128" spans="14:15" x14ac:dyDescent="0.3">
      <c r="N128" s="16"/>
      <c r="O128" s="17"/>
    </row>
    <row r="129" spans="14:15" x14ac:dyDescent="0.3">
      <c r="N129" s="16"/>
      <c r="O129" s="17"/>
    </row>
    <row r="130" spans="14:15" x14ac:dyDescent="0.3">
      <c r="N130" s="16"/>
      <c r="O130" s="17"/>
    </row>
    <row r="131" spans="14:15" x14ac:dyDescent="0.3">
      <c r="N131" s="16"/>
      <c r="O131" s="17"/>
    </row>
    <row r="132" spans="14:15" x14ac:dyDescent="0.3">
      <c r="N132" s="16"/>
      <c r="O132" s="17"/>
    </row>
    <row r="133" spans="14:15" x14ac:dyDescent="0.3">
      <c r="N133" s="16"/>
      <c r="O133" s="17"/>
    </row>
    <row r="134" spans="14:15" x14ac:dyDescent="0.3">
      <c r="N134" s="16"/>
      <c r="O134" s="17"/>
    </row>
    <row r="135" spans="14:15" x14ac:dyDescent="0.3">
      <c r="N135" s="16"/>
      <c r="O135" s="17"/>
    </row>
    <row r="136" spans="14:15" x14ac:dyDescent="0.3">
      <c r="N136" s="16"/>
      <c r="O136" s="17"/>
    </row>
    <row r="137" spans="14:15" x14ac:dyDescent="0.3">
      <c r="N137" s="16"/>
      <c r="O137" s="17"/>
    </row>
    <row r="138" spans="14:15" x14ac:dyDescent="0.3">
      <c r="N138" s="16"/>
      <c r="O138" s="17"/>
    </row>
    <row r="139" spans="14:15" x14ac:dyDescent="0.3">
      <c r="N139" s="16"/>
      <c r="O139" s="17"/>
    </row>
    <row r="140" spans="14:15" x14ac:dyDescent="0.3">
      <c r="N140" s="16"/>
      <c r="O140" s="17"/>
    </row>
    <row r="141" spans="14:15" x14ac:dyDescent="0.3">
      <c r="N141" s="16"/>
      <c r="O141" s="17"/>
    </row>
    <row r="142" spans="14:15" x14ac:dyDescent="0.3">
      <c r="N142" s="16"/>
      <c r="O142" s="17"/>
    </row>
    <row r="143" spans="14:15" x14ac:dyDescent="0.3">
      <c r="N143" s="16"/>
      <c r="O143" s="17"/>
    </row>
    <row r="144" spans="14:15" x14ac:dyDescent="0.3">
      <c r="N144" s="16"/>
      <c r="O144" s="17"/>
    </row>
    <row r="145" spans="14:15" x14ac:dyDescent="0.3">
      <c r="N145" s="16"/>
      <c r="O145" s="17"/>
    </row>
    <row r="146" spans="14:15" x14ac:dyDescent="0.3">
      <c r="N146" s="16"/>
      <c r="O146" s="17"/>
    </row>
    <row r="147" spans="14:15" x14ac:dyDescent="0.3">
      <c r="N147" s="16"/>
      <c r="O147" s="17"/>
    </row>
    <row r="148" spans="14:15" x14ac:dyDescent="0.3">
      <c r="N148" s="16"/>
      <c r="O148" s="17"/>
    </row>
    <row r="149" spans="14:15" x14ac:dyDescent="0.3">
      <c r="N149" s="16"/>
      <c r="O149" s="17"/>
    </row>
    <row r="150" spans="14:15" x14ac:dyDescent="0.3">
      <c r="N150" s="16"/>
      <c r="O150" s="17"/>
    </row>
    <row r="151" spans="14:15" x14ac:dyDescent="0.3">
      <c r="N151" s="16"/>
      <c r="O151" s="17"/>
    </row>
    <row r="152" spans="14:15" x14ac:dyDescent="0.3">
      <c r="N152" s="16"/>
      <c r="O152" s="17"/>
    </row>
    <row r="153" spans="14:15" x14ac:dyDescent="0.3">
      <c r="N153" s="16"/>
      <c r="O153" s="17"/>
    </row>
    <row r="154" spans="14:15" x14ac:dyDescent="0.3">
      <c r="N154" s="16"/>
      <c r="O154" s="17"/>
    </row>
    <row r="155" spans="14:15" x14ac:dyDescent="0.3">
      <c r="N155" s="16"/>
      <c r="O155" s="17"/>
    </row>
    <row r="156" spans="14:15" x14ac:dyDescent="0.3">
      <c r="N156" s="16"/>
      <c r="O156" s="17"/>
    </row>
    <row r="157" spans="14:15" x14ac:dyDescent="0.3">
      <c r="N157" s="16"/>
      <c r="O157" s="17"/>
    </row>
    <row r="158" spans="14:15" x14ac:dyDescent="0.3">
      <c r="N158" s="16"/>
      <c r="O158" s="17"/>
    </row>
    <row r="159" spans="14:15" x14ac:dyDescent="0.3">
      <c r="N159" s="16"/>
      <c r="O159" s="17"/>
    </row>
  </sheetData>
  <mergeCells count="2">
    <mergeCell ref="O3:P3"/>
    <mergeCell ref="Q3:R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악세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대전공돌이</dc:creator>
  <dcterms:created xsi:type="dcterms:W3CDTF">2025-01-30T03:04:33Z</dcterms:created>
  <dcterms:modified xsi:type="dcterms:W3CDTF">2025-01-30T03:07:25Z</dcterms:modified>
</cp:coreProperties>
</file>