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C:\Users\vytpg\Desktop\기타\games\로아\"/>
    </mc:Choice>
  </mc:AlternateContent>
  <xr:revisionPtr revIDLastSave="0" documentId="13_ncr:1_{25857C44-103A-4862-83B9-837C15540A9C}" xr6:coauthVersionLast="47" xr6:coauthVersionMax="47" xr10:uidLastSave="{00000000-0000-0000-0000-000000000000}"/>
  <bookViews>
    <workbookView xWindow="-120" yWindow="-120" windowWidth="29040" windowHeight="15840" tabRatio="860" activeTab="2" xr2:uid="{00000000-000D-0000-FFFF-FFFF00000000}"/>
  </bookViews>
  <sheets>
    <sheet name="보상골드 정리" sheetId="29" r:id="rId1"/>
    <sheet name="주간 골드(최소)" sheetId="28" r:id="rId2"/>
    <sheet name="각종 계산(기존)" sheetId="36" r:id="rId3"/>
    <sheet name="각종 계산(IF함수)" sheetId="30" r:id="rId4"/>
    <sheet name="큐브" sheetId="35" r:id="rId5"/>
    <sheet name="큐브 보상" sheetId="32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6" i="36" l="1" a="1"/>
  <c r="M26" i="36" s="1"/>
  <c r="M26" i="30"/>
  <c r="U35" i="36" a="1"/>
  <c r="U35" i="36" s="1"/>
  <c r="X29" i="36"/>
  <c r="U38" i="36"/>
  <c r="U37" i="36" a="1"/>
  <c r="U37" i="36" s="1"/>
  <c r="U36" i="36" a="1"/>
  <c r="U36" i="36" s="1"/>
  <c r="U34" i="36"/>
  <c r="U31" i="36" a="1"/>
  <c r="U31" i="36" s="1"/>
  <c r="M29" i="36"/>
  <c r="X28" i="36" a="1"/>
  <c r="X28" i="36" s="1"/>
  <c r="U28" i="36" a="1"/>
  <c r="U28" i="36" s="1"/>
  <c r="M28" i="36"/>
  <c r="X27" i="36" a="1"/>
  <c r="X27" i="36" s="1"/>
  <c r="U27" i="36"/>
  <c r="X26" i="36" a="1"/>
  <c r="X26" i="36" s="1"/>
  <c r="U26" i="36" a="1"/>
  <c r="U26" i="36" s="1"/>
  <c r="X25" i="36" a="1"/>
  <c r="X25" i="36" s="1"/>
  <c r="U25" i="36" a="1"/>
  <c r="U25" i="36" s="1"/>
  <c r="M25" i="36"/>
  <c r="M25" i="36" a="1"/>
  <c r="X24" i="36" a="1"/>
  <c r="X24" i="36" s="1"/>
  <c r="U24" i="36" a="1"/>
  <c r="U24" i="36" s="1"/>
  <c r="P24" i="36" a="1"/>
  <c r="P24" i="36" s="1"/>
  <c r="M24" i="36" a="1"/>
  <c r="M24" i="36" s="1"/>
  <c r="X23" i="36"/>
  <c r="U23" i="36"/>
  <c r="P23" i="36" a="1"/>
  <c r="P23" i="36" s="1"/>
  <c r="M13" i="36"/>
  <c r="M12" i="36"/>
  <c r="U11" i="36"/>
  <c r="M11" i="36"/>
  <c r="M11" i="36" a="1"/>
  <c r="U10" i="36" a="1"/>
  <c r="U10" i="36" s="1"/>
  <c r="M10" i="36" a="1"/>
  <c r="M10" i="36" s="1"/>
  <c r="U9" i="36" a="1"/>
  <c r="U9" i="36" s="1"/>
  <c r="M9" i="36" a="1"/>
  <c r="M9" i="36" s="1"/>
  <c r="U8" i="36" a="1"/>
  <c r="U8" i="36" s="1"/>
  <c r="M8" i="36" a="1"/>
  <c r="M8" i="36" s="1"/>
  <c r="M7" i="36" a="1"/>
  <c r="M7" i="36" s="1"/>
  <c r="U6" i="36"/>
  <c r="M6" i="36"/>
  <c r="U33" i="36" l="1"/>
  <c r="M30" i="36"/>
  <c r="M15" i="36"/>
  <c r="P7" i="36" s="1"/>
  <c r="P10" i="36" s="1"/>
  <c r="P13" i="36" s="1"/>
  <c r="X10" i="36" s="1"/>
  <c r="U7" i="36" s="1"/>
  <c r="U13" i="36" s="1"/>
  <c r="P22" i="36"/>
  <c r="X22" i="36"/>
  <c r="P27" i="36" s="1"/>
  <c r="P28" i="36" s="1"/>
  <c r="U22" i="36"/>
  <c r="X33" i="36" l="1"/>
  <c r="X34" i="36"/>
  <c r="M37" i="36"/>
  <c r="M36" i="36"/>
  <c r="O31" i="36" s="1"/>
  <c r="X7" i="36"/>
  <c r="X14" i="36" a="1"/>
  <c r="X14" i="36" s="1"/>
  <c r="X13" i="36" a="1"/>
  <c r="X13" i="36" s="1"/>
  <c r="X35" i="36" l="1"/>
  <c r="P24" i="30"/>
  <c r="P23" i="30"/>
  <c r="M11" i="30"/>
  <c r="M25" i="30"/>
  <c r="M24" i="30"/>
  <c r="U31" i="30"/>
  <c r="U28" i="30"/>
  <c r="U26" i="30"/>
  <c r="U37" i="30"/>
  <c r="U10" i="30"/>
  <c r="U35" i="30"/>
  <c r="U36" i="30"/>
  <c r="U9" i="30"/>
  <c r="U8" i="30"/>
  <c r="U25" i="30"/>
  <c r="U24" i="30"/>
  <c r="X28" i="30"/>
  <c r="M10" i="30"/>
  <c r="M9" i="30"/>
  <c r="M8" i="30"/>
  <c r="M7" i="30"/>
  <c r="X27" i="30"/>
  <c r="X26" i="30"/>
  <c r="X25" i="30"/>
  <c r="X24" i="30"/>
  <c r="J22" i="35"/>
  <c r="J21" i="35"/>
  <c r="J20" i="35"/>
  <c r="I22" i="35"/>
  <c r="I21" i="35"/>
  <c r="I20" i="35"/>
  <c r="U20" i="28"/>
  <c r="O10" i="28"/>
  <c r="E15" i="35" l="1"/>
  <c r="E14" i="35"/>
  <c r="E13" i="35"/>
  <c r="E12" i="35"/>
  <c r="E11" i="35"/>
  <c r="E10" i="35"/>
  <c r="E9" i="35"/>
  <c r="E8" i="35"/>
  <c r="E7" i="35"/>
  <c r="E6" i="35"/>
  <c r="D15" i="35"/>
  <c r="D14" i="35"/>
  <c r="D13" i="35"/>
  <c r="D12" i="35"/>
  <c r="D11" i="35"/>
  <c r="D10" i="35"/>
  <c r="D9" i="35"/>
  <c r="D8" i="35"/>
  <c r="D7" i="35"/>
  <c r="D6" i="35"/>
  <c r="H21" i="35"/>
  <c r="H22" i="35" s="1"/>
  <c r="H20" i="35"/>
  <c r="U27" i="28"/>
  <c r="P19" i="28"/>
  <c r="P18" i="28"/>
  <c r="P17" i="28"/>
  <c r="P16" i="28"/>
  <c r="P15" i="28"/>
  <c r="P14" i="28"/>
  <c r="P9" i="28"/>
  <c r="P8" i="28"/>
  <c r="P7" i="28"/>
  <c r="P6" i="28"/>
  <c r="P5" i="28"/>
  <c r="P4" i="28"/>
  <c r="X23" i="30"/>
  <c r="S27" i="28"/>
  <c r="U6" i="30"/>
  <c r="U27" i="30"/>
  <c r="M13" i="30"/>
  <c r="U34" i="30"/>
  <c r="U38" i="30"/>
  <c r="X29" i="30"/>
  <c r="U11" i="30"/>
  <c r="T27" i="28"/>
  <c r="M28" i="30"/>
  <c r="M29" i="30"/>
  <c r="M12" i="30"/>
  <c r="M6" i="30"/>
  <c r="U23" i="30"/>
  <c r="O44" i="29"/>
  <c r="O59" i="29"/>
  <c r="N59" i="29"/>
  <c r="M59" i="29"/>
  <c r="K59" i="29"/>
  <c r="J59" i="29"/>
  <c r="I59" i="29"/>
  <c r="G59" i="29"/>
  <c r="F59" i="29"/>
  <c r="E30" i="29"/>
  <c r="E29" i="29"/>
  <c r="E27" i="29"/>
  <c r="E26" i="29"/>
  <c r="E25" i="29"/>
  <c r="E23" i="29"/>
  <c r="E22" i="29"/>
  <c r="E21" i="29"/>
  <c r="E19" i="29"/>
  <c r="E17" i="29"/>
  <c r="E16" i="29"/>
  <c r="E15" i="29"/>
  <c r="E13" i="29"/>
  <c r="E12" i="29"/>
  <c r="E11" i="29"/>
  <c r="E9" i="29"/>
  <c r="E8" i="29"/>
  <c r="E6" i="29"/>
  <c r="E59" i="29"/>
  <c r="O20" i="28"/>
  <c r="U4" i="28"/>
  <c r="U5" i="28"/>
  <c r="U6" i="28"/>
  <c r="U7" i="28"/>
  <c r="U8" i="28"/>
  <c r="U9" i="28"/>
  <c r="U19" i="28"/>
  <c r="U18" i="28"/>
  <c r="U17" i="28"/>
  <c r="U16" i="28"/>
  <c r="U15" i="28"/>
  <c r="U14" i="28"/>
  <c r="F32" i="29"/>
  <c r="U10" i="28" l="1"/>
  <c r="D21" i="35"/>
  <c r="D22" i="35"/>
  <c r="E14" i="29"/>
  <c r="E10" i="29"/>
  <c r="E28" i="29"/>
  <c r="E18" i="29"/>
  <c r="E20" i="29" s="1"/>
  <c r="E24" i="29"/>
  <c r="I5" i="35"/>
  <c r="I6" i="35" s="1"/>
  <c r="I7" i="35" s="1"/>
  <c r="I8" i="35" s="1"/>
  <c r="I9" i="35" s="1"/>
  <c r="I10" i="35" s="1"/>
  <c r="I11" i="35" s="1"/>
  <c r="I12" i="35" s="1"/>
  <c r="I13" i="35" s="1"/>
  <c r="I14" i="35" s="1"/>
  <c r="I15" i="35" s="1"/>
  <c r="I16" i="35" s="1"/>
  <c r="E23" i="35"/>
  <c r="E24" i="35"/>
  <c r="E20" i="35"/>
  <c r="J19" i="35"/>
  <c r="E19" i="35"/>
  <c r="E18" i="35"/>
  <c r="J5" i="35"/>
  <c r="J6" i="35" s="1"/>
  <c r="J7" i="35" s="1"/>
  <c r="J8" i="35" s="1"/>
  <c r="J9" i="35" s="1"/>
  <c r="J10" i="35" s="1"/>
  <c r="J11" i="35" s="1"/>
  <c r="J12" i="35" s="1"/>
  <c r="J13" i="35" s="1"/>
  <c r="J14" i="35" s="1"/>
  <c r="J15" i="35" s="1"/>
  <c r="J16" i="35" s="1"/>
  <c r="E21" i="35"/>
  <c r="E22" i="35"/>
  <c r="I19" i="35"/>
  <c r="D23" i="35"/>
  <c r="D24" i="35"/>
  <c r="D18" i="35"/>
  <c r="D19" i="35"/>
  <c r="D20" i="35"/>
  <c r="V27" i="28"/>
  <c r="V28" i="28" s="1"/>
  <c r="U33" i="30"/>
  <c r="X22" i="30"/>
  <c r="P27" i="30" s="1"/>
  <c r="P28" i="30" s="1"/>
  <c r="M30" i="30"/>
  <c r="U22" i="30"/>
  <c r="M15" i="30"/>
  <c r="P22" i="30"/>
  <c r="F2" i="32"/>
  <c r="F3" i="32"/>
  <c r="F4" i="32"/>
  <c r="F5" i="32"/>
  <c r="F6" i="32"/>
  <c r="F9" i="32"/>
  <c r="F8" i="32"/>
  <c r="F7" i="32"/>
  <c r="C3" i="32"/>
  <c r="C4" i="32"/>
  <c r="C5" i="32"/>
  <c r="C6" i="32"/>
  <c r="C2" i="32"/>
  <c r="C9" i="32"/>
  <c r="C8" i="32"/>
  <c r="C7" i="32"/>
  <c r="C30" i="32"/>
  <c r="D9" i="32"/>
  <c r="O54" i="29"/>
  <c r="N54" i="29"/>
  <c r="M54" i="29"/>
  <c r="K54" i="29"/>
  <c r="J54" i="29"/>
  <c r="I54" i="29"/>
  <c r="G54" i="29"/>
  <c r="F54" i="29"/>
  <c r="E54" i="29"/>
  <c r="D7" i="32"/>
  <c r="D8" i="32"/>
  <c r="C21" i="32"/>
  <c r="C22" i="32" s="1"/>
  <c r="F21" i="32"/>
  <c r="F22" i="32" s="1"/>
  <c r="F23" i="32" s="1"/>
  <c r="G22" i="32"/>
  <c r="G23" i="32" s="1"/>
  <c r="G24" i="32" s="1"/>
  <c r="G25" i="32" s="1"/>
  <c r="G26" i="32" s="1"/>
  <c r="G27" i="32" s="1"/>
  <c r="G28" i="32" s="1"/>
  <c r="G29" i="32" s="1"/>
  <c r="G30" i="32" s="1"/>
  <c r="J22" i="32"/>
  <c r="J23" i="32" s="1"/>
  <c r="O36" i="29"/>
  <c r="N36" i="29"/>
  <c r="N38" i="29" s="1"/>
  <c r="M36" i="29"/>
  <c r="M38" i="29" s="1"/>
  <c r="K36" i="29"/>
  <c r="K38" i="29" s="1"/>
  <c r="J36" i="29"/>
  <c r="J38" i="29" s="1"/>
  <c r="I36" i="29"/>
  <c r="I38" i="29" s="1"/>
  <c r="G36" i="29"/>
  <c r="G38" i="29" s="1"/>
  <c r="F36" i="29"/>
  <c r="F38" i="29" s="1"/>
  <c r="E40" i="29"/>
  <c r="E39" i="29"/>
  <c r="E35" i="29"/>
  <c r="E34" i="29"/>
  <c r="E33" i="29"/>
  <c r="E31" i="29"/>
  <c r="E5" i="29"/>
  <c r="E7" i="29" s="1"/>
  <c r="G41" i="29"/>
  <c r="F41" i="29"/>
  <c r="E50" i="29"/>
  <c r="O50" i="29"/>
  <c r="N50" i="29"/>
  <c r="M50" i="29"/>
  <c r="K50" i="29"/>
  <c r="J50" i="29"/>
  <c r="I50" i="29"/>
  <c r="G50" i="29"/>
  <c r="F50" i="29"/>
  <c r="M44" i="29"/>
  <c r="N44" i="29"/>
  <c r="G44" i="29"/>
  <c r="F44" i="29"/>
  <c r="E44" i="29"/>
  <c r="O14" i="29"/>
  <c r="N14" i="29"/>
  <c r="M14" i="29"/>
  <c r="E47" i="29"/>
  <c r="O47" i="29"/>
  <c r="N47" i="29"/>
  <c r="M47" i="29"/>
  <c r="K47" i="29"/>
  <c r="J47" i="29"/>
  <c r="I47" i="29"/>
  <c r="G47" i="29"/>
  <c r="F47" i="29"/>
  <c r="O41" i="29"/>
  <c r="O32" i="29"/>
  <c r="O28" i="29"/>
  <c r="O24" i="29"/>
  <c r="O18" i="29"/>
  <c r="O20" i="29" s="1"/>
  <c r="O10" i="29"/>
  <c r="O7" i="29"/>
  <c r="N41" i="29"/>
  <c r="N28" i="29"/>
  <c r="N24" i="29"/>
  <c r="N18" i="29"/>
  <c r="N20" i="29" s="1"/>
  <c r="N10" i="29"/>
  <c r="N7" i="29"/>
  <c r="M41" i="29"/>
  <c r="M28" i="29"/>
  <c r="M24" i="29"/>
  <c r="M18" i="29"/>
  <c r="M20" i="29" s="1"/>
  <c r="M10" i="29"/>
  <c r="M7" i="29"/>
  <c r="K41" i="29"/>
  <c r="K32" i="29"/>
  <c r="K28" i="29"/>
  <c r="K24" i="29"/>
  <c r="K18" i="29"/>
  <c r="K20" i="29" s="1"/>
  <c r="K14" i="29"/>
  <c r="K10" i="29"/>
  <c r="K7" i="29"/>
  <c r="J44" i="29"/>
  <c r="J41" i="29"/>
  <c r="J32" i="29"/>
  <c r="J28" i="29"/>
  <c r="J18" i="29"/>
  <c r="J20" i="29" s="1"/>
  <c r="J14" i="29"/>
  <c r="J10" i="29"/>
  <c r="J7" i="29"/>
  <c r="I44" i="29"/>
  <c r="I41" i="29"/>
  <c r="I32" i="29"/>
  <c r="I28" i="29"/>
  <c r="I24" i="29"/>
  <c r="I18" i="29"/>
  <c r="I20" i="29" s="1"/>
  <c r="I14" i="29"/>
  <c r="I10" i="29"/>
  <c r="I7" i="29"/>
  <c r="G32" i="29"/>
  <c r="G28" i="29"/>
  <c r="G24" i="29"/>
  <c r="G18" i="29"/>
  <c r="G20" i="29" s="1"/>
  <c r="G14" i="29"/>
  <c r="G10" i="29"/>
  <c r="G7" i="29"/>
  <c r="F28" i="29"/>
  <c r="F24" i="29"/>
  <c r="F18" i="29"/>
  <c r="F20" i="29" s="1"/>
  <c r="F14" i="29"/>
  <c r="F10" i="29"/>
  <c r="F7" i="29"/>
  <c r="J24" i="29"/>
  <c r="K44" i="29"/>
  <c r="M37" i="30" l="1"/>
  <c r="M36" i="30"/>
  <c r="X34" i="30"/>
  <c r="X33" i="30"/>
  <c r="P7" i="30"/>
  <c r="P10" i="30" s="1"/>
  <c r="P13" i="30" s="1"/>
  <c r="X10" i="30" s="1"/>
  <c r="P20" i="28"/>
  <c r="P10" i="28"/>
  <c r="E41" i="29"/>
  <c r="E36" i="29"/>
  <c r="E38" i="29" s="1"/>
  <c r="E32" i="29"/>
  <c r="J24" i="32"/>
  <c r="C31" i="32"/>
  <c r="C32" i="32" s="1"/>
  <c r="C33" i="32" s="1"/>
  <c r="C34" i="32" s="1"/>
  <c r="C35" i="32" s="1"/>
  <c r="C36" i="32" s="1"/>
  <c r="C37" i="32" s="1"/>
  <c r="C38" i="32" s="1"/>
  <c r="C39" i="32" s="1"/>
  <c r="C23" i="32"/>
  <c r="C24" i="32" s="1"/>
  <c r="C25" i="32" s="1"/>
  <c r="C26" i="32" s="1"/>
  <c r="C27" i="32" s="1"/>
  <c r="C28" i="32" s="1"/>
  <c r="C29" i="32" s="1"/>
  <c r="M32" i="29"/>
  <c r="X35" i="30" l="1"/>
  <c r="U7" i="30"/>
  <c r="U13" i="30" s="1"/>
  <c r="V10" i="28"/>
  <c r="V20" i="28"/>
  <c r="V12" i="28" s="1"/>
  <c r="X14" i="30" l="1"/>
  <c r="X13" i="30"/>
  <c r="O38" i="29"/>
  <c r="X7" i="30" l="1"/>
  <c r="N32" i="29" l="1"/>
  <c r="O31" i="30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<sst xmlns="http://schemas.openxmlformats.org/spreadsheetml/2006/main" count="743" uniqueCount="331">
  <si>
    <t>개수</t>
    <phoneticPr fontId="2" type="noConversion"/>
  </si>
  <si>
    <t>3관문</t>
    <phoneticPr fontId="4" type="noConversion"/>
  </si>
  <si>
    <t>2관문</t>
    <phoneticPr fontId="4" type="noConversion"/>
  </si>
  <si>
    <t>1관문</t>
    <phoneticPr fontId="4" type="noConversion"/>
  </si>
  <si>
    <t>4관문</t>
  </si>
  <si>
    <t>획득 골드(하드)</t>
    <phoneticPr fontId="4" type="noConversion"/>
  </si>
  <si>
    <t>획득 골드(노말)</t>
    <phoneticPr fontId="4" type="noConversion"/>
  </si>
  <si>
    <t>관문</t>
    <phoneticPr fontId="4" type="noConversion"/>
  </si>
  <si>
    <t>콘텐츠명</t>
    <phoneticPr fontId="4" type="noConversion"/>
  </si>
  <si>
    <t>카양겔</t>
    <phoneticPr fontId="2" type="noConversion"/>
  </si>
  <si>
    <t>1관문</t>
    <phoneticPr fontId="2" type="noConversion"/>
  </si>
  <si>
    <t>2관문</t>
    <phoneticPr fontId="2" type="noConversion"/>
  </si>
  <si>
    <t>3관문</t>
    <phoneticPr fontId="2" type="noConversion"/>
  </si>
  <si>
    <t>4관문</t>
    <phoneticPr fontId="2" type="noConversion"/>
  </si>
  <si>
    <t>1580+</t>
    <phoneticPr fontId="2" type="noConversion"/>
  </si>
  <si>
    <t>레벨</t>
    <phoneticPr fontId="2" type="noConversion"/>
  </si>
  <si>
    <t>합계</t>
    <phoneticPr fontId="2" type="noConversion"/>
  </si>
  <si>
    <t>일리아칸</t>
    <phoneticPr fontId="2" type="noConversion"/>
  </si>
  <si>
    <t>7멸홍</t>
    <phoneticPr fontId="2" type="noConversion"/>
  </si>
  <si>
    <t>획득 골드(싱글)</t>
    <phoneticPr fontId="4" type="noConversion"/>
  </si>
  <si>
    <t>카멘</t>
    <phoneticPr fontId="2" type="noConversion"/>
  </si>
  <si>
    <t>상아탑</t>
    <phoneticPr fontId="2" type="noConversion"/>
  </si>
  <si>
    <t>메달(싱글)</t>
    <phoneticPr fontId="4" type="noConversion"/>
  </si>
  <si>
    <t>더보기 비용</t>
    <phoneticPr fontId="2" type="noConversion"/>
  </si>
  <si>
    <t>직각</t>
    <phoneticPr fontId="2" type="noConversion"/>
  </si>
  <si>
    <t>재료(하드)</t>
    <phoneticPr fontId="4" type="noConversion"/>
  </si>
  <si>
    <t>재료(싱글/노말)</t>
    <phoneticPr fontId="4" type="noConversion"/>
  </si>
  <si>
    <t>카멘
1610/1630</t>
    <phoneticPr fontId="2" type="noConversion"/>
  </si>
  <si>
    <t>에키드나</t>
    <phoneticPr fontId="2" type="noConversion"/>
  </si>
  <si>
    <t>베히모스</t>
    <phoneticPr fontId="2" type="noConversion"/>
  </si>
  <si>
    <t>강석</t>
    <phoneticPr fontId="2" type="noConversion"/>
  </si>
  <si>
    <t>돌파석</t>
    <phoneticPr fontId="2" type="noConversion"/>
  </si>
  <si>
    <t>가격</t>
    <phoneticPr fontId="2" type="noConversion"/>
  </si>
  <si>
    <t>총 금액</t>
    <phoneticPr fontId="2" type="noConversion"/>
  </si>
  <si>
    <t>누골</t>
    <phoneticPr fontId="2" type="noConversion"/>
  </si>
  <si>
    <t>아브(2막)</t>
    <phoneticPr fontId="2" type="noConversion"/>
  </si>
  <si>
    <t>체술</t>
    <phoneticPr fontId="2" type="noConversion"/>
  </si>
  <si>
    <t>엘릭서</t>
    <phoneticPr fontId="2" type="noConversion"/>
  </si>
  <si>
    <t>치적</t>
    <phoneticPr fontId="2" type="noConversion"/>
  </si>
  <si>
    <t>치피</t>
    <phoneticPr fontId="2" type="noConversion"/>
  </si>
  <si>
    <t>반지</t>
    <phoneticPr fontId="2" type="noConversion"/>
  </si>
  <si>
    <t>백어택</t>
    <phoneticPr fontId="2" type="noConversion"/>
  </si>
  <si>
    <t>필요 치적</t>
    <phoneticPr fontId="2" type="noConversion"/>
  </si>
  <si>
    <t>반지1</t>
    <phoneticPr fontId="2" type="noConversion"/>
  </si>
  <si>
    <t>반지2</t>
    <phoneticPr fontId="2" type="noConversion"/>
  </si>
  <si>
    <t>시너지</t>
    <phoneticPr fontId="2" type="noConversion"/>
  </si>
  <si>
    <t>총 치적</t>
    <phoneticPr fontId="2" type="noConversion"/>
  </si>
  <si>
    <t>돌대</t>
    <phoneticPr fontId="2" type="noConversion"/>
  </si>
  <si>
    <t>예둔</t>
    <phoneticPr fontId="2" type="noConversion"/>
  </si>
  <si>
    <t>저받</t>
    <phoneticPr fontId="2" type="noConversion"/>
  </si>
  <si>
    <t>갈망</t>
    <phoneticPr fontId="2" type="noConversion"/>
  </si>
  <si>
    <t>만찬</t>
    <phoneticPr fontId="2" type="noConversion"/>
  </si>
  <si>
    <t>팔찌 옵션</t>
    <phoneticPr fontId="2" type="noConversion"/>
  </si>
  <si>
    <t>필요 이속</t>
    <phoneticPr fontId="2" type="noConversion"/>
  </si>
  <si>
    <t>무풀초</t>
    <phoneticPr fontId="2" type="noConversion"/>
  </si>
  <si>
    <t>초월</t>
    <phoneticPr fontId="2" type="noConversion"/>
  </si>
  <si>
    <t>기본치피</t>
    <phoneticPr fontId="2" type="noConversion"/>
  </si>
  <si>
    <t>치적(변환)</t>
    <phoneticPr fontId="2" type="noConversion"/>
  </si>
  <si>
    <t>예둔 효율 %</t>
    <phoneticPr fontId="2" type="noConversion"/>
  </si>
  <si>
    <t>예둔 치피</t>
    <phoneticPr fontId="2" type="noConversion"/>
  </si>
  <si>
    <t>예둔 제외</t>
    <phoneticPr fontId="2" type="noConversion"/>
  </si>
  <si>
    <t>예둔 o</t>
    <phoneticPr fontId="2" type="noConversion"/>
  </si>
  <si>
    <t>예둔 x</t>
    <phoneticPr fontId="2" type="noConversion"/>
  </si>
  <si>
    <t>공이속</t>
    <phoneticPr fontId="2" type="noConversion"/>
  </si>
  <si>
    <t>건슬 데헌 기상</t>
    <phoneticPr fontId="2" type="noConversion"/>
  </si>
  <si>
    <t>뭉가2 (변환)</t>
    <phoneticPr fontId="2" type="noConversion"/>
  </si>
  <si>
    <t>엘릭서 (Lv.5)</t>
    <phoneticPr fontId="2" type="noConversion"/>
  </si>
  <si>
    <t>치피증</t>
    <phoneticPr fontId="2" type="noConversion"/>
  </si>
  <si>
    <t>창술</t>
    <phoneticPr fontId="2" type="noConversion"/>
  </si>
  <si>
    <t>공증</t>
    <phoneticPr fontId="2" type="noConversion"/>
  </si>
  <si>
    <t>스카 기공</t>
    <phoneticPr fontId="2" type="noConversion"/>
  </si>
  <si>
    <t>백헤드</t>
    <phoneticPr fontId="2" type="noConversion"/>
  </si>
  <si>
    <t>워로드 블레</t>
    <phoneticPr fontId="2" type="noConversion"/>
  </si>
  <si>
    <t>1620+</t>
    <phoneticPr fontId="2" type="noConversion"/>
  </si>
  <si>
    <t>8겁작</t>
    <phoneticPr fontId="2" type="noConversion"/>
  </si>
  <si>
    <t>4티어</t>
  </si>
  <si>
    <t>운돌</t>
  </si>
  <si>
    <t>찬명돌</t>
  </si>
  <si>
    <t>경명돌</t>
  </si>
  <si>
    <t>위명돌</t>
  </si>
  <si>
    <t>돌파석</t>
  </si>
  <si>
    <t>3티어</t>
  </si>
  <si>
    <t>보석</t>
  </si>
  <si>
    <t>5해금</t>
  </si>
  <si>
    <t>4해금</t>
  </si>
  <si>
    <t>3해금</t>
  </si>
  <si>
    <t>운돌 25개</t>
  </si>
  <si>
    <t>2해금(1680)</t>
  </si>
  <si>
    <t>운돌 14개</t>
  </si>
  <si>
    <t>1해금(1640)</t>
  </si>
  <si>
    <t>5금제(1610)</t>
  </si>
  <si>
    <t>4금제(1580)</t>
  </si>
  <si>
    <t>3금제(1540)</t>
  </si>
  <si>
    <t>2금제(1490)</t>
  </si>
  <si>
    <t>1금제(1302)</t>
  </si>
  <si>
    <t>실링</t>
  </si>
  <si>
    <t>가호</t>
  </si>
  <si>
    <t>축복/ 빙숨</t>
  </si>
  <si>
    <t>은총/ 태숨</t>
  </si>
  <si>
    <t>카경</t>
  </si>
  <si>
    <t>기준(템렙)</t>
  </si>
  <si>
    <t>보상 환산 (돌파석)</t>
  </si>
  <si>
    <t>보상 환산 (보석)</t>
  </si>
  <si>
    <t>빙숨</t>
  </si>
  <si>
    <t>태숨</t>
  </si>
  <si>
    <t>축복</t>
  </si>
  <si>
    <t>은총</t>
  </si>
  <si>
    <t>보상 합계 (기타)</t>
  </si>
  <si>
    <t>2해금</t>
  </si>
  <si>
    <t>1해금</t>
  </si>
  <si>
    <t>5금제</t>
  </si>
  <si>
    <t>4금제</t>
  </si>
  <si>
    <t>3금제</t>
  </si>
  <si>
    <t>2금제</t>
  </si>
  <si>
    <t>1금제</t>
  </si>
  <si>
    <t>큐브 수량</t>
  </si>
  <si>
    <t>본계정</t>
    <phoneticPr fontId="2" type="noConversion"/>
  </si>
  <si>
    <t>부계정</t>
    <phoneticPr fontId="2" type="noConversion"/>
  </si>
  <si>
    <t>정보없음</t>
    <phoneticPr fontId="2" type="noConversion"/>
  </si>
  <si>
    <t>힘</t>
    <phoneticPr fontId="2" type="noConversion"/>
  </si>
  <si>
    <t>지</t>
    <phoneticPr fontId="2" type="noConversion"/>
  </si>
  <si>
    <t>민</t>
    <phoneticPr fontId="2" type="noConversion"/>
  </si>
  <si>
    <t>모르둠(3막)</t>
    <phoneticPr fontId="2" type="noConversion"/>
  </si>
  <si>
    <t>에기르(1막)</t>
    <phoneticPr fontId="2" type="noConversion"/>
  </si>
  <si>
    <t>건슬 데헌 기상
알카 배마 스커</t>
    <phoneticPr fontId="2" type="noConversion"/>
  </si>
  <si>
    <t>기상 블레 배마
호크(이속만)</t>
    <phoneticPr fontId="2" type="noConversion"/>
  </si>
  <si>
    <t>블래 디트 리퍼
워로드 서머너 환수사</t>
    <phoneticPr fontId="2" type="noConversion"/>
  </si>
  <si>
    <t>보석</t>
    <phoneticPr fontId="2" type="noConversion"/>
  </si>
  <si>
    <t>운돌 32개</t>
    <phoneticPr fontId="2" type="noConversion"/>
  </si>
  <si>
    <t>2렙 8개</t>
    <phoneticPr fontId="2" type="noConversion"/>
  </si>
  <si>
    <t>2렙 3개</t>
    <phoneticPr fontId="2" type="noConversion"/>
  </si>
  <si>
    <t>2렙 6개</t>
    <phoneticPr fontId="2" type="noConversion"/>
  </si>
  <si>
    <t>2lv 6개</t>
    <phoneticPr fontId="2" type="noConversion"/>
  </si>
  <si>
    <r>
      <t>3</t>
    </r>
    <r>
      <rPr>
        <sz val="10"/>
        <color theme="1"/>
        <rFont val="맑은 고딕"/>
        <family val="3"/>
        <charset val="129"/>
      </rPr>
      <t>해금</t>
    </r>
    <r>
      <rPr>
        <sz val="10"/>
        <color theme="1"/>
        <rFont val="Calibri"/>
        <family val="2"/>
      </rPr>
      <t>(1700)</t>
    </r>
    <phoneticPr fontId="2" type="noConversion"/>
  </si>
  <si>
    <r>
      <t>4</t>
    </r>
    <r>
      <rPr>
        <sz val="10"/>
        <color theme="1"/>
        <rFont val="맑은 고딕"/>
        <family val="3"/>
        <charset val="129"/>
      </rPr>
      <t>해금</t>
    </r>
    <r>
      <rPr>
        <sz val="10"/>
        <color theme="1"/>
        <rFont val="Calibri"/>
        <family val="2"/>
      </rPr>
      <t>(0000)</t>
    </r>
    <phoneticPr fontId="2" type="noConversion"/>
  </si>
  <si>
    <r>
      <t>5</t>
    </r>
    <r>
      <rPr>
        <sz val="10"/>
        <color theme="1"/>
        <rFont val="맑은 고딕"/>
        <family val="3"/>
        <charset val="129"/>
      </rPr>
      <t>해금</t>
    </r>
    <r>
      <rPr>
        <sz val="10"/>
        <color theme="1"/>
        <rFont val="Calibri"/>
        <family val="2"/>
      </rPr>
      <t>(0000)</t>
    </r>
    <phoneticPr fontId="2" type="noConversion"/>
  </si>
  <si>
    <t>1lv 1개</t>
    <phoneticPr fontId="2" type="noConversion"/>
  </si>
  <si>
    <t>2lv 8개</t>
    <phoneticPr fontId="2" type="noConversion"/>
  </si>
  <si>
    <t>2lv 7개</t>
    <phoneticPr fontId="2" type="noConversion"/>
  </si>
  <si>
    <t>3lv 4개</t>
    <phoneticPr fontId="2" type="noConversion"/>
  </si>
  <si>
    <t>3lv 9개</t>
    <phoneticPr fontId="2" type="noConversion"/>
  </si>
  <si>
    <t>3lv 6개</t>
    <phoneticPr fontId="2" type="noConversion"/>
  </si>
  <si>
    <t>3lv 8개</t>
    <phoneticPr fontId="2" type="noConversion"/>
  </si>
  <si>
    <t>수입 합계</t>
    <phoneticPr fontId="2" type="noConversion"/>
  </si>
  <si>
    <t>에포나</t>
    <phoneticPr fontId="2" type="noConversion"/>
  </si>
  <si>
    <t>더보기 합계</t>
    <phoneticPr fontId="2" type="noConversion"/>
  </si>
  <si>
    <t>융화재료</t>
    <phoneticPr fontId="2" type="noConversion"/>
  </si>
  <si>
    <t>배마(8/16)</t>
    <phoneticPr fontId="2" type="noConversion"/>
  </si>
  <si>
    <t>공/이속</t>
    <phoneticPr fontId="2" type="noConversion"/>
  </si>
  <si>
    <t>강습 레이드</t>
    <phoneticPr fontId="2" type="noConversion"/>
  </si>
  <si>
    <t>기준 : 25.03.26</t>
    <phoneticPr fontId="4" type="noConversion"/>
  </si>
  <si>
    <t>각인</t>
    <phoneticPr fontId="2" type="noConversion"/>
  </si>
  <si>
    <t>영지효과</t>
    <phoneticPr fontId="2" type="noConversion"/>
  </si>
  <si>
    <t>활동력</t>
    <phoneticPr fontId="2" type="noConversion"/>
  </si>
  <si>
    <t>수수료</t>
    <phoneticPr fontId="2" type="noConversion"/>
  </si>
  <si>
    <t>대성공</t>
    <phoneticPr fontId="2" type="noConversion"/>
  </si>
  <si>
    <t>3+7</t>
    <phoneticPr fontId="2" type="noConversion"/>
  </si>
  <si>
    <t>4.5+3</t>
    <phoneticPr fontId="2" type="noConversion"/>
  </si>
  <si>
    <t>니축x</t>
    <phoneticPr fontId="2" type="noConversion"/>
  </si>
  <si>
    <t>니축o</t>
    <phoneticPr fontId="2" type="noConversion"/>
  </si>
  <si>
    <t>딸깍 당</t>
    <phoneticPr fontId="2" type="noConversion"/>
  </si>
  <si>
    <t>달인</t>
  </si>
  <si>
    <t>신속</t>
  </si>
  <si>
    <t>7+6</t>
    <phoneticPr fontId="2" type="noConversion"/>
  </si>
  <si>
    <t>7+6+(3)</t>
    <phoneticPr fontId="2" type="noConversion"/>
  </si>
  <si>
    <t>에포나 증표 (x 2.5 G)</t>
    <phoneticPr fontId="2" type="noConversion"/>
  </si>
  <si>
    <t>종막 : 카제로스
0000/0000</t>
    <phoneticPr fontId="2" type="noConversion"/>
  </si>
  <si>
    <t>발탄 합계</t>
  </si>
  <si>
    <t>비아키스 합계</t>
  </si>
  <si>
    <t>쿠크세이튼 합계</t>
  </si>
  <si>
    <t>1-3 관문 합계</t>
  </si>
  <si>
    <t>아브렐슈드 합계</t>
  </si>
  <si>
    <t>카양겔 합계</t>
  </si>
  <si>
    <t>일리아칸 합계</t>
  </si>
  <si>
    <t>상아탑 합계</t>
  </si>
  <si>
    <t>카멘 합계</t>
  </si>
  <si>
    <t>에키드나 합계</t>
  </si>
  <si>
    <t>베히모스 합계</t>
  </si>
  <si>
    <t>에기르 합계</t>
  </si>
  <si>
    <t>모르둠 합계</t>
  </si>
  <si>
    <t>카제로스 합계</t>
  </si>
  <si>
    <t>예둔 돌</t>
    <phoneticPr fontId="2" type="noConversion"/>
  </si>
  <si>
    <t>진화 포인트</t>
    <phoneticPr fontId="2" type="noConversion"/>
  </si>
  <si>
    <t>&lt;</t>
    <phoneticPr fontId="2" type="noConversion"/>
  </si>
  <si>
    <t>&gt;</t>
    <phoneticPr fontId="2" type="noConversion"/>
  </si>
  <si>
    <t>연동</t>
    <phoneticPr fontId="2" type="noConversion"/>
  </si>
  <si>
    <t>예감</t>
  </si>
  <si>
    <t>특성</t>
    <phoneticPr fontId="2" type="noConversion"/>
  </si>
  <si>
    <t>특성(변환)</t>
    <phoneticPr fontId="2" type="noConversion"/>
  </si>
  <si>
    <t>공속</t>
    <phoneticPr fontId="2" type="noConversion"/>
  </si>
  <si>
    <t>이속</t>
    <phoneticPr fontId="2" type="noConversion"/>
  </si>
  <si>
    <t>음식</t>
    <phoneticPr fontId="2" type="noConversion"/>
  </si>
  <si>
    <t>팔찌</t>
    <phoneticPr fontId="2" type="noConversion"/>
  </si>
  <si>
    <t>질증</t>
    <phoneticPr fontId="2" type="noConversion"/>
  </si>
  <si>
    <t>치명</t>
    <phoneticPr fontId="2" type="noConversion"/>
  </si>
  <si>
    <t>신속</t>
    <phoneticPr fontId="2" type="noConversion"/>
  </si>
  <si>
    <t>음돌 진피 24%</t>
    <phoneticPr fontId="2" type="noConversion"/>
  </si>
  <si>
    <t>기본 8+8</t>
    <phoneticPr fontId="2" type="noConversion"/>
  </si>
  <si>
    <t>초과 8</t>
    <phoneticPr fontId="2" type="noConversion"/>
  </si>
  <si>
    <t>팔찌 특성</t>
    <phoneticPr fontId="2" type="noConversion"/>
  </si>
  <si>
    <t>원정대 특성</t>
    <phoneticPr fontId="2" type="noConversion"/>
  </si>
  <si>
    <t>아드/정단</t>
    <phoneticPr fontId="2" type="noConversion"/>
  </si>
  <si>
    <t>음식 (에아)</t>
    <phoneticPr fontId="2" type="noConversion"/>
  </si>
  <si>
    <t>음식 (와인)</t>
    <phoneticPr fontId="2" type="noConversion"/>
  </si>
  <si>
    <t>질증 (10%)</t>
    <phoneticPr fontId="2" type="noConversion"/>
  </si>
  <si>
    <t>폿 버프</t>
    <phoneticPr fontId="2" type="noConversion"/>
  </si>
  <si>
    <t>진화 포인트 (치명)</t>
    <phoneticPr fontId="2" type="noConversion"/>
  </si>
  <si>
    <t>[{(치적*(기존치피+예둔치피)/100+(1-치적))*0.98}</t>
    <phoneticPr fontId="2" type="noConversion"/>
  </si>
  <si>
    <t>/{(치적*기존치피)/100+(1-치적)}]</t>
    <phoneticPr fontId="2" type="noConversion"/>
  </si>
  <si>
    <t>펫효과</t>
    <phoneticPr fontId="2" type="noConversion"/>
  </si>
  <si>
    <t>특성 (변환)</t>
    <phoneticPr fontId="2" type="noConversion"/>
  </si>
  <si>
    <t>포인트</t>
    <phoneticPr fontId="2" type="noConversion"/>
  </si>
  <si>
    <t>최대 효율</t>
    <phoneticPr fontId="2" type="noConversion"/>
  </si>
  <si>
    <t>알카 배마 스커</t>
    <phoneticPr fontId="2" type="noConversion"/>
  </si>
  <si>
    <t>전각</t>
    <phoneticPr fontId="2" type="noConversion"/>
  </si>
  <si>
    <t>돌대 효율 16%/19.2%</t>
    <phoneticPr fontId="2" type="noConversion"/>
  </si>
  <si>
    <t>유각</t>
    <phoneticPr fontId="2" type="noConversion"/>
  </si>
  <si>
    <t xml:space="preserve">기상(12/12) 블레 (12.8/12.8) </t>
    <phoneticPr fontId="2" type="noConversion"/>
  </si>
  <si>
    <t>총 이속</t>
    <phoneticPr fontId="2" type="noConversion"/>
  </si>
  <si>
    <t>예둔 계산식</t>
    <phoneticPr fontId="2" type="noConversion"/>
  </si>
  <si>
    <t>특성 계수</t>
    <phoneticPr fontId="2" type="noConversion"/>
  </si>
  <si>
    <t>연동 영역</t>
    <phoneticPr fontId="2" type="noConversion"/>
  </si>
  <si>
    <t>진화 2T</t>
    <phoneticPr fontId="2" type="noConversion"/>
  </si>
  <si>
    <t>진화 3T</t>
    <phoneticPr fontId="2" type="noConversion"/>
  </si>
  <si>
    <t>기타</t>
  </si>
  <si>
    <t>추피</t>
  </si>
  <si>
    <t>달인/회심</t>
    <phoneticPr fontId="2" type="noConversion"/>
  </si>
  <si>
    <t>치피/추피</t>
    <phoneticPr fontId="2" type="noConversion"/>
  </si>
  <si>
    <r>
      <rPr>
        <sz val="11"/>
        <rFont val="맑은 고딕"/>
        <family val="3"/>
        <charset val="129"/>
      </rPr>
      <t>"음돌"</t>
    </r>
    <r>
      <rPr>
        <sz val="11"/>
        <color theme="1"/>
        <rFont val="맑은 고딕"/>
        <family val="3"/>
        <charset val="129"/>
      </rPr>
      <t xml:space="preserve"> </t>
    </r>
    <r>
      <rPr>
        <sz val="11"/>
        <color theme="1"/>
        <rFont val="맑은 고딕"/>
        <family val="2"/>
        <charset val="129"/>
      </rPr>
      <t>진화 포인트</t>
    </r>
    <phoneticPr fontId="2" type="noConversion"/>
  </si>
  <si>
    <t>뭉가</t>
    <phoneticPr fontId="2" type="noConversion"/>
  </si>
  <si>
    <t>음돌</t>
    <phoneticPr fontId="2" type="noConversion"/>
  </si>
  <si>
    <t>정단</t>
    <phoneticPr fontId="2" type="noConversion"/>
  </si>
  <si>
    <t>1막 : 에기르
1660/1680</t>
    <phoneticPr fontId="2" type="noConversion"/>
  </si>
  <si>
    <t>2막 : 아브렐슈드
1670/1690</t>
    <phoneticPr fontId="4" type="noConversion"/>
  </si>
  <si>
    <r>
      <t xml:space="preserve">3막 : 모르둠
1680/1700
</t>
    </r>
    <r>
      <rPr>
        <b/>
        <sz val="11"/>
        <color rgb="FFFF0000"/>
        <rFont val="맑은 고딕"/>
        <family val="3"/>
        <charset val="129"/>
      </rPr>
      <t>상재 재료 다름</t>
    </r>
    <phoneticPr fontId="4" type="noConversion"/>
  </si>
  <si>
    <t>베히모스
1640</t>
    <phoneticPr fontId="2" type="noConversion"/>
  </si>
  <si>
    <r>
      <t xml:space="preserve">서막 : 에키드나
1620/1640
</t>
    </r>
    <r>
      <rPr>
        <b/>
        <sz val="11"/>
        <color rgb="FFFF0000"/>
        <rFont val="맑은 고딕"/>
        <family val="3"/>
        <charset val="129"/>
      </rPr>
      <t>상재 재료 다름</t>
    </r>
    <phoneticPr fontId="2" type="noConversion"/>
  </si>
  <si>
    <t>혼돈의 상아탑
1600/1620</t>
    <phoneticPr fontId="4" type="noConversion"/>
  </si>
  <si>
    <t>일리아칸
1580/1600</t>
    <phoneticPr fontId="4" type="noConversion"/>
  </si>
  <si>
    <t>카양겔
1540/1580</t>
    <phoneticPr fontId="2" type="noConversion"/>
  </si>
  <si>
    <t>쿠크세이튼
1475</t>
    <phoneticPr fontId="4" type="noConversion"/>
  </si>
  <si>
    <t>비아키스
1430/1460</t>
    <phoneticPr fontId="4" type="noConversion"/>
  </si>
  <si>
    <t>발탄
1415/1445</t>
    <phoneticPr fontId="4" type="noConversion"/>
  </si>
  <si>
    <t>어빌 스톤</t>
    <phoneticPr fontId="2" type="noConversion"/>
  </si>
  <si>
    <t>입력 필요</t>
    <phoneticPr fontId="2" type="noConversion"/>
  </si>
  <si>
    <t xml:space="preserve">  연결을 원하지 않으면 해당 셀을 지우고 신속 입력</t>
    <phoneticPr fontId="2" type="noConversion"/>
  </si>
  <si>
    <t xml:space="preserve">  "X10"번 셀의 수식은 =MIN(40-$P$13,30)</t>
    <phoneticPr fontId="2" type="noConversion"/>
  </si>
  <si>
    <t>기본 치피</t>
    <phoneticPr fontId="2" type="noConversion"/>
  </si>
  <si>
    <t>기본 치적</t>
    <phoneticPr fontId="2" type="noConversion"/>
  </si>
  <si>
    <t>기본 이속</t>
    <phoneticPr fontId="2" type="noConversion"/>
  </si>
  <si>
    <t>예둔o</t>
    <phoneticPr fontId="2" type="noConversion"/>
  </si>
  <si>
    <t>예둔x</t>
    <phoneticPr fontId="2" type="noConversion"/>
  </si>
  <si>
    <t xml:space="preserve">  연결을 원하지 않으면 해당 셀을 지우고 치적 입력</t>
    <phoneticPr fontId="2" type="noConversion"/>
  </si>
  <si>
    <r>
      <t xml:space="preserve">* </t>
    </r>
    <r>
      <rPr>
        <sz val="11"/>
        <color rgb="FFFF0000"/>
        <rFont val="맑은 고딕"/>
        <family val="3"/>
        <charset val="129"/>
      </rPr>
      <t>뭉가와 돌대는 "X10"번 셀을 통해 "신속"이 연결됨</t>
    </r>
    <phoneticPr fontId="2" type="noConversion"/>
  </si>
  <si>
    <r>
      <t xml:space="preserve">* </t>
    </r>
    <r>
      <rPr>
        <sz val="11"/>
        <color rgb="FFFF0000"/>
        <rFont val="맑은 고딕"/>
        <family val="3"/>
        <charset val="129"/>
      </rPr>
      <t>예둔과 음돌은 "P27"번 셀을 통해 "치적"이 연결됨</t>
    </r>
    <phoneticPr fontId="2" type="noConversion"/>
  </si>
  <si>
    <t xml:space="preserve">  "P27"번 셀의 수식은 =$X$22</t>
    <phoneticPr fontId="2" type="noConversion"/>
  </si>
  <si>
    <t>일격</t>
  </si>
  <si>
    <t>O</t>
  </si>
  <si>
    <t>강습(최소)</t>
    <phoneticPr fontId="2" type="noConversion"/>
  </si>
  <si>
    <t>ㅇㅇ서버 최종</t>
    <phoneticPr fontId="2" type="noConversion"/>
  </si>
  <si>
    <t>ㅇㅇ서버 포함</t>
    <phoneticPr fontId="2" type="noConversion"/>
  </si>
  <si>
    <t>ㅇㅇ 서버</t>
    <phoneticPr fontId="2" type="noConversion"/>
  </si>
  <si>
    <t>3T 구간</t>
    <phoneticPr fontId="2" type="noConversion"/>
  </si>
  <si>
    <t>4T 구간</t>
    <phoneticPr fontId="2" type="noConversion"/>
  </si>
  <si>
    <t>달인</t>
    <phoneticPr fontId="2" type="noConversion"/>
  </si>
  <si>
    <t>원예돌기아</t>
    <phoneticPr fontId="2" type="noConversion"/>
  </si>
  <si>
    <t xml:space="preserve">1딸깍 강화계산기 </t>
    <phoneticPr fontId="2" type="noConversion"/>
  </si>
  <si>
    <t>방깎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</si>
  <si>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</si>
  <si>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</si>
  <si>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</si>
  <si>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</si>
  <si>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E</t>
    <phoneticPr fontId="2" type="noConversion"/>
  </si>
  <si>
    <t>F</t>
    <phoneticPr fontId="2" type="noConversion"/>
  </si>
  <si>
    <t>소지금액</t>
    <phoneticPr fontId="2" type="noConversion"/>
  </si>
  <si>
    <t>강습</t>
    <phoneticPr fontId="2" type="noConversion"/>
  </si>
  <si>
    <t>연동x</t>
    <phoneticPr fontId="2" type="noConversion"/>
  </si>
  <si>
    <t>아브렐슈드
(1490/1500/1520)
(1540/1550/1560)</t>
    <phoneticPr fontId="4" type="noConversion"/>
  </si>
  <si>
    <t>수작업</t>
    <phoneticPr fontId="2" type="noConversion"/>
  </si>
  <si>
    <t>즐로아</t>
    <phoneticPr fontId="2" type="noConversion"/>
  </si>
  <si>
    <t>로펙</t>
    <phoneticPr fontId="2" type="noConversion"/>
  </si>
  <si>
    <t>로스트빌드</t>
    <phoneticPr fontId="2" type="noConversion"/>
  </si>
  <si>
    <t>로아와</t>
    <phoneticPr fontId="2" type="noConversion"/>
  </si>
  <si>
    <t>클로아</t>
    <phoneticPr fontId="2" type="noConversion"/>
  </si>
  <si>
    <t>캐릭터 정보 확인</t>
    <phoneticPr fontId="2" type="noConversion"/>
  </si>
  <si>
    <t>레이드 환산</t>
    <phoneticPr fontId="2" type="noConversion"/>
  </si>
  <si>
    <t>(DPS 시뮬레이터)</t>
    <phoneticPr fontId="2" type="noConversion"/>
  </si>
  <si>
    <t>계산기</t>
    <phoneticPr fontId="2" type="noConversion"/>
  </si>
  <si>
    <t>생활 관련</t>
    <phoneticPr fontId="2" type="noConversion"/>
  </si>
  <si>
    <t>아이스펭</t>
    <phoneticPr fontId="2" type="noConversion"/>
  </si>
  <si>
    <t>(더보기 효율)</t>
    <phoneticPr fontId="2" type="noConversion"/>
  </si>
  <si>
    <t>로아차트</t>
    <phoneticPr fontId="2" type="noConversion"/>
  </si>
  <si>
    <t>RLOA.GG</t>
    <phoneticPr fontId="2" type="noConversion"/>
  </si>
  <si>
    <t>로스트골드</t>
    <phoneticPr fontId="2" type="noConversion"/>
  </si>
  <si>
    <t>일로아</t>
    <phoneticPr fontId="2" type="noConversion"/>
  </si>
  <si>
    <t>도움이 될만한 사이트 목록 (클릭 시 이동)</t>
    <phoneticPr fontId="2" type="noConversion"/>
  </si>
  <si>
    <t>(재련,상급재련 최적화)</t>
    <phoneticPr fontId="2" type="noConversion"/>
  </si>
  <si>
    <t>(생활 효율)</t>
    <phoneticPr fontId="2" type="noConversion"/>
  </si>
  <si>
    <t>(보유 융화재료 교환비)</t>
    <phoneticPr fontId="2" type="noConversion"/>
  </si>
  <si>
    <t>(레이드 보상 &amp; 숙제 체크)</t>
    <phoneticPr fontId="2" type="noConversion"/>
  </si>
  <si>
    <t>특화</t>
    <phoneticPr fontId="2" type="noConversion"/>
  </si>
  <si>
    <t>난치기, 저달</t>
    <phoneticPr fontId="2" type="noConversion"/>
  </si>
  <si>
    <t>천상, 용맹</t>
    <phoneticPr fontId="2" type="noConversion"/>
  </si>
  <si>
    <t>도화가</t>
    <phoneticPr fontId="2" type="noConversion"/>
  </si>
  <si>
    <t>바드</t>
    <phoneticPr fontId="2" type="noConversion"/>
  </si>
  <si>
    <t>홀나</t>
    <phoneticPr fontId="2" type="noConversion"/>
  </si>
  <si>
    <t>신보, 천축</t>
    <phoneticPr fontId="2" type="noConversion"/>
  </si>
  <si>
    <t>% 미기재</t>
    <phoneticPr fontId="2" type="noConversion"/>
  </si>
  <si>
    <t>방풀초</t>
    <phoneticPr fontId="2" type="noConversion"/>
  </si>
  <si>
    <t>(공대 구인 시 Z 점수)</t>
    <phoneticPr fontId="2" type="noConversion"/>
  </si>
  <si>
    <t>(공대 구인 시 L 점수)</t>
    <phoneticPr fontId="2" type="noConversion"/>
  </si>
  <si>
    <t>* 딜 지분은 고려되어 있지 않음</t>
    <phoneticPr fontId="2" type="noConversion"/>
  </si>
  <si>
    <t>치적 (10%)</t>
    <phoneticPr fontId="2" type="noConversion"/>
  </si>
  <si>
    <t>혼강</t>
  </si>
  <si>
    <t>*연동 x, 수작업</t>
    <phoneticPr fontId="2" type="noConversion"/>
  </si>
  <si>
    <t>큐브 보상 계산기 (3해금 수정)</t>
    <phoneticPr fontId="2" type="noConversion"/>
  </si>
  <si>
    <t>채용</t>
  </si>
  <si>
    <t>수작업 귀찮으시면 여기로</t>
    <phoneticPr fontId="2" type="noConversion"/>
  </si>
  <si>
    <t>주간골드 획득 스프레드 시트</t>
    <phoneticPr fontId="2" type="noConversion"/>
  </si>
  <si>
    <t>원본 출처</t>
    <phoneticPr fontId="2" type="noConversion"/>
  </si>
  <si>
    <t>* 저는 직접 쓰는게 편해서 이렇게 만들어놨는데</t>
    <phoneticPr fontId="2" type="noConversion"/>
  </si>
  <si>
    <t>시너지/자버프</t>
    <phoneticPr fontId="2" type="noConversion"/>
  </si>
  <si>
    <t>(숙제 체크 &amp; 큐브 계산)</t>
    <phoneticPr fontId="2" type="noConversion"/>
  </si>
  <si>
    <t>로아 TODO</t>
    <phoneticPr fontId="2" type="noConversion"/>
  </si>
  <si>
    <t>아드1</t>
  </si>
  <si>
    <t>예둔2</t>
  </si>
  <si>
    <t>정단4</t>
  </si>
  <si>
    <t>돌대3</t>
  </si>
  <si>
    <t>로아베스팅</t>
    <phoneticPr fontId="2" type="noConversion"/>
  </si>
  <si>
    <t>(재련비용, 패키지 효율)</t>
    <phoneticPr fontId="2" type="noConversion"/>
  </si>
  <si>
    <t>ㄴ 05.14~ 현재 리뉴얼 중이라고 합니다.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</si>
</sst>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76" formatCode="&quot;찬명돌 &quot;##&quot;개&quot;"/>
    <numFmt numFmtId="177" formatCode="&quot;경명돌 &quot;##&quot;개&quot;"/>
    <numFmt numFmtId="178" formatCode="&quot;위명돌 &quot;##&quot;개&quot;"/>
    <numFmt numFmtId="179" formatCode="0&quot;겁작&quot;"/>
    <numFmt numFmtId="180" formatCode="0&quot;멸홍&quot;"/>
    <numFmt numFmtId="181" formatCode="yyyy\-mm\-dd"/>
    <numFmt numFmtId="182" formatCode="0.0&quot;개&quot;"/>
    <numFmt numFmtId="183" formatCode="#,000\ &quot;G&quot;"/>
    <numFmt numFmtId="184" formatCode="#\ &quot;딸&quot;&quot;깍&quot;&quot;가&quot;&quot;능&quot;"/>
  </numFmts>
  <fonts count="31">
    <font>
      <sz val="11"/>
      <color theme="1"/>
      <name val="맑은 고딕"/>
      <family val="2"/>
      <charset val="129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</font>
    <font>
      <b/>
      <sz val="11"/>
      <color rgb="FFFF0000"/>
      <name val="맑은 고딕"/>
      <family val="3"/>
      <charset val="129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color theme="1"/>
      <name val="맑은 고딕"/>
      <family val="2"/>
      <charset val="129"/>
    </font>
    <font>
      <sz val="10"/>
      <color rgb="FF000000"/>
      <name val="Arial"/>
      <family val="2"/>
    </font>
    <font>
      <sz val="11"/>
      <color rgb="FFFF0000"/>
      <name val="맑은 고딕"/>
      <family val="3"/>
      <charset val="129"/>
    </font>
    <font>
      <sz val="10"/>
      <color rgb="FF000000"/>
      <name val="맑은 고딕"/>
      <family val="2"/>
      <scheme val="minor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name val="맑은 고딕"/>
      <family val="3"/>
      <charset val="129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10"/>
      <color theme="1"/>
      <name val="Calibri"/>
      <family val="2"/>
    </font>
    <font>
      <sz val="10"/>
      <color theme="1"/>
      <name val="Malgun Gothic"/>
      <family val="3"/>
      <charset val="129"/>
    </font>
    <font>
      <sz val="10"/>
      <name val="Arial"/>
      <family val="2"/>
    </font>
    <font>
      <sz val="10"/>
      <color theme="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charset val="129"/>
    </font>
    <font>
      <b/>
      <sz val="11"/>
      <color rgb="FFFFFFFF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sz val="11"/>
      <color rgb="FF2D343C"/>
      <name val="맑은 고딕"/>
      <family val="3"/>
      <charset val="129"/>
    </font>
    <font>
      <sz val="11"/>
      <color rgb="FFFFFFFF"/>
      <name val="맑은 고딕"/>
      <family val="3"/>
      <charset val="129"/>
    </font>
    <font>
      <b/>
      <sz val="11"/>
      <color rgb="FFEFEFEF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1"/>
      <color theme="0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3C47D"/>
        <bgColor rgb="FF93C47D"/>
      </patternFill>
    </fill>
    <fill>
      <patternFill patternType="solid">
        <fgColor rgb="FFA4C2F4"/>
        <bgColor rgb="FFA4C2F4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F6B26B"/>
        <bgColor rgb="FFF6B26B"/>
      </patternFill>
    </fill>
    <fill>
      <patternFill patternType="solid">
        <fgColor rgb="FFD9EAD3"/>
        <bgColor rgb="FFD9EAD3"/>
      </patternFill>
    </fill>
    <fill>
      <patternFill patternType="solid">
        <fgColor rgb="FF666666"/>
        <bgColor rgb="FF666666"/>
      </patternFill>
    </fill>
    <fill>
      <patternFill patternType="solid">
        <fgColor rgb="FF474F58"/>
        <bgColor rgb="FF474F58"/>
      </patternFill>
    </fill>
    <fill>
      <patternFill patternType="solid">
        <fgColor rgb="FF6FA8DC"/>
        <bgColor rgb="FF6FA8DC"/>
      </patternFill>
    </fill>
    <fill>
      <patternFill patternType="solid">
        <fgColor rgb="FFCC4125"/>
        <bgColor rgb="FFCC4125"/>
      </patternFill>
    </fill>
    <fill>
      <patternFill patternType="solid">
        <fgColor theme="8"/>
        <bgColor theme="8"/>
      </patternFill>
    </fill>
    <fill>
      <patternFill patternType="solid">
        <fgColor rgb="FFD9D9D9"/>
        <bgColor rgb="FFD9D9D9"/>
      </patternFill>
    </fill>
    <fill>
      <patternFill patternType="solid">
        <fgColor rgb="FFF9CB9C"/>
        <bgColor rgb="FFF9CB9C"/>
      </patternFill>
    </fill>
    <fill>
      <patternFill patternType="solid">
        <fgColor theme="0"/>
        <bgColor rgb="FF22282F"/>
      </patternFill>
    </fill>
    <fill>
      <patternFill patternType="solid">
        <fgColor theme="3"/>
        <bgColor rgb="FF22282F"/>
      </patternFill>
    </fill>
    <fill>
      <patternFill patternType="solid">
        <fgColor theme="3"/>
        <bgColor rgb="FF2D343C"/>
      </patternFill>
    </fill>
    <fill>
      <patternFill patternType="solid">
        <fgColor theme="9" tint="-0.249977111117893"/>
        <bgColor rgb="FF2D343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FF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dotted">
        <color rgb="FFFFFFFF"/>
      </right>
      <top/>
      <bottom/>
      <diagonal/>
    </border>
    <border>
      <left/>
      <right style="medium">
        <color rgb="FF666666"/>
      </right>
      <top/>
      <bottom/>
      <diagonal/>
    </border>
    <border>
      <left/>
      <right style="dotted">
        <color rgb="FFFFFFFF"/>
      </right>
      <top/>
      <bottom style="dotted">
        <color rgb="FFFFFFFF"/>
      </bottom>
      <diagonal/>
    </border>
    <border>
      <left/>
      <right style="medium">
        <color rgb="FF666666"/>
      </right>
      <top/>
      <bottom style="dotted">
        <color rgb="FFFFFFFF"/>
      </bottom>
      <diagonal/>
    </border>
    <border>
      <left/>
      <right style="medium">
        <color rgb="FF666666"/>
      </right>
      <top style="medium">
        <color indexed="64"/>
      </top>
      <bottom/>
      <diagonal/>
    </border>
    <border>
      <left/>
      <right style="dotted">
        <color rgb="FFFFFFFF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rgb="FFFFFFFF"/>
      </bottom>
      <diagonal/>
    </border>
    <border>
      <left/>
      <right style="medium">
        <color indexed="64"/>
      </right>
      <top/>
      <bottom style="dotted">
        <color rgb="FFFFFFFF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dotted">
        <color rgb="FFFFFFFF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rgb="FFFFFFFF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3">
    <xf numFmtId="0" fontId="0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22" fillId="0" borderId="0" applyNumberFormat="0" applyFill="0" applyBorder="0" applyAlignment="0" applyProtection="0">
      <alignment vertical="center"/>
    </xf>
  </cellStyleXfs>
  <cellXfs count="476">
    <xf numFmtId="0" fontId="0" fillId="0" borderId="0" xfId="0">
      <alignment vertical="center"/>
    </xf>
    <xf numFmtId="0" fontId="5" fillId="0" borderId="0" xfId="1">
      <alignment vertical="center"/>
    </xf>
    <xf numFmtId="0" fontId="5" fillId="0" borderId="13" xfId="1" applyBorder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0" borderId="7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5" fillId="0" borderId="30" xfId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28" xfId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26" xfId="1" applyBorder="1" applyAlignment="1">
      <alignment horizontal="center" vertical="center"/>
    </xf>
    <xf numFmtId="0" fontId="5" fillId="0" borderId="9" xfId="1" applyBorder="1" applyAlignment="1">
      <alignment horizontal="center" vertical="center"/>
    </xf>
    <xf numFmtId="0" fontId="5" fillId="0" borderId="14" xfId="1" applyBorder="1" applyAlignment="1">
      <alignment horizontal="center" vertical="center"/>
    </xf>
    <xf numFmtId="49" fontId="5" fillId="0" borderId="23" xfId="1" applyNumberFormat="1" applyBorder="1" applyAlignment="1">
      <alignment horizontal="center" vertical="center"/>
    </xf>
    <xf numFmtId="0" fontId="5" fillId="0" borderId="31" xfId="1" applyBorder="1" applyAlignment="1">
      <alignment horizontal="center" vertical="center"/>
    </xf>
    <xf numFmtId="0" fontId="5" fillId="0" borderId="27" xfId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5" fillId="9" borderId="13" xfId="1" applyFill="1" applyBorder="1" applyAlignment="1">
      <alignment horizontal="center" vertical="center"/>
    </xf>
    <xf numFmtId="0" fontId="5" fillId="9" borderId="14" xfId="1" applyFill="1" applyBorder="1" applyAlignment="1">
      <alignment horizontal="center" vertical="center"/>
    </xf>
    <xf numFmtId="0" fontId="5" fillId="0" borderId="0" xfId="1" applyAlignment="1">
      <alignment horizontal="center" vertical="center"/>
    </xf>
    <xf numFmtId="0" fontId="0" fillId="11" borderId="0" xfId="0" applyFill="1">
      <alignment vertical="center"/>
    </xf>
    <xf numFmtId="0" fontId="0" fillId="11" borderId="13" xfId="0" applyFill="1" applyBorder="1" applyAlignment="1">
      <alignment horizontal="center" vertical="center"/>
    </xf>
    <xf numFmtId="0" fontId="5" fillId="14" borderId="11" xfId="1" applyFill="1" applyBorder="1" applyAlignment="1">
      <alignment horizontal="center" vertical="center"/>
    </xf>
    <xf numFmtId="49" fontId="5" fillId="0" borderId="24" xfId="1" applyNumberFormat="1" applyBorder="1" applyAlignment="1">
      <alignment horizontal="center" vertical="center"/>
    </xf>
    <xf numFmtId="49" fontId="5" fillId="0" borderId="24" xfId="1" applyNumberFormat="1" applyBorder="1" applyAlignment="1">
      <alignment horizontal="center" vertical="center" wrapText="1"/>
    </xf>
    <xf numFmtId="49" fontId="5" fillId="0" borderId="25" xfId="1" applyNumberFormat="1" applyBorder="1" applyAlignment="1">
      <alignment horizontal="center" vertical="center" wrapText="1"/>
    </xf>
    <xf numFmtId="0" fontId="5" fillId="0" borderId="8" xfId="1" applyBorder="1" applyAlignment="1">
      <alignment horizontal="center" vertical="center"/>
    </xf>
    <xf numFmtId="0" fontId="5" fillId="4" borderId="11" xfId="1" applyFill="1" applyBorder="1" applyAlignment="1">
      <alignment horizontal="center" vertical="center"/>
    </xf>
    <xf numFmtId="0" fontId="5" fillId="3" borderId="12" xfId="1" applyFill="1" applyBorder="1" applyAlignment="1">
      <alignment horizontal="center" vertical="center"/>
    </xf>
    <xf numFmtId="0" fontId="5" fillId="9" borderId="0" xfId="1" applyFill="1" applyAlignment="1">
      <alignment horizontal="center" vertical="center"/>
    </xf>
    <xf numFmtId="49" fontId="5" fillId="0" borderId="34" xfId="1" applyNumberFormat="1" applyBorder="1" applyAlignment="1">
      <alignment horizontal="center" vertical="center"/>
    </xf>
    <xf numFmtId="0" fontId="5" fillId="0" borderId="8" xfId="1" applyBorder="1" applyAlignment="1">
      <alignment horizontal="center" vertical="center" wrapText="1"/>
    </xf>
    <xf numFmtId="0" fontId="5" fillId="0" borderId="0" xfId="1" applyAlignment="1">
      <alignment horizontal="center" vertical="center" wrapText="1"/>
    </xf>
    <xf numFmtId="0" fontId="5" fillId="0" borderId="9" xfId="1" applyBorder="1" applyAlignment="1">
      <alignment horizontal="center" vertical="center" wrapText="1"/>
    </xf>
    <xf numFmtId="0" fontId="5" fillId="0" borderId="14" xfId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28" xfId="1" applyBorder="1" applyAlignment="1">
      <alignment horizontal="center" vertical="center" wrapText="1"/>
    </xf>
    <xf numFmtId="0" fontId="5" fillId="19" borderId="29" xfId="1" applyFill="1" applyBorder="1" applyAlignment="1">
      <alignment horizontal="center" vertical="center" wrapText="1"/>
    </xf>
    <xf numFmtId="49" fontId="5" fillId="0" borderId="30" xfId="1" applyNumberFormat="1" applyBorder="1" applyAlignment="1">
      <alignment horizontal="center" vertical="center"/>
    </xf>
    <xf numFmtId="49" fontId="5" fillId="0" borderId="28" xfId="1" applyNumberFormat="1" applyBorder="1" applyAlignment="1">
      <alignment horizontal="center" vertical="center"/>
    </xf>
    <xf numFmtId="49" fontId="5" fillId="18" borderId="29" xfId="1" applyNumberFormat="1" applyFill="1" applyBorder="1" applyAlignment="1">
      <alignment horizontal="center" vertical="center"/>
    </xf>
    <xf numFmtId="49" fontId="5" fillId="10" borderId="29" xfId="1" applyNumberFormat="1" applyFill="1" applyBorder="1" applyAlignment="1">
      <alignment horizontal="center" vertical="center"/>
    </xf>
    <xf numFmtId="49" fontId="5" fillId="17" borderId="29" xfId="1" applyNumberFormat="1" applyFill="1" applyBorder="1" applyAlignment="1">
      <alignment horizontal="center" vertical="center"/>
    </xf>
    <xf numFmtId="49" fontId="5" fillId="9" borderId="28" xfId="1" applyNumberFormat="1" applyFill="1" applyBorder="1" applyAlignment="1">
      <alignment horizontal="center" vertical="center"/>
    </xf>
    <xf numFmtId="49" fontId="5" fillId="2" borderId="29" xfId="1" applyNumberFormat="1" applyFill="1" applyBorder="1" applyAlignment="1">
      <alignment horizontal="center" vertical="center"/>
    </xf>
    <xf numFmtId="49" fontId="5" fillId="13" borderId="29" xfId="1" applyNumberFormat="1" applyFill="1" applyBorder="1" applyAlignment="1">
      <alignment horizontal="center" vertical="center"/>
    </xf>
    <xf numFmtId="0" fontId="5" fillId="14" borderId="29" xfId="1" applyFill="1" applyBorder="1" applyAlignment="1">
      <alignment horizontal="center" vertical="center"/>
    </xf>
    <xf numFmtId="0" fontId="5" fillId="12" borderId="29" xfId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9" fontId="5" fillId="0" borderId="9" xfId="1" applyNumberFormat="1" applyBorder="1" applyAlignment="1">
      <alignment horizontal="center" vertical="center"/>
    </xf>
    <xf numFmtId="49" fontId="5" fillId="0" borderId="14" xfId="1" applyNumberFormat="1" applyBorder="1" applyAlignment="1">
      <alignment horizontal="center" vertical="center"/>
    </xf>
    <xf numFmtId="49" fontId="5" fillId="21" borderId="12" xfId="1" applyNumberFormat="1" applyFill="1" applyBorder="1" applyAlignment="1">
      <alignment horizontal="center" vertical="center"/>
    </xf>
    <xf numFmtId="0" fontId="5" fillId="21" borderId="13" xfId="1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0" borderId="5" xfId="1" applyBorder="1" applyAlignment="1">
      <alignment horizontal="center" vertical="center"/>
    </xf>
    <xf numFmtId="0" fontId="0" fillId="11" borderId="0" xfId="0" applyFill="1" applyAlignment="1">
      <alignment horizontal="right" vertical="center"/>
    </xf>
    <xf numFmtId="0" fontId="0" fillId="11" borderId="8" xfId="0" applyFill="1" applyBorder="1" applyAlignment="1">
      <alignment horizontal="center" vertical="center"/>
    </xf>
    <xf numFmtId="0" fontId="5" fillId="0" borderId="32" xfId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5" fillId="9" borderId="13" xfId="1" applyNumberFormat="1" applyFill="1" applyBorder="1" applyAlignment="1">
      <alignment horizontal="center" vertical="center"/>
    </xf>
    <xf numFmtId="0" fontId="5" fillId="4" borderId="0" xfId="1" applyFill="1" applyAlignment="1">
      <alignment horizontal="center" vertical="center"/>
    </xf>
    <xf numFmtId="0" fontId="5" fillId="14" borderId="0" xfId="1" applyFill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0" fontId="5" fillId="16" borderId="10" xfId="1" applyFill="1" applyBorder="1" applyAlignment="1">
      <alignment horizontal="center" vertical="center"/>
    </xf>
    <xf numFmtId="0" fontId="5" fillId="6" borderId="11" xfId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9" fillId="0" borderId="0" xfId="9"/>
    <xf numFmtId="0" fontId="14" fillId="0" borderId="0" xfId="9" applyFont="1"/>
    <xf numFmtId="0" fontId="15" fillId="0" borderId="0" xfId="9" applyFont="1"/>
    <xf numFmtId="0" fontId="14" fillId="0" borderId="0" xfId="9" applyFont="1" applyAlignment="1">
      <alignment horizontal="right"/>
    </xf>
    <xf numFmtId="0" fontId="16" fillId="0" borderId="0" xfId="9" applyFont="1"/>
    <xf numFmtId="3" fontId="16" fillId="0" borderId="38" xfId="9" applyNumberFormat="1" applyFont="1" applyBorder="1" applyAlignment="1">
      <alignment horizontal="center"/>
    </xf>
    <xf numFmtId="3" fontId="16" fillId="25" borderId="38" xfId="9" applyNumberFormat="1" applyFont="1" applyFill="1" applyBorder="1" applyAlignment="1">
      <alignment horizontal="center"/>
    </xf>
    <xf numFmtId="3" fontId="16" fillId="26" borderId="38" xfId="9" applyNumberFormat="1" applyFont="1" applyFill="1" applyBorder="1" applyAlignment="1">
      <alignment horizontal="center"/>
    </xf>
    <xf numFmtId="0" fontId="16" fillId="0" borderId="38" xfId="9" applyFont="1" applyBorder="1" applyAlignment="1">
      <alignment horizontal="center"/>
    </xf>
    <xf numFmtId="176" fontId="16" fillId="0" borderId="39" xfId="9" applyNumberFormat="1" applyFont="1" applyBorder="1" applyAlignment="1">
      <alignment horizontal="center"/>
    </xf>
    <xf numFmtId="0" fontId="16" fillId="29" borderId="38" xfId="9" applyFont="1" applyFill="1" applyBorder="1" applyAlignment="1">
      <alignment horizontal="center"/>
    </xf>
    <xf numFmtId="177" fontId="16" fillId="0" borderId="39" xfId="9" applyNumberFormat="1" applyFont="1" applyBorder="1" applyAlignment="1">
      <alignment horizontal="center"/>
    </xf>
    <xf numFmtId="178" fontId="16" fillId="0" borderId="39" xfId="9" applyNumberFormat="1" applyFont="1" applyBorder="1" applyAlignment="1">
      <alignment horizontal="center"/>
    </xf>
    <xf numFmtId="0" fontId="5" fillId="41" borderId="29" xfId="1" applyFill="1" applyBorder="1" applyAlignment="1">
      <alignment horizontal="center" vertical="center"/>
    </xf>
    <xf numFmtId="0" fontId="0" fillId="11" borderId="20" xfId="0" applyFill="1" applyBorder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5" fillId="0" borderId="17" xfId="1" applyBorder="1" applyAlignment="1">
      <alignment horizontal="center" vertical="center"/>
    </xf>
    <xf numFmtId="0" fontId="5" fillId="11" borderId="14" xfId="1" applyFill="1" applyBorder="1" applyAlignment="1">
      <alignment horizontal="center" vertical="center"/>
    </xf>
    <xf numFmtId="0" fontId="16" fillId="24" borderId="56" xfId="9" applyFont="1" applyFill="1" applyBorder="1" applyAlignment="1">
      <alignment horizontal="center"/>
    </xf>
    <xf numFmtId="0" fontId="17" fillId="27" borderId="55" xfId="9" applyFont="1" applyFill="1" applyBorder="1" applyAlignment="1">
      <alignment horizontal="left"/>
    </xf>
    <xf numFmtId="0" fontId="16" fillId="0" borderId="6" xfId="9" applyFont="1" applyBorder="1" applyAlignment="1">
      <alignment horizontal="center"/>
    </xf>
    <xf numFmtId="3" fontId="16" fillId="0" borderId="56" xfId="9" applyNumberFormat="1" applyFont="1" applyBorder="1" applyAlignment="1">
      <alignment horizontal="center"/>
    </xf>
    <xf numFmtId="0" fontId="16" fillId="24" borderId="2" xfId="9" applyFont="1" applyFill="1" applyBorder="1" applyAlignment="1">
      <alignment horizontal="center"/>
    </xf>
    <xf numFmtId="3" fontId="16" fillId="0" borderId="2" xfId="9" applyNumberFormat="1" applyFont="1" applyBorder="1" applyAlignment="1">
      <alignment horizontal="center"/>
    </xf>
    <xf numFmtId="0" fontId="16" fillId="29" borderId="58" xfId="9" applyFont="1" applyFill="1" applyBorder="1" applyAlignment="1">
      <alignment horizontal="center"/>
    </xf>
    <xf numFmtId="0" fontId="16" fillId="0" borderId="57" xfId="9" applyFont="1" applyBorder="1" applyAlignment="1">
      <alignment horizontal="center"/>
    </xf>
    <xf numFmtId="3" fontId="16" fillId="0" borderId="58" xfId="9" applyNumberFormat="1" applyFont="1" applyBorder="1" applyAlignment="1">
      <alignment horizontal="center"/>
    </xf>
    <xf numFmtId="176" fontId="16" fillId="0" borderId="11" xfId="9" applyNumberFormat="1" applyFont="1" applyBorder="1" applyAlignment="1">
      <alignment horizontal="center"/>
    </xf>
    <xf numFmtId="0" fontId="16" fillId="0" borderId="58" xfId="9" applyFont="1" applyBorder="1" applyAlignment="1">
      <alignment horizontal="center"/>
    </xf>
    <xf numFmtId="0" fontId="16" fillId="29" borderId="11" xfId="9" applyFont="1" applyFill="1" applyBorder="1" applyAlignment="1">
      <alignment horizontal="center"/>
    </xf>
    <xf numFmtId="0" fontId="17" fillId="28" borderId="39" xfId="9" applyFont="1" applyFill="1" applyBorder="1" applyAlignment="1">
      <alignment horizontal="center"/>
    </xf>
    <xf numFmtId="0" fontId="17" fillId="28" borderId="11" xfId="9" applyFont="1" applyFill="1" applyBorder="1" applyAlignment="1">
      <alignment horizontal="center"/>
    </xf>
    <xf numFmtId="0" fontId="17" fillId="27" borderId="1" xfId="9" applyFont="1" applyFill="1" applyBorder="1" applyAlignment="1">
      <alignment horizontal="center"/>
    </xf>
    <xf numFmtId="0" fontId="17" fillId="27" borderId="55" xfId="9" applyFont="1" applyFill="1" applyBorder="1" applyAlignment="1">
      <alignment horizontal="center"/>
    </xf>
    <xf numFmtId="0" fontId="0" fillId="0" borderId="59" xfId="0" applyBorder="1" applyAlignment="1">
      <alignment horizontal="center" vertical="center"/>
    </xf>
    <xf numFmtId="183" fontId="0" fillId="0" borderId="26" xfId="0" applyNumberFormat="1" applyBorder="1" applyAlignment="1">
      <alignment horizontal="center" vertical="center"/>
    </xf>
    <xf numFmtId="0" fontId="5" fillId="6" borderId="23" xfId="1" applyFill="1" applyBorder="1" applyAlignment="1">
      <alignment horizontal="center" vertical="center"/>
    </xf>
    <xf numFmtId="0" fontId="0" fillId="41" borderId="30" xfId="0" applyFill="1" applyBorder="1" applyAlignment="1">
      <alignment horizontal="center" vertical="center"/>
    </xf>
    <xf numFmtId="183" fontId="0" fillId="41" borderId="29" xfId="0" applyNumberFormat="1" applyFill="1" applyBorder="1" applyAlignment="1">
      <alignment horizontal="center" vertical="center"/>
    </xf>
    <xf numFmtId="0" fontId="5" fillId="41" borderId="30" xfId="1" applyFill="1" applyBorder="1" applyAlignment="1">
      <alignment horizontal="center" vertical="center"/>
    </xf>
    <xf numFmtId="183" fontId="5" fillId="41" borderId="29" xfId="1" applyNumberFormat="1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183" fontId="5" fillId="4" borderId="29" xfId="1" applyNumberForma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21" fillId="42" borderId="62" xfId="21" applyFill="1" applyBorder="1" applyAlignment="1">
      <alignment horizontal="center" vertical="center"/>
    </xf>
    <xf numFmtId="0" fontId="21" fillId="0" borderId="63" xfId="21" applyBorder="1" applyAlignment="1">
      <alignment horizontal="center" vertical="center"/>
    </xf>
    <xf numFmtId="0" fontId="5" fillId="43" borderId="10" xfId="1" applyFill="1" applyBorder="1" applyAlignment="1">
      <alignment horizontal="center" vertical="center"/>
    </xf>
    <xf numFmtId="0" fontId="0" fillId="11" borderId="33" xfId="0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21" fillId="0" borderId="13" xfId="21" applyBorder="1" applyAlignment="1">
      <alignment vertical="center"/>
    </xf>
    <xf numFmtId="0" fontId="0" fillId="7" borderId="9" xfId="0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3" fillId="11" borderId="12" xfId="0" applyFont="1" applyFill="1" applyBorder="1" applyAlignment="1">
      <alignment horizontal="center" vertical="center"/>
    </xf>
    <xf numFmtId="0" fontId="0" fillId="23" borderId="0" xfId="0" applyFill="1">
      <alignment vertical="center"/>
    </xf>
    <xf numFmtId="0" fontId="20" fillId="23" borderId="0" xfId="0" applyFont="1" applyFill="1">
      <alignment vertical="center"/>
    </xf>
    <xf numFmtId="0" fontId="3" fillId="11" borderId="0" xfId="0" applyFont="1" applyFill="1">
      <alignment vertical="center"/>
    </xf>
    <xf numFmtId="0" fontId="12" fillId="11" borderId="0" xfId="0" applyFont="1" applyFill="1">
      <alignment vertical="center"/>
    </xf>
    <xf numFmtId="0" fontId="9" fillId="11" borderId="0" xfId="7" applyFill="1"/>
    <xf numFmtId="0" fontId="9" fillId="23" borderId="0" xfId="7" applyFill="1"/>
    <xf numFmtId="0" fontId="0" fillId="4" borderId="31" xfId="0" applyFill="1" applyBorder="1">
      <alignment vertical="center"/>
    </xf>
    <xf numFmtId="2" fontId="0" fillId="4" borderId="32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0" fontId="0" fillId="6" borderId="10" xfId="0" applyFill="1" applyBorder="1">
      <alignment vertical="center"/>
    </xf>
    <xf numFmtId="2" fontId="0" fillId="0" borderId="12" xfId="0" applyNumberFormat="1" applyBorder="1">
      <alignment vertical="center"/>
    </xf>
    <xf numFmtId="0" fontId="0" fillId="8" borderId="7" xfId="0" applyFill="1" applyBorder="1">
      <alignment vertical="center"/>
    </xf>
    <xf numFmtId="2" fontId="0" fillId="8" borderId="9" xfId="0" applyNumberFormat="1" applyFill="1" applyBorder="1">
      <alignment vertical="center"/>
    </xf>
    <xf numFmtId="1" fontId="0" fillId="0" borderId="12" xfId="0" applyNumberFormat="1" applyBorder="1">
      <alignment vertical="center"/>
    </xf>
    <xf numFmtId="0" fontId="0" fillId="3" borderId="10" xfId="0" applyFill="1" applyBorder="1">
      <alignment vertical="center"/>
    </xf>
    <xf numFmtId="0" fontId="0" fillId="8" borderId="13" xfId="0" applyFill="1" applyBorder="1">
      <alignment vertical="center"/>
    </xf>
    <xf numFmtId="0" fontId="13" fillId="11" borderId="0" xfId="0" applyFont="1" applyFill="1">
      <alignment vertical="center"/>
    </xf>
    <xf numFmtId="0" fontId="11" fillId="11" borderId="0" xfId="0" applyFont="1" applyFill="1">
      <alignment vertical="center"/>
    </xf>
    <xf numFmtId="0" fontId="8" fillId="11" borderId="0" xfId="0" applyFont="1" applyFill="1">
      <alignment vertical="center"/>
    </xf>
    <xf numFmtId="0" fontId="10" fillId="11" borderId="0" xfId="0" applyFont="1" applyFill="1">
      <alignment vertical="center"/>
    </xf>
    <xf numFmtId="2" fontId="10" fillId="11" borderId="0" xfId="0" applyNumberFormat="1" applyFont="1" applyFill="1">
      <alignment vertical="center"/>
    </xf>
    <xf numFmtId="2" fontId="0" fillId="11" borderId="0" xfId="0" applyNumberFormat="1" applyFill="1">
      <alignment vertical="center"/>
    </xf>
    <xf numFmtId="0" fontId="10" fillId="0" borderId="13" xfId="0" applyFont="1" applyBorder="1">
      <alignment vertical="center"/>
    </xf>
    <xf numFmtId="2" fontId="10" fillId="0" borderId="14" xfId="0" applyNumberFormat="1" applyFont="1" applyBorder="1">
      <alignment vertical="center"/>
    </xf>
    <xf numFmtId="0" fontId="10" fillId="0" borderId="10" xfId="0" applyFont="1" applyBorder="1">
      <alignment vertical="center"/>
    </xf>
    <xf numFmtId="2" fontId="10" fillId="0" borderId="12" xfId="0" applyNumberFormat="1" applyFont="1" applyBorder="1">
      <alignment vertical="center"/>
    </xf>
    <xf numFmtId="0" fontId="0" fillId="11" borderId="51" xfId="0" applyFill="1" applyBorder="1" applyAlignment="1">
      <alignment horizontal="center" vertical="center"/>
    </xf>
    <xf numFmtId="0" fontId="0" fillId="11" borderId="3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11" borderId="22" xfId="0" applyFill="1" applyBorder="1" applyAlignment="1">
      <alignment horizontal="center" vertical="center"/>
    </xf>
    <xf numFmtId="0" fontId="0" fillId="6" borderId="7" xfId="0" applyFill="1" applyBorder="1">
      <alignment vertical="center"/>
    </xf>
    <xf numFmtId="2" fontId="0" fillId="6" borderId="9" xfId="0" applyNumberFormat="1" applyFill="1" applyBorder="1">
      <alignment vertical="center"/>
    </xf>
    <xf numFmtId="49" fontId="5" fillId="7" borderId="29" xfId="1" applyNumberFormat="1" applyFill="1" applyBorder="1" applyAlignment="1">
      <alignment horizontal="center" vertical="center"/>
    </xf>
    <xf numFmtId="0" fontId="5" fillId="6" borderId="29" xfId="1" applyFill="1" applyBorder="1" applyAlignment="1">
      <alignment horizontal="center" vertical="center"/>
    </xf>
    <xf numFmtId="9" fontId="0" fillId="14" borderId="20" xfId="0" applyNumberFormat="1" applyFill="1" applyBorder="1" applyAlignment="1">
      <alignment horizontal="center" vertical="center"/>
    </xf>
    <xf numFmtId="9" fontId="0" fillId="14" borderId="12" xfId="0" applyNumberFormat="1" applyFill="1" applyBorder="1" applyAlignment="1">
      <alignment horizontal="center" vertical="center"/>
    </xf>
    <xf numFmtId="9" fontId="0" fillId="6" borderId="16" xfId="0" applyNumberFormat="1" applyFill="1" applyBorder="1" applyAlignment="1">
      <alignment horizontal="center" vertical="center"/>
    </xf>
    <xf numFmtId="9" fontId="0" fillId="6" borderId="14" xfId="0" applyNumberFormat="1" applyFill="1" applyBorder="1" applyAlignment="1">
      <alignment horizontal="center" vertical="center"/>
    </xf>
    <xf numFmtId="2" fontId="0" fillId="0" borderId="9" xfId="0" applyNumberFormat="1" applyBorder="1">
      <alignment vertical="center"/>
    </xf>
    <xf numFmtId="0" fontId="0" fillId="11" borderId="0" xfId="0" quotePrefix="1" applyFill="1">
      <alignment vertical="center"/>
    </xf>
    <xf numFmtId="2" fontId="0" fillId="8" borderId="14" xfId="0" applyNumberFormat="1" applyFill="1" applyBorder="1">
      <alignment vertical="center"/>
    </xf>
    <xf numFmtId="0" fontId="0" fillId="5" borderId="13" xfId="0" applyFill="1" applyBorder="1">
      <alignment vertical="center"/>
    </xf>
    <xf numFmtId="2" fontId="0" fillId="5" borderId="14" xfId="0" applyNumberFormat="1" applyFill="1" applyBorder="1">
      <alignment vertical="center"/>
    </xf>
    <xf numFmtId="0" fontId="3" fillId="7" borderId="0" xfId="0" applyFont="1" applyFill="1" applyAlignment="1">
      <alignment horizontal="center" vertical="center"/>
    </xf>
    <xf numFmtId="0" fontId="0" fillId="5" borderId="10" xfId="0" applyFill="1" applyBorder="1">
      <alignment vertical="center"/>
    </xf>
    <xf numFmtId="2" fontId="0" fillId="5" borderId="12" xfId="0" applyNumberFormat="1" applyFill="1" applyBorder="1">
      <alignment vertical="center"/>
    </xf>
    <xf numFmtId="0" fontId="20" fillId="0" borderId="10" xfId="0" applyFont="1" applyBorder="1">
      <alignment vertical="center"/>
    </xf>
    <xf numFmtId="2" fontId="20" fillId="0" borderId="12" xfId="0" applyNumberFormat="1" applyFont="1" applyBorder="1">
      <alignment vertical="center"/>
    </xf>
    <xf numFmtId="0" fontId="0" fillId="11" borderId="12" xfId="0" applyFill="1" applyBorder="1" applyAlignment="1">
      <alignment horizontal="center" vertical="center"/>
    </xf>
    <xf numFmtId="0" fontId="0" fillId="11" borderId="24" xfId="0" applyFill="1" applyBorder="1" applyAlignment="1">
      <alignment horizontal="center" vertical="center"/>
    </xf>
    <xf numFmtId="0" fontId="5" fillId="0" borderId="15" xfId="1" applyBorder="1" applyAlignment="1">
      <alignment horizontal="center" vertical="center"/>
    </xf>
    <xf numFmtId="0" fontId="5" fillId="0" borderId="18" xfId="1" applyBorder="1" applyAlignment="1">
      <alignment horizontal="center" vertical="center"/>
    </xf>
    <xf numFmtId="0" fontId="5" fillId="0" borderId="11" xfId="1" applyBorder="1" applyAlignment="1">
      <alignment horizontal="center" vertical="center"/>
    </xf>
    <xf numFmtId="0" fontId="5" fillId="0" borderId="36" xfId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5" fillId="0" borderId="10" xfId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17" borderId="13" xfId="1" applyFill="1" applyBorder="1" applyAlignment="1">
      <alignment horizontal="center" vertical="center"/>
    </xf>
    <xf numFmtId="0" fontId="5" fillId="44" borderId="13" xfId="1" applyFill="1" applyBorder="1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6" borderId="10" xfId="1" applyFill="1" applyBorder="1" applyAlignment="1">
      <alignment horizontal="center" vertical="center"/>
    </xf>
    <xf numFmtId="0" fontId="0" fillId="11" borderId="7" xfId="0" applyFill="1" applyBorder="1">
      <alignment vertical="center"/>
    </xf>
    <xf numFmtId="0" fontId="0" fillId="11" borderId="8" xfId="0" applyFill="1" applyBorder="1">
      <alignment vertical="center"/>
    </xf>
    <xf numFmtId="0" fontId="0" fillId="11" borderId="11" xfId="0" applyFill="1" applyBorder="1">
      <alignment vertical="center"/>
    </xf>
    <xf numFmtId="0" fontId="0" fillId="11" borderId="12" xfId="0" applyFill="1" applyBorder="1">
      <alignment vertical="center"/>
    </xf>
    <xf numFmtId="0" fontId="0" fillId="22" borderId="28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5" fillId="0" borderId="12" xfId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11" borderId="9" xfId="0" applyFill="1" applyBorder="1">
      <alignment vertical="center"/>
    </xf>
    <xf numFmtId="0" fontId="0" fillId="11" borderId="13" xfId="0" applyFill="1" applyBorder="1">
      <alignment vertical="center"/>
    </xf>
    <xf numFmtId="0" fontId="0" fillId="11" borderId="14" xfId="0" applyFill="1" applyBorder="1">
      <alignment vertical="center"/>
    </xf>
    <xf numFmtId="0" fontId="0" fillId="11" borderId="10" xfId="0" applyFill="1" applyBorder="1">
      <alignment vertical="center"/>
    </xf>
    <xf numFmtId="0" fontId="5" fillId="11" borderId="0" xfId="1" applyFill="1" applyAlignment="1">
      <alignment horizontal="center" vertical="center"/>
    </xf>
    <xf numFmtId="46" fontId="0" fillId="11" borderId="0" xfId="0" applyNumberFormat="1" applyFill="1" applyAlignment="1">
      <alignment horizontal="center" vertical="center"/>
    </xf>
    <xf numFmtId="0" fontId="5" fillId="11" borderId="12" xfId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0" borderId="10" xfId="0" applyFill="1" applyBorder="1" applyAlignment="1">
      <alignment horizontal="center" vertical="center"/>
    </xf>
    <xf numFmtId="184" fontId="0" fillId="6" borderId="29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20" borderId="26" xfId="0" applyFill="1" applyBorder="1" applyAlignment="1">
      <alignment horizontal="center" vertical="center"/>
    </xf>
    <xf numFmtId="0" fontId="0" fillId="20" borderId="30" xfId="0" applyFill="1" applyBorder="1" applyAlignment="1">
      <alignment horizontal="center" vertical="center"/>
    </xf>
    <xf numFmtId="183" fontId="0" fillId="20" borderId="29" xfId="0" applyNumberFormat="1" applyFill="1" applyBorder="1" applyAlignment="1">
      <alignment horizontal="center" vertical="center"/>
    </xf>
    <xf numFmtId="183" fontId="0" fillId="20" borderId="11" xfId="0" applyNumberFormat="1" applyFill="1" applyBorder="1" applyAlignment="1">
      <alignment horizontal="center" vertical="center"/>
    </xf>
    <xf numFmtId="0" fontId="5" fillId="6" borderId="0" xfId="1" applyFill="1" applyAlignment="1">
      <alignment horizontal="center" vertical="center"/>
    </xf>
    <xf numFmtId="49" fontId="5" fillId="11" borderId="30" xfId="1" applyNumberFormat="1" applyFill="1" applyBorder="1" applyAlignment="1">
      <alignment horizontal="center" vertical="center" wrapText="1"/>
    </xf>
    <xf numFmtId="0" fontId="5" fillId="11" borderId="28" xfId="1" applyFill="1" applyBorder="1" applyAlignment="1">
      <alignment horizontal="center" vertical="center"/>
    </xf>
    <xf numFmtId="0" fontId="5" fillId="11" borderId="29" xfId="1" applyFill="1" applyBorder="1" applyAlignment="1">
      <alignment horizontal="center" vertical="center"/>
    </xf>
    <xf numFmtId="0" fontId="3" fillId="0" borderId="0" xfId="1" applyFont="1">
      <alignment vertical="center"/>
    </xf>
    <xf numFmtId="0" fontId="22" fillId="11" borderId="13" xfId="22" applyFill="1" applyBorder="1" applyAlignment="1">
      <alignment vertical="center"/>
    </xf>
    <xf numFmtId="0" fontId="22" fillId="11" borderId="10" xfId="22" applyFill="1" applyBorder="1" applyAlignment="1">
      <alignment vertical="center"/>
    </xf>
    <xf numFmtId="0" fontId="24" fillId="37" borderId="0" xfId="22" applyFont="1" applyFill="1" applyAlignment="1">
      <alignment horizontal="left" vertical="center"/>
    </xf>
    <xf numFmtId="0" fontId="25" fillId="37" borderId="0" xfId="10" applyFont="1" applyFill="1" applyAlignment="1">
      <alignment horizontal="left" vertical="center"/>
    </xf>
    <xf numFmtId="0" fontId="26" fillId="37" borderId="0" xfId="10" applyFont="1" applyFill="1"/>
    <xf numFmtId="0" fontId="27" fillId="31" borderId="23" xfId="10" applyFont="1" applyFill="1" applyBorder="1"/>
    <xf numFmtId="0" fontId="27" fillId="31" borderId="24" xfId="10" applyFont="1" applyFill="1" applyBorder="1"/>
    <xf numFmtId="181" fontId="27" fillId="31" borderId="24" xfId="10" applyNumberFormat="1" applyFont="1" applyFill="1" applyBorder="1"/>
    <xf numFmtId="0" fontId="27" fillId="31" borderId="25" xfId="10" applyFont="1" applyFill="1" applyBorder="1"/>
    <xf numFmtId="0" fontId="28" fillId="24" borderId="26" xfId="10" applyFont="1" applyFill="1" applyBorder="1" applyAlignment="1">
      <alignment horizontal="center" vertical="center"/>
    </xf>
    <xf numFmtId="0" fontId="23" fillId="30" borderId="7" xfId="10" applyFont="1" applyFill="1" applyBorder="1" applyAlignment="1">
      <alignment vertical="center"/>
    </xf>
    <xf numFmtId="0" fontId="23" fillId="30" borderId="8" xfId="10" applyFont="1" applyFill="1" applyBorder="1" applyAlignment="1">
      <alignment vertical="center"/>
    </xf>
    <xf numFmtId="0" fontId="28" fillId="24" borderId="8" xfId="10" applyFont="1" applyFill="1" applyBorder="1" applyAlignment="1">
      <alignment horizontal="center" vertical="center"/>
    </xf>
    <xf numFmtId="0" fontId="28" fillId="36" borderId="9" xfId="10" applyFont="1" applyFill="1" applyBorder="1" applyAlignment="1">
      <alignment horizontal="center" vertical="center"/>
    </xf>
    <xf numFmtId="180" fontId="5" fillId="28" borderId="7" xfId="10" applyNumberFormat="1" applyFont="1" applyFill="1" applyBorder="1" applyAlignment="1">
      <alignment horizontal="center" vertical="center"/>
    </xf>
    <xf numFmtId="0" fontId="26" fillId="30" borderId="44" xfId="10" applyFont="1" applyFill="1" applyBorder="1" applyAlignment="1">
      <alignment horizontal="center"/>
    </xf>
    <xf numFmtId="182" fontId="26" fillId="40" borderId="45" xfId="10" applyNumberFormat="1" applyFont="1" applyFill="1" applyBorder="1"/>
    <xf numFmtId="182" fontId="26" fillId="39" borderId="9" xfId="10" applyNumberFormat="1" applyFont="1" applyFill="1" applyBorder="1"/>
    <xf numFmtId="0" fontId="5" fillId="28" borderId="30" xfId="10" applyFont="1" applyFill="1" applyBorder="1" applyAlignment="1">
      <alignment horizontal="center"/>
    </xf>
    <xf numFmtId="0" fontId="20" fillId="0" borderId="51" xfId="0" applyFont="1" applyBorder="1">
      <alignment vertical="center"/>
    </xf>
    <xf numFmtId="0" fontId="20" fillId="0" borderId="72" xfId="0" applyFont="1" applyBorder="1">
      <alignment vertical="center"/>
    </xf>
    <xf numFmtId="0" fontId="20" fillId="0" borderId="70" xfId="0" applyFont="1" applyBorder="1">
      <alignment vertical="center"/>
    </xf>
    <xf numFmtId="0" fontId="20" fillId="0" borderId="9" xfId="0" applyFont="1" applyBorder="1">
      <alignment vertical="center"/>
    </xf>
    <xf numFmtId="0" fontId="5" fillId="28" borderId="16" xfId="10" applyFont="1" applyFill="1" applyBorder="1" applyAlignment="1">
      <alignment horizontal="center"/>
    </xf>
    <xf numFmtId="0" fontId="5" fillId="28" borderId="41" xfId="10" applyFont="1" applyFill="1" applyBorder="1" applyAlignment="1">
      <alignment horizontal="center"/>
    </xf>
    <xf numFmtId="0" fontId="29" fillId="40" borderId="40" xfId="10" applyFont="1" applyFill="1" applyBorder="1" applyAlignment="1">
      <alignment horizontal="right"/>
    </xf>
    <xf numFmtId="0" fontId="29" fillId="38" borderId="14" xfId="10" applyFont="1" applyFill="1" applyBorder="1" applyAlignment="1">
      <alignment horizontal="right" vertical="center"/>
    </xf>
    <xf numFmtId="180" fontId="5" fillId="28" borderId="13" xfId="10" applyNumberFormat="1" applyFont="1" applyFill="1" applyBorder="1" applyAlignment="1">
      <alignment horizontal="center" vertical="center"/>
    </xf>
    <xf numFmtId="0" fontId="26" fillId="30" borderId="41" xfId="10" applyFont="1" applyFill="1" applyBorder="1"/>
    <xf numFmtId="182" fontId="26" fillId="40" borderId="40" xfId="10" applyNumberFormat="1" applyFont="1" applyFill="1" applyBorder="1"/>
    <xf numFmtId="182" fontId="26" fillId="39" borderId="14" xfId="10" applyNumberFormat="1" applyFont="1" applyFill="1" applyBorder="1"/>
    <xf numFmtId="0" fontId="5" fillId="28" borderId="28" xfId="10" applyFont="1" applyFill="1" applyBorder="1" applyAlignment="1">
      <alignment horizontal="center"/>
    </xf>
    <xf numFmtId="0" fontId="20" fillId="0" borderId="16" xfId="0" applyFont="1" applyBorder="1">
      <alignment vertical="center"/>
    </xf>
    <xf numFmtId="0" fontId="20" fillId="0" borderId="73" xfId="0" applyFont="1" applyBorder="1">
      <alignment vertical="center"/>
    </xf>
    <xf numFmtId="0" fontId="20" fillId="0" borderId="18" xfId="0" applyFont="1" applyBorder="1">
      <alignment vertical="center"/>
    </xf>
    <xf numFmtId="0" fontId="20" fillId="0" borderId="14" xfId="0" applyFont="1" applyBorder="1">
      <alignment vertical="center"/>
    </xf>
    <xf numFmtId="179" fontId="5" fillId="27" borderId="41" xfId="10" applyNumberFormat="1" applyFont="1" applyFill="1" applyBorder="1"/>
    <xf numFmtId="0" fontId="5" fillId="28" borderId="67" xfId="10" applyFont="1" applyFill="1" applyBorder="1" applyAlignment="1">
      <alignment horizontal="center"/>
    </xf>
    <xf numFmtId="0" fontId="20" fillId="0" borderId="52" xfId="10" applyFont="1" applyBorder="1" applyAlignment="1">
      <alignment horizontal="right"/>
    </xf>
    <xf numFmtId="0" fontId="20" fillId="0" borderId="2" xfId="10" applyFont="1" applyBorder="1" applyAlignment="1">
      <alignment horizontal="right"/>
    </xf>
    <xf numFmtId="0" fontId="20" fillId="0" borderId="66" xfId="10" applyFont="1" applyBorder="1" applyAlignment="1">
      <alignment horizontal="right"/>
    </xf>
    <xf numFmtId="0" fontId="20" fillId="0" borderId="35" xfId="10" applyFont="1" applyBorder="1" applyAlignment="1">
      <alignment horizontal="right"/>
    </xf>
    <xf numFmtId="0" fontId="5" fillId="28" borderId="50" xfId="10" applyFont="1" applyFill="1" applyBorder="1" applyAlignment="1">
      <alignment horizontal="center"/>
    </xf>
    <xf numFmtId="0" fontId="5" fillId="28" borderId="43" xfId="10" applyFont="1" applyFill="1" applyBorder="1" applyAlignment="1">
      <alignment horizontal="center"/>
    </xf>
    <xf numFmtId="0" fontId="29" fillId="40" borderId="42" xfId="10" applyFont="1" applyFill="1" applyBorder="1" applyAlignment="1">
      <alignment horizontal="right"/>
    </xf>
    <xf numFmtId="0" fontId="29" fillId="38" borderId="47" xfId="10" applyFont="1" applyFill="1" applyBorder="1" applyAlignment="1">
      <alignment horizontal="right" vertical="center"/>
    </xf>
    <xf numFmtId="0" fontId="5" fillId="27" borderId="28" xfId="10" applyFont="1" applyFill="1" applyBorder="1" applyAlignment="1">
      <alignment horizontal="center"/>
    </xf>
    <xf numFmtId="0" fontId="20" fillId="0" borderId="71" xfId="0" applyFont="1" applyBorder="1">
      <alignment vertical="center"/>
    </xf>
    <xf numFmtId="0" fontId="5" fillId="27" borderId="16" xfId="10" applyFont="1" applyFill="1" applyBorder="1" applyAlignment="1">
      <alignment horizontal="center"/>
    </xf>
    <xf numFmtId="0" fontId="5" fillId="27" borderId="41" xfId="10" applyFont="1" applyFill="1" applyBorder="1" applyAlignment="1">
      <alignment horizontal="center"/>
    </xf>
    <xf numFmtId="180" fontId="5" fillId="28" borderId="46" xfId="10" applyNumberFormat="1" applyFont="1" applyFill="1" applyBorder="1" applyAlignment="1">
      <alignment horizontal="center" vertical="center"/>
    </xf>
    <xf numFmtId="179" fontId="5" fillId="27" borderId="43" xfId="10" applyNumberFormat="1" applyFont="1" applyFill="1" applyBorder="1"/>
    <xf numFmtId="182" fontId="26" fillId="40" borderId="42" xfId="10" applyNumberFormat="1" applyFont="1" applyFill="1" applyBorder="1"/>
    <xf numFmtId="182" fontId="26" fillId="39" borderId="47" xfId="10" applyNumberFormat="1" applyFont="1" applyFill="1" applyBorder="1"/>
    <xf numFmtId="0" fontId="5" fillId="27" borderId="29" xfId="10" applyFont="1" applyFill="1" applyBorder="1" applyAlignment="1">
      <alignment horizontal="center"/>
    </xf>
    <xf numFmtId="0" fontId="20" fillId="0" borderId="20" xfId="0" applyFont="1" applyBorder="1">
      <alignment vertical="center"/>
    </xf>
    <xf numFmtId="0" fontId="20" fillId="0" borderId="74" xfId="0" applyFont="1" applyBorder="1">
      <alignment vertical="center"/>
    </xf>
    <xf numFmtId="0" fontId="20" fillId="0" borderId="36" xfId="0" applyFont="1" applyBorder="1">
      <alignment vertical="center"/>
    </xf>
    <xf numFmtId="0" fontId="20" fillId="0" borderId="12" xfId="0" applyFont="1" applyBorder="1">
      <alignment vertical="center"/>
    </xf>
    <xf numFmtId="0" fontId="5" fillId="27" borderId="20" xfId="10" applyFont="1" applyFill="1" applyBorder="1" applyAlignment="1">
      <alignment horizontal="center"/>
    </xf>
    <xf numFmtId="0" fontId="5" fillId="27" borderId="48" xfId="10" applyFont="1" applyFill="1" applyBorder="1" applyAlignment="1">
      <alignment horizontal="center"/>
    </xf>
    <xf numFmtId="0" fontId="29" fillId="40" borderId="49" xfId="10" applyFont="1" applyFill="1" applyBorder="1" applyAlignment="1">
      <alignment horizontal="right"/>
    </xf>
    <xf numFmtId="0" fontId="29" fillId="38" borderId="12" xfId="10" applyFont="1" applyFill="1" applyBorder="1" applyAlignment="1">
      <alignment horizontal="right" vertical="center"/>
    </xf>
    <xf numFmtId="0" fontId="26" fillId="30" borderId="13" xfId="10" applyFont="1" applyFill="1" applyBorder="1"/>
    <xf numFmtId="0" fontId="26" fillId="30" borderId="10" xfId="10" applyFont="1" applyFill="1" applyBorder="1"/>
    <xf numFmtId="179" fontId="5" fillId="27" borderId="48" xfId="10" applyNumberFormat="1" applyFont="1" applyFill="1" applyBorder="1"/>
    <xf numFmtId="182" fontId="26" fillId="40" borderId="49" xfId="10" applyNumberFormat="1" applyFont="1" applyFill="1" applyBorder="1"/>
    <xf numFmtId="182" fontId="26" fillId="39" borderId="12" xfId="10" applyNumberFormat="1" applyFont="1" applyFill="1" applyBorder="1"/>
    <xf numFmtId="0" fontId="28" fillId="36" borderId="26" xfId="10" applyFont="1" applyFill="1" applyBorder="1" applyAlignment="1">
      <alignment horizontal="center" vertical="center"/>
    </xf>
    <xf numFmtId="0" fontId="5" fillId="28" borderId="7" xfId="10" applyFont="1" applyFill="1" applyBorder="1" applyAlignment="1">
      <alignment horizontal="center"/>
    </xf>
    <xf numFmtId="3" fontId="29" fillId="40" borderId="45" xfId="10" applyNumberFormat="1" applyFont="1" applyFill="1" applyBorder="1"/>
    <xf numFmtId="3" fontId="29" fillId="39" borderId="9" xfId="10" applyNumberFormat="1" applyFont="1" applyFill="1" applyBorder="1"/>
    <xf numFmtId="0" fontId="27" fillId="31" borderId="7" xfId="10" applyFont="1" applyFill="1" applyBorder="1"/>
    <xf numFmtId="0" fontId="27" fillId="31" borderId="8" xfId="10" applyFont="1" applyFill="1" applyBorder="1"/>
    <xf numFmtId="0" fontId="27" fillId="31" borderId="9" xfId="10" applyFont="1" applyFill="1" applyBorder="1"/>
    <xf numFmtId="0" fontId="5" fillId="28" borderId="13" xfId="10" applyFont="1" applyFill="1" applyBorder="1" applyAlignment="1">
      <alignment horizontal="center"/>
    </xf>
    <xf numFmtId="3" fontId="29" fillId="40" borderId="42" xfId="10" applyNumberFormat="1" applyFont="1" applyFill="1" applyBorder="1"/>
    <xf numFmtId="3" fontId="29" fillId="39" borderId="47" xfId="10" applyNumberFormat="1" applyFont="1" applyFill="1" applyBorder="1"/>
    <xf numFmtId="0" fontId="26" fillId="30" borderId="7" xfId="10" applyFont="1" applyFill="1" applyBorder="1"/>
    <xf numFmtId="0" fontId="26" fillId="30" borderId="44" xfId="10" applyFont="1" applyFill="1" applyBorder="1"/>
    <xf numFmtId="3" fontId="29" fillId="40" borderId="40" xfId="10" applyNumberFormat="1" applyFont="1" applyFill="1" applyBorder="1"/>
    <xf numFmtId="3" fontId="29" fillId="39" borderId="14" xfId="10" applyNumberFormat="1" applyFont="1" applyFill="1" applyBorder="1"/>
    <xf numFmtId="0" fontId="26" fillId="30" borderId="46" xfId="10" applyFont="1" applyFill="1" applyBorder="1"/>
    <xf numFmtId="0" fontId="26" fillId="30" borderId="43" xfId="10" applyFont="1" applyFill="1" applyBorder="1"/>
    <xf numFmtId="0" fontId="5" fillId="28" borderId="68" xfId="10" applyFont="1" applyFill="1" applyBorder="1" applyAlignment="1">
      <alignment horizontal="center"/>
    </xf>
    <xf numFmtId="0" fontId="26" fillId="30" borderId="48" xfId="10" applyFont="1" applyFill="1" applyBorder="1"/>
    <xf numFmtId="0" fontId="5" fillId="27" borderId="13" xfId="10" applyFont="1" applyFill="1" applyBorder="1" applyAlignment="1">
      <alignment horizontal="center"/>
    </xf>
    <xf numFmtId="3" fontId="29" fillId="40" borderId="49" xfId="10" applyNumberFormat="1" applyFont="1" applyFill="1" applyBorder="1"/>
    <xf numFmtId="3" fontId="29" fillId="39" borderId="12" xfId="10" applyNumberFormat="1" applyFont="1" applyFill="1" applyBorder="1"/>
    <xf numFmtId="0" fontId="5" fillId="27" borderId="10" xfId="10" applyFont="1" applyFill="1" applyBorder="1" applyAlignment="1">
      <alignment horizontal="center"/>
    </xf>
    <xf numFmtId="0" fontId="0" fillId="7" borderId="14" xfId="0" applyFill="1" applyBorder="1">
      <alignment vertical="center"/>
    </xf>
    <xf numFmtId="0" fontId="0" fillId="7" borderId="12" xfId="0" applyFill="1" applyBorder="1">
      <alignment vertical="center"/>
    </xf>
    <xf numFmtId="2" fontId="0" fillId="7" borderId="14" xfId="0" applyNumberFormat="1" applyFill="1" applyBorder="1">
      <alignment vertical="center"/>
    </xf>
    <xf numFmtId="2" fontId="0" fillId="7" borderId="12" xfId="0" applyNumberFormat="1" applyFill="1" applyBorder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83" fontId="0" fillId="0" borderId="14" xfId="0" applyNumberFormat="1" applyBorder="1" applyAlignment="1">
      <alignment horizontal="center" vertical="center"/>
    </xf>
    <xf numFmtId="183" fontId="5" fillId="6" borderId="25" xfId="1" applyNumberFormat="1" applyFill="1" applyBorder="1" applyAlignment="1">
      <alignment horizontal="center" vertical="center"/>
    </xf>
    <xf numFmtId="0" fontId="0" fillId="6" borderId="65" xfId="0" applyFill="1" applyBorder="1" applyAlignment="1">
      <alignment horizontal="center" vertical="center"/>
    </xf>
    <xf numFmtId="0" fontId="5" fillId="11" borderId="0" xfId="1" applyFill="1">
      <alignment vertical="center"/>
    </xf>
    <xf numFmtId="0" fontId="22" fillId="11" borderId="0" xfId="22" applyFill="1" applyAlignment="1">
      <alignment vertical="center"/>
    </xf>
    <xf numFmtId="0" fontId="5" fillId="11" borderId="0" xfId="1" applyFill="1" applyAlignment="1">
      <alignment vertical="center" wrapText="1"/>
    </xf>
    <xf numFmtId="0" fontId="22" fillId="11" borderId="0" xfId="22" applyFill="1">
      <alignment vertical="center"/>
    </xf>
    <xf numFmtId="2" fontId="0" fillId="5" borderId="14" xfId="6" applyNumberFormat="1" applyFont="1" applyFill="1" applyBorder="1" applyAlignment="1">
      <alignment vertical="center"/>
    </xf>
    <xf numFmtId="0" fontId="11" fillId="21" borderId="23" xfId="0" applyFont="1" applyFill="1" applyBorder="1">
      <alignment vertical="center"/>
    </xf>
    <xf numFmtId="2" fontId="11" fillId="7" borderId="25" xfId="0" applyNumberFormat="1" applyFont="1" applyFill="1" applyBorder="1">
      <alignment vertical="center"/>
    </xf>
    <xf numFmtId="0" fontId="11" fillId="7" borderId="13" xfId="0" applyFont="1" applyFill="1" applyBorder="1">
      <alignment vertical="center"/>
    </xf>
    <xf numFmtId="2" fontId="11" fillId="7" borderId="64" xfId="0" applyNumberFormat="1" applyFont="1" applyFill="1" applyBorder="1">
      <alignment vertical="center"/>
    </xf>
    <xf numFmtId="0" fontId="11" fillId="21" borderId="7" xfId="0" applyFont="1" applyFill="1" applyBorder="1">
      <alignment vertical="center"/>
    </xf>
    <xf numFmtId="2" fontId="11" fillId="7" borderId="9" xfId="0" applyNumberFormat="1" applyFont="1" applyFill="1" applyBorder="1">
      <alignment vertical="center"/>
    </xf>
    <xf numFmtId="0" fontId="11" fillId="21" borderId="10" xfId="0" applyFont="1" applyFill="1" applyBorder="1">
      <alignment vertical="center"/>
    </xf>
    <xf numFmtId="2" fontId="11" fillId="7" borderId="12" xfId="0" applyNumberFormat="1" applyFont="1" applyFill="1" applyBorder="1">
      <alignment vertical="center"/>
    </xf>
    <xf numFmtId="0" fontId="30" fillId="21" borderId="10" xfId="21" applyFont="1" applyFill="1" applyBorder="1" applyAlignment="1">
      <alignment vertical="center"/>
    </xf>
    <xf numFmtId="0" fontId="11" fillId="7" borderId="10" xfId="0" applyFont="1" applyFill="1" applyBorder="1">
      <alignment vertical="center"/>
    </xf>
    <xf numFmtId="1" fontId="11" fillId="7" borderId="64" xfId="0" applyNumberFormat="1" applyFont="1" applyFill="1" applyBorder="1">
      <alignment vertical="center"/>
    </xf>
    <xf numFmtId="0" fontId="22" fillId="11" borderId="0" xfId="22" applyFill="1" applyBorder="1" applyAlignment="1">
      <alignment vertical="center"/>
    </xf>
    <xf numFmtId="0" fontId="12" fillId="11" borderId="7" xfId="0" applyFont="1" applyFill="1" applyBorder="1">
      <alignment vertical="center"/>
    </xf>
    <xf numFmtId="0" fontId="3" fillId="11" borderId="11" xfId="0" applyFont="1" applyFill="1" applyBorder="1">
      <alignment vertical="center"/>
    </xf>
    <xf numFmtId="0" fontId="21" fillId="8" borderId="23" xfId="21" applyFill="1" applyBorder="1" applyAlignment="1">
      <alignment vertical="center"/>
    </xf>
    <xf numFmtId="2" fontId="0" fillId="8" borderId="25" xfId="0" applyNumberFormat="1" applyFill="1" applyBorder="1">
      <alignment vertical="center"/>
    </xf>
    <xf numFmtId="0" fontId="5" fillId="24" borderId="34" xfId="10" applyFont="1" applyFill="1" applyBorder="1" applyAlignment="1">
      <alignment horizontal="center" vertical="center"/>
    </xf>
    <xf numFmtId="0" fontId="5" fillId="24" borderId="69" xfId="10" applyFont="1" applyFill="1" applyBorder="1" applyAlignment="1">
      <alignment horizontal="center" vertical="center"/>
    </xf>
    <xf numFmtId="0" fontId="5" fillId="24" borderId="25" xfId="10" applyFont="1" applyFill="1" applyBorder="1" applyAlignment="1">
      <alignment horizontal="center" vertical="center"/>
    </xf>
    <xf numFmtId="0" fontId="5" fillId="36" borderId="34" xfId="10" applyFont="1" applyFill="1" applyBorder="1" applyAlignment="1">
      <alignment horizontal="center" vertical="center"/>
    </xf>
    <xf numFmtId="0" fontId="5" fillId="36" borderId="65" xfId="10" applyFont="1" applyFill="1" applyBorder="1" applyAlignment="1">
      <alignment horizontal="center" vertical="center"/>
    </xf>
    <xf numFmtId="0" fontId="5" fillId="36" borderId="69" xfId="10" applyFont="1" applyFill="1" applyBorder="1" applyAlignment="1">
      <alignment horizontal="center" vertical="center"/>
    </xf>
    <xf numFmtId="0" fontId="5" fillId="36" borderId="9" xfId="10" applyFont="1" applyFill="1" applyBorder="1" applyAlignment="1">
      <alignment horizontal="center" vertical="center"/>
    </xf>
    <xf numFmtId="0" fontId="5" fillId="43" borderId="7" xfId="1" applyFill="1" applyBorder="1" applyAlignment="1">
      <alignment horizontal="center" vertical="center" wrapText="1"/>
    </xf>
    <xf numFmtId="0" fontId="5" fillId="43" borderId="13" xfId="1" applyFill="1" applyBorder="1" applyAlignment="1">
      <alignment horizontal="center" vertical="center" wrapText="1"/>
    </xf>
    <xf numFmtId="0" fontId="5" fillId="43" borderId="10" xfId="1" applyFill="1" applyBorder="1" applyAlignment="1">
      <alignment horizontal="center" vertical="center" wrapText="1"/>
    </xf>
    <xf numFmtId="0" fontId="5" fillId="41" borderId="7" xfId="1" applyFill="1" applyBorder="1" applyAlignment="1">
      <alignment horizontal="center" vertical="center" wrapText="1"/>
    </xf>
    <xf numFmtId="0" fontId="5" fillId="41" borderId="13" xfId="1" applyFill="1" applyBorder="1" applyAlignment="1">
      <alignment horizontal="center" vertical="center" wrapText="1"/>
    </xf>
    <xf numFmtId="0" fontId="5" fillId="41" borderId="10" xfId="1" applyFill="1" applyBorder="1" applyAlignment="1">
      <alignment horizontal="center" vertical="center" wrapText="1"/>
    </xf>
    <xf numFmtId="49" fontId="5" fillId="21" borderId="30" xfId="1" applyNumberFormat="1" applyFill="1" applyBorder="1" applyAlignment="1">
      <alignment horizontal="center" vertical="center" wrapText="1"/>
    </xf>
    <xf numFmtId="49" fontId="5" fillId="21" borderId="28" xfId="1" applyNumberFormat="1" applyFill="1" applyBorder="1" applyAlignment="1">
      <alignment horizontal="center" vertical="center" wrapText="1"/>
    </xf>
    <xf numFmtId="49" fontId="5" fillId="21" borderId="29" xfId="1" applyNumberFormat="1" applyFill="1" applyBorder="1" applyAlignment="1">
      <alignment horizontal="center" vertical="center" wrapText="1"/>
    </xf>
    <xf numFmtId="49" fontId="5" fillId="15" borderId="7" xfId="1" applyNumberFormat="1" applyFill="1" applyBorder="1" applyAlignment="1">
      <alignment horizontal="center" vertical="center" wrapText="1"/>
    </xf>
    <xf numFmtId="49" fontId="5" fillId="15" borderId="13" xfId="1" applyNumberFormat="1" applyFill="1" applyBorder="1" applyAlignment="1">
      <alignment horizontal="center" vertical="center" wrapText="1"/>
    </xf>
    <xf numFmtId="49" fontId="5" fillId="15" borderId="10" xfId="1" applyNumberFormat="1" applyFill="1" applyBorder="1" applyAlignment="1">
      <alignment horizontal="center" vertical="center" wrapText="1"/>
    </xf>
    <xf numFmtId="49" fontId="5" fillId="10" borderId="7" xfId="1" applyNumberFormat="1" applyFill="1" applyBorder="1" applyAlignment="1">
      <alignment horizontal="center" vertical="center" wrapText="1"/>
    </xf>
    <xf numFmtId="49" fontId="5" fillId="10" borderId="13" xfId="1" applyNumberFormat="1" applyFill="1" applyBorder="1" applyAlignment="1">
      <alignment horizontal="center" vertical="center" wrapText="1"/>
    </xf>
    <xf numFmtId="49" fontId="5" fillId="10" borderId="10" xfId="1" applyNumberFormat="1" applyFill="1" applyBorder="1" applyAlignment="1">
      <alignment horizontal="center" vertical="center" wrapText="1"/>
    </xf>
    <xf numFmtId="49" fontId="5" fillId="17" borderId="7" xfId="1" applyNumberFormat="1" applyFill="1" applyBorder="1" applyAlignment="1">
      <alignment horizontal="center" vertical="center" wrapText="1"/>
    </xf>
    <xf numFmtId="49" fontId="5" fillId="17" borderId="13" xfId="1" applyNumberFormat="1" applyFill="1" applyBorder="1" applyAlignment="1">
      <alignment horizontal="center" vertical="center" wrapText="1"/>
    </xf>
    <xf numFmtId="49" fontId="5" fillId="17" borderId="10" xfId="1" applyNumberFormat="1" applyFill="1" applyBorder="1" applyAlignment="1">
      <alignment horizontal="center" vertical="center" wrapText="1"/>
    </xf>
    <xf numFmtId="49" fontId="5" fillId="2" borderId="7" xfId="1" applyNumberFormat="1" applyFill="1" applyBorder="1" applyAlignment="1">
      <alignment horizontal="center" vertical="center" wrapText="1"/>
    </xf>
    <xf numFmtId="49" fontId="5" fillId="2" borderId="13" xfId="1" applyNumberFormat="1" applyFill="1" applyBorder="1" applyAlignment="1">
      <alignment horizontal="center" vertical="center" wrapText="1"/>
    </xf>
    <xf numFmtId="49" fontId="5" fillId="2" borderId="10" xfId="1" applyNumberFormat="1" applyFill="1" applyBorder="1" applyAlignment="1">
      <alignment horizontal="center" vertical="center" wrapText="1"/>
    </xf>
    <xf numFmtId="49" fontId="5" fillId="7" borderId="7" xfId="1" applyNumberFormat="1" applyFill="1" applyBorder="1" applyAlignment="1">
      <alignment horizontal="center" vertical="center" wrapText="1"/>
    </xf>
    <xf numFmtId="49" fontId="5" fillId="7" borderId="13" xfId="1" applyNumberFormat="1" applyFill="1" applyBorder="1" applyAlignment="1">
      <alignment horizontal="center" vertical="center" wrapText="1"/>
    </xf>
    <xf numFmtId="49" fontId="5" fillId="7" borderId="10" xfId="1" applyNumberFormat="1" applyFill="1" applyBorder="1" applyAlignment="1">
      <alignment horizontal="center" vertical="center" wrapText="1"/>
    </xf>
    <xf numFmtId="0" fontId="5" fillId="19" borderId="7" xfId="1" applyFill="1" applyBorder="1" applyAlignment="1">
      <alignment horizontal="center" vertical="center" wrapText="1"/>
    </xf>
    <xf numFmtId="0" fontId="5" fillId="19" borderId="13" xfId="1" applyFill="1" applyBorder="1" applyAlignment="1">
      <alignment horizontal="center" vertical="center" wrapText="1"/>
    </xf>
    <xf numFmtId="0" fontId="5" fillId="19" borderId="10" xfId="1" applyFill="1" applyBorder="1" applyAlignment="1">
      <alignment horizontal="center" vertical="center" wrapText="1"/>
    </xf>
    <xf numFmtId="49" fontId="5" fillId="13" borderId="7" xfId="1" applyNumberFormat="1" applyFill="1" applyBorder="1" applyAlignment="1">
      <alignment horizontal="center" vertical="center" wrapText="1"/>
    </xf>
    <xf numFmtId="49" fontId="5" fillId="13" borderId="13" xfId="1" applyNumberFormat="1" applyFill="1" applyBorder="1" applyAlignment="1">
      <alignment horizontal="center" vertical="center" wrapText="1"/>
    </xf>
    <xf numFmtId="49" fontId="5" fillId="13" borderId="10" xfId="1" applyNumberFormat="1" applyFill="1" applyBorder="1" applyAlignment="1">
      <alignment horizontal="center" vertical="center" wrapText="1"/>
    </xf>
    <xf numFmtId="0" fontId="5" fillId="6" borderId="7" xfId="1" applyFill="1" applyBorder="1" applyAlignment="1">
      <alignment horizontal="center" vertical="center" wrapText="1"/>
    </xf>
    <xf numFmtId="0" fontId="5" fillId="6" borderId="13" xfId="1" applyFill="1" applyBorder="1" applyAlignment="1">
      <alignment horizontal="center" vertical="center" wrapText="1"/>
    </xf>
    <xf numFmtId="0" fontId="5" fillId="6" borderId="10" xfId="1" applyFill="1" applyBorder="1" applyAlignment="1">
      <alignment horizontal="center" vertical="center" wrapText="1"/>
    </xf>
    <xf numFmtId="0" fontId="5" fillId="16" borderId="7" xfId="1" applyFill="1" applyBorder="1" applyAlignment="1">
      <alignment horizontal="center" vertical="center" wrapText="1"/>
    </xf>
    <xf numFmtId="0" fontId="5" fillId="16" borderId="13" xfId="1" applyFill="1" applyBorder="1" applyAlignment="1">
      <alignment horizontal="center" vertical="center" wrapText="1"/>
    </xf>
    <xf numFmtId="0" fontId="5" fillId="16" borderId="10" xfId="1" applyFill="1" applyBorder="1" applyAlignment="1">
      <alignment horizontal="center" vertical="center" wrapText="1"/>
    </xf>
    <xf numFmtId="0" fontId="5" fillId="14" borderId="7" xfId="1" applyFill="1" applyBorder="1" applyAlignment="1">
      <alignment horizontal="center" vertical="center" wrapText="1"/>
    </xf>
    <xf numFmtId="0" fontId="5" fillId="14" borderId="13" xfId="1" applyFill="1" applyBorder="1" applyAlignment="1">
      <alignment horizontal="center" vertical="center" wrapText="1"/>
    </xf>
    <xf numFmtId="0" fontId="5" fillId="14" borderId="10" xfId="1" applyFill="1" applyBorder="1" applyAlignment="1">
      <alignment horizontal="center" vertical="center" wrapText="1"/>
    </xf>
    <xf numFmtId="0" fontId="5" fillId="12" borderId="7" xfId="1" applyFill="1" applyBorder="1" applyAlignment="1">
      <alignment horizontal="center" vertical="center" wrapText="1"/>
    </xf>
    <xf numFmtId="0" fontId="5" fillId="12" borderId="13" xfId="1" applyFill="1" applyBorder="1" applyAlignment="1">
      <alignment horizontal="center" vertical="center" wrapText="1"/>
    </xf>
    <xf numFmtId="0" fontId="5" fillId="12" borderId="10" xfId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25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11" borderId="4" xfId="0" applyFill="1" applyBorder="1" applyAlignment="1">
      <alignment horizontal="center" vertical="center" wrapText="1"/>
    </xf>
    <xf numFmtId="0" fontId="0" fillId="11" borderId="56" xfId="0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/>
    </xf>
    <xf numFmtId="0" fontId="0" fillId="11" borderId="56" xfId="0" applyFill="1" applyBorder="1" applyAlignment="1">
      <alignment horizontal="center" vertical="center"/>
    </xf>
    <xf numFmtId="0" fontId="0" fillId="11" borderId="59" xfId="0" applyFill="1" applyBorder="1" applyAlignment="1">
      <alignment horizontal="center" vertical="center"/>
    </xf>
    <xf numFmtId="0" fontId="0" fillId="11" borderId="53" xfId="0" applyFill="1" applyBorder="1" applyAlignment="1">
      <alignment horizontal="center" vertical="center"/>
    </xf>
    <xf numFmtId="0" fontId="0" fillId="11" borderId="54" xfId="0" applyFill="1" applyBorder="1" applyAlignment="1">
      <alignment horizontal="center" vertical="center"/>
    </xf>
    <xf numFmtId="0" fontId="0" fillId="11" borderId="53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1" fontId="0" fillId="14" borderId="31" xfId="0" applyNumberFormat="1" applyFill="1" applyBorder="1" applyAlignment="1">
      <alignment horizontal="center" vertical="center"/>
    </xf>
    <xf numFmtId="1" fontId="0" fillId="14" borderId="32" xfId="0" applyNumberFormat="1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0" fillId="11" borderId="31" xfId="0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0" fontId="0" fillId="12" borderId="31" xfId="0" applyFill="1" applyBorder="1" applyAlignment="1">
      <alignment horizontal="center" vertical="center"/>
    </xf>
    <xf numFmtId="0" fontId="0" fillId="12" borderId="32" xfId="0" applyFill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14" borderId="32" xfId="0" applyFill="1" applyBorder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0" fillId="19" borderId="31" xfId="0" applyFill="1" applyBorder="1" applyAlignment="1">
      <alignment horizontal="center" vertical="center"/>
    </xf>
    <xf numFmtId="0" fontId="0" fillId="19" borderId="32" xfId="0" applyFill="1" applyBorder="1" applyAlignment="1">
      <alignment horizontal="center" vertical="center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10" fillId="14" borderId="31" xfId="0" applyFont="1" applyFill="1" applyBorder="1" applyAlignment="1">
      <alignment horizontal="center" vertical="center"/>
    </xf>
    <xf numFmtId="0" fontId="10" fillId="14" borderId="32" xfId="0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5" fillId="34" borderId="46" xfId="10" applyFont="1" applyFill="1" applyBorder="1" applyAlignment="1">
      <alignment horizontal="center"/>
    </xf>
    <xf numFmtId="0" fontId="20" fillId="0" borderId="43" xfId="10" applyFont="1" applyBorder="1"/>
    <xf numFmtId="0" fontId="23" fillId="30" borderId="0" xfId="10" applyFont="1" applyFill="1" applyAlignment="1">
      <alignment horizontal="left" vertical="center"/>
    </xf>
    <xf numFmtId="0" fontId="5" fillId="0" borderId="0" xfId="10" applyFont="1"/>
    <xf numFmtId="0" fontId="26" fillId="37" borderId="0" xfId="10" applyFont="1" applyFill="1" applyAlignment="1">
      <alignment horizontal="right" vertical="center"/>
    </xf>
    <xf numFmtId="0" fontId="5" fillId="11" borderId="0" xfId="10" applyFont="1" applyFill="1"/>
    <xf numFmtId="0" fontId="25" fillId="37" borderId="0" xfId="10" applyFont="1" applyFill="1" applyAlignment="1">
      <alignment horizontal="left" vertical="center"/>
    </xf>
    <xf numFmtId="0" fontId="5" fillId="35" borderId="7" xfId="10" applyFont="1" applyFill="1" applyBorder="1" applyAlignment="1">
      <alignment horizontal="center"/>
    </xf>
    <xf numFmtId="0" fontId="20" fillId="0" borderId="44" xfId="10" applyFont="1" applyBorder="1"/>
    <xf numFmtId="0" fontId="5" fillId="28" borderId="13" xfId="10" applyFont="1" applyFill="1" applyBorder="1" applyAlignment="1">
      <alignment horizontal="center"/>
    </xf>
    <xf numFmtId="0" fontId="20" fillId="0" borderId="41" xfId="10" applyFont="1" applyBorder="1"/>
    <xf numFmtId="0" fontId="5" fillId="28" borderId="46" xfId="10" applyFont="1" applyFill="1" applyBorder="1" applyAlignment="1">
      <alignment horizontal="center"/>
    </xf>
    <xf numFmtId="0" fontId="26" fillId="33" borderId="13" xfId="10" applyFont="1" applyFill="1" applyBorder="1" applyAlignment="1">
      <alignment horizontal="center"/>
    </xf>
    <xf numFmtId="0" fontId="5" fillId="32" borderId="10" xfId="10" applyFont="1" applyFill="1" applyBorder="1" applyAlignment="1">
      <alignment horizontal="center"/>
    </xf>
    <xf numFmtId="0" fontId="20" fillId="0" borderId="48" xfId="10" applyFont="1" applyBorder="1"/>
    <xf numFmtId="0" fontId="15" fillId="0" borderId="0" xfId="9" applyFont="1"/>
    <xf numFmtId="0" fontId="9" fillId="0" borderId="0" xfId="9"/>
    <xf numFmtId="0" fontId="15" fillId="0" borderId="0" xfId="9" applyFont="1" applyAlignment="1">
      <alignment horizontal="center" vertical="center"/>
    </xf>
    <xf numFmtId="0" fontId="16" fillId="29" borderId="11" xfId="9" applyFont="1" applyFill="1" applyBorder="1" applyAlignment="1">
      <alignment horizontal="center"/>
    </xf>
    <xf numFmtId="0" fontId="18" fillId="0" borderId="58" xfId="9" applyFont="1" applyBorder="1"/>
    <xf numFmtId="0" fontId="14" fillId="0" borderId="0" xfId="9" applyFont="1"/>
  </cellXfs>
  <cellStyles count="23">
    <cellStyle name="백분율" xfId="6" builtinId="5"/>
    <cellStyle name="쉼표 [0] 2" xfId="5" xr:uid="{8E587A82-40DC-4B84-85F3-787F48D2F170}"/>
    <cellStyle name="표준" xfId="0" builtinId="0"/>
    <cellStyle name="표준 10" xfId="12" xr:uid="{2C611594-99D5-4E97-86F4-7CA8CF762E8D}"/>
    <cellStyle name="표준 11" xfId="13" xr:uid="{5F17FECA-082F-4D55-B474-07E5EE22F093}"/>
    <cellStyle name="표준 12" xfId="14" xr:uid="{9678E689-C3B0-41B4-8CF7-EFB10E31AD07}"/>
    <cellStyle name="표준 13" xfId="15" xr:uid="{71015E1D-872D-4249-ABC3-7F88B76A9856}"/>
    <cellStyle name="표준 14" xfId="16" xr:uid="{768A9D73-77EE-4B0C-B1E6-14760B62C980}"/>
    <cellStyle name="표준 15" xfId="17" xr:uid="{CBFBC8B9-F435-41A6-B72F-B33AE56482C8}"/>
    <cellStyle name="표준 16" xfId="18" xr:uid="{5E182F60-322E-4C4F-946F-7BC914E6D781}"/>
    <cellStyle name="표준 17" xfId="19" xr:uid="{F50AA711-6E73-4BCF-A1DE-4A9D16F27C3F}"/>
    <cellStyle name="표준 18" xfId="20" xr:uid="{147B113D-AD98-4178-9412-57237F5F5D29}"/>
    <cellStyle name="표준 19" xfId="21" xr:uid="{225F03A8-5B8F-4762-A9EC-72F19F04A0AC}"/>
    <cellStyle name="표준 2" xfId="1" xr:uid="{AB5BB528-60C5-45C7-A82E-9F806A0CB033}"/>
    <cellStyle name="표준 2 2" xfId="2" xr:uid="{BD01292F-52E8-4533-9147-F46C93BB28BA}"/>
    <cellStyle name="표준 3" xfId="3" xr:uid="{AD06C938-5CE3-4A57-98F0-87F21936D027}"/>
    <cellStyle name="표준 4" xfId="4" xr:uid="{EC2A8458-C742-4EE2-8387-B1295ECC1A7A}"/>
    <cellStyle name="표준 5" xfId="7" xr:uid="{C2802B23-AB50-40B6-AB9F-8191D26B1DE5}"/>
    <cellStyle name="표준 6" xfId="8" xr:uid="{51C7FEB2-4903-4051-9CB7-51790FD1B8E5}"/>
    <cellStyle name="표준 7" xfId="9" xr:uid="{5F502A0A-E842-4F2E-B0C2-2B261BA3BF7A}"/>
    <cellStyle name="표준 8" xfId="10" xr:uid="{27B2FDAC-BB4E-4CF7-B8A5-97B5AC4EBED0}"/>
    <cellStyle name="표준 9" xfId="11" xr:uid="{28A8E94D-A3EB-41B3-A69F-C8A3FB6DE197}"/>
    <cellStyle name="하이퍼링크" xfId="22" builtinId="8"/>
  </cellStyles>
  <dxfs count="6">
    <dxf>
      <numFmt numFmtId="185" formatCode="&quot;최&quot;&quot;대&quot;\ &quot;효&quot;&quot;율&quot;"/>
    </dxf>
    <dxf>
      <numFmt numFmtId="185" formatCode="&quot;최&quot;&quot;대&quot;\ &quot;효&quot;&quot;율&quot;"/>
    </dxf>
    <dxf>
      <numFmt numFmtId="185" formatCode="&quot;최&quot;&quot;대&quot;\ &quot;효&quot;&quot;율&quot;"/>
    </dxf>
    <dxf>
      <numFmt numFmtId="185" formatCode="&quot;최&quot;&quot;대&quot;\ &quot;효&quot;&quot;율&quot;"/>
    </dxf>
    <dxf>
      <numFmt numFmtId="185" formatCode="&quot;최&quot;&quot;대&quot;\ &quot;효&quot;&quot;율&quot;"/>
    </dxf>
    <dxf>
      <numFmt numFmtId="185" formatCode="&quot;최&quot;&quot;대&quot;\ &quot;효&quot;&quot;율&quot;"/>
    </dxf>
  </dxfs>
  <tableStyles count="0" defaultTableStyle="TableStyleMedium2" defaultPivotStyle="PivotStyleLight16"/>
  <colors>
    <mruColors>
      <color rgb="FFCCCCFF"/>
      <color rgb="FFFF9999"/>
      <color rgb="FFCCFFFF"/>
      <color rgb="FFE7E6E6"/>
      <color rgb="FF292929"/>
      <color rgb="FF111111"/>
      <color rgb="FFCC99FF"/>
      <color rgb="FFFFCCFF"/>
      <color rgb="FFFF00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loachart.com/rewardcalc" TargetMode="External"/><Relationship Id="rId13" Type="http://schemas.openxmlformats.org/officeDocument/2006/relationships/hyperlink" Target="https://www.loatodo.com/" TargetMode="External"/><Relationship Id="rId3" Type="http://schemas.openxmlformats.org/officeDocument/2006/relationships/hyperlink" Target="https://iloa.gg/" TargetMode="External"/><Relationship Id="rId7" Type="http://schemas.openxmlformats.org/officeDocument/2006/relationships/hyperlink" Target="https://rloa.gg/tools/raid-reward-calc/karma" TargetMode="External"/><Relationship Id="rId12" Type="http://schemas.openxmlformats.org/officeDocument/2006/relationships/hyperlink" Target="https://www.inven.co.kr/board/lostark/4821/102310" TargetMode="External"/><Relationship Id="rId2" Type="http://schemas.openxmlformats.org/officeDocument/2006/relationships/hyperlink" Target="https://kloa.gg/" TargetMode="External"/><Relationship Id="rId1" Type="http://schemas.openxmlformats.org/officeDocument/2006/relationships/hyperlink" Target="https://loawa.com/" TargetMode="External"/><Relationship Id="rId6" Type="http://schemas.openxmlformats.org/officeDocument/2006/relationships/hyperlink" Target="https://lostbuilds.com/" TargetMode="External"/><Relationship Id="rId11" Type="http://schemas.openxmlformats.org/officeDocument/2006/relationships/hyperlink" Target="https://codepen.io/nanaly09/full/KKOOOEN" TargetMode="External"/><Relationship Id="rId5" Type="http://schemas.openxmlformats.org/officeDocument/2006/relationships/hyperlink" Target="https://lopec.kr/" TargetMode="External"/><Relationship Id="rId10" Type="http://schemas.openxmlformats.org/officeDocument/2006/relationships/hyperlink" Target="https://lostgld.com/life-data" TargetMode="External"/><Relationship Id="rId4" Type="http://schemas.openxmlformats.org/officeDocument/2006/relationships/hyperlink" Target="https://zloa.net/" TargetMode="External"/><Relationship Id="rId9" Type="http://schemas.openxmlformats.org/officeDocument/2006/relationships/hyperlink" Target="https://icepeng.com/refining" TargetMode="External"/><Relationship Id="rId14" Type="http://schemas.openxmlformats.org/officeDocument/2006/relationships/hyperlink" Target="https://www.loavesting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ven.co.kr/board/lostark/4821/1014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A4797-3E4E-4A32-8E7C-1B8BEEA3E707}">
  <sheetPr>
    <tabColor theme="7" tint="0.59999389629810485"/>
  </sheetPr>
  <dimension ref="A1:P60"/>
  <sheetViews>
    <sheetView zoomScale="85" zoomScaleNormal="85" workbookViewId="0"/>
  </sheetViews>
  <sheetFormatPr defaultColWidth="0" defaultRowHeight="16.5" zeroHeight="1"/>
  <cols>
    <col min="1" max="1" width="9" style="1" customWidth="1"/>
    <col min="2" max="2" width="16.625" style="1" customWidth="1"/>
    <col min="3" max="3" width="15.25" style="1" customWidth="1"/>
    <col min="4" max="4" width="3.625" style="1" customWidth="1"/>
    <col min="5" max="7" width="15.25" style="1" customWidth="1"/>
    <col min="8" max="8" width="3.625" style="1" customWidth="1"/>
    <col min="9" max="11" width="15.25" style="1" customWidth="1"/>
    <col min="12" max="12" width="3.625" style="1" customWidth="1"/>
    <col min="13" max="15" width="15.25" style="1" customWidth="1"/>
    <col min="16" max="16" width="9" customWidth="1"/>
    <col min="17" max="16384" width="9" style="1" hidden="1"/>
  </cols>
  <sheetData>
    <row r="1" spans="2:16" ht="17.25" thickBot="1"/>
    <row r="2" spans="2:16" ht="17.25" thickBot="1">
      <c r="B2" s="13" t="s">
        <v>150</v>
      </c>
      <c r="C2" s="13" t="s">
        <v>149</v>
      </c>
      <c r="E2" s="233" t="s">
        <v>314</v>
      </c>
    </row>
    <row r="3" spans="2:16" ht="17.25" thickBot="1"/>
    <row r="4" spans="2:16" ht="17.25" thickBot="1">
      <c r="B4" s="35" t="s">
        <v>8</v>
      </c>
      <c r="C4" s="28" t="s">
        <v>7</v>
      </c>
      <c r="D4" s="230"/>
      <c r="E4" s="16" t="s">
        <v>19</v>
      </c>
      <c r="F4" s="29" t="s">
        <v>23</v>
      </c>
      <c r="G4" s="29" t="s">
        <v>22</v>
      </c>
      <c r="H4" s="230"/>
      <c r="I4" s="28" t="s">
        <v>6</v>
      </c>
      <c r="J4" s="29" t="s">
        <v>23</v>
      </c>
      <c r="K4" s="30" t="s">
        <v>26</v>
      </c>
      <c r="L4" s="230"/>
      <c r="M4" s="16" t="s">
        <v>5</v>
      </c>
      <c r="N4" s="29" t="s">
        <v>23</v>
      </c>
      <c r="O4" s="30" t="s">
        <v>25</v>
      </c>
    </row>
    <row r="5" spans="2:16" ht="16.5" customHeight="1">
      <c r="B5" s="370" t="s">
        <v>242</v>
      </c>
      <c r="C5" s="43" t="s">
        <v>3</v>
      </c>
      <c r="D5" s="231"/>
      <c r="E5" s="31">
        <f>I5*0.8</f>
        <v>400</v>
      </c>
      <c r="F5" s="31">
        <v>75</v>
      </c>
      <c r="G5" s="31">
        <v>50</v>
      </c>
      <c r="H5" s="231"/>
      <c r="I5" s="31">
        <v>500</v>
      </c>
      <c r="J5" s="31">
        <v>300</v>
      </c>
      <c r="K5" s="14">
        <v>1</v>
      </c>
      <c r="L5" s="231"/>
      <c r="M5" s="4">
        <v>700</v>
      </c>
      <c r="N5" s="31">
        <v>450</v>
      </c>
      <c r="O5" s="14">
        <v>3</v>
      </c>
      <c r="P5" s="24"/>
    </row>
    <row r="6" spans="2:16">
      <c r="B6" s="371"/>
      <c r="C6" s="44" t="s">
        <v>2</v>
      </c>
      <c r="D6" s="231"/>
      <c r="E6" s="24">
        <f>I6*0.8</f>
        <v>560</v>
      </c>
      <c r="F6" s="24">
        <v>100</v>
      </c>
      <c r="G6" s="24">
        <v>70</v>
      </c>
      <c r="H6" s="231"/>
      <c r="I6" s="24">
        <v>700</v>
      </c>
      <c r="J6" s="24">
        <v>400</v>
      </c>
      <c r="K6" s="15">
        <v>2</v>
      </c>
      <c r="L6" s="231"/>
      <c r="M6" s="2">
        <v>1100</v>
      </c>
      <c r="N6" s="24">
        <v>600</v>
      </c>
      <c r="O6" s="15">
        <v>3</v>
      </c>
    </row>
    <row r="7" spans="2:16" ht="17.25" thickBot="1">
      <c r="B7" s="372"/>
      <c r="C7" s="45" t="s">
        <v>167</v>
      </c>
      <c r="D7" s="231"/>
      <c r="E7" s="32">
        <f>SUM(E5:E6)</f>
        <v>960</v>
      </c>
      <c r="F7" s="27">
        <f t="shared" ref="F7:O7" si="0">SUM(F5:F6)</f>
        <v>175</v>
      </c>
      <c r="G7" s="75">
        <f t="shared" si="0"/>
        <v>120</v>
      </c>
      <c r="H7" s="231"/>
      <c r="I7" s="32">
        <f t="shared" si="0"/>
        <v>1200</v>
      </c>
      <c r="J7" s="27">
        <f t="shared" si="0"/>
        <v>700</v>
      </c>
      <c r="K7" s="33">
        <f t="shared" si="0"/>
        <v>3</v>
      </c>
      <c r="L7" s="231"/>
      <c r="M7" s="3">
        <f t="shared" si="0"/>
        <v>1800</v>
      </c>
      <c r="N7" s="27">
        <f t="shared" si="0"/>
        <v>1050</v>
      </c>
      <c r="O7" s="33">
        <f t="shared" si="0"/>
        <v>6</v>
      </c>
    </row>
    <row r="8" spans="2:16" ht="16.5" customHeight="1">
      <c r="B8" s="373" t="s">
        <v>241</v>
      </c>
      <c r="C8" s="43" t="s">
        <v>3</v>
      </c>
      <c r="D8" s="231"/>
      <c r="E8" s="31">
        <f>I8*0.8</f>
        <v>480</v>
      </c>
      <c r="F8" s="31">
        <v>100</v>
      </c>
      <c r="G8" s="31">
        <v>60</v>
      </c>
      <c r="H8" s="231"/>
      <c r="I8" s="31">
        <v>600</v>
      </c>
      <c r="J8" s="31">
        <v>500</v>
      </c>
      <c r="K8" s="14">
        <v>1</v>
      </c>
      <c r="L8" s="231"/>
      <c r="M8" s="4">
        <v>900</v>
      </c>
      <c r="N8" s="31">
        <v>500</v>
      </c>
      <c r="O8" s="14">
        <v>3</v>
      </c>
      <c r="P8" s="24"/>
    </row>
    <row r="9" spans="2:16">
      <c r="B9" s="374"/>
      <c r="C9" s="44" t="s">
        <v>2</v>
      </c>
      <c r="D9" s="231"/>
      <c r="E9" s="24">
        <f>I9*0.8</f>
        <v>800</v>
      </c>
      <c r="F9" s="24">
        <v>150</v>
      </c>
      <c r="G9" s="24">
        <v>100</v>
      </c>
      <c r="H9" s="231"/>
      <c r="I9" s="24">
        <v>1000</v>
      </c>
      <c r="J9" s="24">
        <v>650</v>
      </c>
      <c r="K9" s="15">
        <v>2</v>
      </c>
      <c r="L9" s="231"/>
      <c r="M9" s="2">
        <v>1500</v>
      </c>
      <c r="N9" s="24">
        <v>650</v>
      </c>
      <c r="O9" s="15">
        <v>3</v>
      </c>
      <c r="P9" s="24"/>
    </row>
    <row r="10" spans="2:16" ht="17.25" thickBot="1">
      <c r="B10" s="375"/>
      <c r="C10" s="46" t="s">
        <v>168</v>
      </c>
      <c r="D10" s="231"/>
      <c r="E10" s="32">
        <f>SUM(E8:E9)</f>
        <v>1280</v>
      </c>
      <c r="F10" s="27">
        <f t="shared" ref="F10:O10" si="1">SUM(F8:F9)</f>
        <v>250</v>
      </c>
      <c r="G10" s="75">
        <f t="shared" si="1"/>
        <v>160</v>
      </c>
      <c r="H10" s="231"/>
      <c r="I10" s="32">
        <f t="shared" si="1"/>
        <v>1600</v>
      </c>
      <c r="J10" s="27">
        <f t="shared" si="1"/>
        <v>1150</v>
      </c>
      <c r="K10" s="33">
        <f t="shared" si="1"/>
        <v>3</v>
      </c>
      <c r="L10" s="231"/>
      <c r="M10" s="3">
        <f t="shared" si="1"/>
        <v>2400</v>
      </c>
      <c r="N10" s="27">
        <f t="shared" si="1"/>
        <v>1150</v>
      </c>
      <c r="O10" s="33">
        <f t="shared" si="1"/>
        <v>6</v>
      </c>
      <c r="P10" s="24"/>
    </row>
    <row r="11" spans="2:16" ht="16.5" customHeight="1">
      <c r="B11" s="376" t="s">
        <v>240</v>
      </c>
      <c r="C11" s="43" t="s">
        <v>3</v>
      </c>
      <c r="D11" s="231"/>
      <c r="E11" s="31">
        <f>I11*0.8</f>
        <v>480</v>
      </c>
      <c r="F11" s="31">
        <v>100</v>
      </c>
      <c r="G11" s="31">
        <v>60</v>
      </c>
      <c r="H11" s="231"/>
      <c r="I11" s="31">
        <v>600</v>
      </c>
      <c r="J11" s="31">
        <v>300</v>
      </c>
      <c r="K11" s="14">
        <v>1</v>
      </c>
      <c r="L11" s="231"/>
      <c r="M11" s="4">
        <v>0</v>
      </c>
      <c r="N11" s="31">
        <v>0</v>
      </c>
      <c r="O11" s="14">
        <v>0</v>
      </c>
      <c r="P11" s="24"/>
    </row>
    <row r="12" spans="2:16">
      <c r="B12" s="377"/>
      <c r="C12" s="44" t="s">
        <v>2</v>
      </c>
      <c r="D12" s="231"/>
      <c r="E12" s="24">
        <f>I12*0.8</f>
        <v>720</v>
      </c>
      <c r="F12" s="24">
        <v>150</v>
      </c>
      <c r="G12" s="24">
        <v>90</v>
      </c>
      <c r="H12" s="231"/>
      <c r="I12" s="24">
        <v>900</v>
      </c>
      <c r="J12" s="24">
        <v>500</v>
      </c>
      <c r="K12" s="15">
        <v>2</v>
      </c>
      <c r="L12" s="231"/>
      <c r="M12" s="2">
        <v>0</v>
      </c>
      <c r="N12" s="24">
        <v>0</v>
      </c>
      <c r="O12" s="15">
        <v>0</v>
      </c>
      <c r="P12" s="24"/>
    </row>
    <row r="13" spans="2:16">
      <c r="B13" s="377"/>
      <c r="C13" s="44" t="s">
        <v>1</v>
      </c>
      <c r="D13" s="231"/>
      <c r="E13" s="24">
        <f>I13*0.8</f>
        <v>1200</v>
      </c>
      <c r="F13" s="24">
        <v>200</v>
      </c>
      <c r="G13" s="24">
        <v>150</v>
      </c>
      <c r="H13" s="231"/>
      <c r="I13" s="24">
        <v>1500</v>
      </c>
      <c r="J13" s="24">
        <v>700</v>
      </c>
      <c r="K13" s="15">
        <v>2</v>
      </c>
      <c r="L13" s="231"/>
      <c r="M13" s="2">
        <v>0</v>
      </c>
      <c r="N13" s="24">
        <v>0</v>
      </c>
      <c r="O13" s="15">
        <v>0</v>
      </c>
      <c r="P13" s="24"/>
    </row>
    <row r="14" spans="2:16" ht="17.25" thickBot="1">
      <c r="B14" s="378"/>
      <c r="C14" s="47" t="s">
        <v>169</v>
      </c>
      <c r="D14" s="231"/>
      <c r="E14" s="32">
        <f>SUM(E11:E13)</f>
        <v>2400</v>
      </c>
      <c r="F14" s="27">
        <f t="shared" ref="F14:O14" si="2">SUM(F11:F13)</f>
        <v>450</v>
      </c>
      <c r="G14" s="75">
        <f t="shared" si="2"/>
        <v>300</v>
      </c>
      <c r="H14" s="231"/>
      <c r="I14" s="32">
        <f t="shared" si="2"/>
        <v>3000</v>
      </c>
      <c r="J14" s="27">
        <f t="shared" si="2"/>
        <v>1500</v>
      </c>
      <c r="K14" s="33">
        <f t="shared" si="2"/>
        <v>5</v>
      </c>
      <c r="L14" s="231"/>
      <c r="M14" s="32">
        <f t="shared" si="2"/>
        <v>0</v>
      </c>
      <c r="N14" s="27">
        <f t="shared" si="2"/>
        <v>0</v>
      </c>
      <c r="O14" s="33">
        <f t="shared" si="2"/>
        <v>0</v>
      </c>
      <c r="P14" s="24"/>
    </row>
    <row r="15" spans="2:16" ht="16.5" customHeight="1">
      <c r="B15" s="379" t="s">
        <v>277</v>
      </c>
      <c r="C15" s="43" t="s">
        <v>3</v>
      </c>
      <c r="D15" s="231"/>
      <c r="E15" s="31">
        <f>I15*0.8</f>
        <v>800</v>
      </c>
      <c r="F15" s="31">
        <v>100</v>
      </c>
      <c r="G15" s="31">
        <v>150</v>
      </c>
      <c r="H15" s="231"/>
      <c r="I15" s="31">
        <v>1000</v>
      </c>
      <c r="J15" s="31">
        <v>250</v>
      </c>
      <c r="K15" s="14">
        <v>4</v>
      </c>
      <c r="L15" s="231"/>
      <c r="M15" s="4">
        <v>1200</v>
      </c>
      <c r="N15" s="31">
        <v>400</v>
      </c>
      <c r="O15" s="14">
        <v>6</v>
      </c>
    </row>
    <row r="16" spans="2:16">
      <c r="B16" s="380"/>
      <c r="C16" s="44" t="s">
        <v>2</v>
      </c>
      <c r="D16" s="231"/>
      <c r="E16" s="24">
        <f>I16*0.8</f>
        <v>800</v>
      </c>
      <c r="F16" s="24">
        <v>150</v>
      </c>
      <c r="G16" s="24">
        <v>150</v>
      </c>
      <c r="H16" s="231"/>
      <c r="I16" s="24">
        <v>1000</v>
      </c>
      <c r="J16" s="24">
        <v>300</v>
      </c>
      <c r="K16" s="15">
        <v>4</v>
      </c>
      <c r="L16" s="231"/>
      <c r="M16" s="2">
        <v>1200</v>
      </c>
      <c r="N16" s="24">
        <v>400</v>
      </c>
      <c r="O16" s="15">
        <v>6</v>
      </c>
      <c r="P16" s="24"/>
    </row>
    <row r="17" spans="2:16">
      <c r="B17" s="380"/>
      <c r="C17" s="44" t="s">
        <v>1</v>
      </c>
      <c r="D17" s="231"/>
      <c r="E17" s="24">
        <f>I17*0.8</f>
        <v>800</v>
      </c>
      <c r="F17" s="24">
        <v>200</v>
      </c>
      <c r="G17" s="24">
        <v>150</v>
      </c>
      <c r="H17" s="231"/>
      <c r="I17" s="24">
        <v>1000</v>
      </c>
      <c r="J17" s="24">
        <v>400</v>
      </c>
      <c r="K17" s="15">
        <v>5</v>
      </c>
      <c r="L17" s="231"/>
      <c r="M17" s="2">
        <v>1200</v>
      </c>
      <c r="N17" s="24">
        <v>500</v>
      </c>
      <c r="O17" s="15">
        <v>7</v>
      </c>
      <c r="P17" s="24"/>
    </row>
    <row r="18" spans="2:16">
      <c r="B18" s="380"/>
      <c r="C18" s="48" t="s">
        <v>170</v>
      </c>
      <c r="D18" s="231"/>
      <c r="E18" s="34">
        <f>SUM(E15:E17)</f>
        <v>2400</v>
      </c>
      <c r="F18" s="34">
        <f t="shared" ref="F18:O18" si="3">SUM(F15:F17)</f>
        <v>450</v>
      </c>
      <c r="G18" s="34">
        <f t="shared" si="3"/>
        <v>450</v>
      </c>
      <c r="H18" s="231"/>
      <c r="I18" s="34">
        <f t="shared" si="3"/>
        <v>3000</v>
      </c>
      <c r="J18" s="34">
        <f t="shared" si="3"/>
        <v>950</v>
      </c>
      <c r="K18" s="23">
        <f t="shared" si="3"/>
        <v>13</v>
      </c>
      <c r="L18" s="231"/>
      <c r="M18" s="22">
        <f t="shared" si="3"/>
        <v>3600</v>
      </c>
      <c r="N18" s="34">
        <f t="shared" si="3"/>
        <v>1300</v>
      </c>
      <c r="O18" s="23">
        <f t="shared" si="3"/>
        <v>19</v>
      </c>
      <c r="P18" s="24"/>
    </row>
    <row r="19" spans="2:16">
      <c r="B19" s="380"/>
      <c r="C19" s="44" t="s">
        <v>4</v>
      </c>
      <c r="D19" s="231"/>
      <c r="E19" s="24">
        <f>I19*0.8</f>
        <v>1280</v>
      </c>
      <c r="F19" s="24">
        <v>375</v>
      </c>
      <c r="G19" s="24">
        <v>250</v>
      </c>
      <c r="H19" s="231"/>
      <c r="I19" s="24">
        <v>1600</v>
      </c>
      <c r="J19" s="24">
        <v>600</v>
      </c>
      <c r="K19" s="15">
        <v>7</v>
      </c>
      <c r="L19" s="231"/>
      <c r="M19" s="2">
        <v>2000</v>
      </c>
      <c r="N19" s="24">
        <v>800</v>
      </c>
      <c r="O19" s="15">
        <v>10</v>
      </c>
      <c r="P19" s="24"/>
    </row>
    <row r="20" spans="2:16" ht="17.25" thickBot="1">
      <c r="B20" s="381"/>
      <c r="C20" s="49" t="s">
        <v>171</v>
      </c>
      <c r="D20" s="231"/>
      <c r="E20" s="32">
        <f>SUM(E18:E19)</f>
        <v>3680</v>
      </c>
      <c r="F20" s="27">
        <f t="shared" ref="F20:O20" si="4">SUM(F18:F19)</f>
        <v>825</v>
      </c>
      <c r="G20" s="75">
        <f t="shared" si="4"/>
        <v>700</v>
      </c>
      <c r="H20" s="231"/>
      <c r="I20" s="32">
        <f t="shared" si="4"/>
        <v>4600</v>
      </c>
      <c r="J20" s="27">
        <f t="shared" si="4"/>
        <v>1550</v>
      </c>
      <c r="K20" s="33">
        <f t="shared" si="4"/>
        <v>20</v>
      </c>
      <c r="L20" s="231"/>
      <c r="M20" s="3">
        <f t="shared" si="4"/>
        <v>5600</v>
      </c>
      <c r="N20" s="27">
        <f t="shared" si="4"/>
        <v>2100</v>
      </c>
      <c r="O20" s="33">
        <f t="shared" si="4"/>
        <v>29</v>
      </c>
      <c r="P20" s="24"/>
    </row>
    <row r="21" spans="2:16" ht="16.5" customHeight="1">
      <c r="B21" s="382" t="s">
        <v>239</v>
      </c>
      <c r="C21" s="43" t="s">
        <v>3</v>
      </c>
      <c r="D21" s="231"/>
      <c r="E21" s="31">
        <f>I21*0.8</f>
        <v>640</v>
      </c>
      <c r="F21" s="31">
        <v>200</v>
      </c>
      <c r="G21" s="31">
        <v>100</v>
      </c>
      <c r="H21" s="231"/>
      <c r="I21" s="31">
        <v>800</v>
      </c>
      <c r="J21" s="31">
        <v>300</v>
      </c>
      <c r="K21" s="14">
        <v>0</v>
      </c>
      <c r="L21" s="231"/>
      <c r="M21" s="4">
        <v>1000</v>
      </c>
      <c r="N21" s="31">
        <v>350</v>
      </c>
      <c r="O21" s="14">
        <v>1</v>
      </c>
      <c r="P21" s="24"/>
    </row>
    <row r="22" spans="2:16">
      <c r="B22" s="383"/>
      <c r="C22" s="44" t="s">
        <v>2</v>
      </c>
      <c r="D22" s="231"/>
      <c r="E22" s="24">
        <f>I22*0.8</f>
        <v>960</v>
      </c>
      <c r="F22" s="24">
        <v>225</v>
      </c>
      <c r="G22" s="24">
        <v>150</v>
      </c>
      <c r="H22" s="231"/>
      <c r="I22" s="24">
        <v>1200</v>
      </c>
      <c r="J22" s="24">
        <v>400</v>
      </c>
      <c r="K22" s="15">
        <v>1</v>
      </c>
      <c r="L22" s="231"/>
      <c r="M22" s="2">
        <v>1600</v>
      </c>
      <c r="N22" s="24">
        <v>500</v>
      </c>
      <c r="O22" s="15">
        <v>1</v>
      </c>
      <c r="P22" s="24"/>
    </row>
    <row r="23" spans="2:16">
      <c r="B23" s="383"/>
      <c r="C23" s="44" t="s">
        <v>1</v>
      </c>
      <c r="D23" s="231"/>
      <c r="E23" s="24">
        <f>I23*0.8</f>
        <v>1280</v>
      </c>
      <c r="F23" s="24">
        <v>300</v>
      </c>
      <c r="G23" s="24">
        <v>200</v>
      </c>
      <c r="H23" s="231"/>
      <c r="I23" s="24">
        <v>1600</v>
      </c>
      <c r="J23" s="24">
        <v>500</v>
      </c>
      <c r="K23" s="15">
        <v>2</v>
      </c>
      <c r="L23" s="231"/>
      <c r="M23" s="2">
        <v>2200</v>
      </c>
      <c r="N23" s="24">
        <v>700</v>
      </c>
      <c r="O23" s="15">
        <v>3</v>
      </c>
      <c r="P23" s="24"/>
    </row>
    <row r="24" spans="2:16" ht="17.25" thickBot="1">
      <c r="B24" s="384"/>
      <c r="C24" s="167" t="s">
        <v>172</v>
      </c>
      <c r="D24" s="231"/>
      <c r="E24" s="32">
        <f>SUM(E21:E23)</f>
        <v>2880</v>
      </c>
      <c r="F24" s="27">
        <f t="shared" ref="F24:O24" si="5">SUM(F21:F23)</f>
        <v>725</v>
      </c>
      <c r="G24" s="75">
        <f t="shared" si="5"/>
        <v>450</v>
      </c>
      <c r="H24" s="231"/>
      <c r="I24" s="32">
        <f t="shared" si="5"/>
        <v>3600</v>
      </c>
      <c r="J24" s="27">
        <f t="shared" si="5"/>
        <v>1200</v>
      </c>
      <c r="K24" s="33">
        <f t="shared" si="5"/>
        <v>3</v>
      </c>
      <c r="L24" s="231"/>
      <c r="M24" s="3">
        <f t="shared" si="5"/>
        <v>4800</v>
      </c>
      <c r="N24" s="27">
        <f t="shared" si="5"/>
        <v>1550</v>
      </c>
      <c r="O24" s="33">
        <f t="shared" si="5"/>
        <v>5</v>
      </c>
      <c r="P24" s="24"/>
    </row>
    <row r="25" spans="2:16" ht="16.5" customHeight="1">
      <c r="B25" s="388" t="s">
        <v>238</v>
      </c>
      <c r="C25" s="43" t="s">
        <v>3</v>
      </c>
      <c r="D25" s="231"/>
      <c r="E25" s="31">
        <f>I25*0.8</f>
        <v>800</v>
      </c>
      <c r="F25" s="31">
        <v>225</v>
      </c>
      <c r="G25" s="31">
        <v>150</v>
      </c>
      <c r="H25" s="231"/>
      <c r="I25" s="31">
        <v>1000</v>
      </c>
      <c r="J25" s="31">
        <v>450</v>
      </c>
      <c r="K25" s="14">
        <v>3</v>
      </c>
      <c r="L25" s="231"/>
      <c r="M25" s="4">
        <v>1500</v>
      </c>
      <c r="N25" s="31">
        <v>600</v>
      </c>
      <c r="O25" s="14">
        <v>7</v>
      </c>
      <c r="P25" s="24"/>
    </row>
    <row r="26" spans="2:16">
      <c r="B26" s="389"/>
      <c r="C26" s="44" t="s">
        <v>2</v>
      </c>
      <c r="D26" s="231"/>
      <c r="E26" s="24">
        <f>I26*0.8</f>
        <v>1440</v>
      </c>
      <c r="F26" s="24">
        <v>275</v>
      </c>
      <c r="G26" s="24">
        <v>200</v>
      </c>
      <c r="H26" s="231"/>
      <c r="I26" s="24">
        <v>1800</v>
      </c>
      <c r="J26" s="24">
        <v>550</v>
      </c>
      <c r="K26" s="15">
        <v>3</v>
      </c>
      <c r="L26" s="231"/>
      <c r="M26" s="2">
        <v>2500</v>
      </c>
      <c r="N26" s="24">
        <v>700</v>
      </c>
      <c r="O26" s="15">
        <v>7</v>
      </c>
      <c r="P26" s="24"/>
    </row>
    <row r="27" spans="2:16">
      <c r="B27" s="389"/>
      <c r="C27" s="44" t="s">
        <v>1</v>
      </c>
      <c r="D27" s="231"/>
      <c r="E27" s="24">
        <f>I27*0.8</f>
        <v>2080</v>
      </c>
      <c r="F27" s="24">
        <v>375</v>
      </c>
      <c r="G27" s="24">
        <v>400</v>
      </c>
      <c r="H27" s="231"/>
      <c r="I27" s="24">
        <v>2600</v>
      </c>
      <c r="J27" s="24">
        <v>750</v>
      </c>
      <c r="K27" s="15">
        <v>5</v>
      </c>
      <c r="L27" s="231"/>
      <c r="M27" s="2">
        <v>3500</v>
      </c>
      <c r="N27" s="24">
        <v>950</v>
      </c>
      <c r="O27" s="15">
        <v>8</v>
      </c>
      <c r="P27" s="24"/>
    </row>
    <row r="28" spans="2:16" ht="17.25" thickBot="1">
      <c r="B28" s="390"/>
      <c r="C28" s="50" t="s">
        <v>173</v>
      </c>
      <c r="D28" s="231"/>
      <c r="E28" s="32">
        <f>SUM(E25:E27)</f>
        <v>4320</v>
      </c>
      <c r="F28" s="27">
        <f t="shared" ref="F28:O28" si="6">SUM(F25:F27)</f>
        <v>875</v>
      </c>
      <c r="G28" s="75">
        <f t="shared" si="6"/>
        <v>750</v>
      </c>
      <c r="H28" s="231"/>
      <c r="I28" s="32">
        <f t="shared" si="6"/>
        <v>5400</v>
      </c>
      <c r="J28" s="27">
        <f t="shared" si="6"/>
        <v>1750</v>
      </c>
      <c r="K28" s="33">
        <f t="shared" si="6"/>
        <v>11</v>
      </c>
      <c r="L28" s="231"/>
      <c r="M28" s="3">
        <f t="shared" si="6"/>
        <v>7500</v>
      </c>
      <c r="N28" s="27">
        <f t="shared" si="6"/>
        <v>2250</v>
      </c>
      <c r="O28" s="33">
        <f t="shared" si="6"/>
        <v>22</v>
      </c>
      <c r="P28" s="24"/>
    </row>
    <row r="29" spans="2:16" ht="16.5" customHeight="1">
      <c r="B29" s="391" t="s">
        <v>237</v>
      </c>
      <c r="C29" s="43" t="s">
        <v>3</v>
      </c>
      <c r="D29" s="231"/>
      <c r="E29" s="31">
        <f>I29*0.8</f>
        <v>1200</v>
      </c>
      <c r="F29" s="31">
        <v>200</v>
      </c>
      <c r="G29" s="31">
        <v>200</v>
      </c>
      <c r="H29" s="231"/>
      <c r="I29" s="31">
        <v>1500</v>
      </c>
      <c r="J29" s="31">
        <v>600</v>
      </c>
      <c r="K29" s="14">
        <v>0</v>
      </c>
      <c r="L29" s="231"/>
      <c r="M29" s="4">
        <v>1750</v>
      </c>
      <c r="N29" s="31">
        <v>620</v>
      </c>
      <c r="O29" s="14">
        <v>0</v>
      </c>
      <c r="P29" s="24"/>
    </row>
    <row r="30" spans="2:16">
      <c r="B30" s="392"/>
      <c r="C30" s="44" t="s">
        <v>2</v>
      </c>
      <c r="D30" s="231"/>
      <c r="E30" s="24">
        <f>I30*0.8</f>
        <v>1600</v>
      </c>
      <c r="F30" s="24">
        <v>350</v>
      </c>
      <c r="G30" s="24">
        <v>250</v>
      </c>
      <c r="H30" s="231"/>
      <c r="I30" s="24">
        <v>2000</v>
      </c>
      <c r="J30" s="24">
        <v>650</v>
      </c>
      <c r="K30" s="15">
        <v>0</v>
      </c>
      <c r="L30" s="231"/>
      <c r="M30" s="2">
        <v>2500</v>
      </c>
      <c r="N30" s="24">
        <v>830</v>
      </c>
      <c r="O30" s="15">
        <v>0</v>
      </c>
      <c r="P30" s="24"/>
    </row>
    <row r="31" spans="2:16">
      <c r="B31" s="392"/>
      <c r="C31" s="44" t="s">
        <v>1</v>
      </c>
      <c r="D31" s="231"/>
      <c r="E31" s="24">
        <f>I31*0.8</f>
        <v>2400</v>
      </c>
      <c r="F31" s="24">
        <v>550</v>
      </c>
      <c r="G31" s="24">
        <v>450</v>
      </c>
      <c r="H31" s="231"/>
      <c r="I31" s="24">
        <v>3000</v>
      </c>
      <c r="J31" s="24">
        <v>1000</v>
      </c>
      <c r="K31" s="15">
        <v>2</v>
      </c>
      <c r="L31" s="231"/>
      <c r="M31" s="2">
        <v>4750</v>
      </c>
      <c r="N31" s="24">
        <v>1550</v>
      </c>
      <c r="O31" s="15">
        <v>2</v>
      </c>
    </row>
    <row r="32" spans="2:16" ht="17.25" thickBot="1">
      <c r="B32" s="393"/>
      <c r="C32" s="168" t="s">
        <v>174</v>
      </c>
      <c r="D32" s="231"/>
      <c r="E32" s="71">
        <f>SUM(E29:E31)</f>
        <v>5200</v>
      </c>
      <c r="F32" s="72">
        <f t="shared" ref="F32:K32" si="7">SUM(F29:F31)</f>
        <v>1100</v>
      </c>
      <c r="G32" s="229">
        <f t="shared" si="7"/>
        <v>900</v>
      </c>
      <c r="H32" s="231"/>
      <c r="I32" s="71">
        <f t="shared" si="7"/>
        <v>6500</v>
      </c>
      <c r="J32" s="72">
        <f t="shared" si="7"/>
        <v>2250</v>
      </c>
      <c r="K32" s="73">
        <f t="shared" si="7"/>
        <v>2</v>
      </c>
      <c r="L32" s="231"/>
      <c r="M32" s="3">
        <f t="shared" ref="M32" si="8">SUM(M29:M31)</f>
        <v>9000</v>
      </c>
      <c r="N32" s="27">
        <f>SUM(N29:N31)</f>
        <v>3000</v>
      </c>
      <c r="O32" s="33">
        <f>SUM(O29:O31)</f>
        <v>2</v>
      </c>
    </row>
    <row r="33" spans="2:16" ht="16.5" customHeight="1">
      <c r="B33" s="394" t="s">
        <v>27</v>
      </c>
      <c r="C33" s="4" t="s">
        <v>10</v>
      </c>
      <c r="D33" s="231"/>
      <c r="E33" s="4">
        <f>I33*0.8</f>
        <v>1600</v>
      </c>
      <c r="F33" s="31">
        <v>450</v>
      </c>
      <c r="G33" s="31">
        <v>250</v>
      </c>
      <c r="H33" s="231"/>
      <c r="I33" s="31">
        <v>2000</v>
      </c>
      <c r="J33" s="31">
        <v>640</v>
      </c>
      <c r="K33" s="14">
        <v>3</v>
      </c>
      <c r="L33" s="231"/>
      <c r="M33" s="31">
        <v>2000</v>
      </c>
      <c r="N33" s="31">
        <v>780</v>
      </c>
      <c r="O33" s="14">
        <v>12</v>
      </c>
    </row>
    <row r="34" spans="2:16">
      <c r="B34" s="395"/>
      <c r="C34" s="2" t="s">
        <v>11</v>
      </c>
      <c r="D34" s="231"/>
      <c r="E34" s="2">
        <f>I34*0.8</f>
        <v>2000</v>
      </c>
      <c r="F34" s="24">
        <v>550</v>
      </c>
      <c r="G34" s="24">
        <v>300</v>
      </c>
      <c r="H34" s="231"/>
      <c r="I34" s="24">
        <v>2500</v>
      </c>
      <c r="J34" s="24">
        <v>830</v>
      </c>
      <c r="K34" s="15">
        <v>4</v>
      </c>
      <c r="L34" s="231"/>
      <c r="M34" s="24">
        <v>3000</v>
      </c>
      <c r="N34" s="24">
        <v>1000</v>
      </c>
      <c r="O34" s="15">
        <v>16</v>
      </c>
    </row>
    <row r="35" spans="2:16">
      <c r="B35" s="395"/>
      <c r="C35" s="2" t="s">
        <v>12</v>
      </c>
      <c r="D35" s="231"/>
      <c r="E35" s="2">
        <f>I35*0.8</f>
        <v>2800</v>
      </c>
      <c r="F35" s="24">
        <v>800</v>
      </c>
      <c r="G35" s="24">
        <v>500</v>
      </c>
      <c r="H35" s="231"/>
      <c r="I35" s="24">
        <v>3500</v>
      </c>
      <c r="J35" s="24">
        <v>1160</v>
      </c>
      <c r="K35" s="15">
        <v>6</v>
      </c>
      <c r="L35" s="231"/>
      <c r="M35" s="24">
        <v>5000</v>
      </c>
      <c r="N35" s="24">
        <v>1440</v>
      </c>
      <c r="O35" s="15">
        <v>24</v>
      </c>
    </row>
    <row r="36" spans="2:16">
      <c r="B36" s="395"/>
      <c r="C36" s="70" t="s">
        <v>170</v>
      </c>
      <c r="D36" s="231"/>
      <c r="E36" s="22">
        <f t="shared" ref="E36:O36" si="9">SUM(E33:E35)</f>
        <v>6400</v>
      </c>
      <c r="F36" s="34">
        <f t="shared" si="9"/>
        <v>1800</v>
      </c>
      <c r="G36" s="34">
        <f t="shared" si="9"/>
        <v>1050</v>
      </c>
      <c r="H36" s="231"/>
      <c r="I36" s="34">
        <f t="shared" si="9"/>
        <v>8000</v>
      </c>
      <c r="J36" s="34">
        <f t="shared" si="9"/>
        <v>2630</v>
      </c>
      <c r="K36" s="23">
        <f t="shared" si="9"/>
        <v>13</v>
      </c>
      <c r="L36" s="231"/>
      <c r="M36" s="34">
        <f t="shared" si="9"/>
        <v>10000</v>
      </c>
      <c r="N36" s="34">
        <f t="shared" si="9"/>
        <v>3220</v>
      </c>
      <c r="O36" s="23">
        <f t="shared" si="9"/>
        <v>52</v>
      </c>
    </row>
    <row r="37" spans="2:16">
      <c r="B37" s="395"/>
      <c r="C37" s="2" t="s">
        <v>13</v>
      </c>
      <c r="D37" s="231"/>
      <c r="E37" s="2">
        <v>0</v>
      </c>
      <c r="F37" s="24">
        <v>0</v>
      </c>
      <c r="G37" s="24">
        <v>0</v>
      </c>
      <c r="H37" s="231"/>
      <c r="I37" s="24">
        <v>0</v>
      </c>
      <c r="J37" s="24">
        <v>0</v>
      </c>
      <c r="K37" s="15">
        <v>0</v>
      </c>
      <c r="L37" s="231"/>
      <c r="M37" s="24">
        <v>5500</v>
      </c>
      <c r="N37" s="24">
        <v>1650</v>
      </c>
      <c r="O37" s="15">
        <v>24</v>
      </c>
      <c r="P37" s="24"/>
    </row>
    <row r="38" spans="2:16" ht="17.25" thickBot="1">
      <c r="B38" s="396"/>
      <c r="C38" s="74" t="s">
        <v>175</v>
      </c>
      <c r="D38" s="231"/>
      <c r="E38" s="3">
        <f t="shared" ref="E38:N38" si="10">SUM(E36:E37)</f>
        <v>6400</v>
      </c>
      <c r="F38" s="27">
        <f t="shared" si="10"/>
        <v>1800</v>
      </c>
      <c r="G38" s="75">
        <f t="shared" si="10"/>
        <v>1050</v>
      </c>
      <c r="H38" s="231"/>
      <c r="I38" s="32">
        <f t="shared" si="10"/>
        <v>8000</v>
      </c>
      <c r="J38" s="27">
        <f t="shared" si="10"/>
        <v>2630</v>
      </c>
      <c r="K38" s="33">
        <f t="shared" si="10"/>
        <v>13</v>
      </c>
      <c r="L38" s="231"/>
      <c r="M38" s="32">
        <f t="shared" si="10"/>
        <v>15500</v>
      </c>
      <c r="N38" s="27">
        <f t="shared" si="10"/>
        <v>4870</v>
      </c>
      <c r="O38" s="33">
        <f t="shared" ref="O38" si="11">SUM(O36:O37)</f>
        <v>76</v>
      </c>
    </row>
    <row r="39" spans="2:16">
      <c r="B39" s="397" t="s">
        <v>236</v>
      </c>
      <c r="C39" s="8" t="s">
        <v>3</v>
      </c>
      <c r="D39" s="231"/>
      <c r="E39" s="31">
        <f>I39*0.8</f>
        <v>2400</v>
      </c>
      <c r="F39" s="31">
        <v>500</v>
      </c>
      <c r="G39" s="31">
        <v>400</v>
      </c>
      <c r="H39" s="231"/>
      <c r="I39" s="31">
        <v>3000</v>
      </c>
      <c r="J39" s="31">
        <v>1100</v>
      </c>
      <c r="K39" s="14">
        <v>3</v>
      </c>
      <c r="L39" s="231"/>
      <c r="M39" s="4">
        <v>3500</v>
      </c>
      <c r="N39" s="31">
        <v>1150</v>
      </c>
      <c r="O39" s="14">
        <v>3</v>
      </c>
    </row>
    <row r="40" spans="2:16">
      <c r="B40" s="398"/>
      <c r="C40" s="10" t="s">
        <v>2</v>
      </c>
      <c r="D40" s="231"/>
      <c r="E40" s="24">
        <f>I40*0.8</f>
        <v>5200</v>
      </c>
      <c r="F40" s="24">
        <v>1100</v>
      </c>
      <c r="G40" s="24">
        <v>550</v>
      </c>
      <c r="H40" s="231"/>
      <c r="I40" s="24">
        <v>6500</v>
      </c>
      <c r="J40" s="24">
        <v>2200</v>
      </c>
      <c r="K40" s="15">
        <v>6</v>
      </c>
      <c r="L40" s="231"/>
      <c r="M40" s="2">
        <v>7500</v>
      </c>
      <c r="N40" s="24">
        <v>2460</v>
      </c>
      <c r="O40" s="15">
        <v>6</v>
      </c>
      <c r="P40" s="24"/>
    </row>
    <row r="41" spans="2:16" ht="17.25" thickBot="1">
      <c r="B41" s="399"/>
      <c r="C41" s="51" t="s">
        <v>176</v>
      </c>
      <c r="D41" s="231"/>
      <c r="E41" s="32">
        <f>SUM(E39:E40)</f>
        <v>7600</v>
      </c>
      <c r="F41" s="27">
        <f t="shared" ref="F41" si="12">SUM(F39:F40)</f>
        <v>1600</v>
      </c>
      <c r="G41" s="75">
        <f>SUM(G39:G40)</f>
        <v>950</v>
      </c>
      <c r="H41" s="231"/>
      <c r="I41" s="32">
        <f t="shared" ref="I41:O41" si="13">SUM(I39:I40)</f>
        <v>9500</v>
      </c>
      <c r="J41" s="27">
        <f t="shared" si="13"/>
        <v>3300</v>
      </c>
      <c r="K41" s="33">
        <f t="shared" si="13"/>
        <v>9</v>
      </c>
      <c r="L41" s="231"/>
      <c r="M41" s="3">
        <f t="shared" si="13"/>
        <v>11000</v>
      </c>
      <c r="N41" s="27">
        <f t="shared" si="13"/>
        <v>3610</v>
      </c>
      <c r="O41" s="33">
        <f t="shared" si="13"/>
        <v>9</v>
      </c>
    </row>
    <row r="42" spans="2:16" ht="16.5" customHeight="1">
      <c r="B42" s="400" t="s">
        <v>235</v>
      </c>
      <c r="C42" s="8" t="s">
        <v>3</v>
      </c>
      <c r="D42" s="231"/>
      <c r="E42" s="31">
        <v>0</v>
      </c>
      <c r="F42" s="31">
        <v>0</v>
      </c>
      <c r="G42" s="31">
        <v>0</v>
      </c>
      <c r="H42" s="231"/>
      <c r="I42" s="31">
        <v>3500</v>
      </c>
      <c r="J42" s="31">
        <v>1150</v>
      </c>
      <c r="K42" s="14">
        <v>10</v>
      </c>
      <c r="L42" s="231"/>
      <c r="M42" s="4">
        <v>0</v>
      </c>
      <c r="N42" s="31">
        <v>0</v>
      </c>
      <c r="O42" s="14">
        <v>0</v>
      </c>
    </row>
    <row r="43" spans="2:16">
      <c r="B43" s="401"/>
      <c r="C43" s="10" t="s">
        <v>2</v>
      </c>
      <c r="D43" s="231"/>
      <c r="E43" s="24">
        <v>0</v>
      </c>
      <c r="F43" s="24">
        <v>0</v>
      </c>
      <c r="G43" s="24">
        <v>0</v>
      </c>
      <c r="H43" s="231"/>
      <c r="I43" s="24">
        <v>7500</v>
      </c>
      <c r="J43" s="24">
        <v>2460</v>
      </c>
      <c r="K43" s="15">
        <v>20</v>
      </c>
      <c r="L43" s="231"/>
      <c r="M43" s="2">
        <v>0</v>
      </c>
      <c r="N43" s="24">
        <v>0</v>
      </c>
      <c r="O43" s="15">
        <v>0</v>
      </c>
    </row>
    <row r="44" spans="2:16" ht="15.75" customHeight="1" thickBot="1">
      <c r="B44" s="402"/>
      <c r="C44" s="52" t="s">
        <v>177</v>
      </c>
      <c r="D44" s="231"/>
      <c r="E44" s="32">
        <f>SUM(E42:E43)</f>
        <v>0</v>
      </c>
      <c r="F44" s="27">
        <f>SUM(F42:F43)</f>
        <v>0</v>
      </c>
      <c r="G44" s="75">
        <f>SUM(G42:G43)</f>
        <v>0</v>
      </c>
      <c r="H44" s="231"/>
      <c r="I44" s="32">
        <f t="shared" ref="I44:N44" si="14">SUM(I42:I43)</f>
        <v>11000</v>
      </c>
      <c r="J44" s="27">
        <f t="shared" si="14"/>
        <v>3610</v>
      </c>
      <c r="K44" s="33">
        <f t="shared" si="14"/>
        <v>30</v>
      </c>
      <c r="L44" s="231"/>
      <c r="M44" s="3">
        <f>SUM(M42:M43)</f>
        <v>0</v>
      </c>
      <c r="N44" s="27">
        <f t="shared" si="14"/>
        <v>0</v>
      </c>
      <c r="O44" s="33">
        <f>SUM(O42:O43)</f>
        <v>0</v>
      </c>
    </row>
    <row r="45" spans="2:16" ht="15.75" customHeight="1">
      <c r="B45" s="385" t="s">
        <v>232</v>
      </c>
      <c r="C45" s="40" t="s">
        <v>3</v>
      </c>
      <c r="D45" s="231"/>
      <c r="E45" s="31">
        <v>0</v>
      </c>
      <c r="F45" s="31">
        <v>0</v>
      </c>
      <c r="G45" s="31">
        <v>0</v>
      </c>
      <c r="H45" s="231"/>
      <c r="I45" s="36">
        <v>5500</v>
      </c>
      <c r="J45" s="36">
        <v>1800</v>
      </c>
      <c r="K45" s="38">
        <v>4</v>
      </c>
      <c r="L45" s="231"/>
      <c r="M45" s="36">
        <v>9000</v>
      </c>
      <c r="N45" s="36">
        <v>4100</v>
      </c>
      <c r="O45" s="38">
        <v>8</v>
      </c>
      <c r="P45" s="37"/>
    </row>
    <row r="46" spans="2:16" ht="15.75" customHeight="1">
      <c r="B46" s="386"/>
      <c r="C46" s="41" t="s">
        <v>2</v>
      </c>
      <c r="D46" s="231"/>
      <c r="E46" s="24">
        <v>0</v>
      </c>
      <c r="F46" s="24">
        <v>0</v>
      </c>
      <c r="G46" s="24">
        <v>0</v>
      </c>
      <c r="H46" s="231"/>
      <c r="I46" s="37">
        <v>12500</v>
      </c>
      <c r="J46" s="37">
        <v>4200</v>
      </c>
      <c r="K46" s="39">
        <v>6</v>
      </c>
      <c r="L46" s="231"/>
      <c r="M46" s="37">
        <v>18500</v>
      </c>
      <c r="N46" s="37">
        <v>6600</v>
      </c>
      <c r="O46" s="39">
        <v>12</v>
      </c>
      <c r="P46" s="37"/>
    </row>
    <row r="47" spans="2:16" ht="15.75" customHeight="1" thickBot="1">
      <c r="B47" s="387"/>
      <c r="C47" s="42" t="s">
        <v>178</v>
      </c>
      <c r="D47" s="231"/>
      <c r="E47" s="32">
        <f t="shared" ref="E47:O47" si="15">SUM(E45:E46)</f>
        <v>0</v>
      </c>
      <c r="F47" s="27">
        <f t="shared" si="15"/>
        <v>0</v>
      </c>
      <c r="G47" s="75">
        <f t="shared" si="15"/>
        <v>0</v>
      </c>
      <c r="H47" s="231"/>
      <c r="I47" s="32">
        <f t="shared" si="15"/>
        <v>18000</v>
      </c>
      <c r="J47" s="27">
        <f t="shared" si="15"/>
        <v>6000</v>
      </c>
      <c r="K47" s="33">
        <f t="shared" si="15"/>
        <v>10</v>
      </c>
      <c r="L47" s="231"/>
      <c r="M47" s="3">
        <f t="shared" si="15"/>
        <v>27500</v>
      </c>
      <c r="N47" s="27">
        <f t="shared" si="15"/>
        <v>10700</v>
      </c>
      <c r="O47" s="33">
        <f t="shared" si="15"/>
        <v>20</v>
      </c>
    </row>
    <row r="48" spans="2:16" ht="15.75" customHeight="1">
      <c r="B48" s="367" t="s">
        <v>233</v>
      </c>
      <c r="C48" s="54" t="s">
        <v>3</v>
      </c>
      <c r="D48" s="231"/>
      <c r="E48" s="31">
        <v>0</v>
      </c>
      <c r="F48" s="31">
        <v>0</v>
      </c>
      <c r="G48" s="31">
        <v>0</v>
      </c>
      <c r="H48" s="231"/>
      <c r="I48" s="31">
        <v>8500</v>
      </c>
      <c r="J48" s="31">
        <v>3800</v>
      </c>
      <c r="K48" s="14">
        <v>4</v>
      </c>
      <c r="L48" s="231"/>
      <c r="M48" s="4">
        <v>10000</v>
      </c>
      <c r="N48" s="31">
        <v>4500</v>
      </c>
      <c r="O48" s="14">
        <v>8</v>
      </c>
      <c r="P48" s="24"/>
    </row>
    <row r="49" spans="2:16" ht="15.75" customHeight="1">
      <c r="B49" s="368"/>
      <c r="C49" s="55" t="s">
        <v>2</v>
      </c>
      <c r="D49" s="231"/>
      <c r="E49" s="24">
        <v>0</v>
      </c>
      <c r="F49" s="24">
        <v>0</v>
      </c>
      <c r="G49" s="24">
        <v>0</v>
      </c>
      <c r="H49" s="231"/>
      <c r="I49" s="24">
        <v>16500</v>
      </c>
      <c r="J49" s="24">
        <v>5200</v>
      </c>
      <c r="K49" s="15">
        <v>6</v>
      </c>
      <c r="L49" s="231"/>
      <c r="M49" s="2">
        <v>20500</v>
      </c>
      <c r="N49" s="24">
        <v>7200</v>
      </c>
      <c r="O49" s="15">
        <v>12</v>
      </c>
    </row>
    <row r="50" spans="2:16" ht="17.25" thickBot="1">
      <c r="B50" s="369"/>
      <c r="C50" s="56" t="s">
        <v>171</v>
      </c>
      <c r="D50" s="231"/>
      <c r="E50" s="32">
        <f>SUM(E48:E49)</f>
        <v>0</v>
      </c>
      <c r="F50" s="27">
        <f t="shared" ref="F50:O50" si="16">SUM(F48:F49)</f>
        <v>0</v>
      </c>
      <c r="G50" s="75">
        <f t="shared" si="16"/>
        <v>0</v>
      </c>
      <c r="H50" s="231"/>
      <c r="I50" s="32">
        <f t="shared" si="16"/>
        <v>25000</v>
      </c>
      <c r="J50" s="27">
        <f t="shared" si="16"/>
        <v>9000</v>
      </c>
      <c r="K50" s="33">
        <f t="shared" si="16"/>
        <v>10</v>
      </c>
      <c r="L50" s="231"/>
      <c r="M50" s="3">
        <f t="shared" si="16"/>
        <v>30500</v>
      </c>
      <c r="N50" s="27">
        <f t="shared" si="16"/>
        <v>11700</v>
      </c>
      <c r="O50" s="33">
        <f t="shared" si="16"/>
        <v>20</v>
      </c>
    </row>
    <row r="51" spans="2:16">
      <c r="B51" s="364" t="s">
        <v>234</v>
      </c>
      <c r="C51" s="43" t="s">
        <v>3</v>
      </c>
      <c r="D51" s="231"/>
      <c r="E51" s="4">
        <v>0</v>
      </c>
      <c r="F51" s="31">
        <v>0</v>
      </c>
      <c r="G51" s="31">
        <v>0</v>
      </c>
      <c r="H51" s="231"/>
      <c r="I51" s="31">
        <v>6000</v>
      </c>
      <c r="J51" s="31">
        <v>2400</v>
      </c>
      <c r="K51" s="14">
        <v>3</v>
      </c>
      <c r="L51" s="231"/>
      <c r="M51" s="4">
        <v>7000</v>
      </c>
      <c r="N51" s="31">
        <v>2700</v>
      </c>
      <c r="O51" s="14">
        <v>3</v>
      </c>
      <c r="P51" s="24"/>
    </row>
    <row r="52" spans="2:16">
      <c r="B52" s="365"/>
      <c r="C52" s="44" t="s">
        <v>2</v>
      </c>
      <c r="D52" s="231"/>
      <c r="E52" s="2">
        <v>0</v>
      </c>
      <c r="F52" s="24">
        <v>0</v>
      </c>
      <c r="G52" s="24">
        <v>0</v>
      </c>
      <c r="H52" s="231"/>
      <c r="I52" s="24">
        <v>9500</v>
      </c>
      <c r="J52" s="24">
        <v>3200</v>
      </c>
      <c r="K52" s="15">
        <v>5</v>
      </c>
      <c r="L52" s="231"/>
      <c r="M52" s="2">
        <v>11000</v>
      </c>
      <c r="N52" s="24">
        <v>4100</v>
      </c>
      <c r="O52" s="15">
        <v>5</v>
      </c>
      <c r="P52" s="24"/>
    </row>
    <row r="53" spans="2:16">
      <c r="B53" s="365"/>
      <c r="C53" s="44" t="s">
        <v>1</v>
      </c>
      <c r="D53" s="231"/>
      <c r="E53" s="2">
        <v>0</v>
      </c>
      <c r="F53" s="24">
        <v>0</v>
      </c>
      <c r="G53" s="24">
        <v>0</v>
      </c>
      <c r="H53" s="231"/>
      <c r="I53" s="24">
        <v>12500</v>
      </c>
      <c r="J53" s="24">
        <v>4200</v>
      </c>
      <c r="K53" s="15">
        <v>10</v>
      </c>
      <c r="L53" s="231"/>
      <c r="M53" s="2">
        <v>20000</v>
      </c>
      <c r="N53" s="24">
        <v>5800</v>
      </c>
      <c r="O53" s="15">
        <v>10</v>
      </c>
      <c r="P53" s="24"/>
    </row>
    <row r="54" spans="2:16" ht="17.25" thickBot="1">
      <c r="B54" s="366"/>
      <c r="C54" s="90" t="s">
        <v>179</v>
      </c>
      <c r="D54" s="231"/>
      <c r="E54" s="3">
        <f>SUM(E51:E53)</f>
        <v>0</v>
      </c>
      <c r="F54" s="27">
        <f t="shared" ref="F54:M54" si="17">SUM(F51:F53)</f>
        <v>0</v>
      </c>
      <c r="G54" s="75">
        <f t="shared" si="17"/>
        <v>0</v>
      </c>
      <c r="H54" s="231"/>
      <c r="I54" s="32">
        <f t="shared" si="17"/>
        <v>28000</v>
      </c>
      <c r="J54" s="27">
        <f t="shared" si="17"/>
        <v>9800</v>
      </c>
      <c r="K54" s="33">
        <f t="shared" si="17"/>
        <v>18</v>
      </c>
      <c r="L54" s="231"/>
      <c r="M54" s="3">
        <f t="shared" si="17"/>
        <v>38000</v>
      </c>
      <c r="N54" s="27">
        <f>SUM(N51:N53)</f>
        <v>12600</v>
      </c>
      <c r="O54" s="33">
        <f>SUM(O51:O53)</f>
        <v>18</v>
      </c>
    </row>
    <row r="55" spans="2:16" ht="16.5" customHeight="1">
      <c r="B55" s="361" t="s">
        <v>166</v>
      </c>
      <c r="C55" s="4" t="s">
        <v>10</v>
      </c>
      <c r="D55" s="231"/>
      <c r="E55" s="4">
        <v>0</v>
      </c>
      <c r="F55" s="31">
        <v>0</v>
      </c>
      <c r="G55" s="31">
        <v>0</v>
      </c>
      <c r="H55" s="231"/>
      <c r="I55" s="31">
        <v>0</v>
      </c>
      <c r="J55" s="31">
        <v>0</v>
      </c>
      <c r="K55" s="14">
        <v>0</v>
      </c>
      <c r="L55" s="231"/>
      <c r="M55" s="31">
        <v>0</v>
      </c>
      <c r="N55" s="31">
        <v>0</v>
      </c>
      <c r="O55" s="14">
        <v>0</v>
      </c>
    </row>
    <row r="56" spans="2:16">
      <c r="B56" s="362"/>
      <c r="C56" s="2" t="s">
        <v>11</v>
      </c>
      <c r="D56" s="231"/>
      <c r="E56" s="2">
        <v>0</v>
      </c>
      <c r="F56" s="24">
        <v>0</v>
      </c>
      <c r="G56" s="24">
        <v>0</v>
      </c>
      <c r="H56" s="231"/>
      <c r="I56" s="24">
        <v>0</v>
      </c>
      <c r="J56" s="24">
        <v>0</v>
      </c>
      <c r="K56" s="15">
        <v>0</v>
      </c>
      <c r="L56" s="231"/>
      <c r="M56" s="24">
        <v>0</v>
      </c>
      <c r="N56" s="24">
        <v>0</v>
      </c>
      <c r="O56" s="15">
        <v>0</v>
      </c>
    </row>
    <row r="57" spans="2:16">
      <c r="B57" s="362"/>
      <c r="C57" s="2" t="s">
        <v>12</v>
      </c>
      <c r="D57" s="231"/>
      <c r="E57" s="2">
        <v>0</v>
      </c>
      <c r="F57" s="24">
        <v>0</v>
      </c>
      <c r="G57" s="24">
        <v>0</v>
      </c>
      <c r="H57" s="231"/>
      <c r="I57" s="24">
        <v>0</v>
      </c>
      <c r="J57" s="24">
        <v>0</v>
      </c>
      <c r="K57" s="15">
        <v>0</v>
      </c>
      <c r="L57" s="231"/>
      <c r="M57" s="24">
        <v>0</v>
      </c>
      <c r="N57" s="24">
        <v>0</v>
      </c>
      <c r="O57" s="15">
        <v>0</v>
      </c>
    </row>
    <row r="58" spans="2:16">
      <c r="B58" s="362"/>
      <c r="C58" s="2" t="s">
        <v>13</v>
      </c>
      <c r="D58" s="231"/>
      <c r="E58" s="2">
        <v>0</v>
      </c>
      <c r="F58" s="24">
        <v>0</v>
      </c>
      <c r="G58" s="24">
        <v>0</v>
      </c>
      <c r="H58" s="231"/>
      <c r="I58" s="24">
        <v>0</v>
      </c>
      <c r="J58" s="24">
        <v>0</v>
      </c>
      <c r="K58" s="15">
        <v>0</v>
      </c>
      <c r="L58" s="231"/>
      <c r="M58" s="24">
        <v>0</v>
      </c>
      <c r="N58" s="24">
        <v>0</v>
      </c>
      <c r="O58" s="15">
        <v>0</v>
      </c>
    </row>
    <row r="59" spans="2:16" ht="17.25" thickBot="1">
      <c r="B59" s="363"/>
      <c r="C59" s="125" t="s">
        <v>180</v>
      </c>
      <c r="D59" s="232"/>
      <c r="E59" s="3">
        <f t="shared" ref="E59:O59" si="18">SUM(E55:E58)</f>
        <v>0</v>
      </c>
      <c r="F59" s="27">
        <f t="shared" si="18"/>
        <v>0</v>
      </c>
      <c r="G59" s="75">
        <f t="shared" si="18"/>
        <v>0</v>
      </c>
      <c r="H59" s="232"/>
      <c r="I59" s="32">
        <f t="shared" si="18"/>
        <v>0</v>
      </c>
      <c r="J59" s="27">
        <f t="shared" si="18"/>
        <v>0</v>
      </c>
      <c r="K59" s="33">
        <f t="shared" si="18"/>
        <v>0</v>
      </c>
      <c r="L59" s="232"/>
      <c r="M59" s="32">
        <f t="shared" si="18"/>
        <v>0</v>
      </c>
      <c r="N59" s="27">
        <f t="shared" si="18"/>
        <v>0</v>
      </c>
      <c r="O59" s="33">
        <f t="shared" si="18"/>
        <v>0</v>
      </c>
    </row>
    <row r="60" spans="2:16">
      <c r="P60" s="24"/>
    </row>
  </sheetData>
  <mergeCells count="14">
    <mergeCell ref="B55:B59"/>
    <mergeCell ref="B51:B54"/>
    <mergeCell ref="B48:B50"/>
    <mergeCell ref="B5:B7"/>
    <mergeCell ref="B8:B10"/>
    <mergeCell ref="B11:B14"/>
    <mergeCell ref="B15:B20"/>
    <mergeCell ref="B21:B24"/>
    <mergeCell ref="B45:B47"/>
    <mergeCell ref="B25:B28"/>
    <mergeCell ref="B29:B32"/>
    <mergeCell ref="B33:B38"/>
    <mergeCell ref="B39:B41"/>
    <mergeCell ref="B42:B44"/>
  </mergeCells>
  <phoneticPr fontId="2" type="noConversion"/>
  <pageMargins left="0.7" right="0.7" top="0.75" bottom="0.75" header="0.3" footer="0.3"/>
  <pageSetup paperSize="9" orientation="portrait" horizontalDpi="200" verticalDpi="200" r:id="rId1"/>
  <ignoredErrors>
    <ignoredError sqref="E32 E28 E24 E20 E18 E14 E10 E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B5440-7FD5-486D-A671-C44A39522DAA}">
  <sheetPr>
    <tabColor theme="8" tint="0.59999389629810485"/>
  </sheetPr>
  <dimension ref="A1:AC38"/>
  <sheetViews>
    <sheetView zoomScale="85" zoomScaleNormal="85" workbookViewId="0"/>
  </sheetViews>
  <sheetFormatPr defaultColWidth="0" defaultRowHeight="16.5" zeroHeight="1"/>
  <cols>
    <col min="1" max="1" width="9" style="5" customWidth="1"/>
    <col min="2" max="2" width="11.625" style="5" bestFit="1" customWidth="1"/>
    <col min="3" max="21" width="11" style="5" customWidth="1"/>
    <col min="22" max="22" width="15.875" style="5" bestFit="1" customWidth="1"/>
    <col min="23" max="23" width="11" style="5" customWidth="1"/>
    <col min="24" max="24" width="9" style="5" customWidth="1"/>
    <col min="25" max="25" width="9" style="5" hidden="1" customWidth="1"/>
    <col min="26" max="29" width="13.75" style="5" hidden="1" customWidth="1"/>
    <col min="30" max="16384" width="9" style="5" hidden="1"/>
  </cols>
  <sheetData>
    <row r="1" spans="1:23" ht="17.25" thickBot="1">
      <c r="M1" s="9"/>
      <c r="P1" s="9"/>
      <c r="Q1" s="9"/>
    </row>
    <row r="2" spans="1:23" ht="17.25" customHeight="1" thickBot="1">
      <c r="B2" s="58"/>
      <c r="C2" s="67"/>
      <c r="D2" s="67"/>
      <c r="E2" s="67"/>
      <c r="F2" s="67"/>
      <c r="G2" s="67"/>
      <c r="H2" s="67"/>
      <c r="I2" s="67"/>
      <c r="J2" s="67" t="s">
        <v>20</v>
      </c>
      <c r="K2" s="67"/>
      <c r="L2" s="67"/>
      <c r="M2" s="184"/>
      <c r="N2" s="67"/>
      <c r="O2" s="67"/>
      <c r="P2" s="184"/>
      <c r="Q2" s="67"/>
      <c r="R2" s="67"/>
      <c r="S2" s="67"/>
      <c r="T2" s="67"/>
      <c r="U2" s="67"/>
      <c r="V2" s="67"/>
      <c r="W2" s="93"/>
    </row>
    <row r="3" spans="1:23" ht="17.25" customHeight="1">
      <c r="A3" s="195" t="s">
        <v>119</v>
      </c>
      <c r="B3" s="26" t="s">
        <v>263</v>
      </c>
      <c r="C3" s="17" t="s">
        <v>261</v>
      </c>
      <c r="D3" s="17" t="s">
        <v>15</v>
      </c>
      <c r="E3" s="18" t="s">
        <v>24</v>
      </c>
      <c r="F3" s="18" t="s">
        <v>151</v>
      </c>
      <c r="G3" s="18" t="s">
        <v>37</v>
      </c>
      <c r="H3" s="18" t="s">
        <v>55</v>
      </c>
      <c r="I3" s="68" t="s">
        <v>127</v>
      </c>
      <c r="J3" s="18" t="s">
        <v>258</v>
      </c>
      <c r="K3" s="64" t="s">
        <v>28</v>
      </c>
      <c r="L3" s="18" t="s">
        <v>29</v>
      </c>
      <c r="M3" s="18" t="s">
        <v>123</v>
      </c>
      <c r="N3" s="18" t="s">
        <v>35</v>
      </c>
      <c r="O3" s="69" t="s">
        <v>122</v>
      </c>
      <c r="P3" s="68" t="s">
        <v>143</v>
      </c>
      <c r="Q3" s="53" t="s">
        <v>275</v>
      </c>
      <c r="R3" s="53">
        <v>1</v>
      </c>
      <c r="S3" s="53">
        <v>2</v>
      </c>
      <c r="T3" s="53">
        <v>3</v>
      </c>
      <c r="U3" s="113" t="s">
        <v>145</v>
      </c>
      <c r="V3" s="63"/>
      <c r="W3" s="94"/>
    </row>
    <row r="4" spans="1:23" ht="17.25" customHeight="1">
      <c r="A4" s="92" t="s">
        <v>121</v>
      </c>
      <c r="B4" s="26"/>
      <c r="C4" s="192" t="s">
        <v>268</v>
      </c>
      <c r="D4" s="2">
        <v>1720</v>
      </c>
      <c r="E4" s="24" t="s">
        <v>36</v>
      </c>
      <c r="F4" s="24" t="s">
        <v>265</v>
      </c>
      <c r="G4" s="24" t="s">
        <v>264</v>
      </c>
      <c r="H4" s="24" t="s">
        <v>54</v>
      </c>
      <c r="I4" s="15" t="s">
        <v>74</v>
      </c>
      <c r="J4" s="24">
        <v>38000</v>
      </c>
      <c r="K4" s="185"/>
      <c r="L4" s="24"/>
      <c r="M4" s="24"/>
      <c r="N4" s="24">
        <v>30500</v>
      </c>
      <c r="O4" s="24">
        <v>38000</v>
      </c>
      <c r="P4" s="95">
        <f t="shared" ref="P4:P9" si="0">SUM(J4:O4)</f>
        <v>106500</v>
      </c>
      <c r="Q4" s="5">
        <v>6000</v>
      </c>
      <c r="R4" s="5">
        <v>0</v>
      </c>
      <c r="S4" s="5">
        <v>0</v>
      </c>
      <c r="T4" s="5">
        <v>0</v>
      </c>
      <c r="U4" s="19">
        <f t="shared" ref="U4:U9" si="1">SUM(Q4:T4)</f>
        <v>6000</v>
      </c>
      <c r="V4" s="63"/>
      <c r="W4" s="96"/>
    </row>
    <row r="5" spans="1:23" ht="17.25" customHeight="1">
      <c r="A5" s="194" t="s">
        <v>120</v>
      </c>
      <c r="B5" s="26"/>
      <c r="C5" s="57" t="s">
        <v>269</v>
      </c>
      <c r="D5" s="2" t="s">
        <v>268</v>
      </c>
      <c r="E5" s="24" t="s">
        <v>268</v>
      </c>
      <c r="F5" s="24" t="s">
        <v>268</v>
      </c>
      <c r="G5" s="24" t="s">
        <v>268</v>
      </c>
      <c r="H5" s="24" t="s">
        <v>268</v>
      </c>
      <c r="I5" s="15" t="s">
        <v>268</v>
      </c>
      <c r="J5" s="24"/>
      <c r="K5" s="185"/>
      <c r="L5" s="24"/>
      <c r="M5" s="24"/>
      <c r="N5" s="24"/>
      <c r="O5" s="24"/>
      <c r="P5" s="95">
        <f t="shared" si="0"/>
        <v>0</v>
      </c>
      <c r="Q5" s="5">
        <v>0</v>
      </c>
      <c r="R5" s="5">
        <v>0</v>
      </c>
      <c r="S5" s="5">
        <v>0</v>
      </c>
      <c r="T5" s="5">
        <v>0</v>
      </c>
      <c r="U5" s="19">
        <f t="shared" si="1"/>
        <v>0</v>
      </c>
      <c r="V5" s="63"/>
      <c r="W5" s="96"/>
    </row>
    <row r="6" spans="1:23" ht="17.25" customHeight="1">
      <c r="A6" s="61"/>
      <c r="B6" s="26"/>
      <c r="C6" s="193" t="s">
        <v>270</v>
      </c>
      <c r="D6" s="2" t="s">
        <v>269</v>
      </c>
      <c r="E6" s="24" t="s">
        <v>269</v>
      </c>
      <c r="F6" s="24" t="s">
        <v>269</v>
      </c>
      <c r="G6" s="24" t="s">
        <v>269</v>
      </c>
      <c r="H6" s="24" t="s">
        <v>269</v>
      </c>
      <c r="I6" s="15" t="s">
        <v>269</v>
      </c>
      <c r="J6" s="24"/>
      <c r="K6" s="185"/>
      <c r="L6" s="24"/>
      <c r="M6" s="24"/>
      <c r="N6" s="24"/>
      <c r="O6" s="24"/>
      <c r="P6" s="95">
        <f t="shared" si="0"/>
        <v>0</v>
      </c>
      <c r="Q6" s="5">
        <v>0</v>
      </c>
      <c r="R6" s="5">
        <v>0</v>
      </c>
      <c r="S6" s="5">
        <v>0</v>
      </c>
      <c r="T6" s="5">
        <v>0</v>
      </c>
      <c r="U6" s="19">
        <f t="shared" si="1"/>
        <v>0</v>
      </c>
      <c r="V6" s="63"/>
      <c r="W6" s="96"/>
    </row>
    <row r="7" spans="1:23" ht="17.25" customHeight="1">
      <c r="A7" s="328" t="s">
        <v>276</v>
      </c>
      <c r="B7" s="11"/>
      <c r="C7" s="11" t="s">
        <v>271</v>
      </c>
      <c r="D7" s="2" t="s">
        <v>270</v>
      </c>
      <c r="E7" s="24" t="s">
        <v>270</v>
      </c>
      <c r="F7" s="24" t="s">
        <v>270</v>
      </c>
      <c r="G7" s="24" t="s">
        <v>270</v>
      </c>
      <c r="H7" s="24" t="s">
        <v>270</v>
      </c>
      <c r="I7" s="15" t="s">
        <v>270</v>
      </c>
      <c r="K7" s="185"/>
      <c r="L7" s="24"/>
      <c r="M7" s="24"/>
      <c r="P7" s="95">
        <f t="shared" si="0"/>
        <v>0</v>
      </c>
      <c r="Q7" s="5">
        <v>0</v>
      </c>
      <c r="R7" s="5">
        <v>0</v>
      </c>
      <c r="S7" s="5">
        <v>0</v>
      </c>
      <c r="T7" s="5">
        <v>0</v>
      </c>
      <c r="U7" s="19">
        <f t="shared" si="1"/>
        <v>0</v>
      </c>
      <c r="V7" s="63"/>
      <c r="W7" s="96"/>
    </row>
    <row r="8" spans="1:23" ht="17.25" customHeight="1" thickBot="1">
      <c r="A8" s="329" t="s">
        <v>278</v>
      </c>
      <c r="B8" s="26"/>
      <c r="C8" s="2" t="s">
        <v>272</v>
      </c>
      <c r="D8" s="2" t="s">
        <v>271</v>
      </c>
      <c r="E8" s="24" t="s">
        <v>271</v>
      </c>
      <c r="F8" s="24" t="s">
        <v>271</v>
      </c>
      <c r="G8" s="24" t="s">
        <v>271</v>
      </c>
      <c r="H8" s="24" t="s">
        <v>271</v>
      </c>
      <c r="I8" s="15" t="s">
        <v>271</v>
      </c>
      <c r="J8" s="24"/>
      <c r="K8" s="185"/>
      <c r="L8" s="24"/>
      <c r="M8" s="24"/>
      <c r="N8" s="24"/>
      <c r="O8" s="24"/>
      <c r="P8" s="95">
        <f t="shared" si="0"/>
        <v>0</v>
      </c>
      <c r="Q8" s="5">
        <v>0</v>
      </c>
      <c r="R8" s="5">
        <v>0</v>
      </c>
      <c r="S8" s="5">
        <v>0</v>
      </c>
      <c r="T8" s="5">
        <v>0</v>
      </c>
      <c r="U8" s="19">
        <f t="shared" si="1"/>
        <v>0</v>
      </c>
      <c r="V8" s="63"/>
      <c r="W8" s="96"/>
    </row>
    <row r="9" spans="1:23" ht="17.25" customHeight="1" thickBot="1">
      <c r="B9" s="26"/>
      <c r="C9" s="12" t="s">
        <v>273</v>
      </c>
      <c r="D9" s="190" t="s">
        <v>272</v>
      </c>
      <c r="E9" s="187" t="s">
        <v>272</v>
      </c>
      <c r="F9" s="187" t="s">
        <v>272</v>
      </c>
      <c r="G9" s="187" t="s">
        <v>272</v>
      </c>
      <c r="H9" s="187" t="s">
        <v>272</v>
      </c>
      <c r="I9" s="209" t="s">
        <v>272</v>
      </c>
      <c r="J9" s="9"/>
      <c r="K9" s="189"/>
      <c r="L9" s="187"/>
      <c r="M9" s="187"/>
      <c r="N9" s="187"/>
      <c r="O9" s="9"/>
      <c r="P9" s="95">
        <f t="shared" si="0"/>
        <v>0</v>
      </c>
      <c r="Q9" s="9">
        <v>0</v>
      </c>
      <c r="R9" s="9">
        <v>0</v>
      </c>
      <c r="S9" s="9">
        <v>0</v>
      </c>
      <c r="T9" s="9">
        <v>0</v>
      </c>
      <c r="U9" s="20">
        <f t="shared" si="1"/>
        <v>0</v>
      </c>
      <c r="V9" s="116" t="s">
        <v>259</v>
      </c>
      <c r="W9" s="96"/>
    </row>
    <row r="10" spans="1:23" ht="17.25" customHeight="1" thickBot="1">
      <c r="B10" s="26"/>
      <c r="C10" s="333" t="s">
        <v>320</v>
      </c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115" t="s">
        <v>144</v>
      </c>
      <c r="O10" s="332">
        <f>P25*2.5</f>
        <v>6600</v>
      </c>
      <c r="P10" s="331">
        <f>SUM(P4:P9)+O10</f>
        <v>113100</v>
      </c>
      <c r="Q10" s="25"/>
      <c r="R10" s="333"/>
      <c r="S10" s="333"/>
      <c r="T10" s="333"/>
      <c r="U10" s="114">
        <f>SUM(U4:U9)</f>
        <v>6000</v>
      </c>
      <c r="V10" s="117">
        <f>P10-U10</f>
        <v>107100</v>
      </c>
      <c r="W10" s="96"/>
    </row>
    <row r="11" spans="1:23" ht="17.25" customHeight="1">
      <c r="B11" s="26"/>
      <c r="C11" s="333" t="s">
        <v>317</v>
      </c>
      <c r="D11" s="333"/>
      <c r="E11" s="334" t="s">
        <v>318</v>
      </c>
      <c r="F11" s="333"/>
      <c r="G11" s="335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120" t="s">
        <v>260</v>
      </c>
      <c r="W11" s="96"/>
    </row>
    <row r="12" spans="1:23" ht="17.25" customHeight="1" thickBot="1">
      <c r="B12" s="26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121">
        <f>V10+(V20*0.95)</f>
        <v>148995</v>
      </c>
      <c r="W12" s="96"/>
    </row>
    <row r="13" spans="1:23" ht="17.25" customHeight="1">
      <c r="B13" s="26" t="s">
        <v>262</v>
      </c>
      <c r="C13" s="17" t="s">
        <v>261</v>
      </c>
      <c r="D13" s="17" t="s">
        <v>15</v>
      </c>
      <c r="E13" s="18" t="s">
        <v>24</v>
      </c>
      <c r="F13" s="18" t="s">
        <v>151</v>
      </c>
      <c r="G13" s="18" t="s">
        <v>37</v>
      </c>
      <c r="H13" s="18" t="s">
        <v>55</v>
      </c>
      <c r="I13" s="68" t="s">
        <v>127</v>
      </c>
      <c r="J13" s="17" t="s">
        <v>9</v>
      </c>
      <c r="K13" s="18" t="s">
        <v>17</v>
      </c>
      <c r="L13" s="18" t="s">
        <v>21</v>
      </c>
      <c r="M13" s="65" t="s">
        <v>20</v>
      </c>
      <c r="N13" s="18" t="s">
        <v>28</v>
      </c>
      <c r="O13" s="69" t="s">
        <v>29</v>
      </c>
      <c r="P13" s="68" t="s">
        <v>143</v>
      </c>
      <c r="Q13" s="53" t="s">
        <v>275</v>
      </c>
      <c r="R13" s="53">
        <v>1</v>
      </c>
      <c r="S13" s="53">
        <v>2</v>
      </c>
      <c r="T13" s="53">
        <v>3</v>
      </c>
      <c r="U13" s="113" t="s">
        <v>145</v>
      </c>
      <c r="V13" s="216"/>
      <c r="W13" s="96"/>
    </row>
    <row r="14" spans="1:23" ht="17.25" customHeight="1">
      <c r="B14" s="26"/>
      <c r="C14" s="192" t="s">
        <v>268</v>
      </c>
      <c r="D14" s="2">
        <v>1640</v>
      </c>
      <c r="E14" s="24" t="s">
        <v>36</v>
      </c>
      <c r="F14" s="24" t="s">
        <v>265</v>
      </c>
      <c r="G14" s="24" t="s">
        <v>264</v>
      </c>
      <c r="H14" s="24" t="s">
        <v>308</v>
      </c>
      <c r="I14" s="15" t="s">
        <v>18</v>
      </c>
      <c r="J14" s="2"/>
      <c r="K14" s="24"/>
      <c r="L14" s="24"/>
      <c r="M14" s="186">
        <v>15500</v>
      </c>
      <c r="N14" s="24">
        <v>11000</v>
      </c>
      <c r="O14" s="186">
        <v>11000</v>
      </c>
      <c r="P14" s="15">
        <f t="shared" ref="P14:P19" si="2">SUM(J14:O14)</f>
        <v>37500</v>
      </c>
      <c r="Q14" s="5">
        <v>0</v>
      </c>
      <c r="R14" s="5">
        <v>0</v>
      </c>
      <c r="S14" s="5">
        <v>0</v>
      </c>
      <c r="T14" s="5">
        <v>0</v>
      </c>
      <c r="U14" s="19">
        <f t="shared" ref="U14:U19" si="3">SUM(Q14:T14)</f>
        <v>0</v>
      </c>
      <c r="V14" s="216"/>
      <c r="W14" s="96"/>
    </row>
    <row r="15" spans="1:23" ht="17.25" customHeight="1">
      <c r="B15" s="26"/>
      <c r="C15" s="57" t="s">
        <v>269</v>
      </c>
      <c r="D15" s="2" t="s">
        <v>268</v>
      </c>
      <c r="E15" s="24" t="s">
        <v>268</v>
      </c>
      <c r="F15" s="24" t="s">
        <v>268</v>
      </c>
      <c r="G15" s="24" t="s">
        <v>268</v>
      </c>
      <c r="H15" s="24" t="s">
        <v>268</v>
      </c>
      <c r="I15" s="15" t="s">
        <v>268</v>
      </c>
      <c r="J15" s="2"/>
      <c r="K15" s="24"/>
      <c r="L15" s="24"/>
      <c r="M15" s="186"/>
      <c r="N15" s="24"/>
      <c r="O15" s="186"/>
      <c r="P15" s="15">
        <f t="shared" si="2"/>
        <v>0</v>
      </c>
      <c r="Q15" s="5">
        <v>0</v>
      </c>
      <c r="R15" s="5">
        <v>0</v>
      </c>
      <c r="S15" s="5">
        <v>0</v>
      </c>
      <c r="T15" s="5">
        <v>0</v>
      </c>
      <c r="U15" s="19">
        <f t="shared" si="3"/>
        <v>0</v>
      </c>
      <c r="V15" s="216"/>
      <c r="W15" s="96"/>
    </row>
    <row r="16" spans="1:23" ht="17.25" customHeight="1">
      <c r="B16" s="26"/>
      <c r="C16" s="193" t="s">
        <v>270</v>
      </c>
      <c r="D16" s="2" t="s">
        <v>269</v>
      </c>
      <c r="E16" s="24" t="s">
        <v>269</v>
      </c>
      <c r="F16" s="24" t="s">
        <v>269</v>
      </c>
      <c r="G16" s="24" t="s">
        <v>269</v>
      </c>
      <c r="H16" s="24" t="s">
        <v>269</v>
      </c>
      <c r="I16" s="15" t="s">
        <v>269</v>
      </c>
      <c r="J16" s="2"/>
      <c r="K16" s="24"/>
      <c r="L16" s="24"/>
      <c r="M16" s="186"/>
      <c r="N16" s="24"/>
      <c r="O16" s="186"/>
      <c r="P16" s="15">
        <f t="shared" si="2"/>
        <v>0</v>
      </c>
      <c r="Q16" s="5">
        <v>0</v>
      </c>
      <c r="R16" s="5">
        <v>0</v>
      </c>
      <c r="S16" s="5">
        <v>0</v>
      </c>
      <c r="T16" s="5">
        <v>0</v>
      </c>
      <c r="U16" s="19">
        <f t="shared" si="3"/>
        <v>0</v>
      </c>
      <c r="V16" s="216"/>
      <c r="W16" s="96"/>
    </row>
    <row r="17" spans="2:23" ht="17.25" customHeight="1">
      <c r="B17" s="26"/>
      <c r="C17" s="2" t="s">
        <v>271</v>
      </c>
      <c r="D17" s="2" t="s">
        <v>270</v>
      </c>
      <c r="E17" s="24" t="s">
        <v>270</v>
      </c>
      <c r="F17" s="24" t="s">
        <v>270</v>
      </c>
      <c r="G17" s="24" t="s">
        <v>270</v>
      </c>
      <c r="H17" s="24" t="s">
        <v>270</v>
      </c>
      <c r="I17" s="15" t="s">
        <v>270</v>
      </c>
      <c r="J17" s="2"/>
      <c r="K17" s="24"/>
      <c r="L17" s="24"/>
      <c r="M17" s="186"/>
      <c r="N17" s="24"/>
      <c r="O17" s="186"/>
      <c r="P17" s="15">
        <f t="shared" si="2"/>
        <v>0</v>
      </c>
      <c r="Q17" s="5">
        <v>0</v>
      </c>
      <c r="R17" s="5">
        <v>0</v>
      </c>
      <c r="S17" s="5">
        <v>0</v>
      </c>
      <c r="T17" s="5">
        <v>0</v>
      </c>
      <c r="U17" s="19">
        <f t="shared" si="3"/>
        <v>0</v>
      </c>
      <c r="V17" s="216"/>
      <c r="W17" s="96"/>
    </row>
    <row r="18" spans="2:23" ht="17.25" customHeight="1" thickBot="1">
      <c r="B18" s="26"/>
      <c r="C18" s="2" t="s">
        <v>272</v>
      </c>
      <c r="D18" s="2" t="s">
        <v>271</v>
      </c>
      <c r="E18" s="24" t="s">
        <v>271</v>
      </c>
      <c r="F18" s="24" t="s">
        <v>271</v>
      </c>
      <c r="G18" s="24" t="s">
        <v>271</v>
      </c>
      <c r="H18" s="24" t="s">
        <v>271</v>
      </c>
      <c r="I18" s="15" t="s">
        <v>271</v>
      </c>
      <c r="J18" s="11"/>
      <c r="K18" s="196"/>
      <c r="L18" s="196"/>
      <c r="M18" s="186"/>
      <c r="O18" s="210"/>
      <c r="P18" s="15">
        <f t="shared" si="2"/>
        <v>0</v>
      </c>
      <c r="Q18" s="5">
        <v>0</v>
      </c>
      <c r="R18" s="5">
        <v>0</v>
      </c>
      <c r="S18" s="5">
        <v>0</v>
      </c>
      <c r="T18" s="5">
        <v>0</v>
      </c>
      <c r="U18" s="19">
        <f t="shared" si="3"/>
        <v>0</v>
      </c>
      <c r="V18" s="216"/>
      <c r="W18" s="94"/>
    </row>
    <row r="19" spans="2:23" ht="17.25" customHeight="1" thickBot="1">
      <c r="B19" s="26"/>
      <c r="C19" s="190" t="s">
        <v>273</v>
      </c>
      <c r="D19" s="190" t="s">
        <v>272</v>
      </c>
      <c r="E19" s="187" t="s">
        <v>272</v>
      </c>
      <c r="F19" s="187" t="s">
        <v>272</v>
      </c>
      <c r="G19" s="187" t="s">
        <v>272</v>
      </c>
      <c r="H19" s="187" t="s">
        <v>272</v>
      </c>
      <c r="I19" s="209" t="s">
        <v>272</v>
      </c>
      <c r="J19" s="12"/>
      <c r="K19" s="191"/>
      <c r="L19" s="187"/>
      <c r="M19" s="188"/>
      <c r="N19" s="187"/>
      <c r="O19" s="211"/>
      <c r="P19" s="15">
        <f t="shared" si="2"/>
        <v>0</v>
      </c>
      <c r="Q19" s="9">
        <v>0</v>
      </c>
      <c r="R19" s="9">
        <v>0</v>
      </c>
      <c r="S19" s="9">
        <v>0</v>
      </c>
      <c r="T19" s="9">
        <v>0</v>
      </c>
      <c r="U19" s="19">
        <f t="shared" si="3"/>
        <v>0</v>
      </c>
      <c r="V19" s="118" t="s">
        <v>259</v>
      </c>
      <c r="W19" s="94"/>
    </row>
    <row r="20" spans="2:23" ht="17.25" customHeight="1" thickBot="1">
      <c r="B20" s="26"/>
      <c r="C20" s="217"/>
      <c r="D20" s="63"/>
      <c r="E20" s="63"/>
      <c r="F20" s="63"/>
      <c r="G20" s="63"/>
      <c r="H20" s="63"/>
      <c r="I20" s="63"/>
      <c r="J20" s="216"/>
      <c r="K20" s="216"/>
      <c r="L20" s="216"/>
      <c r="M20" s="216"/>
      <c r="N20" s="197" t="s">
        <v>144</v>
      </c>
      <c r="O20" s="332">
        <f>P25*2.5</f>
        <v>6600</v>
      </c>
      <c r="P20" s="331">
        <f>SUM(P14:P19)+O20</f>
        <v>44100</v>
      </c>
      <c r="Q20" s="63"/>
      <c r="R20" s="63"/>
      <c r="S20" s="63"/>
      <c r="T20" s="63"/>
      <c r="U20" s="114">
        <f>SUM(U14:U19)</f>
        <v>0</v>
      </c>
      <c r="V20" s="119">
        <f>P20-U20</f>
        <v>44100</v>
      </c>
      <c r="W20" s="94"/>
    </row>
    <row r="21" spans="2:23" ht="17.25" customHeight="1" thickBot="1">
      <c r="B21" s="59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9"/>
      <c r="R21" s="21"/>
      <c r="S21" s="21"/>
      <c r="T21" s="21"/>
      <c r="U21" s="9"/>
      <c r="V21" s="21"/>
      <c r="W21" s="218"/>
    </row>
    <row r="22" spans="2:23" ht="17.25" customHeight="1" thickBot="1">
      <c r="B22" s="26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94"/>
    </row>
    <row r="23" spans="2:23" ht="17.25" customHeight="1" thickBot="1">
      <c r="B23" s="26"/>
      <c r="C23" s="410" t="s">
        <v>45</v>
      </c>
      <c r="D23" s="411"/>
      <c r="E23" s="411"/>
      <c r="F23" s="411"/>
      <c r="G23" s="411"/>
      <c r="H23" s="412"/>
      <c r="I23" s="63"/>
      <c r="J23" s="63"/>
      <c r="K23" s="63"/>
      <c r="L23" s="63"/>
      <c r="M23" s="63"/>
      <c r="N23" s="63"/>
      <c r="O23" s="408" t="s">
        <v>165</v>
      </c>
      <c r="P23" s="409"/>
      <c r="Q23" s="63"/>
      <c r="R23" s="405" t="s">
        <v>266</v>
      </c>
      <c r="S23" s="406"/>
      <c r="T23" s="406"/>
      <c r="U23" s="406"/>
      <c r="V23" s="407"/>
      <c r="W23" s="94"/>
    </row>
    <row r="24" spans="2:23" ht="17.25" customHeight="1" thickBot="1">
      <c r="B24" s="26"/>
      <c r="C24" s="417" t="s">
        <v>38</v>
      </c>
      <c r="D24" s="418" t="s">
        <v>124</v>
      </c>
      <c r="E24" s="418"/>
      <c r="F24" s="420" t="s">
        <v>69</v>
      </c>
      <c r="G24" s="420" t="s">
        <v>70</v>
      </c>
      <c r="H24" s="422"/>
      <c r="I24" s="63"/>
      <c r="J24" s="63"/>
      <c r="K24" s="63"/>
      <c r="L24" s="63"/>
      <c r="M24" s="63"/>
      <c r="N24" s="63"/>
      <c r="O24" s="11" t="s">
        <v>14</v>
      </c>
      <c r="P24" s="61">
        <v>2330</v>
      </c>
      <c r="Q24" s="63"/>
      <c r="R24" s="225" t="s">
        <v>160</v>
      </c>
      <c r="S24" s="207" t="s">
        <v>30</v>
      </c>
      <c r="T24" s="207" t="s">
        <v>31</v>
      </c>
      <c r="U24" s="207" t="s">
        <v>146</v>
      </c>
      <c r="V24" s="208" t="s">
        <v>34</v>
      </c>
      <c r="W24" s="94"/>
    </row>
    <row r="25" spans="2:23" ht="17.25" customHeight="1" thickBot="1">
      <c r="B25" s="26"/>
      <c r="C25" s="403"/>
      <c r="D25" s="419"/>
      <c r="E25" s="419"/>
      <c r="F25" s="421"/>
      <c r="G25" s="421"/>
      <c r="H25" s="423"/>
      <c r="I25" s="63"/>
      <c r="J25" s="63"/>
      <c r="K25" s="63"/>
      <c r="L25" s="63"/>
      <c r="M25" s="63"/>
      <c r="N25" s="63"/>
      <c r="O25" s="12" t="s">
        <v>73</v>
      </c>
      <c r="P25" s="62">
        <v>2640</v>
      </c>
      <c r="Q25" s="63"/>
      <c r="R25" s="222" t="s">
        <v>32</v>
      </c>
      <c r="S25" s="5">
        <v>1</v>
      </c>
      <c r="T25" s="5">
        <v>1</v>
      </c>
      <c r="U25" s="5">
        <v>1</v>
      </c>
      <c r="V25" s="330">
        <v>110</v>
      </c>
      <c r="W25" s="94"/>
    </row>
    <row r="26" spans="2:23" ht="17.25" customHeight="1" thickBot="1">
      <c r="B26" s="26"/>
      <c r="C26" s="424" t="s">
        <v>63</v>
      </c>
      <c r="D26" s="419" t="s">
        <v>125</v>
      </c>
      <c r="E26" s="419"/>
      <c r="F26" s="421" t="s">
        <v>267</v>
      </c>
      <c r="G26" s="419" t="s">
        <v>126</v>
      </c>
      <c r="H26" s="425"/>
      <c r="I26" s="63"/>
      <c r="J26" s="63"/>
      <c r="K26" s="63"/>
      <c r="L26" s="63"/>
      <c r="M26" s="63"/>
      <c r="N26" s="63"/>
      <c r="O26" s="63"/>
      <c r="P26" s="63"/>
      <c r="Q26" s="63"/>
      <c r="R26" s="223" t="s">
        <v>0</v>
      </c>
      <c r="S26" s="219">
        <v>3700</v>
      </c>
      <c r="T26" s="219">
        <v>10</v>
      </c>
      <c r="U26" s="219">
        <v>10</v>
      </c>
      <c r="V26" s="226" t="s">
        <v>16</v>
      </c>
      <c r="W26" s="94"/>
    </row>
    <row r="27" spans="2:23" ht="17.25" customHeight="1" thickBot="1">
      <c r="B27" s="26"/>
      <c r="C27" s="424"/>
      <c r="D27" s="419"/>
      <c r="E27" s="419"/>
      <c r="F27" s="421"/>
      <c r="G27" s="419"/>
      <c r="H27" s="425"/>
      <c r="I27" s="63"/>
      <c r="J27" s="63"/>
      <c r="K27" s="63"/>
      <c r="L27" s="63"/>
      <c r="M27" s="204" t="s">
        <v>152</v>
      </c>
      <c r="N27" s="205" t="s">
        <v>153</v>
      </c>
      <c r="O27" s="205" t="s">
        <v>154</v>
      </c>
      <c r="P27" s="206" t="s">
        <v>155</v>
      </c>
      <c r="Q27" s="63"/>
      <c r="R27" s="224" t="s">
        <v>33</v>
      </c>
      <c r="S27" s="9">
        <f>(S25*S26)/10</f>
        <v>370</v>
      </c>
      <c r="T27" s="9">
        <f>T25*T26</f>
        <v>10</v>
      </c>
      <c r="U27" s="9">
        <f>U25*U26</f>
        <v>10</v>
      </c>
      <c r="V27" s="227">
        <f>SUM(S27:U27)+V25</f>
        <v>500</v>
      </c>
      <c r="W27" s="94"/>
    </row>
    <row r="28" spans="2:23" ht="17.25" customHeight="1" thickBot="1">
      <c r="B28" s="26"/>
      <c r="C28" s="403" t="s">
        <v>67</v>
      </c>
      <c r="D28" s="413" t="s">
        <v>68</v>
      </c>
      <c r="E28" s="413"/>
      <c r="F28" s="413" t="s">
        <v>71</v>
      </c>
      <c r="G28" s="413" t="s">
        <v>72</v>
      </c>
      <c r="H28" s="415"/>
      <c r="I28" s="63"/>
      <c r="J28" s="63"/>
      <c r="K28" s="63"/>
      <c r="L28" s="63"/>
      <c r="M28" s="202" t="s">
        <v>158</v>
      </c>
      <c r="N28" s="5" t="s">
        <v>157</v>
      </c>
      <c r="O28" s="5" t="s">
        <v>163</v>
      </c>
      <c r="P28" s="61" t="s">
        <v>156</v>
      </c>
      <c r="Q28" s="63"/>
      <c r="R28" s="63"/>
      <c r="S28" s="63"/>
      <c r="T28" s="220" t="s">
        <v>274</v>
      </c>
      <c r="U28" s="228">
        <v>50000</v>
      </c>
      <c r="V28" s="221">
        <f>IF(ROUNDDOWN(U28/V27,0)=0,0,ROUNDDOWN(U28/V27,0))</f>
        <v>100</v>
      </c>
      <c r="W28" s="94"/>
    </row>
    <row r="29" spans="2:23" ht="17.25" customHeight="1" thickBot="1">
      <c r="B29" s="26"/>
      <c r="C29" s="404"/>
      <c r="D29" s="414"/>
      <c r="E29" s="414"/>
      <c r="F29" s="414"/>
      <c r="G29" s="414"/>
      <c r="H29" s="416"/>
      <c r="I29" s="63"/>
      <c r="J29" s="63"/>
      <c r="K29" s="63"/>
      <c r="L29" s="63"/>
      <c r="M29" s="203" t="s">
        <v>159</v>
      </c>
      <c r="N29" s="9" t="s">
        <v>157</v>
      </c>
      <c r="O29" s="9" t="s">
        <v>164</v>
      </c>
      <c r="P29" s="62" t="s">
        <v>156</v>
      </c>
      <c r="Q29" s="63"/>
      <c r="R29" s="63"/>
      <c r="S29" s="63"/>
      <c r="T29" s="63"/>
      <c r="U29" s="63"/>
      <c r="V29" s="63"/>
      <c r="W29" s="94"/>
    </row>
    <row r="30" spans="2:23" ht="17.25" thickBot="1">
      <c r="B30" s="59"/>
      <c r="C30" s="21"/>
      <c r="D30" s="21"/>
      <c r="E30" s="21"/>
      <c r="F30" s="21"/>
      <c r="G30" s="21"/>
      <c r="H30" s="21"/>
      <c r="I30" s="21"/>
      <c r="J30" s="63"/>
      <c r="K30" s="63"/>
      <c r="L30" s="63"/>
      <c r="M30" s="21"/>
      <c r="N30" s="21"/>
      <c r="O30" s="21"/>
      <c r="P30" s="21"/>
      <c r="Q30" s="63"/>
      <c r="R30" s="21"/>
      <c r="S30" s="21"/>
      <c r="T30" s="21"/>
      <c r="U30" s="21"/>
      <c r="V30" s="21"/>
      <c r="W30" s="183"/>
    </row>
    <row r="31" spans="2:23">
      <c r="B31" s="198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212"/>
    </row>
    <row r="32" spans="2:23" ht="17.25" thickBot="1">
      <c r="B32" s="213"/>
      <c r="C32" s="135" t="s">
        <v>295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14"/>
    </row>
    <row r="33" spans="2:23">
      <c r="B33" s="213"/>
      <c r="C33" s="350" t="s">
        <v>284</v>
      </c>
      <c r="D33" s="212"/>
      <c r="E33" s="350" t="s">
        <v>285</v>
      </c>
      <c r="F33" s="199"/>
      <c r="G33" s="212"/>
      <c r="H33" s="350" t="s">
        <v>287</v>
      </c>
      <c r="I33" s="199"/>
      <c r="J33" s="199"/>
      <c r="K33" s="199"/>
      <c r="L33" s="199"/>
      <c r="M33" s="199"/>
      <c r="N33" s="350" t="s">
        <v>288</v>
      </c>
      <c r="O33" s="199"/>
      <c r="P33" s="212"/>
      <c r="Q33" s="25"/>
      <c r="R33" s="25"/>
      <c r="S33" s="25"/>
      <c r="T33" s="25"/>
      <c r="U33" s="25"/>
      <c r="V33" s="25"/>
      <c r="W33" s="214"/>
    </row>
    <row r="34" spans="2:23">
      <c r="B34" s="213"/>
      <c r="C34" s="234" t="s">
        <v>282</v>
      </c>
      <c r="D34" s="214"/>
      <c r="E34" s="234" t="s">
        <v>279</v>
      </c>
      <c r="F34" t="s">
        <v>309</v>
      </c>
      <c r="G34" s="214"/>
      <c r="H34" s="234" t="s">
        <v>292</v>
      </c>
      <c r="I34" s="25" t="s">
        <v>299</v>
      </c>
      <c r="J34" s="25"/>
      <c r="K34" s="349" t="s">
        <v>323</v>
      </c>
      <c r="L34" s="25" t="s">
        <v>322</v>
      </c>
      <c r="M34" s="25"/>
      <c r="N34" s="234" t="s">
        <v>293</v>
      </c>
      <c r="O34" s="25" t="s">
        <v>297</v>
      </c>
      <c r="P34" s="214"/>
      <c r="Q34" s="25"/>
      <c r="R34" s="25"/>
      <c r="S34" s="25"/>
      <c r="T34" s="25"/>
      <c r="U34" s="25"/>
      <c r="V34" s="25"/>
      <c r="W34" s="214"/>
    </row>
    <row r="35" spans="2:23">
      <c r="B35" s="213"/>
      <c r="C35" s="234" t="s">
        <v>283</v>
      </c>
      <c r="D35" s="214"/>
      <c r="E35" s="234" t="s">
        <v>280</v>
      </c>
      <c r="F35" s="25" t="s">
        <v>310</v>
      </c>
      <c r="G35" s="214"/>
      <c r="H35" s="234" t="s">
        <v>291</v>
      </c>
      <c r="I35" s="25" t="s">
        <v>290</v>
      </c>
      <c r="J35" s="25"/>
      <c r="K35" s="334" t="s">
        <v>328</v>
      </c>
      <c r="L35" s="25" t="s">
        <v>329</v>
      </c>
      <c r="M35" s="25"/>
      <c r="N35" s="234" t="s">
        <v>146</v>
      </c>
      <c r="O35" s="25" t="s">
        <v>298</v>
      </c>
      <c r="P35" s="214"/>
      <c r="Q35" s="25"/>
      <c r="R35" s="25"/>
      <c r="S35" s="25"/>
      <c r="T35" s="25"/>
      <c r="U35" s="25"/>
      <c r="V35" s="25"/>
      <c r="W35" s="214"/>
    </row>
    <row r="36" spans="2:23" ht="17.25" thickBot="1">
      <c r="B36" s="213"/>
      <c r="C36" s="235" t="s">
        <v>294</v>
      </c>
      <c r="D36" s="201"/>
      <c r="E36" s="235" t="s">
        <v>281</v>
      </c>
      <c r="F36" s="200" t="s">
        <v>286</v>
      </c>
      <c r="G36" s="201"/>
      <c r="H36" s="235" t="s">
        <v>289</v>
      </c>
      <c r="I36" s="200" t="s">
        <v>296</v>
      </c>
      <c r="J36" s="200"/>
      <c r="K36" s="351" t="s">
        <v>330</v>
      </c>
      <c r="L36" s="200"/>
      <c r="M36" s="200"/>
      <c r="N36" s="215"/>
      <c r="O36" s="200"/>
      <c r="P36" s="201"/>
      <c r="Q36" s="25"/>
      <c r="R36" s="25"/>
      <c r="S36" s="25"/>
      <c r="T36" s="25"/>
      <c r="U36" s="25"/>
      <c r="V36" s="25"/>
      <c r="W36" s="214"/>
    </row>
    <row r="37" spans="2:23" ht="17.25" thickBot="1">
      <c r="B37" s="215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1"/>
    </row>
    <row r="38" spans="2:23"/>
  </sheetData>
  <mergeCells count="15">
    <mergeCell ref="C28:C29"/>
    <mergeCell ref="R23:V23"/>
    <mergeCell ref="O23:P23"/>
    <mergeCell ref="C23:H23"/>
    <mergeCell ref="D28:E29"/>
    <mergeCell ref="F28:F29"/>
    <mergeCell ref="G28:H29"/>
    <mergeCell ref="C24:C25"/>
    <mergeCell ref="D24:E25"/>
    <mergeCell ref="F24:F25"/>
    <mergeCell ref="G24:H25"/>
    <mergeCell ref="C26:C27"/>
    <mergeCell ref="D26:E27"/>
    <mergeCell ref="F26:F27"/>
    <mergeCell ref="G26:H27"/>
  </mergeCells>
  <phoneticPr fontId="2" type="noConversion"/>
  <hyperlinks>
    <hyperlink ref="C34" r:id="rId1" xr:uid="{467D13D6-8CB1-4BB0-9D4D-096AB1844FEB}"/>
    <hyperlink ref="C35" r:id="rId2" xr:uid="{6D2E0B08-702D-469B-ADC9-4396484E3282}"/>
    <hyperlink ref="C36" r:id="rId3" xr:uid="{A691BAEC-A909-4852-A07B-9B1450132CE0}"/>
    <hyperlink ref="E34" r:id="rId4" xr:uid="{D9484A14-C8B9-45A6-B7DD-F1E37F8A1593}"/>
    <hyperlink ref="E35" r:id="rId5" xr:uid="{8E05137E-B489-4234-827A-D9345A113FBB}"/>
    <hyperlink ref="E36" r:id="rId6" xr:uid="{58079125-5DF2-49B3-9C9E-32DF5E5E0CC2}"/>
    <hyperlink ref="H34" r:id="rId7" xr:uid="{AC419115-5699-44A4-A210-317F3235A03E}"/>
    <hyperlink ref="H35" r:id="rId8" xr:uid="{308674A0-1D56-4916-BB6F-25773062CC1D}"/>
    <hyperlink ref="H36" r:id="rId9" xr:uid="{015B2718-BF08-4FD2-8EED-0B3DB05B0706}"/>
    <hyperlink ref="N34" r:id="rId10" xr:uid="{1700A3A7-2592-470E-B361-EE02E530DA20}"/>
    <hyperlink ref="N35" r:id="rId11" xr:uid="{E05218B4-1B2C-4776-8CC5-49225F3F1D14}"/>
    <hyperlink ref="E11" r:id="rId12" xr:uid="{308D4AC1-03EB-48E8-A8CF-2C50389C2BAA}"/>
    <hyperlink ref="K34" r:id="rId13" xr:uid="{CD392F01-0D2D-4BB0-9B91-A3EC7DDD4477}"/>
    <hyperlink ref="K35" r:id="rId14" xr:uid="{F46F41F2-6C8A-4DF1-98CA-C75470550C0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32802-60D4-44AC-AF6E-C32A9B1CE723}">
  <sheetPr>
    <tabColor theme="9" tint="0.39997558519241921"/>
  </sheetPr>
  <dimension ref="A1:XEW43"/>
  <sheetViews>
    <sheetView tabSelected="1" zoomScaleNormal="100" workbookViewId="0">
      <selection activeCell="M27" sqref="M27"/>
    </sheetView>
  </sheetViews>
  <sheetFormatPr defaultColWidth="0" defaultRowHeight="16.5" zeroHeight="1"/>
  <cols>
    <col min="1" max="1" width="2.625" style="25" customWidth="1"/>
    <col min="2" max="2" width="4.625" customWidth="1"/>
    <col min="3" max="3" width="3.625" customWidth="1"/>
    <col min="4" max="4" width="9.875" bestFit="1" customWidth="1"/>
    <col min="5" max="5" width="14.375" bestFit="1" customWidth="1"/>
    <col min="6" max="6" width="2.625" customWidth="1"/>
    <col min="7" max="8" width="9.875" customWidth="1"/>
    <col min="9" max="9" width="2.625" customWidth="1"/>
    <col min="10" max="10" width="4.625" customWidth="1"/>
    <col min="11" max="11" width="2.625" customWidth="1"/>
    <col min="12" max="13" width="12.125" customWidth="1"/>
    <col min="14" max="14" width="2.625" customWidth="1"/>
    <col min="15" max="16" width="12.125" customWidth="1"/>
    <col min="17" max="17" width="2.625" customWidth="1"/>
    <col min="18" max="18" width="4.625" customWidth="1"/>
    <col min="19" max="19" width="2.625" customWidth="1"/>
    <col min="20" max="21" width="12.125" customWidth="1"/>
    <col min="22" max="22" width="2.625" customWidth="1"/>
    <col min="23" max="24" width="12.125" customWidth="1"/>
    <col min="25" max="25" width="2.625" customWidth="1"/>
    <col min="26" max="26" width="4.625" customWidth="1"/>
    <col min="27" max="27" width="2.625" style="25" customWidth="1"/>
    <col min="28" max="16384" width="9" hidden="1"/>
  </cols>
  <sheetData>
    <row r="1" spans="2:26" s="25" customFormat="1"/>
    <row r="2" spans="2:26"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 t="s">
        <v>183</v>
      </c>
      <c r="R2" s="133" t="s">
        <v>185</v>
      </c>
      <c r="S2" s="133" t="s">
        <v>184</v>
      </c>
      <c r="T2" s="134"/>
      <c r="U2" s="133"/>
      <c r="V2" s="133"/>
      <c r="W2" s="133"/>
      <c r="X2" s="133"/>
      <c r="Y2" s="133"/>
      <c r="Z2" s="133"/>
    </row>
    <row r="3" spans="2:26">
      <c r="B3" s="133"/>
      <c r="C3" s="25"/>
      <c r="D3" s="135" t="s">
        <v>221</v>
      </c>
      <c r="E3" s="178" t="s">
        <v>244</v>
      </c>
      <c r="F3" s="25"/>
      <c r="G3" s="25"/>
      <c r="H3" s="25"/>
      <c r="I3" s="25"/>
      <c r="J3" s="133"/>
      <c r="K3" s="25"/>
      <c r="L3" s="136" t="s">
        <v>229</v>
      </c>
      <c r="M3" s="25"/>
      <c r="N3" s="25"/>
      <c r="O3" s="25"/>
      <c r="P3" s="25"/>
      <c r="Q3" s="25"/>
      <c r="R3" s="133"/>
      <c r="S3" s="25"/>
      <c r="T3" s="136" t="s">
        <v>47</v>
      </c>
      <c r="U3" s="25"/>
      <c r="V3" s="25"/>
      <c r="W3" s="25"/>
      <c r="X3" s="25"/>
      <c r="Y3" s="25"/>
      <c r="Z3" s="133"/>
    </row>
    <row r="4" spans="2:26" ht="17.25" thickBot="1">
      <c r="B4" s="133"/>
      <c r="C4" s="25"/>
      <c r="D4" s="25"/>
      <c r="E4" s="25"/>
      <c r="F4" s="25"/>
      <c r="G4" s="25"/>
      <c r="H4" s="25"/>
      <c r="I4" s="25"/>
      <c r="J4" s="133"/>
      <c r="K4" s="25"/>
      <c r="L4" s="25"/>
      <c r="M4" s="25"/>
      <c r="N4" s="25"/>
      <c r="O4" s="25"/>
      <c r="P4" s="25"/>
      <c r="Q4" s="25"/>
      <c r="R4" s="138"/>
      <c r="S4" s="137"/>
      <c r="T4" s="25"/>
      <c r="U4" s="25"/>
      <c r="V4" s="25"/>
      <c r="W4" s="25"/>
      <c r="X4" s="25"/>
      <c r="Y4" s="25"/>
      <c r="Z4" s="133"/>
    </row>
    <row r="5" spans="2:26" ht="17.25" thickBot="1">
      <c r="B5" s="133"/>
      <c r="C5" s="25"/>
      <c r="D5" s="432" t="s">
        <v>220</v>
      </c>
      <c r="E5" s="433"/>
      <c r="F5" s="25"/>
      <c r="G5" s="434" t="s">
        <v>200</v>
      </c>
      <c r="H5" s="435"/>
      <c r="I5" s="25"/>
      <c r="J5" s="133"/>
      <c r="K5" s="25"/>
      <c r="L5" s="426" t="s">
        <v>248</v>
      </c>
      <c r="M5" s="427"/>
      <c r="N5" s="25"/>
      <c r="O5" s="436" t="s">
        <v>42</v>
      </c>
      <c r="P5" s="437"/>
      <c r="Q5" s="137"/>
      <c r="R5" s="138"/>
      <c r="S5" s="137"/>
      <c r="T5" s="426" t="s">
        <v>249</v>
      </c>
      <c r="U5" s="427"/>
      <c r="V5" s="25"/>
      <c r="W5" s="428" t="s">
        <v>53</v>
      </c>
      <c r="X5" s="429"/>
      <c r="Y5" s="25"/>
      <c r="Z5" s="133"/>
    </row>
    <row r="6" spans="2:26">
      <c r="B6" s="133"/>
      <c r="C6" s="25"/>
      <c r="D6" s="26" t="s">
        <v>194</v>
      </c>
      <c r="E6" s="131">
        <v>3.5779999999999999E-2</v>
      </c>
      <c r="F6" s="25"/>
      <c r="G6" s="26" t="s">
        <v>194</v>
      </c>
      <c r="H6" s="163">
        <v>66</v>
      </c>
      <c r="I6" s="25"/>
      <c r="J6" s="133"/>
      <c r="K6" s="25"/>
      <c r="L6" s="76" t="s">
        <v>210</v>
      </c>
      <c r="M6" s="173">
        <f>($H$6+IF($E$9="치명",160,0)+$H$18)*$E$6</f>
        <v>6.6550799999999999</v>
      </c>
      <c r="N6" s="25"/>
      <c r="O6" s="6" t="s">
        <v>212</v>
      </c>
      <c r="P6" s="141">
        <v>119.28</v>
      </c>
      <c r="Q6" s="137"/>
      <c r="R6" s="138"/>
      <c r="S6" s="137"/>
      <c r="T6" s="76" t="s">
        <v>210</v>
      </c>
      <c r="U6" s="173">
        <f>($H$7+IF($E$9="신속",160,0)+$H$19)*$E$7</f>
        <v>6.1296900000000001</v>
      </c>
      <c r="V6" s="25"/>
      <c r="W6" s="6" t="s">
        <v>212</v>
      </c>
      <c r="X6" s="7">
        <v>140</v>
      </c>
      <c r="Y6" s="25"/>
      <c r="Z6" s="133"/>
    </row>
    <row r="7" spans="2:26" ht="17.25" thickBot="1">
      <c r="B7" s="133"/>
      <c r="C7" s="25"/>
      <c r="D7" s="59" t="s">
        <v>195</v>
      </c>
      <c r="E7" s="132">
        <v>1.7170000000000001E-2</v>
      </c>
      <c r="F7" s="25"/>
      <c r="G7" s="26" t="s">
        <v>195</v>
      </c>
      <c r="H7" s="163">
        <v>77</v>
      </c>
      <c r="I7" s="25"/>
      <c r="J7" s="133"/>
      <c r="K7" s="25"/>
      <c r="L7" s="6" t="s">
        <v>41</v>
      </c>
      <c r="M7" s="141" cm="1">
        <f t="array" ref="M7">_xlfn.IFS($H$29="O",10,$H$29="X",0)</f>
        <v>10</v>
      </c>
      <c r="N7" s="25"/>
      <c r="O7" s="142" t="s">
        <v>42</v>
      </c>
      <c r="P7" s="143">
        <f>$P$6-$M$15</f>
        <v>35.024920000000009</v>
      </c>
      <c r="Q7" s="137"/>
      <c r="R7" s="138"/>
      <c r="S7" s="137"/>
      <c r="T7" s="6" t="s">
        <v>65</v>
      </c>
      <c r="U7" s="141">
        <f>($X$10*50)*$E$7</f>
        <v>17.532345544997202</v>
      </c>
      <c r="V7" s="25"/>
      <c r="W7" s="142" t="s">
        <v>53</v>
      </c>
      <c r="X7" s="143">
        <f>$X$6-$U$13-100</f>
        <v>-9.6620355449971953</v>
      </c>
      <c r="Y7" s="25"/>
      <c r="Z7" s="133"/>
    </row>
    <row r="8" spans="2:26" ht="17.25" thickBot="1">
      <c r="B8" s="133"/>
      <c r="C8" s="25"/>
      <c r="D8" s="25"/>
      <c r="E8" s="25"/>
      <c r="F8" s="25"/>
      <c r="G8" s="59" t="s">
        <v>300</v>
      </c>
      <c r="H8" s="161">
        <v>72</v>
      </c>
      <c r="I8" s="25"/>
      <c r="J8" s="133"/>
      <c r="K8" s="25"/>
      <c r="L8" s="6" t="s">
        <v>222</v>
      </c>
      <c r="M8" s="141" cm="1">
        <f t="array" ref="M8">_xlfn.IFS($E$11="예감",4,$E$11="기타",0)+_xlfn.IFS($E$12="예감",4,$E$12="기타",0)</f>
        <v>4</v>
      </c>
      <c r="N8" s="25"/>
      <c r="O8" s="25"/>
      <c r="P8" s="25"/>
      <c r="Q8" s="137"/>
      <c r="R8" s="138"/>
      <c r="S8" s="137"/>
      <c r="T8" s="6" t="s">
        <v>50</v>
      </c>
      <c r="U8" s="141" cm="1">
        <f t="array" ref="U8">_xlfn.IFS($E$25="O",9,$E$25="X",0)</f>
        <v>9</v>
      </c>
      <c r="V8" s="25"/>
      <c r="Y8" s="25"/>
      <c r="Z8" s="133"/>
    </row>
    <row r="9" spans="2:26" ht="17.25" thickBot="1">
      <c r="B9" s="133"/>
      <c r="C9" s="25"/>
      <c r="D9" s="124" t="s">
        <v>209</v>
      </c>
      <c r="E9" s="123" t="s">
        <v>162</v>
      </c>
      <c r="F9" s="25"/>
      <c r="G9" s="25"/>
      <c r="H9" s="25"/>
      <c r="I9" s="25"/>
      <c r="J9" s="133"/>
      <c r="K9" s="25"/>
      <c r="L9" s="6" t="s">
        <v>223</v>
      </c>
      <c r="M9" s="141" cm="1">
        <f t="array" ref="M9">_xlfn.IFS($E$13="혼강",12,$E$13="일격",10,$E$13="파전",0,$E$13="기타",0)+_xlfn.IFS($E$14="혼강",12,$E$14="일격",10,$E$14="파전",0,$E$14="기타",0)</f>
        <v>22</v>
      </c>
      <c r="N9" s="25"/>
      <c r="O9" s="436" t="s">
        <v>187</v>
      </c>
      <c r="P9" s="437"/>
      <c r="Q9" s="137"/>
      <c r="R9" s="138"/>
      <c r="S9" s="137"/>
      <c r="T9" s="6" t="s">
        <v>51</v>
      </c>
      <c r="U9" s="141" cm="1">
        <f t="array" ref="U9">_xlfn.IFS($E$27="O",5,$E$27="X",0)</f>
        <v>5</v>
      </c>
      <c r="V9" s="25"/>
      <c r="W9" s="436" t="s">
        <v>182</v>
      </c>
      <c r="X9" s="438"/>
      <c r="Y9" s="25"/>
      <c r="Z9" s="133"/>
    </row>
    <row r="10" spans="2:26" ht="17.25" thickBot="1">
      <c r="B10" s="133"/>
      <c r="C10" s="25"/>
      <c r="D10" s="25"/>
      <c r="E10" s="25"/>
      <c r="F10" s="25"/>
      <c r="G10" s="430" t="s">
        <v>43</v>
      </c>
      <c r="H10" s="431"/>
      <c r="I10" s="25"/>
      <c r="J10" s="133"/>
      <c r="K10" s="25"/>
      <c r="L10" s="6" t="s">
        <v>201</v>
      </c>
      <c r="M10" s="141" cm="1">
        <f t="array" ref="M10">_xlfn.IFS($E$19="미채용",0,$E$19="아드0",14,$E$19="아드1",15.5,$E$19="아드2",17,$E$19="아드3",18.5,$E$19="아드4",20,$E$19="정단0",18,$E$19="정단1",18.75,$E$19="정단2",19.5,$E$19="정단3",20.25,$E$19="정단4",21)+_xlfn.IFS($E$22="기타",0,$E$22="예둔1",0,$E$22="예둔2",0,$E$22="예둔3",0,$E$22="예둔4",0,$E$22="돌대1",0,$E$22="돌대2",0,$E$22="돌대3",0,$E$22="돌대4",0,$E$22="정단1",3,$E$22="정단2",3.75,$E$22="정단3",5.25,$E$22="정단4",6)+_xlfn.IFS($E$23="기타",0,$E$23="예둔1",0,$E$23="예둔2",0,$E$23="예둔3",0,$E$23="예둔4",0,$E$23="돌대1",0,$E$23="돌대2",0,$E$23="돌대3",0,$E$23="돌대4",0,$E$23="정단1",3,$E$23="정단2",3.75,$E$23="정단3",5.25,$E$23="정단4",6)</f>
        <v>21.5</v>
      </c>
      <c r="N10" s="25"/>
      <c r="O10" s="60" t="s">
        <v>194</v>
      </c>
      <c r="P10" s="146">
        <f>$P$7/$E$6</f>
        <v>978.89659027389632</v>
      </c>
      <c r="Q10" s="137"/>
      <c r="R10" s="138"/>
      <c r="S10" s="137"/>
      <c r="T10" s="60" t="s">
        <v>203</v>
      </c>
      <c r="U10" s="143" cm="1">
        <f t="array" ref="U10">_xlfn.IFS($E$29="기타",0,$E$29="와인(이속)",3,$E$29="에아달린(공속)",0)</f>
        <v>0</v>
      </c>
      <c r="V10" s="25"/>
      <c r="W10" s="347" t="s">
        <v>195</v>
      </c>
      <c r="X10" s="348">
        <f>MIN(40-$P$13,30)</f>
        <v>20.422068194522073</v>
      </c>
      <c r="Y10" s="25"/>
      <c r="Z10" s="133"/>
    </row>
    <row r="11" spans="2:26" ht="17.25" thickBot="1">
      <c r="B11" s="133"/>
      <c r="C11" s="25"/>
      <c r="D11" s="159" t="s">
        <v>222</v>
      </c>
      <c r="E11" s="130" t="s">
        <v>224</v>
      </c>
      <c r="F11" s="25"/>
      <c r="G11" s="164" t="s">
        <v>38</v>
      </c>
      <c r="H11" s="326">
        <v>1.55</v>
      </c>
      <c r="I11" s="25"/>
      <c r="J11" s="133"/>
      <c r="K11" s="25"/>
      <c r="L11" s="60" t="s">
        <v>66</v>
      </c>
      <c r="M11" s="143" cm="1">
        <f t="array" ref="M11">_xlfn.IFS($E$16="치피",0,$E$16="추피",0)+_xlfn.IFS($E$17="회심",0,$E$17="달인",7)</f>
        <v>7</v>
      </c>
      <c r="N11" s="25"/>
      <c r="O11" s="25"/>
      <c r="P11" s="25"/>
      <c r="Q11" s="137"/>
      <c r="R11" s="138"/>
      <c r="S11" s="137"/>
      <c r="T11" s="176" t="s">
        <v>52</v>
      </c>
      <c r="U11" s="177">
        <f>$H$23</f>
        <v>12</v>
      </c>
      <c r="V11" s="25"/>
      <c r="Y11" s="25"/>
      <c r="Z11" s="133"/>
    </row>
    <row r="12" spans="2:26" ht="17.25" thickBot="1">
      <c r="B12" s="133"/>
      <c r="C12" s="25"/>
      <c r="D12" s="91" t="s">
        <v>222</v>
      </c>
      <c r="E12" s="161" t="s">
        <v>186</v>
      </c>
      <c r="F12" s="25"/>
      <c r="G12" s="91" t="s">
        <v>39</v>
      </c>
      <c r="H12" s="327">
        <v>4</v>
      </c>
      <c r="I12" s="25"/>
      <c r="J12" s="133"/>
      <c r="K12" s="25"/>
      <c r="L12" s="148" t="s">
        <v>40</v>
      </c>
      <c r="M12" s="175">
        <f>SUM($H$11+$H$14)</f>
        <v>3.1</v>
      </c>
      <c r="N12" s="25"/>
      <c r="O12" s="439" t="s">
        <v>206</v>
      </c>
      <c r="P12" s="440"/>
      <c r="Q12" s="137"/>
      <c r="R12" s="138"/>
      <c r="S12" s="137"/>
      <c r="T12" s="338" t="s">
        <v>321</v>
      </c>
      <c r="U12" s="339">
        <v>0</v>
      </c>
      <c r="V12" s="25"/>
      <c r="W12" s="439" t="s">
        <v>215</v>
      </c>
      <c r="X12" s="440"/>
      <c r="Y12" s="25"/>
      <c r="Z12" s="133"/>
    </row>
    <row r="13" spans="2:26" ht="17.25" thickBot="1">
      <c r="B13" s="133"/>
      <c r="C13" s="25"/>
      <c r="D13" s="159" t="s">
        <v>223</v>
      </c>
      <c r="E13" s="130" t="s">
        <v>313</v>
      </c>
      <c r="F13" s="25"/>
      <c r="G13" s="430" t="s">
        <v>44</v>
      </c>
      <c r="H13" s="431"/>
      <c r="I13" s="25"/>
      <c r="J13" s="133"/>
      <c r="K13" s="25"/>
      <c r="L13" s="176" t="s">
        <v>52</v>
      </c>
      <c r="M13" s="337">
        <f>$H$21</f>
        <v>10</v>
      </c>
      <c r="N13" s="25"/>
      <c r="O13" s="60" t="s">
        <v>211</v>
      </c>
      <c r="P13" s="146">
        <f>MIN($P$10/50,30)</f>
        <v>19.577931805477927</v>
      </c>
      <c r="Q13" s="137"/>
      <c r="R13" s="138"/>
      <c r="S13" s="137"/>
      <c r="T13" s="142" t="s">
        <v>218</v>
      </c>
      <c r="U13" s="143">
        <f>SUM($U$6:$U$12)</f>
        <v>49.662035544997202</v>
      </c>
      <c r="V13" s="25"/>
      <c r="W13" s="6" t="s">
        <v>214</v>
      </c>
      <c r="X13" s="141" cm="1">
        <f t="array" ref="X13">$U$13*(0.4+_xlfn.IFS($E$22="기타",0,$E$22="예둔1",0,$E$22="예둔2",0,$E$22="예둔3",0,$E$22="예둔4",0,$E$22="돌대1",0.075,$E$22="돌대2",0.094,$E$22="돌대3",0.132,$E$22="돌대4",0.15,$E$22="정단1",0,$E$22="정단2",0,$E$22="정단3",0,$E$22="정단4",0)+_xlfn.IFS($E$23="기타",0,$E$23="예둔1",0,$E$23="예둔2",0,$E$23="예둔3",0,$E$23="예둔4",0,$E$23="돌대1",0.075,$E$23="돌대2",0.094,$E$23="돌대3",0.132,$E$23="돌대4",0.15,$E$23="정단1",0,$E$23="정단2",0,$E$23="정단3",0,$E$23="정단4",0))</f>
        <v>26.420202909938514</v>
      </c>
      <c r="Y13" s="25"/>
      <c r="Z13" s="133"/>
    </row>
    <row r="14" spans="2:26" ht="17.25" thickBot="1">
      <c r="B14" s="133"/>
      <c r="C14" s="25"/>
      <c r="D14" s="91" t="s">
        <v>223</v>
      </c>
      <c r="E14" s="161" t="s">
        <v>256</v>
      </c>
      <c r="F14" s="25"/>
      <c r="G14" s="164" t="s">
        <v>38</v>
      </c>
      <c r="H14" s="326">
        <v>1.55</v>
      </c>
      <c r="I14" s="25"/>
      <c r="J14" s="133"/>
      <c r="K14" s="25"/>
      <c r="L14" s="338" t="s">
        <v>321</v>
      </c>
      <c r="M14" s="339">
        <v>0</v>
      </c>
      <c r="N14" s="25"/>
      <c r="O14" s="25"/>
      <c r="P14" s="25"/>
      <c r="Q14" s="137"/>
      <c r="R14" s="138"/>
      <c r="S14" s="137"/>
      <c r="T14" s="25"/>
      <c r="U14" s="25"/>
      <c r="V14" s="25"/>
      <c r="W14" s="60" t="s">
        <v>216</v>
      </c>
      <c r="X14" s="143" cm="1">
        <f t="array" ref="X14">$U$13*(0.48+_xlfn.IFS($E$22="기타",0,$E$22="예둔1",0,$E$22="예둔2",0,$E$22="예둔3",0,$E$22="예둔4",0,$E$22="돌대1",0.075,$E$22="돌대2",0.094,$E$22="돌대3",0.132,$E$22="돌대4",0.15,$E$22="정단1",0,$E$22="정단2",0,$E$22="정단3",0,$E$22="정단4",0)+_xlfn.IFS($E$23="기타",0,$E$23="예둔1",0,$E$23="예둔2",0,$E$23="예둔3",0,$E$23="예둔4",0,$E$23="돌대1",0.075,$E$23="돌대2",0.094,$E$23="돌대3",0.132,$E$23="돌대4",0.15,$E$23="정단1",0,$E$23="정단2",0,$E$23="정단3",0,$E$23="정단4",0))</f>
        <v>30.393165753538288</v>
      </c>
      <c r="Y14" s="25"/>
      <c r="Z14" s="133"/>
    </row>
    <row r="15" spans="2:26" ht="17.25" thickBot="1">
      <c r="B15" s="133"/>
      <c r="C15" s="25"/>
      <c r="D15" s="25"/>
      <c r="E15" s="25"/>
      <c r="F15" s="25"/>
      <c r="G15" s="91" t="s">
        <v>39</v>
      </c>
      <c r="H15" s="327">
        <v>4</v>
      </c>
      <c r="I15" s="25"/>
      <c r="J15" s="133"/>
      <c r="K15" s="25"/>
      <c r="L15" s="142" t="s">
        <v>46</v>
      </c>
      <c r="M15" s="143">
        <f>SUM($M$6:$M$14)</f>
        <v>84.255079999999992</v>
      </c>
      <c r="N15" s="25"/>
      <c r="O15" s="25" t="s">
        <v>312</v>
      </c>
      <c r="P15" s="25"/>
      <c r="Q15" s="137"/>
      <c r="R15" s="138"/>
      <c r="S15" s="137"/>
      <c r="T15" s="25" t="s">
        <v>148</v>
      </c>
      <c r="U15" s="25"/>
      <c r="V15" s="25"/>
      <c r="W15" s="25"/>
      <c r="X15" s="25"/>
      <c r="Y15" s="25"/>
      <c r="Z15" s="133"/>
    </row>
    <row r="16" spans="2:26" ht="17.25" thickBot="1">
      <c r="B16" s="133"/>
      <c r="C16" s="25"/>
      <c r="D16" s="159" t="s">
        <v>227</v>
      </c>
      <c r="E16" s="130" t="s">
        <v>225</v>
      </c>
      <c r="F16" s="25"/>
      <c r="G16" s="25"/>
      <c r="H16" s="25"/>
      <c r="I16" s="25"/>
      <c r="J16" s="133"/>
      <c r="K16" s="25"/>
      <c r="L16" s="25"/>
      <c r="M16" s="25"/>
      <c r="N16" s="25"/>
      <c r="O16" s="25" t="s">
        <v>64</v>
      </c>
      <c r="P16" s="25"/>
      <c r="Q16" s="137"/>
      <c r="R16" s="138"/>
      <c r="S16" s="137"/>
      <c r="T16" s="25" t="s">
        <v>217</v>
      </c>
      <c r="U16" s="25"/>
      <c r="V16" s="25"/>
      <c r="W16" s="25"/>
      <c r="Y16" s="25"/>
      <c r="Z16" s="133"/>
    </row>
    <row r="17" spans="2:16377" ht="17.25" thickBot="1">
      <c r="B17" s="133"/>
      <c r="C17" s="25"/>
      <c r="D17" s="91" t="s">
        <v>226</v>
      </c>
      <c r="E17" s="161" t="s">
        <v>161</v>
      </c>
      <c r="F17" s="25"/>
      <c r="G17" s="445" t="s">
        <v>199</v>
      </c>
      <c r="H17" s="446"/>
      <c r="I17" s="25"/>
      <c r="J17" s="133"/>
      <c r="K17" s="25"/>
      <c r="L17" s="25"/>
      <c r="M17" s="25"/>
      <c r="N17" s="25"/>
      <c r="O17" s="25" t="s">
        <v>213</v>
      </c>
      <c r="P17" s="25"/>
      <c r="Q17" s="137"/>
      <c r="R17" s="138"/>
      <c r="S17" s="137"/>
      <c r="T17" s="25" t="s">
        <v>147</v>
      </c>
      <c r="U17" s="25"/>
      <c r="V17" s="25"/>
      <c r="W17" s="25"/>
      <c r="X17" s="25"/>
      <c r="Y17" s="25"/>
      <c r="Z17" s="133"/>
    </row>
    <row r="18" spans="2:16377" ht="17.25" thickBot="1">
      <c r="B18" s="133"/>
      <c r="C18" s="25"/>
      <c r="E18" s="25"/>
      <c r="F18" s="25"/>
      <c r="G18" s="164" t="s">
        <v>194</v>
      </c>
      <c r="H18" s="324">
        <v>120</v>
      </c>
      <c r="I18" s="25"/>
      <c r="J18" s="133"/>
      <c r="K18" s="25"/>
      <c r="L18" s="25"/>
      <c r="M18" s="25"/>
      <c r="N18" s="25"/>
      <c r="O18" s="25"/>
      <c r="P18" s="25"/>
      <c r="Q18" s="137"/>
      <c r="R18" s="138"/>
      <c r="S18" s="137"/>
      <c r="T18" s="25"/>
      <c r="U18" s="25"/>
      <c r="V18" s="25"/>
      <c r="W18" s="25"/>
      <c r="X18" s="25"/>
      <c r="Y18" s="25"/>
      <c r="Z18" s="133"/>
    </row>
    <row r="19" spans="2:16377" ht="17.25" thickBot="1">
      <c r="B19" s="133"/>
      <c r="C19" s="25"/>
      <c r="D19" s="159" t="s">
        <v>201</v>
      </c>
      <c r="E19" s="130" t="s">
        <v>324</v>
      </c>
      <c r="F19" s="25"/>
      <c r="G19" s="91" t="s">
        <v>195</v>
      </c>
      <c r="H19" s="325">
        <v>120</v>
      </c>
      <c r="I19" s="25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2:16377">
      <c r="B20" s="133"/>
      <c r="C20" s="25"/>
      <c r="D20" s="128" t="s">
        <v>48</v>
      </c>
      <c r="E20" s="163" t="s">
        <v>325</v>
      </c>
      <c r="F20" s="25"/>
      <c r="G20" s="447" t="s">
        <v>52</v>
      </c>
      <c r="H20" s="448"/>
      <c r="I20" s="25"/>
      <c r="J20" s="133"/>
      <c r="K20" s="25"/>
      <c r="L20" s="149" t="s">
        <v>48</v>
      </c>
      <c r="M20" s="25"/>
      <c r="N20" s="25"/>
      <c r="O20" s="25"/>
      <c r="P20" s="25"/>
      <c r="Q20" s="25"/>
      <c r="R20" s="133"/>
      <c r="S20" s="25"/>
      <c r="T20" s="149" t="s">
        <v>230</v>
      </c>
      <c r="U20" s="25"/>
      <c r="V20" s="25"/>
      <c r="W20" s="25"/>
      <c r="X20" s="25"/>
      <c r="Y20" s="25"/>
      <c r="Z20" s="133"/>
    </row>
    <row r="21" spans="2:16377" ht="17.25" thickBot="1">
      <c r="B21" s="133"/>
      <c r="C21" s="25"/>
      <c r="D21" s="91" t="s">
        <v>193</v>
      </c>
      <c r="E21" s="161" t="s">
        <v>316</v>
      </c>
      <c r="F21" s="25"/>
      <c r="G21" s="164" t="s">
        <v>38</v>
      </c>
      <c r="H21" s="326">
        <v>10</v>
      </c>
      <c r="I21" s="25"/>
      <c r="J21" s="133"/>
      <c r="K21" s="25"/>
      <c r="L21" s="151"/>
      <c r="M21" s="25"/>
      <c r="N21" s="25"/>
      <c r="O21" s="25"/>
      <c r="P21" s="25"/>
      <c r="Q21" s="25"/>
      <c r="R21" s="133"/>
      <c r="S21" s="25"/>
      <c r="T21" s="25"/>
      <c r="U21" s="25"/>
      <c r="V21" s="25"/>
      <c r="W21" s="25"/>
      <c r="X21" s="25"/>
      <c r="Y21" s="25"/>
      <c r="Z21" s="133"/>
    </row>
    <row r="22" spans="2:16377">
      <c r="B22" s="133"/>
      <c r="C22" s="25"/>
      <c r="D22" s="128" t="s">
        <v>243</v>
      </c>
      <c r="E22" s="163" t="s">
        <v>327</v>
      </c>
      <c r="F22" s="25"/>
      <c r="G22" s="128" t="s">
        <v>39</v>
      </c>
      <c r="H22" s="326">
        <v>20</v>
      </c>
      <c r="I22" s="25"/>
      <c r="J22" s="133"/>
      <c r="K22" s="25"/>
      <c r="L22" s="449" t="s">
        <v>247</v>
      </c>
      <c r="M22" s="450"/>
      <c r="N22" s="25"/>
      <c r="O22" s="139" t="s">
        <v>59</v>
      </c>
      <c r="P22" s="140">
        <f>SUM($P$23:$P$24)</f>
        <v>48</v>
      </c>
      <c r="Q22" s="152"/>
      <c r="R22" s="133"/>
      <c r="S22" s="25"/>
      <c r="T22" s="139" t="s">
        <v>189</v>
      </c>
      <c r="U22" s="140">
        <f>SUM($U$23:$U$30)-$U$31</f>
        <v>39.299689999999998</v>
      </c>
      <c r="V22" s="25"/>
      <c r="W22" s="165" t="s">
        <v>38</v>
      </c>
      <c r="X22" s="166">
        <f>SUM($X$23:$X$30)</f>
        <v>110.03507999999999</v>
      </c>
      <c r="Y22" s="25"/>
      <c r="Z22" s="133"/>
    </row>
    <row r="23" spans="2:16377" ht="17.25" thickBot="1">
      <c r="B23" s="133"/>
      <c r="C23" s="25"/>
      <c r="D23" s="91" t="s">
        <v>243</v>
      </c>
      <c r="E23" s="161" t="s">
        <v>326</v>
      </c>
      <c r="F23" s="25"/>
      <c r="G23" s="91" t="s">
        <v>63</v>
      </c>
      <c r="H23" s="327">
        <v>12</v>
      </c>
      <c r="I23" s="25"/>
      <c r="J23" s="133"/>
      <c r="K23" s="25"/>
      <c r="L23" s="6" t="s">
        <v>56</v>
      </c>
      <c r="M23" s="141">
        <v>200</v>
      </c>
      <c r="N23" s="25"/>
      <c r="O23" s="6" t="s">
        <v>48</v>
      </c>
      <c r="P23" s="141" cm="1">
        <f t="array" ref="P23">_xlfn.IFS($E$20="미채용",0,$E$20="예둔0",44,$E$20="예둔1",46,$E$20="예둔2",48,$E$20="예둔3",50,$E$20="예둔4",52)</f>
        <v>48</v>
      </c>
      <c r="Q23" s="153"/>
      <c r="R23" s="133"/>
      <c r="S23" s="25"/>
      <c r="T23" s="6" t="s">
        <v>210</v>
      </c>
      <c r="U23" s="141">
        <f>($H$27*50+$H$7+$H$19+IF(E9="신속",160,0))*$E$7</f>
        <v>23.299690000000002</v>
      </c>
      <c r="V23" s="25"/>
      <c r="W23" s="6" t="s">
        <v>210</v>
      </c>
      <c r="X23" s="141">
        <f>($H$26*50+$H$6+$H$18+IF($E$9="치명",160,0))*$E$6</f>
        <v>42.435079999999999</v>
      </c>
      <c r="Y23" s="25"/>
      <c r="Z23" s="133"/>
    </row>
    <row r="24" spans="2:16377" ht="17.25" thickBot="1">
      <c r="B24" s="133"/>
      <c r="C24" s="25"/>
      <c r="D24" s="25"/>
      <c r="E24" s="25"/>
      <c r="F24" s="25"/>
      <c r="G24" s="25"/>
      <c r="H24" s="25"/>
      <c r="I24" s="25"/>
      <c r="J24" s="133"/>
      <c r="K24" s="25"/>
      <c r="L24" s="6" t="s">
        <v>223</v>
      </c>
      <c r="M24" s="141" cm="1">
        <f t="array" ref="M24">_xlfn.IFS($E$13="혼강",0,$E$13="일격",16,$E$13="파전",0,$E$13="기타",0)+_xlfn.IFS($E$14="혼강",0,$E$14="일격",16,$E$14="파전",0,$E$14="기타",0)</f>
        <v>16</v>
      </c>
      <c r="N24" s="25"/>
      <c r="O24" s="60" t="s">
        <v>181</v>
      </c>
      <c r="P24" s="143" cm="1">
        <f t="array" ref="P24">_xlfn.IFS($E$22="기타",0,$E$22="예둔1",7.5,$E$22="예둔2",9.4,$E$22="예둔3",13.2,$E$22="예둔4",15,$E$22="돌대1",0,$E$22="돌대2",0,$E$22="돌대3",0,$E$22="돌대4",0,$E$22="정단1",0,$E$22="정단2",0,$E$22="정단3",0,$E$22="정단4",0)+_xlfn.IFS($E$23="기타",0,$E$23="예둔1",7.5,$E$23="예둔2",9.4,$E$23="예둔3",13.2,$E$23="예둔4",15,$E$23="돌대1",0,$E$23="돌대2",0,$E$23="돌대3",0,$E$23="돌대4",0,$E$23="정단1",0,$E$23="정단2",0,$E$23="정단3",0,$E$23="정단4",0)</f>
        <v>0</v>
      </c>
      <c r="Q24" s="153"/>
      <c r="R24" s="133"/>
      <c r="S24" s="25"/>
      <c r="T24" s="6" t="s">
        <v>50</v>
      </c>
      <c r="U24" s="141" cm="1">
        <f t="array" ref="U24">_xlfn.IFS($E$25="O",9,$E$25="X",0)</f>
        <v>9</v>
      </c>
      <c r="V24" s="25"/>
      <c r="W24" s="129" t="s">
        <v>41</v>
      </c>
      <c r="X24" s="141" cm="1">
        <f t="array" ref="X24">_xlfn.IFS($H$29="O",10,$H$29="X",0)</f>
        <v>10</v>
      </c>
      <c r="Y24" s="25"/>
      <c r="Z24" s="133"/>
    </row>
    <row r="25" spans="2:16377" ht="17.25" thickBot="1">
      <c r="B25" s="133"/>
      <c r="C25" s="25"/>
      <c r="D25" s="160" t="s">
        <v>50</v>
      </c>
      <c r="E25" s="162" t="s">
        <v>257</v>
      </c>
      <c r="F25" s="25"/>
      <c r="G25" s="451" t="s">
        <v>228</v>
      </c>
      <c r="H25" s="452"/>
      <c r="I25" s="25"/>
      <c r="J25" s="133"/>
      <c r="K25" s="25"/>
      <c r="L25" s="6" t="s">
        <v>231</v>
      </c>
      <c r="M25" s="141" cm="1">
        <f t="array" ref="M25">_xlfn.IFS($E$19="미채용",0,$E$19="아드0",0,$E$19="아드1",0,$E$19="아드2",0,$E$19="아드3",0,$E$19="아드4",0,$E$19="정단0",-6,$E$19="정단1",-6,$E$19="정단2",-6,$E$19="정단3",-6,$E$19="정단4",-6)</f>
        <v>0</v>
      </c>
      <c r="N25" s="25"/>
      <c r="O25" s="25"/>
      <c r="P25" s="25"/>
      <c r="Q25" s="25"/>
      <c r="R25" s="133"/>
      <c r="S25" s="25"/>
      <c r="T25" s="6" t="s">
        <v>51</v>
      </c>
      <c r="U25" s="141" cm="1">
        <f t="array" ref="U25">_xlfn.IFS($E$27="O",5,$E$27="X",0)</f>
        <v>5</v>
      </c>
      <c r="V25" s="25"/>
      <c r="W25" s="6" t="s">
        <v>222</v>
      </c>
      <c r="X25" s="141" cm="1">
        <f t="array" ref="X25">_xlfn.IFS($E$11="예감",4,$E$11="기타",0)+_xlfn.IFS($E$12="예감",4,$E$12="기타",0)</f>
        <v>4</v>
      </c>
      <c r="Y25" s="25"/>
      <c r="Z25" s="133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</row>
    <row r="26" spans="2:16377" ht="17.25" thickBot="1">
      <c r="B26" s="133"/>
      <c r="C26" s="25"/>
      <c r="D26" s="25"/>
      <c r="E26" s="25"/>
      <c r="F26" s="25"/>
      <c r="G26" s="164" t="s">
        <v>194</v>
      </c>
      <c r="H26" s="163">
        <v>20</v>
      </c>
      <c r="I26" s="25"/>
      <c r="J26" s="133"/>
      <c r="K26" s="25"/>
      <c r="L26" s="60" t="s">
        <v>66</v>
      </c>
      <c r="M26" s="143" cm="1">
        <f t="array" ref="M26">_xlfn.IFS($E$16="치피",7,$E$16="추피",0)+_xlfn.IFS($E$17="회심",0,$E$17="달인",0)</f>
        <v>0</v>
      </c>
      <c r="N26" s="25"/>
      <c r="O26" s="453" t="s">
        <v>38</v>
      </c>
      <c r="P26" s="454"/>
      <c r="Q26" s="25"/>
      <c r="R26" s="133"/>
      <c r="S26" s="25"/>
      <c r="T26" s="6" t="s">
        <v>202</v>
      </c>
      <c r="U26" s="141" cm="1">
        <f t="array" ref="U26">_xlfn.IFS($E$29="기타",0,$E$29="와인(이속)",0,$E$29="에아달린(공속)",3)</f>
        <v>0</v>
      </c>
      <c r="V26" s="25"/>
      <c r="W26" s="6" t="s">
        <v>223</v>
      </c>
      <c r="X26" s="141" cm="1">
        <f t="array" ref="X26">_xlfn.IFS($E$13="혼강",12,$E$13="일격",10,$E$13="파전",0,$E$13="기타",0)+_xlfn.IFS($E$14="혼강",12,$E$14="일격",10,$E$14="파전",0,$E$14="기타",0)</f>
        <v>22</v>
      </c>
      <c r="Y26" s="25"/>
      <c r="Z26" s="133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</row>
    <row r="27" spans="2:16377" ht="17.25" thickBot="1">
      <c r="B27" s="133"/>
      <c r="C27" s="25"/>
      <c r="D27" s="160" t="s">
        <v>51</v>
      </c>
      <c r="E27" s="162" t="s">
        <v>257</v>
      </c>
      <c r="F27" s="25"/>
      <c r="G27" s="91" t="s">
        <v>195</v>
      </c>
      <c r="H27" s="161">
        <v>20</v>
      </c>
      <c r="I27" s="25"/>
      <c r="J27" s="133"/>
      <c r="K27" s="25"/>
      <c r="L27" s="338" t="s">
        <v>321</v>
      </c>
      <c r="M27" s="339">
        <v>0</v>
      </c>
      <c r="N27" s="25"/>
      <c r="O27" s="340" t="s">
        <v>38</v>
      </c>
      <c r="P27" s="341">
        <f>$X$22</f>
        <v>110.03507999999999</v>
      </c>
      <c r="Q27" s="25"/>
      <c r="R27" s="133"/>
      <c r="S27" s="25"/>
      <c r="T27" s="176" t="s">
        <v>192</v>
      </c>
      <c r="U27" s="177">
        <f>$H$23</f>
        <v>12</v>
      </c>
      <c r="V27" s="25"/>
      <c r="W27" s="129" t="s">
        <v>201</v>
      </c>
      <c r="X27" s="141" cm="1">
        <f t="array" ref="X27">_xlfn.IFS($E$19="미채용",0,$E$19="아드0",14,$E$19="아드1",15.5,$E$19="아드2",17,$E$19="아드3",18.5,$E$19="아드4",20,$E$19="정단0",18,$E$19="정단1",18.75,$E$19="정단2",19.5,$E$19="정단3",20.25,$E$19="정단4",21)+_xlfn.IFS($E$22="기타",0,$E$22="예둔1",0,$E$22="예둔2",0,$E$22="예둔3",0,$E$22="예둔4",0,$E$22="돌대1",0,$E$22="돌대2",0,$E$22="돌대3",0,$E$22="돌대4",0,$E$22="정단1",3,$E$22="정단2",3.75,$E$22="정단3",5.25,$E$22="정단4",6)+_xlfn.IFS($E$23="기타",0,$E$23="예둔1",0,$E$23="예둔2",0,$E$23="예둔3",0,$E$23="예둔4",0,$E$23="돌대1",0,$E$23="돌대2",0,$E$23="돌대3",0,$E$23="돌대4",0,$E$23="정단1",3,$E$23="정단2",3.75,$E$23="정단3",5.25,$E$23="정단4",6)</f>
        <v>21.5</v>
      </c>
      <c r="Y27" s="25"/>
      <c r="Z27" s="133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</row>
    <row r="28" spans="2:16377" ht="17.25" thickBot="1">
      <c r="B28" s="133"/>
      <c r="C28" s="25"/>
      <c r="D28" s="25"/>
      <c r="E28" s="25"/>
      <c r="F28" s="25"/>
      <c r="G28" s="25"/>
      <c r="H28" s="25"/>
      <c r="I28" s="25"/>
      <c r="J28" s="133"/>
      <c r="K28" s="25"/>
      <c r="L28" s="144" t="s">
        <v>40</v>
      </c>
      <c r="M28" s="145">
        <f>SUM($H$12+$H$15)</f>
        <v>8</v>
      </c>
      <c r="N28" s="25"/>
      <c r="O28" s="60" t="s">
        <v>57</v>
      </c>
      <c r="P28" s="143">
        <f>MIN($P$27/100,1)</f>
        <v>1</v>
      </c>
      <c r="Q28" s="25"/>
      <c r="R28" s="133"/>
      <c r="S28" s="25"/>
      <c r="T28" s="6" t="s">
        <v>223</v>
      </c>
      <c r="U28" s="141" cm="1">
        <f t="array" ref="U28">_xlfn.IFS($E$13="혼강",0,$E$13="일격",0,$E$13="파전",4,$E$13="기타",0)+_xlfn.IFS($E$14="혼강",0,$E$14="일격",0,$E$14="파전",4,$E$14="기타",0)</f>
        <v>0</v>
      </c>
      <c r="V28" s="25"/>
      <c r="W28" s="129" t="s">
        <v>66</v>
      </c>
      <c r="X28" s="141" cm="1">
        <f t="array" ref="X28">_xlfn.IFS($E$16="치피",0,$E$16="추피",0)+_xlfn.IFS($E$17="회심",0,$E$17="달인",7)</f>
        <v>7</v>
      </c>
      <c r="Y28" s="25"/>
      <c r="Z28" s="133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</row>
    <row r="29" spans="2:16377" ht="17.25" thickBot="1">
      <c r="B29" s="133"/>
      <c r="C29" s="25"/>
      <c r="D29" s="160" t="s">
        <v>191</v>
      </c>
      <c r="E29" s="162" t="s">
        <v>224</v>
      </c>
      <c r="F29" s="25"/>
      <c r="G29" s="160" t="s">
        <v>41</v>
      </c>
      <c r="H29" s="162" t="s">
        <v>257</v>
      </c>
      <c r="I29" s="25"/>
      <c r="J29" s="133"/>
      <c r="K29" s="25"/>
      <c r="L29" s="179" t="s">
        <v>52</v>
      </c>
      <c r="M29" s="180">
        <f>$H$22</f>
        <v>20</v>
      </c>
      <c r="N29" s="25"/>
      <c r="O29" s="25"/>
      <c r="P29" s="25"/>
      <c r="Q29" s="25"/>
      <c r="R29" s="133"/>
      <c r="S29" s="25"/>
      <c r="T29" s="342" t="s">
        <v>321</v>
      </c>
      <c r="U29" s="343">
        <v>0</v>
      </c>
      <c r="V29" s="25"/>
      <c r="W29" s="352" t="s">
        <v>40</v>
      </c>
      <c r="X29" s="353">
        <f>SUM($H$11+$H$14)</f>
        <v>3.1</v>
      </c>
      <c r="Y29" s="25"/>
      <c r="Z29" s="133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</row>
    <row r="30" spans="2:16377" ht="17.25" thickBot="1">
      <c r="B30" s="133"/>
      <c r="C30" s="25"/>
      <c r="D30" s="25"/>
      <c r="E30" s="25"/>
      <c r="F30" s="25"/>
      <c r="G30" s="25"/>
      <c r="H30" s="25"/>
      <c r="I30" s="25"/>
      <c r="J30" s="133"/>
      <c r="K30" s="25"/>
      <c r="L30" s="142" t="s">
        <v>60</v>
      </c>
      <c r="M30" s="143">
        <f>SUM($M$23:$M$29)</f>
        <v>244</v>
      </c>
      <c r="N30" s="25"/>
      <c r="O30" s="439" t="s">
        <v>58</v>
      </c>
      <c r="P30" s="440"/>
      <c r="Q30" s="25"/>
      <c r="R30" s="133"/>
      <c r="S30" s="25"/>
      <c r="T30" s="344" t="s">
        <v>205</v>
      </c>
      <c r="U30" s="345">
        <v>0</v>
      </c>
      <c r="V30" s="25"/>
      <c r="W30" s="346" t="s">
        <v>321</v>
      </c>
      <c r="X30" s="345">
        <v>0</v>
      </c>
      <c r="Y30" s="25"/>
      <c r="Z30" s="133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</row>
    <row r="31" spans="2:16377" ht="17.25" thickBot="1">
      <c r="B31" s="133"/>
      <c r="C31" s="133"/>
      <c r="D31" s="133"/>
      <c r="E31" s="133"/>
      <c r="F31" s="133"/>
      <c r="G31" s="133"/>
      <c r="H31" s="133"/>
      <c r="I31" s="133"/>
      <c r="J31" s="133"/>
      <c r="K31" s="25"/>
      <c r="M31" s="25"/>
      <c r="N31" s="25"/>
      <c r="O31" s="441">
        <f>(($M$36/$M$37)-1)*100</f>
        <v>17.278688524590159</v>
      </c>
      <c r="P31" s="442"/>
      <c r="Q31" s="154"/>
      <c r="R31" s="133"/>
      <c r="S31" s="25"/>
      <c r="T31" s="181" t="s">
        <v>204</v>
      </c>
      <c r="U31" s="182" cm="1">
        <f t="array" ref="U31">_xlfn.IFS($E$21="채용",10,$E$21="미채용",0)</f>
        <v>10</v>
      </c>
      <c r="V31" s="25"/>
      <c r="W31" s="25"/>
      <c r="X31" s="25"/>
      <c r="Y31" s="25"/>
      <c r="Z31" s="133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</row>
    <row r="32" spans="2:16377" ht="17.25" thickBot="1">
      <c r="B32" s="133"/>
      <c r="C32" s="25"/>
      <c r="D32" s="135"/>
      <c r="E32" s="25"/>
      <c r="F32" s="25"/>
      <c r="G32" s="25"/>
      <c r="H32" s="25"/>
      <c r="I32" s="25"/>
      <c r="J32" s="133"/>
      <c r="K32" s="25"/>
      <c r="L32" s="25"/>
      <c r="M32" s="25"/>
      <c r="N32" s="25"/>
      <c r="O32" s="25"/>
      <c r="P32" s="25"/>
      <c r="Q32" s="25"/>
      <c r="R32" s="133"/>
      <c r="S32" s="25"/>
      <c r="V32" s="25"/>
      <c r="W32" s="439" t="s">
        <v>196</v>
      </c>
      <c r="X32" s="440"/>
      <c r="Y32" s="25"/>
      <c r="Z32" s="133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</row>
    <row r="33" spans="2:16377">
      <c r="B33" s="133"/>
      <c r="C33" s="25"/>
      <c r="D33" s="135" t="s">
        <v>311</v>
      </c>
      <c r="E33" s="25"/>
      <c r="F33" s="25"/>
      <c r="G33" s="25"/>
      <c r="H33" s="25"/>
      <c r="I33" s="25"/>
      <c r="J33" s="133"/>
      <c r="K33" s="133"/>
      <c r="L33" s="133"/>
      <c r="M33" s="133"/>
      <c r="N33" s="133"/>
      <c r="O33" s="133"/>
      <c r="P33" s="133"/>
      <c r="Q33" s="133"/>
      <c r="R33" s="133"/>
      <c r="S33" s="25"/>
      <c r="T33" s="139" t="s">
        <v>190</v>
      </c>
      <c r="U33" s="140">
        <f>SUM($U$34:$U$40)</f>
        <v>49.299689999999998</v>
      </c>
      <c r="V33" s="25"/>
      <c r="W33" s="6" t="s">
        <v>197</v>
      </c>
      <c r="X33" s="141">
        <f>((MIN($U$22,40)*10%)+(MIN($U$33,40)*10%))+IF(AND($U$22&gt;40,$U$33&gt;40),8,0)</f>
        <v>7.9299689999999998</v>
      </c>
      <c r="Y33" s="25"/>
      <c r="Z33" s="133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</row>
    <row r="34" spans="2:16377" ht="17.25" thickBot="1">
      <c r="B34" s="133"/>
      <c r="C34" s="25"/>
      <c r="D34" s="152" t="s">
        <v>253</v>
      </c>
      <c r="E34" s="25"/>
      <c r="F34" s="25"/>
      <c r="G34" s="25"/>
      <c r="H34" s="25"/>
      <c r="I34" s="25"/>
      <c r="J34" s="133"/>
      <c r="K34" s="25"/>
      <c r="L34" s="25"/>
      <c r="M34" s="63"/>
      <c r="N34" s="63"/>
      <c r="O34" s="63"/>
      <c r="P34" s="63"/>
      <c r="Q34" s="25"/>
      <c r="R34" s="133"/>
      <c r="S34" s="25"/>
      <c r="T34" s="6" t="s">
        <v>188</v>
      </c>
      <c r="U34" s="141">
        <f>($H$27*50+$H$7+$H$19+IF(E9="신속",160,0))*$E$7</f>
        <v>23.299690000000002</v>
      </c>
      <c r="V34" s="25"/>
      <c r="W34" s="6" t="s">
        <v>198</v>
      </c>
      <c r="X34" s="141">
        <f>MIN(MAX((($U$22-40)*30%),0)+MAX((($U$33-40)*30%),0),8)</f>
        <v>2.7899069999999995</v>
      </c>
      <c r="Y34" s="25"/>
      <c r="Z34" s="133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</row>
    <row r="35" spans="2:16377" ht="17.25" thickBot="1">
      <c r="B35" s="133"/>
      <c r="C35" s="25"/>
      <c r="D35" s="152" t="s">
        <v>246</v>
      </c>
      <c r="E35" s="25"/>
      <c r="F35" s="25"/>
      <c r="G35" s="25"/>
      <c r="H35" s="25"/>
      <c r="I35" s="25"/>
      <c r="J35" s="133"/>
      <c r="K35" s="25"/>
      <c r="L35" s="443" t="s">
        <v>219</v>
      </c>
      <c r="M35" s="444"/>
      <c r="N35" s="63"/>
      <c r="O35" s="126" t="s">
        <v>49</v>
      </c>
      <c r="P35" s="127" t="s">
        <v>193</v>
      </c>
      <c r="Q35" s="25"/>
      <c r="R35" s="133"/>
      <c r="S35" s="25"/>
      <c r="T35" s="6" t="s">
        <v>50</v>
      </c>
      <c r="U35" s="141" cm="1">
        <f t="array" ref="U35">_xlfn.IFS($E$25="O",9,$E$25="X",0)</f>
        <v>9</v>
      </c>
      <c r="V35" s="25"/>
      <c r="W35" s="147" t="s">
        <v>16</v>
      </c>
      <c r="X35" s="143">
        <f>MIN(SUM($X$33:$X$34),24)</f>
        <v>10.719875999999999</v>
      </c>
      <c r="Y35" s="25"/>
      <c r="Z35" s="133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</row>
    <row r="36" spans="2:16377">
      <c r="B36" s="133"/>
      <c r="C36" s="25"/>
      <c r="D36" s="152" t="s">
        <v>245</v>
      </c>
      <c r="F36" s="25"/>
      <c r="G36" s="25"/>
      <c r="H36" s="25"/>
      <c r="I36" s="25"/>
      <c r="J36" s="133"/>
      <c r="K36" s="25"/>
      <c r="L36" s="155" t="s">
        <v>61</v>
      </c>
      <c r="M36" s="156">
        <f>($P$28*($M$30+$P$22)/100+(1-$P$28))*0.98</f>
        <v>2.8615999999999997</v>
      </c>
      <c r="N36" s="63"/>
      <c r="O36" s="171">
        <v>0.14000000000000001</v>
      </c>
      <c r="P36" s="172">
        <v>0.16</v>
      </c>
      <c r="Q36" s="25"/>
      <c r="R36" s="133"/>
      <c r="S36" s="25"/>
      <c r="T36" s="6" t="s">
        <v>51</v>
      </c>
      <c r="U36" s="141" cm="1">
        <f t="array" ref="U36">_xlfn.IFS($E$27="O",5,$E$27="X",0)</f>
        <v>5</v>
      </c>
      <c r="V36" s="25"/>
      <c r="W36" s="25"/>
      <c r="X36" s="25"/>
      <c r="Y36" s="25"/>
      <c r="Z36" s="133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</row>
    <row r="37" spans="2:16377" ht="17.25" thickBot="1">
      <c r="B37" s="133"/>
      <c r="C37" s="25"/>
      <c r="D37" s="25" t="s">
        <v>254</v>
      </c>
      <c r="E37" s="25"/>
      <c r="F37" s="25"/>
      <c r="G37" s="25"/>
      <c r="H37" s="25"/>
      <c r="I37" s="25"/>
      <c r="J37" s="133"/>
      <c r="K37" s="25"/>
      <c r="L37" s="157" t="s">
        <v>62</v>
      </c>
      <c r="M37" s="158">
        <f>$P$28*$M$30/100+(1-$P$28)</f>
        <v>2.44</v>
      </c>
      <c r="N37" s="63"/>
      <c r="O37" s="169">
        <v>0.17</v>
      </c>
      <c r="P37" s="170">
        <v>0.19</v>
      </c>
      <c r="Q37" s="25"/>
      <c r="R37" s="133"/>
      <c r="S37" s="25"/>
      <c r="T37" s="6" t="s">
        <v>203</v>
      </c>
      <c r="U37" s="141" cm="1">
        <f t="array" ref="U37">_xlfn.IFS($E$29="기타",0,$E$29="와인(이속)",3,$E$29="에아달린(공속)",0)</f>
        <v>0</v>
      </c>
      <c r="V37" s="25"/>
      <c r="W37" s="25" t="s">
        <v>205</v>
      </c>
      <c r="X37" s="25" t="s">
        <v>307</v>
      </c>
      <c r="Y37" s="25"/>
      <c r="Z37" s="133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</row>
    <row r="38" spans="2:16377" ht="17.25" thickBot="1">
      <c r="B38" s="133"/>
      <c r="C38" s="25"/>
      <c r="D38" s="152" t="s">
        <v>255</v>
      </c>
      <c r="E38" s="25"/>
      <c r="F38" s="174"/>
      <c r="G38" s="25"/>
      <c r="H38" s="25"/>
      <c r="I38" s="25"/>
      <c r="J38" s="133"/>
      <c r="K38" s="25"/>
      <c r="L38" s="63"/>
      <c r="M38" s="63"/>
      <c r="N38" s="63"/>
      <c r="O38" s="63"/>
      <c r="P38" s="63"/>
      <c r="Q38" s="25"/>
      <c r="R38" s="133"/>
      <c r="S38" s="25"/>
      <c r="T38" s="176" t="s">
        <v>192</v>
      </c>
      <c r="U38" s="177">
        <f>$H$23</f>
        <v>12</v>
      </c>
      <c r="V38" s="25"/>
      <c r="W38" s="25" t="s">
        <v>304</v>
      </c>
      <c r="X38" s="25" t="s">
        <v>302</v>
      </c>
      <c r="Y38" s="25"/>
      <c r="Z38" s="133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</row>
    <row r="39" spans="2:16377">
      <c r="B39" s="133"/>
      <c r="C39" s="25"/>
      <c r="D39" s="152" t="s">
        <v>252</v>
      </c>
      <c r="E39" s="25"/>
      <c r="F39" s="25"/>
      <c r="G39" s="25"/>
      <c r="H39" s="25"/>
      <c r="I39" s="25"/>
      <c r="J39" s="133"/>
      <c r="K39" s="25"/>
      <c r="L39" s="66" t="s">
        <v>250</v>
      </c>
      <c r="M39" s="150" t="s">
        <v>207</v>
      </c>
      <c r="N39" s="63"/>
      <c r="O39" s="63"/>
      <c r="Q39" s="25"/>
      <c r="R39" s="133"/>
      <c r="S39" s="25"/>
      <c r="T39" s="342" t="s">
        <v>321</v>
      </c>
      <c r="U39" s="343">
        <v>0</v>
      </c>
      <c r="V39" s="25"/>
      <c r="W39" s="25" t="s">
        <v>303</v>
      </c>
      <c r="X39" s="25" t="s">
        <v>301</v>
      </c>
      <c r="Y39" s="25"/>
      <c r="Z39" s="133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</row>
    <row r="40" spans="2:16377" ht="17.25" thickBot="1">
      <c r="B40" s="133"/>
      <c r="C40" s="25"/>
      <c r="D40" s="25"/>
      <c r="E40" s="25"/>
      <c r="F40" s="25"/>
      <c r="G40" s="25"/>
      <c r="H40" s="25"/>
      <c r="I40" s="25"/>
      <c r="J40" s="133"/>
      <c r="K40" s="25"/>
      <c r="L40" s="66" t="s">
        <v>251</v>
      </c>
      <c r="M40" s="150" t="s">
        <v>208</v>
      </c>
      <c r="N40" s="63"/>
      <c r="O40" s="63"/>
      <c r="P40" s="25"/>
      <c r="Q40" s="25"/>
      <c r="R40" s="133"/>
      <c r="S40" s="25"/>
      <c r="T40" s="344" t="s">
        <v>205</v>
      </c>
      <c r="U40" s="345">
        <v>0</v>
      </c>
      <c r="V40" s="25"/>
      <c r="W40" s="25" t="s">
        <v>305</v>
      </c>
      <c r="X40" s="25" t="s">
        <v>306</v>
      </c>
      <c r="Y40" s="25"/>
      <c r="Z40" s="133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</row>
    <row r="41" spans="2:16377">
      <c r="B41" s="133"/>
      <c r="C41" s="25"/>
      <c r="D41" s="152"/>
      <c r="E41" s="25"/>
      <c r="F41" s="25"/>
      <c r="G41" s="25"/>
      <c r="H41" s="25"/>
      <c r="I41" s="25"/>
      <c r="J41" s="133"/>
      <c r="K41" s="25"/>
      <c r="L41" s="25"/>
      <c r="M41" s="25"/>
      <c r="N41" s="25"/>
      <c r="O41" s="25"/>
      <c r="P41" s="25"/>
      <c r="Q41" s="25"/>
      <c r="R41" s="133"/>
      <c r="S41" s="25"/>
      <c r="T41" s="25"/>
      <c r="U41" s="25"/>
      <c r="V41" s="25"/>
      <c r="W41" s="25"/>
      <c r="X41" s="25"/>
      <c r="Y41" s="25"/>
      <c r="Z41" s="133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</row>
    <row r="42" spans="2:16377"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</row>
    <row r="43" spans="2:16377" s="25" customFormat="1"/>
  </sheetData>
  <sheetProtection selectLockedCells="1" selectUnlockedCells="1"/>
  <mergeCells count="21">
    <mergeCell ref="O31:P31"/>
    <mergeCell ref="W32:X32"/>
    <mergeCell ref="L35:M35"/>
    <mergeCell ref="G17:H17"/>
    <mergeCell ref="G20:H20"/>
    <mergeCell ref="L22:M22"/>
    <mergeCell ref="G25:H25"/>
    <mergeCell ref="O26:P26"/>
    <mergeCell ref="O30:P30"/>
    <mergeCell ref="T5:U5"/>
    <mergeCell ref="W5:X5"/>
    <mergeCell ref="G13:H13"/>
    <mergeCell ref="D5:E5"/>
    <mergeCell ref="G5:H5"/>
    <mergeCell ref="L5:M5"/>
    <mergeCell ref="O5:P5"/>
    <mergeCell ref="O9:P9"/>
    <mergeCell ref="W9:X9"/>
    <mergeCell ref="G10:H10"/>
    <mergeCell ref="O12:P12"/>
    <mergeCell ref="W12:X12"/>
  </mergeCells>
  <phoneticPr fontId="2" type="noConversion"/>
  <conditionalFormatting sqref="X13">
    <cfRule type="cellIs" dxfId="5" priority="2" operator="greaterThanOrEqual">
      <formula>16</formula>
    </cfRule>
  </conditionalFormatting>
  <conditionalFormatting sqref="X14">
    <cfRule type="cellIs" dxfId="4" priority="3" operator="greaterThanOrEqual">
      <formula>19.2</formula>
    </cfRule>
  </conditionalFormatting>
  <conditionalFormatting sqref="X35">
    <cfRule type="cellIs" dxfId="3" priority="1" operator="greaterThanOrEqual">
      <formula>24</formula>
    </cfRule>
  </conditionalFormatting>
  <dataValidations count="13">
    <dataValidation type="list" allowBlank="1" showErrorMessage="1" sqref="E9" xr:uid="{F0FFE967-81E3-439C-88F3-E2E22BD1889E}">
      <formula1>"치명,신속,특화"</formula1>
    </dataValidation>
    <dataValidation type="list" allowBlank="1" showInputMessage="1" showErrorMessage="1" sqref="E11:E12" xr:uid="{0FA4805F-5B5B-4B6A-8303-49222DCD5B8C}">
      <formula1>"기타,예감"</formula1>
    </dataValidation>
    <dataValidation type="list" allowBlank="1" showInputMessage="1" showErrorMessage="1" sqref="E13:E14" xr:uid="{7CF311F0-4D19-4C30-9402-22F22798CBA4}">
      <formula1>"기타,혼강,일격,파전"</formula1>
    </dataValidation>
    <dataValidation type="list" allowBlank="1" showInputMessage="1" showErrorMessage="1" sqref="E16" xr:uid="{A3AAE335-213E-4CCB-BB3D-2B1EB92C8A86}">
      <formula1>"추피,치피"</formula1>
    </dataValidation>
    <dataValidation type="list" allowBlank="1" showInputMessage="1" showErrorMessage="1" sqref="E17" xr:uid="{0455AECF-F0C8-4F1C-9EF2-71C1A42734B8}">
      <formula1>"달인,회심"</formula1>
    </dataValidation>
    <dataValidation type="list" allowBlank="1" showInputMessage="1" showErrorMessage="1" sqref="E19" xr:uid="{D7235E7C-23C7-4A24-9570-3ED2D4B707ED}">
      <formula1>"미채용,아드0,아드1,아드2,아드3,아드4,정단0,정단1,정단2,정단3,정단4"</formula1>
    </dataValidation>
    <dataValidation type="list" allowBlank="1" showInputMessage="1" showErrorMessage="1" sqref="E29" xr:uid="{7868A197-4006-4683-936F-D29365076909}">
      <formula1>"기타,에아달린(공속),와인(이속)"</formula1>
    </dataValidation>
    <dataValidation type="list" allowBlank="1" showInputMessage="1" showErrorMessage="1" sqref="E20" xr:uid="{0A1701E4-BE7B-4AE3-B7A4-C5917C5E569E}">
      <formula1>"미채용,예둔0,예둔1,예둔2,예둔3,예둔4"</formula1>
    </dataValidation>
    <dataValidation type="list" allowBlank="1" showInputMessage="1" showErrorMessage="1" sqref="E22:E23" xr:uid="{481D3B74-33DA-4BD9-A642-B3F6E5E694F5}">
      <formula1>"기타,예둔1,예둔2,예둔3,예둔4,돌대1,돌대2,돌대3,돌대4,정단1,정단2,정단3,정단4"</formula1>
    </dataValidation>
    <dataValidation type="list" allowBlank="1" showInputMessage="1" showErrorMessage="1" sqref="H29 E27 E25" xr:uid="{DFFD1FEF-20DB-4D4D-941F-AC56FCC9EB6D}">
      <formula1>"O,X"</formula1>
    </dataValidation>
    <dataValidation type="list" allowBlank="1" showInputMessage="1" showErrorMessage="1" sqref="H11 H14" xr:uid="{B3B1DAC9-934D-4CB4-8E61-6F2912957375}">
      <formula1>"0,0.4,0.95,1.55"</formula1>
    </dataValidation>
    <dataValidation type="list" allowBlank="1" showInputMessage="1" showErrorMessage="1" sqref="H12 H15" xr:uid="{29012B54-8B9B-4BDE-B68E-4557B3E679FE}">
      <formula1>"0,1.1,2.4,4.0"</formula1>
    </dataValidation>
    <dataValidation type="list" allowBlank="1" showInputMessage="1" showErrorMessage="1" sqref="E21" xr:uid="{C32D9854-76E7-49CC-8836-29E38C6AD336}">
      <formula1>"채용,미채용"</formula1>
    </dataValidation>
  </dataValidation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01B5B-60CD-4458-9E2D-073A5708B84F}">
  <sheetPr>
    <tabColor theme="9" tint="0.39997558519241921"/>
  </sheetPr>
  <dimension ref="A1:XEW45"/>
  <sheetViews>
    <sheetView topLeftCell="A4" zoomScaleNormal="100" workbookViewId="0">
      <selection activeCell="M26" sqref="M26"/>
    </sheetView>
  </sheetViews>
  <sheetFormatPr defaultColWidth="0" defaultRowHeight="16.5" zeroHeight="1"/>
  <cols>
    <col min="1" max="1" width="2.625" style="25" customWidth="1"/>
    <col min="2" max="2" width="4.625" customWidth="1"/>
    <col min="3" max="3" width="3.625" customWidth="1"/>
    <col min="4" max="4" width="9.875" bestFit="1" customWidth="1"/>
    <col min="5" max="5" width="14.375" bestFit="1" customWidth="1"/>
    <col min="6" max="6" width="2.625" customWidth="1"/>
    <col min="7" max="8" width="9.875" customWidth="1"/>
    <col min="9" max="9" width="2.625" customWidth="1"/>
    <col min="10" max="10" width="4.625" customWidth="1"/>
    <col min="11" max="11" width="2.625" customWidth="1"/>
    <col min="12" max="13" width="12.125" customWidth="1"/>
    <col min="14" max="14" width="2.625" customWidth="1"/>
    <col min="15" max="16" width="12.125" customWidth="1"/>
    <col min="17" max="17" width="2.625" customWidth="1"/>
    <col min="18" max="18" width="4.625" customWidth="1"/>
    <col min="19" max="19" width="2.625" customWidth="1"/>
    <col min="20" max="21" width="12.125" customWidth="1"/>
    <col min="22" max="22" width="2.625" customWidth="1"/>
    <col min="23" max="24" width="12.125" customWidth="1"/>
    <col min="25" max="25" width="2.625" customWidth="1"/>
    <col min="26" max="26" width="4.625" customWidth="1"/>
    <col min="27" max="27" width="2.625" style="25" customWidth="1"/>
    <col min="28" max="16384" width="9" hidden="1"/>
  </cols>
  <sheetData>
    <row r="1" spans="2:26" s="25" customFormat="1"/>
    <row r="2" spans="2:26"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 t="s">
        <v>183</v>
      </c>
      <c r="R2" s="133" t="s">
        <v>185</v>
      </c>
      <c r="S2" s="133" t="s">
        <v>184</v>
      </c>
      <c r="T2" s="134"/>
      <c r="U2" s="133"/>
      <c r="V2" s="133"/>
      <c r="W2" s="133"/>
      <c r="X2" s="133"/>
      <c r="Y2" s="133"/>
      <c r="Z2" s="133"/>
    </row>
    <row r="3" spans="2:26">
      <c r="B3" s="133"/>
      <c r="C3" s="25"/>
      <c r="D3" s="135" t="s">
        <v>221</v>
      </c>
      <c r="E3" s="178" t="s">
        <v>244</v>
      </c>
      <c r="F3" s="25"/>
      <c r="G3" s="25"/>
      <c r="H3" s="25"/>
      <c r="I3" s="25"/>
      <c r="J3" s="133"/>
      <c r="K3" s="25"/>
      <c r="L3" s="136" t="s">
        <v>229</v>
      </c>
      <c r="M3" s="25"/>
      <c r="N3" s="25"/>
      <c r="O3" s="25"/>
      <c r="P3" s="25"/>
      <c r="Q3" s="25"/>
      <c r="R3" s="133"/>
      <c r="S3" s="25"/>
      <c r="T3" s="136" t="s">
        <v>47</v>
      </c>
      <c r="U3" s="25"/>
      <c r="V3" s="25"/>
      <c r="W3" s="25"/>
      <c r="X3" s="25"/>
      <c r="Y3" s="25"/>
      <c r="Z3" s="133"/>
    </row>
    <row r="4" spans="2:26" ht="17.25" thickBot="1">
      <c r="B4" s="133"/>
      <c r="C4" s="25"/>
      <c r="D4" s="25"/>
      <c r="E4" s="25"/>
      <c r="F4" s="25"/>
      <c r="G4" s="25"/>
      <c r="H4" s="25"/>
      <c r="I4" s="25"/>
      <c r="J4" s="133"/>
      <c r="K4" s="25"/>
      <c r="L4" s="25"/>
      <c r="M4" s="25"/>
      <c r="N4" s="25"/>
      <c r="O4" s="25"/>
      <c r="P4" s="25"/>
      <c r="Q4" s="25"/>
      <c r="R4" s="138"/>
      <c r="S4" s="137"/>
      <c r="T4" s="25"/>
      <c r="U4" s="25"/>
      <c r="V4" s="25"/>
      <c r="W4" s="25"/>
      <c r="X4" s="25"/>
      <c r="Y4" s="25"/>
      <c r="Z4" s="133"/>
    </row>
    <row r="5" spans="2:26" ht="17.25" thickBot="1">
      <c r="B5" s="133"/>
      <c r="C5" s="25"/>
      <c r="D5" s="432" t="s">
        <v>220</v>
      </c>
      <c r="E5" s="433"/>
      <c r="F5" s="25"/>
      <c r="G5" s="434" t="s">
        <v>200</v>
      </c>
      <c r="H5" s="435"/>
      <c r="I5" s="25"/>
      <c r="J5" s="133"/>
      <c r="K5" s="25"/>
      <c r="L5" s="426" t="s">
        <v>248</v>
      </c>
      <c r="M5" s="427"/>
      <c r="N5" s="25"/>
      <c r="O5" s="436" t="s">
        <v>42</v>
      </c>
      <c r="P5" s="437"/>
      <c r="Q5" s="137"/>
      <c r="R5" s="138"/>
      <c r="S5" s="137"/>
      <c r="T5" s="426" t="s">
        <v>249</v>
      </c>
      <c r="U5" s="427"/>
      <c r="V5" s="25"/>
      <c r="W5" s="428" t="s">
        <v>53</v>
      </c>
      <c r="X5" s="429"/>
      <c r="Y5" s="25"/>
      <c r="Z5" s="133"/>
    </row>
    <row r="6" spans="2:26">
      <c r="B6" s="133"/>
      <c r="C6" s="25"/>
      <c r="D6" s="26" t="s">
        <v>194</v>
      </c>
      <c r="E6" s="131">
        <v>3.5779999999999999E-2</v>
      </c>
      <c r="F6" s="25"/>
      <c r="G6" s="26" t="s">
        <v>194</v>
      </c>
      <c r="H6" s="163">
        <v>66</v>
      </c>
      <c r="I6" s="25"/>
      <c r="J6" s="133"/>
      <c r="K6" s="25"/>
      <c r="L6" s="76" t="s">
        <v>210</v>
      </c>
      <c r="M6" s="173">
        <f>($H$6+IF($E$9="치명",160,0)+$H$18)*$E$6</f>
        <v>6.6550799999999999</v>
      </c>
      <c r="N6" s="25"/>
      <c r="O6" s="6" t="s">
        <v>212</v>
      </c>
      <c r="P6" s="141">
        <v>119.28</v>
      </c>
      <c r="Q6" s="137"/>
      <c r="R6" s="138"/>
      <c r="S6" s="137"/>
      <c r="T6" s="76" t="s">
        <v>210</v>
      </c>
      <c r="U6" s="173">
        <f>($H$7+IF($E$9="신속",160,0)+$H$19)*$E$7</f>
        <v>6.1296900000000001</v>
      </c>
      <c r="V6" s="25"/>
      <c r="W6" s="6" t="s">
        <v>212</v>
      </c>
      <c r="X6" s="7">
        <v>140</v>
      </c>
      <c r="Y6" s="25"/>
      <c r="Z6" s="133"/>
    </row>
    <row r="7" spans="2:26" ht="17.25" thickBot="1">
      <c r="B7" s="133"/>
      <c r="C7" s="25"/>
      <c r="D7" s="59" t="s">
        <v>195</v>
      </c>
      <c r="E7" s="132">
        <v>1.7170000000000001E-2</v>
      </c>
      <c r="F7" s="25"/>
      <c r="G7" s="26" t="s">
        <v>195</v>
      </c>
      <c r="H7" s="163">
        <v>77</v>
      </c>
      <c r="I7" s="25"/>
      <c r="J7" s="133"/>
      <c r="K7" s="25"/>
      <c r="L7" s="6" t="s">
        <v>41</v>
      </c>
      <c r="M7" s="141">
        <f>IF($H$29="O",10,IF($H$29="X",0))</f>
        <v>10</v>
      </c>
      <c r="N7" s="25"/>
      <c r="O7" s="142" t="s">
        <v>42</v>
      </c>
      <c r="P7" s="143">
        <f>$P$6-$M$15</f>
        <v>35.024920000000009</v>
      </c>
      <c r="Q7" s="137"/>
      <c r="R7" s="138"/>
      <c r="S7" s="137"/>
      <c r="T7" s="6" t="s">
        <v>65</v>
      </c>
      <c r="U7" s="141">
        <f>($X$10*50)*$E$7</f>
        <v>17.532345544997202</v>
      </c>
      <c r="V7" s="25"/>
      <c r="W7" s="142" t="s">
        <v>53</v>
      </c>
      <c r="X7" s="143">
        <f>$X$6-$U$13-100</f>
        <v>-9.6620355449971953</v>
      </c>
      <c r="Y7" s="25"/>
      <c r="Z7" s="133"/>
    </row>
    <row r="8" spans="2:26" ht="17.25" thickBot="1">
      <c r="B8" s="133"/>
      <c r="C8" s="25"/>
      <c r="D8" s="25"/>
      <c r="E8" s="25"/>
      <c r="F8" s="25"/>
      <c r="G8" s="59" t="s">
        <v>300</v>
      </c>
      <c r="H8" s="161">
        <v>72</v>
      </c>
      <c r="I8" s="25"/>
      <c r="J8" s="133"/>
      <c r="K8" s="25"/>
      <c r="L8" s="6" t="s">
        <v>222</v>
      </c>
      <c r="M8" s="141">
        <f>IF($E$11="예감",4,IF($E$11="기타",0))+IF($E$12="예감",4,IF($E$12="기타",0))</f>
        <v>4</v>
      </c>
      <c r="N8" s="25"/>
      <c r="O8" s="25"/>
      <c r="P8" s="25"/>
      <c r="Q8" s="137"/>
      <c r="R8" s="138"/>
      <c r="S8" s="137"/>
      <c r="T8" s="6" t="s">
        <v>50</v>
      </c>
      <c r="U8" s="141">
        <f>IF($E$25="O",9,IF($E$25="X",0))</f>
        <v>9</v>
      </c>
      <c r="V8" s="25"/>
      <c r="Y8" s="25"/>
      <c r="Z8" s="133"/>
    </row>
    <row r="9" spans="2:26" ht="17.25" thickBot="1">
      <c r="B9" s="133"/>
      <c r="C9" s="25"/>
      <c r="D9" s="124" t="s">
        <v>209</v>
      </c>
      <c r="E9" s="123" t="s">
        <v>162</v>
      </c>
      <c r="F9" s="25"/>
      <c r="G9" s="25"/>
      <c r="H9" s="25"/>
      <c r="I9" s="25"/>
      <c r="J9" s="133"/>
      <c r="K9" s="25"/>
      <c r="L9" s="6" t="s">
        <v>223</v>
      </c>
      <c r="M9" s="141">
        <f>IF($E$13="혼강",12,IF($E$13="일격",10,IF($E$13="파전",0,IF($E$13="기타",0))))+IF($E$14="혼강",12,IF($E$14="일격",10,IF($E$14="파전",0,IF($E$14="기타",0))))</f>
        <v>22</v>
      </c>
      <c r="N9" s="25"/>
      <c r="O9" s="436" t="s">
        <v>187</v>
      </c>
      <c r="P9" s="437"/>
      <c r="Q9" s="137"/>
      <c r="R9" s="138"/>
      <c r="S9" s="137"/>
      <c r="T9" s="6" t="s">
        <v>51</v>
      </c>
      <c r="U9" s="141">
        <f>IF($E$27="O",5,IF($E$27="X",0))</f>
        <v>5</v>
      </c>
      <c r="V9" s="25"/>
      <c r="W9" s="436" t="s">
        <v>182</v>
      </c>
      <c r="X9" s="438"/>
      <c r="Y9" s="25"/>
      <c r="Z9" s="133"/>
    </row>
    <row r="10" spans="2:26" ht="17.25" thickBot="1">
      <c r="B10" s="133"/>
      <c r="C10" s="25"/>
      <c r="D10" s="25"/>
      <c r="E10" s="25"/>
      <c r="F10" s="25"/>
      <c r="G10" s="430" t="s">
        <v>43</v>
      </c>
      <c r="H10" s="431"/>
      <c r="I10" s="25"/>
      <c r="J10" s="133"/>
      <c r="K10" s="25"/>
      <c r="L10" s="6" t="s">
        <v>201</v>
      </c>
      <c r="M10" s="141">
        <f>IF($E$19="미채용",0,IF($E$19="아드0",14,IF($E$19="아드1",15.5,IF($E$19="아드2",17,IF($E$19="아드3",18.5,IF($E$19="아드4",20,IF($E$19="정단0",18,IF($E$19="정단1",18.75,IF($E$19="정단2",19.5,IF($E$19="정단3",20.25,IF($E$19="정단4",21)))))))))))+IF($E$22="기타",0,IF($E$22="예둔1",0,IF($E$22="예둔2",0,IF($E$22="예둔3",0,IF($E$22="예둔4",0,IF($E$22="돌대1",0,IF($E$22="돌대2",0,IF($E$22="돌대3",0,IF($E$22="돌대4",0,IF($E$22="정단1",3,IF($E$22="정단2",3.75,IF($E$22="정단3",5.25,IF($E$22="정단4",6)))))))))))))+IF($E$23="기타",0,IF($E$23="예둔1",0,IF($E$23="예둔2",0,IF($E$23="예둔3",0,IF($E$23="예둔4",0,IF($E$23="돌대1",0,IF($E$23="돌대2",0,IF($E$23="돌대3",0,IF($E$23="돌대4",0,IF($E$23="정단1",3,IF($E$23="정단2",3.75,IF($E$23="정단3",5.25,IF($E$23="정단4",6)))))))))))))</f>
        <v>21.5</v>
      </c>
      <c r="N10" s="25"/>
      <c r="O10" s="60" t="s">
        <v>194</v>
      </c>
      <c r="P10" s="146">
        <f>$P$7/$E$6</f>
        <v>978.89659027389632</v>
      </c>
      <c r="Q10" s="137"/>
      <c r="R10" s="138"/>
      <c r="S10" s="137"/>
      <c r="T10" s="60" t="s">
        <v>203</v>
      </c>
      <c r="U10" s="143">
        <f>IF($E$29="기타",0,IF($E$29="와인(이속)",3,IF($E$29="에아달린(공속)",0)))</f>
        <v>0</v>
      </c>
      <c r="V10" s="25"/>
      <c r="W10" s="347" t="s">
        <v>195</v>
      </c>
      <c r="X10" s="348">
        <f>MIN(40-$P$13,30)</f>
        <v>20.422068194522073</v>
      </c>
      <c r="Y10" s="25"/>
      <c r="Z10" s="133"/>
    </row>
    <row r="11" spans="2:26" ht="17.25" thickBot="1">
      <c r="B11" s="133"/>
      <c r="C11" s="25"/>
      <c r="D11" s="159" t="s">
        <v>222</v>
      </c>
      <c r="E11" s="130" t="s">
        <v>224</v>
      </c>
      <c r="F11" s="25"/>
      <c r="G11" s="164" t="s">
        <v>38</v>
      </c>
      <c r="H11" s="326">
        <v>1.55</v>
      </c>
      <c r="I11" s="25"/>
      <c r="J11" s="133"/>
      <c r="K11" s="25"/>
      <c r="L11" s="60" t="s">
        <v>66</v>
      </c>
      <c r="M11" s="143">
        <f>IF($E$16="치피",0,IF($E$16="추피",0))+IF($E$17="회심",0,IF($E$17="달인",7))</f>
        <v>7</v>
      </c>
      <c r="N11" s="25"/>
      <c r="O11" s="25"/>
      <c r="P11" s="25"/>
      <c r="Q11" s="137"/>
      <c r="R11" s="138"/>
      <c r="S11" s="137"/>
      <c r="T11" s="176" t="s">
        <v>52</v>
      </c>
      <c r="U11" s="177">
        <f>$H$23</f>
        <v>12</v>
      </c>
      <c r="V11" s="25"/>
      <c r="Y11" s="25"/>
      <c r="Z11" s="133"/>
    </row>
    <row r="12" spans="2:26" ht="17.25" thickBot="1">
      <c r="B12" s="133"/>
      <c r="C12" s="25"/>
      <c r="D12" s="91" t="s">
        <v>222</v>
      </c>
      <c r="E12" s="161" t="s">
        <v>186</v>
      </c>
      <c r="F12" s="25"/>
      <c r="G12" s="91" t="s">
        <v>39</v>
      </c>
      <c r="H12" s="327">
        <v>4</v>
      </c>
      <c r="I12" s="25"/>
      <c r="J12" s="133"/>
      <c r="K12" s="25"/>
      <c r="L12" s="148" t="s">
        <v>40</v>
      </c>
      <c r="M12" s="175">
        <f>SUM($H$11+$H$14)</f>
        <v>3.1</v>
      </c>
      <c r="N12" s="25"/>
      <c r="O12" s="439" t="s">
        <v>206</v>
      </c>
      <c r="P12" s="440"/>
      <c r="Q12" s="137"/>
      <c r="R12" s="138"/>
      <c r="S12" s="137"/>
      <c r="T12" s="338" t="s">
        <v>321</v>
      </c>
      <c r="U12" s="339">
        <v>0</v>
      </c>
      <c r="V12" s="25"/>
      <c r="W12" s="439" t="s">
        <v>215</v>
      </c>
      <c r="X12" s="440"/>
      <c r="Y12" s="25"/>
      <c r="Z12" s="133"/>
    </row>
    <row r="13" spans="2:26" ht="17.25" thickBot="1">
      <c r="B13" s="133"/>
      <c r="C13" s="25"/>
      <c r="D13" s="159" t="s">
        <v>223</v>
      </c>
      <c r="E13" s="130" t="s">
        <v>313</v>
      </c>
      <c r="F13" s="25"/>
      <c r="G13" s="430" t="s">
        <v>44</v>
      </c>
      <c r="H13" s="431"/>
      <c r="I13" s="25"/>
      <c r="J13" s="133"/>
      <c r="K13" s="25"/>
      <c r="L13" s="176" t="s">
        <v>52</v>
      </c>
      <c r="M13" s="337">
        <f>$H$21</f>
        <v>10</v>
      </c>
      <c r="N13" s="25"/>
      <c r="O13" s="60" t="s">
        <v>211</v>
      </c>
      <c r="P13" s="146">
        <f>MIN($P$10/50,30)</f>
        <v>19.577931805477927</v>
      </c>
      <c r="Q13" s="137"/>
      <c r="R13" s="138"/>
      <c r="S13" s="137"/>
      <c r="T13" s="142" t="s">
        <v>218</v>
      </c>
      <c r="U13" s="143">
        <f>SUM($U$6:$U$12)</f>
        <v>49.662035544997202</v>
      </c>
      <c r="V13" s="25"/>
      <c r="W13" s="6" t="s">
        <v>214</v>
      </c>
      <c r="X13" s="141">
        <f>$U$13*(0.4+IF($E$22="기타",0,IF($E$22="예둔1",0,IF($E$22="예둔2",0,IF($E$22="예둔3",0,IF($E$22="예둔4",0,IF($E$22="돌대1",0.075,IF($E$22="돌대2",0.094,IF($E$22="돌대3",0.132,IF($E$22="돌대4",0.15,IF($E$22="정단1",0,IF($E$22="정단2",0,IF($E$22="정단3",0,IF($E$22="정단4",0)))))))))))))+IF($E$23="기타",0,IF($E$23="예둔1",0,IF($E$23="예둔2",0,IF($E$23="예둔3",0,IF($E$23="예둔4",0,IF($E$23="돌대1",0.075,IF($E$23="돌대2",0.094,IF($E$23="돌대3",0.132,IF($E$23="돌대4",0.15,IF($E$23="정단1",0,IF($E$23="정단2",0,IF($E$23="정단3",0,IF($E$23="정단4",0))))))))))))))</f>
        <v>26.420202909938514</v>
      </c>
      <c r="Y13" s="25"/>
      <c r="Z13" s="133"/>
    </row>
    <row r="14" spans="2:26" ht="17.25" thickBot="1">
      <c r="B14" s="133"/>
      <c r="C14" s="25"/>
      <c r="D14" s="91" t="s">
        <v>223</v>
      </c>
      <c r="E14" s="161" t="s">
        <v>256</v>
      </c>
      <c r="F14" s="25"/>
      <c r="G14" s="164" t="s">
        <v>38</v>
      </c>
      <c r="H14" s="326">
        <v>1.55</v>
      </c>
      <c r="I14" s="25"/>
      <c r="J14" s="133"/>
      <c r="K14" s="25"/>
      <c r="L14" s="338" t="s">
        <v>321</v>
      </c>
      <c r="M14" s="339">
        <v>0</v>
      </c>
      <c r="N14" s="25"/>
      <c r="O14" s="25"/>
      <c r="P14" s="25"/>
      <c r="Q14" s="137"/>
      <c r="R14" s="138"/>
      <c r="S14" s="137"/>
      <c r="T14" s="25"/>
      <c r="U14" s="25"/>
      <c r="V14" s="25"/>
      <c r="W14" s="60" t="s">
        <v>216</v>
      </c>
      <c r="X14" s="143">
        <f>$U$13*(0.48+IF($E$22="기타",0,IF($E$22="예둔1",0,IF($E$22="예둔2",0,IF($E$22="예둔3",0,IF($E$22="예둔4",0,IF($E$22="돌대1",0.075,IF($E$22="돌대2",0.094,IF($E$22="돌대3",0.132,IF($E$22="돌대4",0.15,IF($E$22="정단1",0,IF($E$22="정단2",0,IF($E$22="정단3",0,IF($E$22="정단4",0)))))))))))))+IF($E$23="기타",0,IF($E$23="예둔1",0,IF($E$23="예둔2",0,IF($E$23="예둔3",0,IF($E$23="예둔4",0,IF($E$23="돌대1",0.075,IF($E$23="돌대2",0.094,IF($E$23="돌대3",0.132,IF($E$23="돌대4",0.15,IF($E$23="정단1",0,IF($E$23="정단2",0,IF($E$23="정단3",0,IF($E$23="정단4",0))))))))))))))</f>
        <v>30.393165753538288</v>
      </c>
      <c r="Y14" s="25"/>
      <c r="Z14" s="133"/>
    </row>
    <row r="15" spans="2:26" ht="17.25" thickBot="1">
      <c r="B15" s="133"/>
      <c r="C15" s="25"/>
      <c r="D15" s="25"/>
      <c r="E15" s="25"/>
      <c r="F15" s="25"/>
      <c r="G15" s="91" t="s">
        <v>39</v>
      </c>
      <c r="H15" s="327">
        <v>4</v>
      </c>
      <c r="I15" s="25"/>
      <c r="J15" s="133"/>
      <c r="K15" s="25"/>
      <c r="L15" s="142" t="s">
        <v>46</v>
      </c>
      <c r="M15" s="143">
        <f>SUM($M$6:$M$14)</f>
        <v>84.255079999999992</v>
      </c>
      <c r="N15" s="25"/>
      <c r="O15" s="25" t="s">
        <v>312</v>
      </c>
      <c r="P15" s="25"/>
      <c r="Q15" s="137"/>
      <c r="R15" s="138"/>
      <c r="S15" s="137"/>
      <c r="T15" s="25" t="s">
        <v>148</v>
      </c>
      <c r="U15" s="25"/>
      <c r="V15" s="25"/>
      <c r="W15" s="25"/>
      <c r="X15" s="25"/>
      <c r="Y15" s="25"/>
      <c r="Z15" s="133"/>
    </row>
    <row r="16" spans="2:26" ht="17.25" thickBot="1">
      <c r="B16" s="133"/>
      <c r="C16" s="25"/>
      <c r="D16" s="159" t="s">
        <v>227</v>
      </c>
      <c r="E16" s="130" t="s">
        <v>225</v>
      </c>
      <c r="F16" s="25"/>
      <c r="G16" s="25"/>
      <c r="H16" s="25"/>
      <c r="I16" s="25"/>
      <c r="J16" s="133"/>
      <c r="K16" s="25"/>
      <c r="L16" s="25"/>
      <c r="M16" s="25"/>
      <c r="N16" s="25"/>
      <c r="O16" s="25" t="s">
        <v>64</v>
      </c>
      <c r="P16" s="25"/>
      <c r="Q16" s="137"/>
      <c r="R16" s="138"/>
      <c r="S16" s="137"/>
      <c r="T16" s="25" t="s">
        <v>217</v>
      </c>
      <c r="U16" s="25"/>
      <c r="V16" s="25"/>
      <c r="W16" s="25"/>
      <c r="Y16" s="25"/>
      <c r="Z16" s="133"/>
    </row>
    <row r="17" spans="2:16377" ht="17.25" thickBot="1">
      <c r="B17" s="133"/>
      <c r="C17" s="25"/>
      <c r="D17" s="91" t="s">
        <v>226</v>
      </c>
      <c r="E17" s="161" t="s">
        <v>161</v>
      </c>
      <c r="F17" s="25"/>
      <c r="G17" s="445" t="s">
        <v>199</v>
      </c>
      <c r="H17" s="446"/>
      <c r="I17" s="25"/>
      <c r="J17" s="133"/>
      <c r="K17" s="25"/>
      <c r="L17" s="25"/>
      <c r="M17" s="25"/>
      <c r="N17" s="25"/>
      <c r="O17" s="25" t="s">
        <v>213</v>
      </c>
      <c r="P17" s="25"/>
      <c r="Q17" s="137"/>
      <c r="R17" s="138"/>
      <c r="S17" s="137"/>
      <c r="T17" s="25" t="s">
        <v>147</v>
      </c>
      <c r="U17" s="25"/>
      <c r="V17" s="25"/>
      <c r="W17" s="25"/>
      <c r="X17" s="25"/>
      <c r="Y17" s="25"/>
      <c r="Z17" s="133"/>
    </row>
    <row r="18" spans="2:16377" ht="17.25" thickBot="1">
      <c r="B18" s="133"/>
      <c r="C18" s="25"/>
      <c r="E18" s="25"/>
      <c r="F18" s="25"/>
      <c r="G18" s="164" t="s">
        <v>194</v>
      </c>
      <c r="H18" s="324">
        <v>120</v>
      </c>
      <c r="I18" s="25"/>
      <c r="J18" s="133"/>
      <c r="K18" s="25"/>
      <c r="L18" s="25"/>
      <c r="M18" s="25"/>
      <c r="N18" s="25"/>
      <c r="O18" s="25"/>
      <c r="P18" s="25"/>
      <c r="Q18" s="137"/>
      <c r="R18" s="138"/>
      <c r="S18" s="137"/>
      <c r="T18" s="25"/>
      <c r="U18" s="25"/>
      <c r="V18" s="25"/>
      <c r="W18" s="25"/>
      <c r="X18" s="25"/>
      <c r="Y18" s="25"/>
      <c r="Z18" s="133"/>
    </row>
    <row r="19" spans="2:16377" ht="17.25" thickBot="1">
      <c r="B19" s="133"/>
      <c r="C19" s="25"/>
      <c r="D19" s="159" t="s">
        <v>201</v>
      </c>
      <c r="E19" s="130" t="s">
        <v>324</v>
      </c>
      <c r="F19" s="25"/>
      <c r="G19" s="91" t="s">
        <v>195</v>
      </c>
      <c r="H19" s="325">
        <v>120</v>
      </c>
      <c r="I19" s="25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2:16377">
      <c r="B20" s="133"/>
      <c r="C20" s="25"/>
      <c r="D20" s="128" t="s">
        <v>48</v>
      </c>
      <c r="E20" s="163" t="s">
        <v>325</v>
      </c>
      <c r="F20" s="25"/>
      <c r="G20" s="447" t="s">
        <v>52</v>
      </c>
      <c r="H20" s="448"/>
      <c r="I20" s="25"/>
      <c r="J20" s="133"/>
      <c r="K20" s="25"/>
      <c r="L20" s="149" t="s">
        <v>48</v>
      </c>
      <c r="M20" s="25"/>
      <c r="N20" s="25"/>
      <c r="O20" s="25"/>
      <c r="P20" s="25"/>
      <c r="Q20" s="25"/>
      <c r="R20" s="133"/>
      <c r="S20" s="25"/>
      <c r="T20" s="149" t="s">
        <v>230</v>
      </c>
      <c r="U20" s="25"/>
      <c r="V20" s="25"/>
      <c r="W20" s="25"/>
      <c r="X20" s="25"/>
      <c r="Y20" s="25"/>
      <c r="Z20" s="133"/>
    </row>
    <row r="21" spans="2:16377" ht="17.25" thickBot="1">
      <c r="B21" s="133"/>
      <c r="C21" s="25"/>
      <c r="D21" s="91" t="s">
        <v>193</v>
      </c>
      <c r="E21" s="161" t="s">
        <v>316</v>
      </c>
      <c r="F21" s="25"/>
      <c r="G21" s="164" t="s">
        <v>38</v>
      </c>
      <c r="H21" s="326">
        <v>10</v>
      </c>
      <c r="I21" s="25"/>
      <c r="J21" s="133"/>
      <c r="K21" s="25"/>
      <c r="L21" s="151"/>
      <c r="M21" s="25"/>
      <c r="N21" s="25"/>
      <c r="O21" s="25"/>
      <c r="P21" s="25"/>
      <c r="Q21" s="25"/>
      <c r="R21" s="133"/>
      <c r="S21" s="25"/>
      <c r="T21" s="25"/>
      <c r="U21" s="25"/>
      <c r="V21" s="25"/>
      <c r="W21" s="25"/>
      <c r="X21" s="25"/>
      <c r="Y21" s="25"/>
      <c r="Z21" s="133"/>
    </row>
    <row r="22" spans="2:16377">
      <c r="B22" s="133"/>
      <c r="C22" s="25"/>
      <c r="D22" s="128" t="s">
        <v>243</v>
      </c>
      <c r="E22" s="163" t="s">
        <v>327</v>
      </c>
      <c r="F22" s="25"/>
      <c r="G22" s="128" t="s">
        <v>39</v>
      </c>
      <c r="H22" s="326">
        <v>20</v>
      </c>
      <c r="I22" s="25"/>
      <c r="J22" s="133"/>
      <c r="K22" s="25"/>
      <c r="L22" s="449" t="s">
        <v>247</v>
      </c>
      <c r="M22" s="450"/>
      <c r="N22" s="25"/>
      <c r="O22" s="139" t="s">
        <v>59</v>
      </c>
      <c r="P22" s="140">
        <f>SUM($P$23:$P$24)</f>
        <v>48</v>
      </c>
      <c r="Q22" s="152"/>
      <c r="R22" s="133"/>
      <c r="S22" s="25"/>
      <c r="T22" s="139" t="s">
        <v>189</v>
      </c>
      <c r="U22" s="140">
        <f>SUM($U$23:$U$30)-$U$31</f>
        <v>39.299689999999998</v>
      </c>
      <c r="V22" s="25"/>
      <c r="W22" s="165" t="s">
        <v>38</v>
      </c>
      <c r="X22" s="166">
        <f>SUM($X$23:$X$30)</f>
        <v>110.03507999999999</v>
      </c>
      <c r="Y22" s="25"/>
      <c r="Z22" s="133"/>
    </row>
    <row r="23" spans="2:16377" ht="17.25" thickBot="1">
      <c r="B23" s="133"/>
      <c r="C23" s="25"/>
      <c r="D23" s="91" t="s">
        <v>243</v>
      </c>
      <c r="E23" s="161" t="s">
        <v>326</v>
      </c>
      <c r="F23" s="25"/>
      <c r="G23" s="91" t="s">
        <v>63</v>
      </c>
      <c r="H23" s="327">
        <v>12</v>
      </c>
      <c r="I23" s="25"/>
      <c r="J23" s="133"/>
      <c r="K23" s="25"/>
      <c r="L23" s="6" t="s">
        <v>56</v>
      </c>
      <c r="M23" s="141">
        <v>200</v>
      </c>
      <c r="N23" s="25"/>
      <c r="O23" s="6" t="s">
        <v>48</v>
      </c>
      <c r="P23" s="141">
        <f>IF($E$20="미채용",0,IF($E$20="예둔0",44,IF($E$20="예둔1",46,IF($E$20="예둔2",48,IF($E$20="예둔3",50,IF($E$20="예둔4",52))))))</f>
        <v>48</v>
      </c>
      <c r="Q23" s="153"/>
      <c r="R23" s="133"/>
      <c r="S23" s="25"/>
      <c r="T23" s="6" t="s">
        <v>210</v>
      </c>
      <c r="U23" s="141">
        <f>($H$27*50+$H$7+$H$19+IF(E9="신속",160,0))*$E$7</f>
        <v>23.299690000000002</v>
      </c>
      <c r="V23" s="25"/>
      <c r="W23" s="6" t="s">
        <v>210</v>
      </c>
      <c r="X23" s="141">
        <f>($H$26*50+$H$6+$H$18+IF($E$9="치명",160,0))*$E$6</f>
        <v>42.435079999999999</v>
      </c>
      <c r="Y23" s="25"/>
      <c r="Z23" s="133"/>
    </row>
    <row r="24" spans="2:16377" ht="17.25" thickBot="1">
      <c r="B24" s="133"/>
      <c r="C24" s="25"/>
      <c r="D24" s="25"/>
      <c r="E24" s="25"/>
      <c r="F24" s="25"/>
      <c r="G24" s="25"/>
      <c r="H24" s="25"/>
      <c r="I24" s="25"/>
      <c r="J24" s="133"/>
      <c r="K24" s="25"/>
      <c r="L24" s="6" t="s">
        <v>223</v>
      </c>
      <c r="M24" s="141">
        <f>IF($E$13="혼강",0,IF($E$13="일격",16,IF($E$13="파전",0,IF($E$13="기타",0))))+IF($E$14="혼강",0,IF($E$14="일격",16,IF($E$14="파전",0,IF($E$14="기타",0))))</f>
        <v>16</v>
      </c>
      <c r="N24" s="25"/>
      <c r="O24" s="60" t="s">
        <v>181</v>
      </c>
      <c r="P24" s="143">
        <f>IF($E$22="기타",0,IF($E$22="예둔1",7.5,IF($E$22="예둔2",9.4,IF($E$22="예둔3",13.2,IF($E$22="예둔4",15,IF($E$22="돌대1",0,IF($E$22="돌대2",0,IF($E$22="돌대3",0,IF($E$22="돌대4",0,IF($E$22="정단1",0,IF($E$22="정단2",0,IF($E$22="정단3",0,IF($E$22="정단4",0)))))))))))))+IF($E$23="기타",0,IF($E$23="예둔1",7.5,IF($E$23="예둔2",9.4,IF($E$23="예둔3",13.2,IF($E$23="예둔4",15,IF($E$23="돌대1",0,IF($E$23="돌대2",0,IF($E$23="돌대3",0,IF($E$23="돌대4",0,IF($E$23="정단1",0,IF($E$23="정단2",0,IF($E$23="정단3",0,IF($E$23="정단4",0)))))))))))))</f>
        <v>0</v>
      </c>
      <c r="Q24" s="153"/>
      <c r="R24" s="133"/>
      <c r="S24" s="25"/>
      <c r="T24" s="6" t="s">
        <v>50</v>
      </c>
      <c r="U24" s="141">
        <f>IF($E$25="O",9,IF($E$25="X",0))</f>
        <v>9</v>
      </c>
      <c r="V24" s="25"/>
      <c r="W24" s="129" t="s">
        <v>41</v>
      </c>
      <c r="X24" s="141">
        <f>IF($H$29="O",10,IF($H$29="X",0))</f>
        <v>10</v>
      </c>
      <c r="Y24" s="25"/>
      <c r="Z24" s="133"/>
    </row>
    <row r="25" spans="2:16377" ht="17.25" thickBot="1">
      <c r="B25" s="133"/>
      <c r="C25" s="25"/>
      <c r="D25" s="160" t="s">
        <v>50</v>
      </c>
      <c r="E25" s="162" t="s">
        <v>257</v>
      </c>
      <c r="F25" s="25"/>
      <c r="G25" s="451" t="s">
        <v>228</v>
      </c>
      <c r="H25" s="452"/>
      <c r="I25" s="25"/>
      <c r="J25" s="133"/>
      <c r="K25" s="25"/>
      <c r="L25" s="6" t="s">
        <v>231</v>
      </c>
      <c r="M25" s="141">
        <f>IF($E$19="미채용",0,IF($E$19="아드0",0,IF($E$19="아드1",0,IF($E$19="아드2",0,IF($E$19="아드3",0,IF($E$19="아드4",0,IF($E$19="정단0",-6,IF($E$19="정단1",-6,IF($E$19="정단2",-6,IF($E$19="정단3",-6,IF($E$19="정단4",-6)))))))))))</f>
        <v>0</v>
      </c>
      <c r="N25" s="25"/>
      <c r="O25" s="25"/>
      <c r="P25" s="25"/>
      <c r="Q25" s="25"/>
      <c r="R25" s="133"/>
      <c r="S25" s="25"/>
      <c r="T25" s="6" t="s">
        <v>51</v>
      </c>
      <c r="U25" s="141">
        <f>IF($E$27="O",5,IF($E$27="X",0))</f>
        <v>5</v>
      </c>
      <c r="V25" s="25"/>
      <c r="W25" s="6" t="s">
        <v>222</v>
      </c>
      <c r="X25" s="141">
        <f>IF($E$11="예감",4,IF($E$11="기타",0))+IF($E$12="예감",4,IF($E$12="기타",0))</f>
        <v>4</v>
      </c>
      <c r="Y25" s="25"/>
      <c r="Z25" s="133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</row>
    <row r="26" spans="2:16377" ht="17.25" thickBot="1">
      <c r="B26" s="133"/>
      <c r="C26" s="25"/>
      <c r="D26" s="25"/>
      <c r="E26" s="25"/>
      <c r="F26" s="25"/>
      <c r="G26" s="164" t="s">
        <v>194</v>
      </c>
      <c r="H26" s="163">
        <v>20</v>
      </c>
      <c r="I26" s="25"/>
      <c r="J26" s="133"/>
      <c r="K26" s="25"/>
      <c r="L26" s="60" t="s">
        <v>66</v>
      </c>
      <c r="M26" s="143">
        <f>IF($E$16="치피",7,IF($E$16="추피",0))+IF($E$17="회심",0,IF($E$17="달인",0))</f>
        <v>0</v>
      </c>
      <c r="N26" s="25"/>
      <c r="O26" s="453" t="s">
        <v>38</v>
      </c>
      <c r="P26" s="454"/>
      <c r="Q26" s="25"/>
      <c r="R26" s="133"/>
      <c r="S26" s="25"/>
      <c r="T26" s="6" t="s">
        <v>202</v>
      </c>
      <c r="U26" s="141">
        <f>IF($E$29="기타",0,IF($E$29="와인(이속)",0,IF($E$29="에아달린(공속)",3)))</f>
        <v>0</v>
      </c>
      <c r="V26" s="25"/>
      <c r="W26" s="6" t="s">
        <v>223</v>
      </c>
      <c r="X26" s="141">
        <f>IF($E$13="혼강",12,IF($E$13="일격",10,IF($E$13="파전",0,IF($E$13="기타",0))))+IF($E$14="혼강",12,IF($E$14="일격",10,IF($E$14="파전",0,IF($E$14="기타",0))))</f>
        <v>22</v>
      </c>
      <c r="Y26" s="25"/>
      <c r="Z26" s="133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</row>
    <row r="27" spans="2:16377" ht="17.25" thickBot="1">
      <c r="B27" s="133"/>
      <c r="C27" s="25"/>
      <c r="D27" s="160" t="s">
        <v>51</v>
      </c>
      <c r="E27" s="162" t="s">
        <v>257</v>
      </c>
      <c r="F27" s="25"/>
      <c r="G27" s="91" t="s">
        <v>195</v>
      </c>
      <c r="H27" s="161">
        <v>20</v>
      </c>
      <c r="I27" s="25"/>
      <c r="J27" s="133"/>
      <c r="K27" s="25"/>
      <c r="L27" s="338" t="s">
        <v>321</v>
      </c>
      <c r="M27" s="339">
        <v>0</v>
      </c>
      <c r="N27" s="25"/>
      <c r="O27" s="340" t="s">
        <v>38</v>
      </c>
      <c r="P27" s="341">
        <f>$X$22</f>
        <v>110.03507999999999</v>
      </c>
      <c r="Q27" s="25"/>
      <c r="R27" s="133"/>
      <c r="S27" s="25"/>
      <c r="T27" s="176" t="s">
        <v>192</v>
      </c>
      <c r="U27" s="177">
        <f>$H$23</f>
        <v>12</v>
      </c>
      <c r="V27" s="25"/>
      <c r="W27" s="129" t="s">
        <v>201</v>
      </c>
      <c r="X27" s="141">
        <f>IF($E$19="미채용",0,IF($E$19="아드0",14,IF($E$19="아드1",15.5,IF($E$19="아드2",17,IF($E$19="아드3",18.5,IF($E$19="아드4",20,IF($E$19="정단0",18,IF($E$19="정단1",18.75,IF($E$19="정단2",19.5,IF($E$19="정단3",20.25,IF($E$19="정단4",21)))))))))))+IF($E$22="기타",0,IF($E$22="예둔1",0,IF($E$22="예둔2",0,IF($E$22="예둔3",0,IF($E$22="예둔4",0,IF($E$22="돌대1",0,IF($E$22="돌대2",0,IF($E$22="돌대3",0,IF($E$22="돌대4",0,IF($E$22="정단1",3,IF($E$22="정단2",3.75,IF($E$22="정단3",5.25,IF($E$22="정단4",6)))))))))))))+IF($E$23="기타",0,IF($E$23="예둔1",0,IF($E$23="예둔2",0,IF($E$23="예둔3",0,IF($E$23="예둔4",0,IF($E$23="돌대1",0,IF($E$23="돌대2",0,IF($E$23="돌대3",0,IF($E$23="돌대4",0,IF($E$23="정단1",3,IF($E$23="정단2",3.75,IF($E$23="정단3",5.25,IF($E$23="정단4",6)))))))))))))</f>
        <v>21.5</v>
      </c>
      <c r="Y27" s="25"/>
      <c r="Z27" s="133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</row>
    <row r="28" spans="2:16377" ht="17.25" thickBot="1">
      <c r="B28" s="133"/>
      <c r="C28" s="25"/>
      <c r="D28" s="25"/>
      <c r="E28" s="25"/>
      <c r="F28" s="25"/>
      <c r="G28" s="25"/>
      <c r="H28" s="25"/>
      <c r="I28" s="25"/>
      <c r="J28" s="133"/>
      <c r="K28" s="25"/>
      <c r="L28" s="144" t="s">
        <v>40</v>
      </c>
      <c r="M28" s="145">
        <f>SUM($H$12+$H$15)</f>
        <v>8</v>
      </c>
      <c r="N28" s="25"/>
      <c r="O28" s="60" t="s">
        <v>57</v>
      </c>
      <c r="P28" s="143">
        <f>MIN($P$27/100,1)</f>
        <v>1</v>
      </c>
      <c r="Q28" s="25"/>
      <c r="R28" s="133"/>
      <c r="S28" s="25"/>
      <c r="T28" s="6" t="s">
        <v>223</v>
      </c>
      <c r="U28" s="141">
        <f>IF($E$13="혼강",0,IF($E$13="일격",0,IF($E$13="파전",4,IF($E$13="기타",0))))+IF($E$14="혼강",0,IF($E$14="일격",0,IF($E$14="파전",4,IF($E$14="기타",0))))</f>
        <v>0</v>
      </c>
      <c r="V28" s="25"/>
      <c r="W28" s="129" t="s">
        <v>66</v>
      </c>
      <c r="X28" s="141">
        <f>IF($E$16="치피",0,IF($E$16="추피",0))+IF($E$17="회심",0,IF($E$17="달인",7))</f>
        <v>7</v>
      </c>
      <c r="Y28" s="25"/>
      <c r="Z28" s="133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</row>
    <row r="29" spans="2:16377" ht="17.25" thickBot="1">
      <c r="B29" s="133"/>
      <c r="C29" s="25"/>
      <c r="D29" s="160" t="s">
        <v>191</v>
      </c>
      <c r="E29" s="162" t="s">
        <v>224</v>
      </c>
      <c r="F29" s="25"/>
      <c r="G29" s="160" t="s">
        <v>41</v>
      </c>
      <c r="H29" s="162" t="s">
        <v>257</v>
      </c>
      <c r="I29" s="25"/>
      <c r="J29" s="133"/>
      <c r="K29" s="25"/>
      <c r="L29" s="179" t="s">
        <v>52</v>
      </c>
      <c r="M29" s="180">
        <f>$H$22</f>
        <v>20</v>
      </c>
      <c r="N29" s="25"/>
      <c r="O29" s="25"/>
      <c r="P29" s="25"/>
      <c r="Q29" s="25"/>
      <c r="R29" s="133"/>
      <c r="S29" s="25"/>
      <c r="T29" s="342" t="s">
        <v>321</v>
      </c>
      <c r="U29" s="343">
        <v>0</v>
      </c>
      <c r="V29" s="25"/>
      <c r="W29" s="352" t="s">
        <v>40</v>
      </c>
      <c r="X29" s="353">
        <f>SUM($H$11+$H$14)</f>
        <v>3.1</v>
      </c>
      <c r="Y29" s="25"/>
      <c r="Z29" s="133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</row>
    <row r="30" spans="2:16377" ht="17.25" thickBot="1">
      <c r="B30" s="133"/>
      <c r="C30" s="25"/>
      <c r="D30" s="25"/>
      <c r="E30" s="25"/>
      <c r="F30" s="25"/>
      <c r="G30" s="25"/>
      <c r="H30" s="25"/>
      <c r="I30" s="25"/>
      <c r="J30" s="133"/>
      <c r="K30" s="25"/>
      <c r="L30" s="142" t="s">
        <v>60</v>
      </c>
      <c r="M30" s="143">
        <f>SUM($M$23:$M$29)</f>
        <v>244</v>
      </c>
      <c r="N30" s="25"/>
      <c r="O30" s="439" t="s">
        <v>58</v>
      </c>
      <c r="P30" s="440"/>
      <c r="Q30" s="25"/>
      <c r="R30" s="133"/>
      <c r="S30" s="25"/>
      <c r="T30" s="344" t="s">
        <v>205</v>
      </c>
      <c r="U30" s="345">
        <v>0</v>
      </c>
      <c r="V30" s="25"/>
      <c r="W30" s="346" t="s">
        <v>321</v>
      </c>
      <c r="X30" s="345">
        <v>0</v>
      </c>
      <c r="Y30" s="25"/>
      <c r="Z30" s="133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</row>
    <row r="31" spans="2:16377" ht="17.25" thickBot="1">
      <c r="B31" s="133"/>
      <c r="C31" s="133"/>
      <c r="D31" s="133"/>
      <c r="E31" s="133"/>
      <c r="F31" s="133"/>
      <c r="G31" s="133"/>
      <c r="H31" s="133"/>
      <c r="I31" s="133"/>
      <c r="J31" s="133"/>
      <c r="K31" s="25"/>
      <c r="M31" s="25"/>
      <c r="N31" s="25"/>
      <c r="O31" s="441">
        <f>(($M$36/$M$37)-1)*100</f>
        <v>17.278688524590159</v>
      </c>
      <c r="P31" s="442"/>
      <c r="Q31" s="154"/>
      <c r="R31" s="133"/>
      <c r="S31" s="25"/>
      <c r="T31" s="181" t="s">
        <v>204</v>
      </c>
      <c r="U31" s="182">
        <f>IF($E$21="채용",10,IF($E$21="미채용",0))</f>
        <v>10</v>
      </c>
      <c r="V31" s="25"/>
      <c r="W31" s="25"/>
      <c r="X31" s="25"/>
      <c r="Y31" s="25"/>
      <c r="Z31" s="133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</row>
    <row r="32" spans="2:16377" ht="17.25" thickBot="1">
      <c r="B32" s="133"/>
      <c r="C32" s="25"/>
      <c r="E32" s="25"/>
      <c r="F32" s="25"/>
      <c r="G32" s="25"/>
      <c r="H32" s="25"/>
      <c r="I32" s="25"/>
      <c r="J32" s="133"/>
      <c r="K32" s="25"/>
      <c r="L32" s="25"/>
      <c r="M32" s="25"/>
      <c r="N32" s="25"/>
      <c r="O32" s="25"/>
      <c r="P32" s="25"/>
      <c r="Q32" s="25"/>
      <c r="R32" s="133"/>
      <c r="S32" s="25"/>
      <c r="T32" s="25"/>
      <c r="U32" s="25"/>
      <c r="V32" s="25"/>
      <c r="W32" s="439" t="s">
        <v>196</v>
      </c>
      <c r="X32" s="440"/>
      <c r="Y32" s="25"/>
      <c r="Z32" s="133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</row>
    <row r="33" spans="2:16377">
      <c r="B33" s="133"/>
      <c r="C33" s="25"/>
      <c r="D33" s="135" t="s">
        <v>311</v>
      </c>
      <c r="E33" s="25"/>
      <c r="F33" s="25"/>
      <c r="G33" s="25"/>
      <c r="H33" s="25"/>
      <c r="I33" s="25"/>
      <c r="J33" s="133"/>
      <c r="K33" s="133"/>
      <c r="L33" s="133"/>
      <c r="M33" s="133"/>
      <c r="N33" s="133"/>
      <c r="O33" s="133"/>
      <c r="P33" s="133"/>
      <c r="Q33" s="133"/>
      <c r="R33" s="133"/>
      <c r="S33" s="25"/>
      <c r="T33" s="139" t="s">
        <v>190</v>
      </c>
      <c r="U33" s="140">
        <f>SUM($U$34:$U$40)</f>
        <v>49.299689999999998</v>
      </c>
      <c r="V33" s="25"/>
      <c r="W33" s="6" t="s">
        <v>197</v>
      </c>
      <c r="X33" s="141">
        <f>((MIN($U$22,40)*10%)+(MIN($U$33,40)*10%))+IF(AND($U$22&gt;40,$U$33&gt;40),8,0)</f>
        <v>7.9299689999999998</v>
      </c>
      <c r="Y33" s="25"/>
      <c r="Z33" s="133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</row>
    <row r="34" spans="2:16377" ht="17.25" thickBot="1">
      <c r="B34" s="133"/>
      <c r="C34" s="25"/>
      <c r="D34" s="152" t="s">
        <v>253</v>
      </c>
      <c r="E34" s="25"/>
      <c r="F34" s="25"/>
      <c r="G34" s="25"/>
      <c r="H34" s="25"/>
      <c r="I34" s="25"/>
      <c r="J34" s="133"/>
      <c r="K34" s="25"/>
      <c r="L34" s="25"/>
      <c r="M34" s="63"/>
      <c r="N34" s="63"/>
      <c r="O34" s="63"/>
      <c r="P34" s="63"/>
      <c r="Q34" s="25"/>
      <c r="R34" s="133"/>
      <c r="S34" s="25"/>
      <c r="T34" s="6" t="s">
        <v>188</v>
      </c>
      <c r="U34" s="141">
        <f>($H$27*50+$H$7+$H$19+IF(E9="신속",160,0))*$E$7</f>
        <v>23.299690000000002</v>
      </c>
      <c r="V34" s="25"/>
      <c r="W34" s="6" t="s">
        <v>198</v>
      </c>
      <c r="X34" s="141">
        <f>MIN(MAX((($U$22-40)*30%),0)+MAX((($U$33-40)*30%),0),8)</f>
        <v>2.7899069999999995</v>
      </c>
      <c r="Y34" s="25"/>
      <c r="Z34" s="133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</row>
    <row r="35" spans="2:16377" ht="17.25" thickBot="1">
      <c r="B35" s="133"/>
      <c r="C35" s="25"/>
      <c r="D35" s="152" t="s">
        <v>246</v>
      </c>
      <c r="E35" s="25"/>
      <c r="F35" s="25"/>
      <c r="G35" s="25"/>
      <c r="H35" s="25"/>
      <c r="I35" s="25"/>
      <c r="J35" s="133"/>
      <c r="K35" s="25"/>
      <c r="L35" s="443" t="s">
        <v>219</v>
      </c>
      <c r="M35" s="444"/>
      <c r="N35" s="63"/>
      <c r="O35" s="126" t="s">
        <v>49</v>
      </c>
      <c r="P35" s="127" t="s">
        <v>193</v>
      </c>
      <c r="Q35" s="25"/>
      <c r="R35" s="133"/>
      <c r="S35" s="25"/>
      <c r="T35" s="6" t="s">
        <v>50</v>
      </c>
      <c r="U35" s="141">
        <f>IF($E$25="O",9,IF($E$25="X",0))</f>
        <v>9</v>
      </c>
      <c r="V35" s="25"/>
      <c r="W35" s="147" t="s">
        <v>16</v>
      </c>
      <c r="X35" s="143">
        <f>MIN(SUM($X$33:$X$34),24)</f>
        <v>10.719875999999999</v>
      </c>
      <c r="Y35" s="25"/>
      <c r="Z35" s="133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</row>
    <row r="36" spans="2:16377">
      <c r="B36" s="133"/>
      <c r="C36" s="25"/>
      <c r="D36" s="152" t="s">
        <v>245</v>
      </c>
      <c r="F36" s="25"/>
      <c r="G36" s="25"/>
      <c r="H36" s="25"/>
      <c r="I36" s="25"/>
      <c r="J36" s="133"/>
      <c r="K36" s="25"/>
      <c r="L36" s="155" t="s">
        <v>61</v>
      </c>
      <c r="M36" s="156">
        <f>($P$28*($M$30+$P$22)/100+(1-$P$28))*0.98</f>
        <v>2.8615999999999997</v>
      </c>
      <c r="N36" s="63"/>
      <c r="O36" s="171">
        <v>0.14000000000000001</v>
      </c>
      <c r="P36" s="172">
        <v>0.16</v>
      </c>
      <c r="Q36" s="25"/>
      <c r="R36" s="133"/>
      <c r="S36" s="25"/>
      <c r="T36" s="6" t="s">
        <v>51</v>
      </c>
      <c r="U36" s="141">
        <f>IF($E$27="O",5,IF($E$27="X",0))</f>
        <v>5</v>
      </c>
      <c r="V36" s="25"/>
      <c r="W36" s="25"/>
      <c r="X36" s="25"/>
      <c r="Y36" s="25"/>
      <c r="Z36" s="133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</row>
    <row r="37" spans="2:16377" ht="17.25" thickBot="1">
      <c r="B37" s="133"/>
      <c r="C37" s="25"/>
      <c r="D37" s="25" t="s">
        <v>254</v>
      </c>
      <c r="E37" s="25"/>
      <c r="F37" s="25"/>
      <c r="G37" s="25"/>
      <c r="H37" s="25"/>
      <c r="I37" s="25"/>
      <c r="J37" s="133"/>
      <c r="K37" s="25"/>
      <c r="L37" s="157" t="s">
        <v>62</v>
      </c>
      <c r="M37" s="158">
        <f>$P$28*$M$30/100+(1-$P$28)</f>
        <v>2.44</v>
      </c>
      <c r="N37" s="63"/>
      <c r="O37" s="169">
        <v>0.17</v>
      </c>
      <c r="P37" s="170">
        <v>0.19</v>
      </c>
      <c r="Q37" s="25"/>
      <c r="R37" s="133"/>
      <c r="S37" s="25"/>
      <c r="T37" s="6" t="s">
        <v>203</v>
      </c>
      <c r="U37" s="141">
        <f>IF($E$29="기타",0,IF($E$29="와인(이속)",3,IF($E$29="에아달린(공속)",0)))</f>
        <v>0</v>
      </c>
      <c r="V37" s="25"/>
      <c r="W37" s="25" t="s">
        <v>205</v>
      </c>
      <c r="X37" s="25" t="s">
        <v>307</v>
      </c>
      <c r="Y37" s="25"/>
      <c r="Z37" s="133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</row>
    <row r="38" spans="2:16377" ht="17.25" thickBot="1">
      <c r="B38" s="133"/>
      <c r="C38" s="25"/>
      <c r="D38" s="152" t="s">
        <v>255</v>
      </c>
      <c r="E38" s="25"/>
      <c r="F38" s="174"/>
      <c r="G38" s="25"/>
      <c r="H38" s="25"/>
      <c r="I38" s="25"/>
      <c r="J38" s="133"/>
      <c r="K38" s="25"/>
      <c r="L38" s="63"/>
      <c r="M38" s="63"/>
      <c r="N38" s="63"/>
      <c r="O38" s="63"/>
      <c r="P38" s="63"/>
      <c r="Q38" s="25"/>
      <c r="R38" s="133"/>
      <c r="S38" s="25"/>
      <c r="T38" s="176" t="s">
        <v>192</v>
      </c>
      <c r="U38" s="177">
        <f>$H$23</f>
        <v>12</v>
      </c>
      <c r="V38" s="25"/>
      <c r="W38" s="25" t="s">
        <v>304</v>
      </c>
      <c r="X38" s="25" t="s">
        <v>302</v>
      </c>
      <c r="Y38" s="25"/>
      <c r="Z38" s="133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</row>
    <row r="39" spans="2:16377">
      <c r="B39" s="133"/>
      <c r="C39" s="25"/>
      <c r="D39" s="152" t="s">
        <v>252</v>
      </c>
      <c r="E39" s="25"/>
      <c r="F39" s="25"/>
      <c r="G39" s="25"/>
      <c r="H39" s="25"/>
      <c r="I39" s="25"/>
      <c r="J39" s="133"/>
      <c r="K39" s="25"/>
      <c r="L39" s="66" t="s">
        <v>250</v>
      </c>
      <c r="M39" s="150" t="s">
        <v>207</v>
      </c>
      <c r="N39" s="63"/>
      <c r="O39" s="63"/>
      <c r="Q39" s="25"/>
      <c r="R39" s="133"/>
      <c r="S39" s="25"/>
      <c r="T39" s="342" t="s">
        <v>321</v>
      </c>
      <c r="U39" s="343">
        <v>0</v>
      </c>
      <c r="V39" s="25"/>
      <c r="W39" s="25" t="s">
        <v>303</v>
      </c>
      <c r="X39" s="25" t="s">
        <v>301</v>
      </c>
      <c r="Y39" s="25"/>
      <c r="Z39" s="133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</row>
    <row r="40" spans="2:16377" ht="17.25" thickBot="1">
      <c r="B40" s="133"/>
      <c r="C40" s="25"/>
      <c r="E40" s="25"/>
      <c r="F40" s="25"/>
      <c r="G40" s="25"/>
      <c r="H40" s="25"/>
      <c r="I40" s="25"/>
      <c r="J40" s="133"/>
      <c r="K40" s="25"/>
      <c r="L40" s="66" t="s">
        <v>251</v>
      </c>
      <c r="M40" s="150" t="s">
        <v>208</v>
      </c>
      <c r="N40" s="63"/>
      <c r="O40" s="63"/>
      <c r="P40" s="25"/>
      <c r="Q40" s="25"/>
      <c r="R40" s="133"/>
      <c r="S40" s="25"/>
      <c r="T40" s="344" t="s">
        <v>205</v>
      </c>
      <c r="U40" s="345">
        <v>0</v>
      </c>
      <c r="V40" s="25"/>
      <c r="W40" s="25" t="s">
        <v>305</v>
      </c>
      <c r="X40" s="25" t="s">
        <v>306</v>
      </c>
      <c r="Y40" s="25"/>
      <c r="Z40" s="133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</row>
    <row r="41" spans="2:16377">
      <c r="B41" s="133"/>
      <c r="C41" s="25"/>
      <c r="D41" s="152"/>
      <c r="E41" s="25"/>
      <c r="F41" s="25"/>
      <c r="G41" s="25"/>
      <c r="H41" s="25"/>
      <c r="I41" s="25"/>
      <c r="J41" s="133"/>
      <c r="K41" s="25"/>
      <c r="L41" s="25"/>
      <c r="M41" s="25"/>
      <c r="N41" s="25"/>
      <c r="O41" s="25"/>
      <c r="P41" s="25"/>
      <c r="Q41" s="25"/>
      <c r="R41" s="133"/>
      <c r="S41" s="25"/>
      <c r="T41" s="25"/>
      <c r="U41" s="25"/>
      <c r="V41" s="25"/>
      <c r="W41" s="25"/>
      <c r="X41" s="25"/>
      <c r="Y41" s="25"/>
      <c r="Z41" s="133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</row>
    <row r="42" spans="2:16377"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</row>
    <row r="43" spans="2:16377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  <c r="XEO43" s="25"/>
      <c r="XEP43" s="25"/>
      <c r="XEQ43" s="25"/>
      <c r="XER43" s="25"/>
      <c r="XES43" s="25"/>
      <c r="XET43" s="25"/>
      <c r="XEU43" s="25"/>
      <c r="XEV43" s="25"/>
      <c r="XEW43" s="25"/>
    </row>
    <row r="44" spans="2:16377" hidden="1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5"/>
      <c r="XEH44" s="25"/>
      <c r="XEI44" s="25"/>
      <c r="XEJ44" s="25"/>
      <c r="XEK44" s="25"/>
      <c r="XEL44" s="25"/>
      <c r="XEM44" s="25"/>
      <c r="XEN44" s="25"/>
      <c r="XEO44" s="25"/>
      <c r="XEP44" s="25"/>
      <c r="XEQ44" s="25"/>
      <c r="XER44" s="25"/>
      <c r="XES44" s="25"/>
      <c r="XET44" s="25"/>
      <c r="XEU44" s="25"/>
      <c r="XEV44" s="25"/>
      <c r="XEW44" s="25"/>
    </row>
    <row r="45" spans="2:16377" s="25" customFormat="1" hidden="1"/>
  </sheetData>
  <sheetProtection selectLockedCells="1" selectUnlockedCells="1"/>
  <mergeCells count="21">
    <mergeCell ref="L35:M35"/>
    <mergeCell ref="W9:X9"/>
    <mergeCell ref="W12:X12"/>
    <mergeCell ref="O5:P5"/>
    <mergeCell ref="O9:P9"/>
    <mergeCell ref="O12:P12"/>
    <mergeCell ref="O26:P26"/>
    <mergeCell ref="L22:M22"/>
    <mergeCell ref="L5:M5"/>
    <mergeCell ref="T5:U5"/>
    <mergeCell ref="W32:X32"/>
    <mergeCell ref="W5:X5"/>
    <mergeCell ref="O30:P30"/>
    <mergeCell ref="O31:P31"/>
    <mergeCell ref="G20:H20"/>
    <mergeCell ref="G25:H25"/>
    <mergeCell ref="D5:E5"/>
    <mergeCell ref="G5:H5"/>
    <mergeCell ref="G10:H10"/>
    <mergeCell ref="G13:H13"/>
    <mergeCell ref="G17:H17"/>
  </mergeCells>
  <phoneticPr fontId="2" type="noConversion"/>
  <conditionalFormatting sqref="X13">
    <cfRule type="cellIs" dxfId="2" priority="5" operator="greaterThanOrEqual">
      <formula>16</formula>
    </cfRule>
  </conditionalFormatting>
  <conditionalFormatting sqref="X14">
    <cfRule type="cellIs" dxfId="1" priority="6" operator="greaterThanOrEqual">
      <formula>19.2</formula>
    </cfRule>
  </conditionalFormatting>
  <conditionalFormatting sqref="X35">
    <cfRule type="cellIs" dxfId="0" priority="2" operator="greaterThanOrEqual">
      <formula>24</formula>
    </cfRule>
  </conditionalFormatting>
  <dataValidations count="13">
    <dataValidation type="list" allowBlank="1" showErrorMessage="1" sqref="E9" xr:uid="{00000000-0002-0000-0000-000000000000}">
      <formula1>"치명,신속,특화"</formula1>
    </dataValidation>
    <dataValidation type="list" allowBlank="1" showInputMessage="1" showErrorMessage="1" sqref="E11:E12" xr:uid="{2125149D-47CD-404A-9AF4-06EB339EF5E5}">
      <formula1>"기타,예감"</formula1>
    </dataValidation>
    <dataValidation type="list" allowBlank="1" showInputMessage="1" showErrorMessage="1" sqref="E13:E14" xr:uid="{3BA4DF63-E64F-43D5-824F-BC0960AF67D4}">
      <formula1>"기타,혼강,일격,파전"</formula1>
    </dataValidation>
    <dataValidation type="list" allowBlank="1" showInputMessage="1" showErrorMessage="1" sqref="E16" xr:uid="{C9C0A01E-1C96-4859-8B37-10129AF2A2E3}">
      <formula1>"추피,치피"</formula1>
    </dataValidation>
    <dataValidation type="list" allowBlank="1" showInputMessage="1" showErrorMessage="1" sqref="E17" xr:uid="{B353CBF2-6D77-428F-8D0D-FF5051D3EA27}">
      <formula1>"달인,회심"</formula1>
    </dataValidation>
    <dataValidation type="list" allowBlank="1" showInputMessage="1" showErrorMessage="1" sqref="E19" xr:uid="{202D63EA-D358-4C9D-8B49-6D22526495F9}">
      <formula1>"미채용,아드0,아드1,아드2,아드3,아드4,정단0,정단1,정단2,정단3,정단4"</formula1>
    </dataValidation>
    <dataValidation type="list" allowBlank="1" showInputMessage="1" showErrorMessage="1" sqref="E29" xr:uid="{9DA2C4C7-BA2B-47B5-AF16-CD09B02708C1}">
      <formula1>"기타,에아달린(공속),와인(이속)"</formula1>
    </dataValidation>
    <dataValidation type="list" allowBlank="1" showInputMessage="1" showErrorMessage="1" sqref="E20" xr:uid="{901EA30E-0B50-47B1-A159-B20008B4018B}">
      <formula1>"미채용,예둔0,예둔1,예둔2,예둔3,예둔4"</formula1>
    </dataValidation>
    <dataValidation type="list" allowBlank="1" showInputMessage="1" showErrorMessage="1" sqref="E22:E23" xr:uid="{E5B5ABEF-241A-451B-B12E-933CBFDAA962}">
      <formula1>"기타,예둔1,예둔2,예둔3,예둔4,돌대1,돌대2,돌대3,돌대4,정단1,정단2,정단3,정단4"</formula1>
    </dataValidation>
    <dataValidation type="list" allowBlank="1" showInputMessage="1" showErrorMessage="1" sqref="H29 E27 E25" xr:uid="{F55BEC36-D027-489B-99B1-261F4F011676}">
      <formula1>"O,X"</formula1>
    </dataValidation>
    <dataValidation type="list" allowBlank="1" showInputMessage="1" showErrorMessage="1" sqref="H11 H14" xr:uid="{02596B69-647C-4652-B9D3-D70198800668}">
      <formula1>"0,0.4,0.95,1.55"</formula1>
    </dataValidation>
    <dataValidation type="list" allowBlank="1" showInputMessage="1" showErrorMessage="1" sqref="H12 H15" xr:uid="{2A71B1B9-1D85-42F4-A404-C4D5DCE840DB}">
      <formula1>"0,1.1,2.4,4.0"</formula1>
    </dataValidation>
    <dataValidation type="list" allowBlank="1" showInputMessage="1" showErrorMessage="1" sqref="E21" xr:uid="{9D5F3194-58A9-4A5E-A1CB-EB69111EC614}">
      <formula1>"채용,미채용"</formula1>
    </dataValidation>
  </dataValidations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EA18-B246-4CC4-9626-EAA0825755D7}">
  <sheetPr>
    <tabColor theme="5" tint="0.59999389629810485"/>
  </sheetPr>
  <dimension ref="A1:S27"/>
  <sheetViews>
    <sheetView zoomScaleNormal="100" workbookViewId="0"/>
  </sheetViews>
  <sheetFormatPr defaultColWidth="0" defaultRowHeight="16.5" zeroHeight="1"/>
  <cols>
    <col min="1" max="1" width="4.625" style="152" customWidth="1"/>
    <col min="2" max="5" width="9" style="152" customWidth="1"/>
    <col min="6" max="6" width="4.625" style="152" customWidth="1"/>
    <col min="7" max="10" width="9" style="152" customWidth="1"/>
    <col min="11" max="11" width="4.625" style="152" customWidth="1"/>
    <col min="12" max="18" width="9" style="152" customWidth="1"/>
    <col min="19" max="19" width="4.625" style="152" customWidth="1"/>
    <col min="20" max="16384" width="9" style="152" hidden="1"/>
  </cols>
  <sheetData>
    <row r="1" spans="1:19" s="122" customFormat="1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</row>
    <row r="2" spans="1:19" s="122" customFormat="1">
      <c r="A2" s="152"/>
      <c r="B2" s="457" t="s">
        <v>315</v>
      </c>
      <c r="C2" s="458"/>
      <c r="D2" s="458"/>
      <c r="E2" s="336" t="s">
        <v>319</v>
      </c>
      <c r="F2" s="236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</row>
    <row r="3" spans="1:19" s="122" customFormat="1" ht="17.25" thickBot="1">
      <c r="A3" s="152"/>
      <c r="B3" s="459"/>
      <c r="C3" s="460"/>
      <c r="D3" s="238"/>
      <c r="E3" s="237"/>
      <c r="F3" s="152"/>
      <c r="G3" s="237"/>
      <c r="H3" s="237"/>
      <c r="I3" s="237"/>
      <c r="J3" s="237"/>
      <c r="K3" s="152"/>
      <c r="L3" s="152"/>
      <c r="M3" s="152"/>
      <c r="N3" s="152"/>
      <c r="O3" s="152"/>
      <c r="P3" s="152"/>
      <c r="Q3" s="152"/>
      <c r="R3" s="152"/>
      <c r="S3" s="152"/>
    </row>
    <row r="4" spans="1:19" s="122" customFormat="1" ht="17.25" thickBot="1">
      <c r="A4" s="152"/>
      <c r="B4" s="239" t="s">
        <v>115</v>
      </c>
      <c r="C4" s="240"/>
      <c r="D4" s="241"/>
      <c r="E4" s="242"/>
      <c r="F4" s="237"/>
      <c r="G4" s="239" t="s">
        <v>102</v>
      </c>
      <c r="H4" s="240"/>
      <c r="I4" s="240"/>
      <c r="J4" s="242"/>
      <c r="K4" s="237"/>
      <c r="L4" s="243" t="s">
        <v>116</v>
      </c>
      <c r="M4" s="354" t="s">
        <v>268</v>
      </c>
      <c r="N4" s="355" t="s">
        <v>269</v>
      </c>
      <c r="O4" s="355" t="s">
        <v>270</v>
      </c>
      <c r="P4" s="355" t="s">
        <v>271</v>
      </c>
      <c r="Q4" s="355" t="s">
        <v>272</v>
      </c>
      <c r="R4" s="356" t="s">
        <v>273</v>
      </c>
      <c r="S4" s="152"/>
    </row>
    <row r="5" spans="1:19" s="122" customFormat="1">
      <c r="A5" s="152"/>
      <c r="B5" s="244"/>
      <c r="C5" s="245"/>
      <c r="D5" s="246" t="s">
        <v>116</v>
      </c>
      <c r="E5" s="247" t="s">
        <v>117</v>
      </c>
      <c r="F5" s="237"/>
      <c r="G5" s="248">
        <v>1</v>
      </c>
      <c r="H5" s="249"/>
      <c r="I5" s="250">
        <f>SUMPRODUCT(D$5:D$14,'큐브 보상'!$C$2:$C$11)</f>
        <v>1683</v>
      </c>
      <c r="J5" s="251">
        <f>SUMPRODUCT(E$5:E$14,'큐브 보상'!$C$2:$C$11)</f>
        <v>1683</v>
      </c>
      <c r="K5" s="237"/>
      <c r="L5" s="252" t="s">
        <v>114</v>
      </c>
      <c r="M5" s="253">
        <v>1</v>
      </c>
      <c r="N5" s="254"/>
      <c r="O5" s="254"/>
      <c r="P5" s="254"/>
      <c r="Q5" s="255"/>
      <c r="R5" s="256"/>
      <c r="S5" s="152"/>
    </row>
    <row r="6" spans="1:19" s="122" customFormat="1">
      <c r="A6" s="152"/>
      <c r="B6" s="257" t="s">
        <v>114</v>
      </c>
      <c r="C6" s="258">
        <v>1250</v>
      </c>
      <c r="D6" s="259">
        <f t="shared" ref="D6:D15" si="0">SUM(M5:R5)</f>
        <v>1</v>
      </c>
      <c r="E6" s="260">
        <f t="shared" ref="E6:E15" si="1">SUM(M17:R17)</f>
        <v>1</v>
      </c>
      <c r="F6" s="237"/>
      <c r="G6" s="261">
        <v>2</v>
      </c>
      <c r="H6" s="262"/>
      <c r="I6" s="263">
        <f t="shared" ref="I6:J16" si="2">I5/3</f>
        <v>561</v>
      </c>
      <c r="J6" s="264">
        <f t="shared" si="2"/>
        <v>561</v>
      </c>
      <c r="K6" s="237"/>
      <c r="L6" s="265" t="s">
        <v>113</v>
      </c>
      <c r="M6" s="266"/>
      <c r="N6" s="267">
        <v>2</v>
      </c>
      <c r="O6" s="267"/>
      <c r="P6" s="267"/>
      <c r="Q6" s="268"/>
      <c r="R6" s="269"/>
      <c r="S6" s="152"/>
    </row>
    <row r="7" spans="1:19" s="122" customFormat="1">
      <c r="A7" s="152"/>
      <c r="B7" s="257" t="s">
        <v>113</v>
      </c>
      <c r="C7" s="258">
        <v>1490</v>
      </c>
      <c r="D7" s="259">
        <f t="shared" si="0"/>
        <v>2</v>
      </c>
      <c r="E7" s="260">
        <f t="shared" si="1"/>
        <v>2</v>
      </c>
      <c r="F7" s="237"/>
      <c r="G7" s="261">
        <v>3</v>
      </c>
      <c r="H7" s="270">
        <v>1</v>
      </c>
      <c r="I7" s="263">
        <f t="shared" si="2"/>
        <v>187</v>
      </c>
      <c r="J7" s="264">
        <f t="shared" si="2"/>
        <v>187</v>
      </c>
      <c r="K7" s="237"/>
      <c r="L7" s="265" t="s">
        <v>112</v>
      </c>
      <c r="M7" s="266"/>
      <c r="N7" s="267"/>
      <c r="O7" s="267">
        <v>3</v>
      </c>
      <c r="P7" s="267"/>
      <c r="Q7" s="268"/>
      <c r="R7" s="269"/>
      <c r="S7" s="152"/>
    </row>
    <row r="8" spans="1:19" s="122" customFormat="1">
      <c r="A8" s="152"/>
      <c r="B8" s="257" t="s">
        <v>112</v>
      </c>
      <c r="C8" s="258">
        <v>1540</v>
      </c>
      <c r="D8" s="259">
        <f t="shared" si="0"/>
        <v>3</v>
      </c>
      <c r="E8" s="260">
        <f t="shared" si="1"/>
        <v>3</v>
      </c>
      <c r="F8" s="237"/>
      <c r="G8" s="261">
        <v>4</v>
      </c>
      <c r="H8" s="270">
        <v>2</v>
      </c>
      <c r="I8" s="263">
        <f t="shared" si="2"/>
        <v>62.333333333333336</v>
      </c>
      <c r="J8" s="264">
        <f t="shared" si="2"/>
        <v>62.333333333333336</v>
      </c>
      <c r="K8" s="237"/>
      <c r="L8" s="265" t="s">
        <v>111</v>
      </c>
      <c r="M8" s="266"/>
      <c r="N8" s="267"/>
      <c r="O8" s="267"/>
      <c r="P8" s="267">
        <v>4</v>
      </c>
      <c r="Q8" s="268"/>
      <c r="R8" s="269"/>
      <c r="S8" s="152"/>
    </row>
    <row r="9" spans="1:19" s="122" customFormat="1">
      <c r="A9" s="152"/>
      <c r="B9" s="257" t="s">
        <v>111</v>
      </c>
      <c r="C9" s="258">
        <v>1580</v>
      </c>
      <c r="D9" s="259">
        <f t="shared" si="0"/>
        <v>4</v>
      </c>
      <c r="E9" s="260">
        <f t="shared" si="1"/>
        <v>4</v>
      </c>
      <c r="F9" s="237"/>
      <c r="G9" s="261">
        <v>5</v>
      </c>
      <c r="H9" s="270">
        <v>3</v>
      </c>
      <c r="I9" s="263">
        <f t="shared" si="2"/>
        <v>20.777777777777779</v>
      </c>
      <c r="J9" s="264">
        <f t="shared" si="2"/>
        <v>20.777777777777779</v>
      </c>
      <c r="K9" s="237"/>
      <c r="L9" s="271" t="s">
        <v>110</v>
      </c>
      <c r="M9" s="272"/>
      <c r="N9" s="273"/>
      <c r="O9" s="273"/>
      <c r="P9" s="273"/>
      <c r="Q9" s="274">
        <v>5</v>
      </c>
      <c r="R9" s="275"/>
      <c r="S9" s="152"/>
    </row>
    <row r="10" spans="1:19" s="122" customFormat="1">
      <c r="A10" s="152"/>
      <c r="B10" s="276" t="s">
        <v>110</v>
      </c>
      <c r="C10" s="277">
        <v>1610</v>
      </c>
      <c r="D10" s="278">
        <f t="shared" si="0"/>
        <v>5</v>
      </c>
      <c r="E10" s="279">
        <f t="shared" si="1"/>
        <v>5</v>
      </c>
      <c r="F10" s="237"/>
      <c r="G10" s="261">
        <v>6</v>
      </c>
      <c r="H10" s="270">
        <v>4</v>
      </c>
      <c r="I10" s="263">
        <f t="shared" si="2"/>
        <v>6.9259259259259265</v>
      </c>
      <c r="J10" s="264">
        <f t="shared" si="2"/>
        <v>6.9259259259259265</v>
      </c>
      <c r="K10" s="237"/>
      <c r="L10" s="280" t="s">
        <v>109</v>
      </c>
      <c r="M10" s="266"/>
      <c r="N10" s="267"/>
      <c r="O10" s="267"/>
      <c r="P10" s="267"/>
      <c r="Q10" s="281"/>
      <c r="R10" s="269">
        <v>1</v>
      </c>
      <c r="S10" s="152"/>
    </row>
    <row r="11" spans="1:19" s="122" customFormat="1">
      <c r="A11" s="152"/>
      <c r="B11" s="282" t="s">
        <v>109</v>
      </c>
      <c r="C11" s="283">
        <v>1640</v>
      </c>
      <c r="D11" s="259">
        <f t="shared" si="0"/>
        <v>1</v>
      </c>
      <c r="E11" s="260">
        <f t="shared" si="1"/>
        <v>1</v>
      </c>
      <c r="F11" s="237"/>
      <c r="G11" s="284">
        <v>7</v>
      </c>
      <c r="H11" s="285">
        <v>5</v>
      </c>
      <c r="I11" s="286">
        <f t="shared" si="2"/>
        <v>2.308641975308642</v>
      </c>
      <c r="J11" s="287">
        <f t="shared" si="2"/>
        <v>2.308641975308642</v>
      </c>
      <c r="K11" s="237"/>
      <c r="L11" s="280" t="s">
        <v>108</v>
      </c>
      <c r="M11" s="266"/>
      <c r="N11" s="267"/>
      <c r="O11" s="267"/>
      <c r="P11" s="267"/>
      <c r="Q11" s="268">
        <v>2</v>
      </c>
      <c r="R11" s="269"/>
      <c r="S11" s="152"/>
    </row>
    <row r="12" spans="1:19" s="122" customFormat="1">
      <c r="A12" s="152"/>
      <c r="B12" s="282" t="s">
        <v>108</v>
      </c>
      <c r="C12" s="283">
        <v>1680</v>
      </c>
      <c r="D12" s="259">
        <f t="shared" si="0"/>
        <v>2</v>
      </c>
      <c r="E12" s="260">
        <f t="shared" si="1"/>
        <v>2</v>
      </c>
      <c r="F12" s="237"/>
      <c r="G12" s="261">
        <v>8</v>
      </c>
      <c r="H12" s="270">
        <v>6</v>
      </c>
      <c r="I12" s="263">
        <f t="shared" si="2"/>
        <v>0.76954732510288071</v>
      </c>
      <c r="J12" s="264">
        <f t="shared" si="2"/>
        <v>0.76954732510288071</v>
      </c>
      <c r="K12" s="237"/>
      <c r="L12" s="280" t="s">
        <v>85</v>
      </c>
      <c r="M12" s="266"/>
      <c r="N12" s="267"/>
      <c r="O12" s="267"/>
      <c r="P12" s="267">
        <v>3</v>
      </c>
      <c r="Q12" s="268"/>
      <c r="R12" s="269"/>
      <c r="S12" s="152"/>
    </row>
    <row r="13" spans="1:19" s="122" customFormat="1">
      <c r="A13" s="152"/>
      <c r="B13" s="282" t="s">
        <v>85</v>
      </c>
      <c r="C13" s="283">
        <v>1700</v>
      </c>
      <c r="D13" s="259">
        <f t="shared" si="0"/>
        <v>3</v>
      </c>
      <c r="E13" s="260">
        <f t="shared" si="1"/>
        <v>3</v>
      </c>
      <c r="F13" s="237"/>
      <c r="G13" s="261">
        <v>9</v>
      </c>
      <c r="H13" s="270">
        <v>7</v>
      </c>
      <c r="I13" s="263">
        <f t="shared" si="2"/>
        <v>0.25651577503429357</v>
      </c>
      <c r="J13" s="264">
        <f t="shared" si="2"/>
        <v>0.25651577503429357</v>
      </c>
      <c r="K13" s="237"/>
      <c r="L13" s="280" t="s">
        <v>84</v>
      </c>
      <c r="M13" s="266"/>
      <c r="N13" s="267"/>
      <c r="O13" s="267">
        <v>4</v>
      </c>
      <c r="P13" s="267"/>
      <c r="Q13" s="268"/>
      <c r="R13" s="269"/>
      <c r="S13" s="152"/>
    </row>
    <row r="14" spans="1:19" s="122" customFormat="1" ht="17.25" thickBot="1">
      <c r="A14" s="152"/>
      <c r="B14" s="282" t="s">
        <v>84</v>
      </c>
      <c r="C14" s="283" t="s">
        <v>118</v>
      </c>
      <c r="D14" s="259">
        <f t="shared" si="0"/>
        <v>4</v>
      </c>
      <c r="E14" s="260">
        <f t="shared" si="1"/>
        <v>4</v>
      </c>
      <c r="F14" s="237"/>
      <c r="G14" s="261">
        <v>10</v>
      </c>
      <c r="H14" s="270">
        <v>8</v>
      </c>
      <c r="I14" s="263">
        <f t="shared" si="2"/>
        <v>8.5505258344764523E-2</v>
      </c>
      <c r="J14" s="264">
        <f t="shared" si="2"/>
        <v>8.5505258344764523E-2</v>
      </c>
      <c r="K14" s="237"/>
      <c r="L14" s="288" t="s">
        <v>83</v>
      </c>
      <c r="M14" s="289"/>
      <c r="N14" s="290">
        <v>5</v>
      </c>
      <c r="O14" s="290"/>
      <c r="P14" s="290"/>
      <c r="Q14" s="291"/>
      <c r="R14" s="292"/>
      <c r="S14" s="152"/>
    </row>
    <row r="15" spans="1:19" s="122" customFormat="1" ht="17.25" thickBot="1">
      <c r="A15" s="152"/>
      <c r="B15" s="293" t="s">
        <v>83</v>
      </c>
      <c r="C15" s="294" t="s">
        <v>118</v>
      </c>
      <c r="D15" s="295">
        <f t="shared" si="0"/>
        <v>5</v>
      </c>
      <c r="E15" s="296">
        <f t="shared" si="1"/>
        <v>5</v>
      </c>
      <c r="F15" s="237"/>
      <c r="G15" s="297"/>
      <c r="H15" s="270">
        <v>9</v>
      </c>
      <c r="I15" s="263">
        <f t="shared" si="2"/>
        <v>2.8501752781588174E-2</v>
      </c>
      <c r="J15" s="264">
        <f t="shared" si="2"/>
        <v>2.8501752781588174E-2</v>
      </c>
      <c r="K15" s="237"/>
      <c r="L15" s="152"/>
      <c r="M15" s="152"/>
      <c r="N15" s="152"/>
      <c r="O15" s="152"/>
      <c r="P15" s="152"/>
      <c r="Q15" s="152"/>
      <c r="R15" s="152"/>
      <c r="S15" s="152"/>
    </row>
    <row r="16" spans="1:19" s="122" customFormat="1" ht="17.25" thickBot="1">
      <c r="A16" s="152"/>
      <c r="B16" s="461"/>
      <c r="C16" s="460"/>
      <c r="D16" s="237"/>
      <c r="E16" s="237"/>
      <c r="F16" s="237"/>
      <c r="G16" s="298"/>
      <c r="H16" s="299">
        <v>10</v>
      </c>
      <c r="I16" s="300">
        <f t="shared" si="2"/>
        <v>9.5005842605293909E-3</v>
      </c>
      <c r="J16" s="301">
        <f t="shared" si="2"/>
        <v>9.5005842605293909E-3</v>
      </c>
      <c r="K16" s="237"/>
      <c r="L16" s="302" t="s">
        <v>117</v>
      </c>
      <c r="M16" s="357" t="s">
        <v>268</v>
      </c>
      <c r="N16" s="358" t="s">
        <v>269</v>
      </c>
      <c r="O16" s="359" t="s">
        <v>270</v>
      </c>
      <c r="P16" s="359" t="s">
        <v>271</v>
      </c>
      <c r="Q16" s="358" t="s">
        <v>272</v>
      </c>
      <c r="R16" s="360" t="s">
        <v>273</v>
      </c>
      <c r="S16" s="152"/>
    </row>
    <row r="17" spans="1:19" s="122" customFormat="1" ht="17.25" thickBot="1">
      <c r="A17" s="152"/>
      <c r="B17" s="239" t="s">
        <v>107</v>
      </c>
      <c r="C17" s="240"/>
      <c r="D17" s="240"/>
      <c r="E17" s="242"/>
      <c r="F17" s="237"/>
      <c r="G17" s="461"/>
      <c r="H17" s="460"/>
      <c r="I17" s="237"/>
      <c r="J17" s="237"/>
      <c r="K17" s="237"/>
      <c r="L17" s="303" t="s">
        <v>114</v>
      </c>
      <c r="M17" s="253">
        <v>1</v>
      </c>
      <c r="N17" s="254"/>
      <c r="O17" s="254"/>
      <c r="P17" s="254"/>
      <c r="Q17" s="255"/>
      <c r="R17" s="256"/>
      <c r="S17" s="152"/>
    </row>
    <row r="18" spans="1:19" s="122" customFormat="1" ht="17.25" thickBot="1">
      <c r="A18" s="152"/>
      <c r="B18" s="462" t="s">
        <v>95</v>
      </c>
      <c r="C18" s="463"/>
      <c r="D18" s="304">
        <f>SUMPRODUCT(D$5:D$14,'큐브 보상'!$J$2:$J$11)</f>
        <v>2370000</v>
      </c>
      <c r="E18" s="305">
        <f>SUMPRODUCT(E$5:E$14,'큐브 보상'!$J$2:$J$11)</f>
        <v>2370000</v>
      </c>
      <c r="F18" s="237"/>
      <c r="G18" s="306" t="s">
        <v>101</v>
      </c>
      <c r="H18" s="307"/>
      <c r="I18" s="307"/>
      <c r="J18" s="308"/>
      <c r="K18" s="237"/>
      <c r="L18" s="309" t="s">
        <v>113</v>
      </c>
      <c r="M18" s="266"/>
      <c r="N18" s="267">
        <v>2</v>
      </c>
      <c r="O18" s="267"/>
      <c r="P18" s="267"/>
      <c r="Q18" s="268"/>
      <c r="R18" s="269"/>
      <c r="S18" s="152"/>
    </row>
    <row r="19" spans="1:19" s="122" customFormat="1">
      <c r="A19" s="152"/>
      <c r="B19" s="455" t="s">
        <v>99</v>
      </c>
      <c r="C19" s="456"/>
      <c r="D19" s="310">
        <f>SUMPRODUCT(D$5:D$14,'큐브 보상'!$D$2:$D$11)</f>
        <v>240500</v>
      </c>
      <c r="E19" s="311">
        <f>SUMPRODUCT(E$5:E$14,'큐브 보상'!$D$2:$D$11)</f>
        <v>240500</v>
      </c>
      <c r="F19" s="237"/>
      <c r="G19" s="312" t="s">
        <v>79</v>
      </c>
      <c r="H19" s="313">
        <v>1</v>
      </c>
      <c r="I19" s="250">
        <f>SUMPRODUCT(D$5:D$14,'큐브 보상'!$F$2:$F$11)</f>
        <v>23745</v>
      </c>
      <c r="J19" s="251">
        <f>SUMPRODUCT(E$5:E$14,'큐브 보상'!$F$2:$F$11)</f>
        <v>23745</v>
      </c>
      <c r="K19" s="237"/>
      <c r="L19" s="309" t="s">
        <v>112</v>
      </c>
      <c r="M19" s="266"/>
      <c r="N19" s="267"/>
      <c r="O19" s="267">
        <v>3</v>
      </c>
      <c r="P19" s="267"/>
      <c r="Q19" s="268"/>
      <c r="R19" s="269"/>
      <c r="S19" s="152"/>
    </row>
    <row r="20" spans="1:19" s="122" customFormat="1">
      <c r="A20" s="152"/>
      <c r="B20" s="464" t="s">
        <v>106</v>
      </c>
      <c r="C20" s="465"/>
      <c r="D20" s="314">
        <f>SUMPRODUCT(D$5:D$9,'큐브 보상'!$G$2:$G$6)</f>
        <v>118</v>
      </c>
      <c r="E20" s="315">
        <f>SUMPRODUCT(E$5:E$9,'큐브 보상'!$G$2:$G$6)</f>
        <v>118</v>
      </c>
      <c r="F20" s="237"/>
      <c r="G20" s="316" t="s">
        <v>78</v>
      </c>
      <c r="H20" s="317">
        <f>H19*5</f>
        <v>5</v>
      </c>
      <c r="I20" s="286">
        <f t="shared" ref="I20:J22" si="3">I$19/$H20</f>
        <v>4749</v>
      </c>
      <c r="J20" s="287">
        <f t="shared" si="3"/>
        <v>4749</v>
      </c>
      <c r="K20" s="237"/>
      <c r="L20" s="309" t="s">
        <v>111</v>
      </c>
      <c r="M20" s="266"/>
      <c r="N20" s="267"/>
      <c r="O20" s="267"/>
      <c r="P20" s="267">
        <v>4</v>
      </c>
      <c r="Q20" s="268"/>
      <c r="R20" s="269"/>
      <c r="S20" s="152"/>
    </row>
    <row r="21" spans="1:19" s="122" customFormat="1">
      <c r="A21" s="152"/>
      <c r="B21" s="464" t="s">
        <v>96</v>
      </c>
      <c r="C21" s="465"/>
      <c r="D21" s="314">
        <f>SUMPRODUCT(D$5:D$9,'큐브 보상'!$H$2:$H$6)</f>
        <v>69</v>
      </c>
      <c r="E21" s="315">
        <f>SUMPRODUCT(E$5:E$9,'큐브 보상'!$H$2:$H$6)</f>
        <v>69</v>
      </c>
      <c r="F21" s="237"/>
      <c r="G21" s="297" t="s">
        <v>77</v>
      </c>
      <c r="H21" s="262">
        <f>H20*5</f>
        <v>25</v>
      </c>
      <c r="I21" s="263">
        <f t="shared" si="3"/>
        <v>949.8</v>
      </c>
      <c r="J21" s="264">
        <f t="shared" si="3"/>
        <v>949.8</v>
      </c>
      <c r="K21" s="237"/>
      <c r="L21" s="318" t="s">
        <v>110</v>
      </c>
      <c r="M21" s="272"/>
      <c r="N21" s="273"/>
      <c r="O21" s="273"/>
      <c r="P21" s="273"/>
      <c r="Q21" s="274">
        <v>5</v>
      </c>
      <c r="R21" s="275"/>
      <c r="S21" s="152"/>
    </row>
    <row r="22" spans="1:19" s="122" customFormat="1" ht="17.25" thickBot="1">
      <c r="A22" s="152"/>
      <c r="B22" s="466" t="s">
        <v>105</v>
      </c>
      <c r="C22" s="456"/>
      <c r="D22" s="310">
        <f>SUMPRODUCT(D$5:D$9,'큐브 보상'!$I$2:$I$6)</f>
        <v>31</v>
      </c>
      <c r="E22" s="311">
        <f>SUMPRODUCT(E$5:E$9,'큐브 보상'!$I$2:$I$6)</f>
        <v>31</v>
      </c>
      <c r="F22" s="237"/>
      <c r="G22" s="298" t="s">
        <v>76</v>
      </c>
      <c r="H22" s="319">
        <f>H21*5</f>
        <v>125</v>
      </c>
      <c r="I22" s="300">
        <f t="shared" si="3"/>
        <v>189.96</v>
      </c>
      <c r="J22" s="301">
        <f t="shared" si="3"/>
        <v>189.96</v>
      </c>
      <c r="K22" s="237"/>
      <c r="L22" s="320" t="s">
        <v>109</v>
      </c>
      <c r="M22" s="266"/>
      <c r="N22" s="267"/>
      <c r="O22" s="267"/>
      <c r="P22" s="267"/>
      <c r="Q22" s="281"/>
      <c r="R22" s="269">
        <v>1</v>
      </c>
      <c r="S22" s="152"/>
    </row>
    <row r="23" spans="1:19" s="122" customFormat="1">
      <c r="A23" s="152"/>
      <c r="B23" s="467" t="s">
        <v>104</v>
      </c>
      <c r="C23" s="465"/>
      <c r="D23" s="314">
        <f>SUMPRODUCT(D$10:D$14,'큐브 보상'!$G$7:$G$11)</f>
        <v>37</v>
      </c>
      <c r="E23" s="315">
        <f>SUMPRODUCT(E$10:E$14,'큐브 보상'!$G$7:$G$11)</f>
        <v>37</v>
      </c>
      <c r="F23" s="237"/>
      <c r="G23" s="237"/>
      <c r="H23" s="237"/>
      <c r="I23" s="237"/>
      <c r="J23" s="237"/>
      <c r="K23" s="237"/>
      <c r="L23" s="320" t="s">
        <v>108</v>
      </c>
      <c r="M23" s="266"/>
      <c r="N23" s="267"/>
      <c r="O23" s="267"/>
      <c r="P23" s="267"/>
      <c r="Q23" s="268">
        <v>2</v>
      </c>
      <c r="R23" s="269"/>
      <c r="S23" s="152"/>
    </row>
    <row r="24" spans="1:19" s="122" customFormat="1" ht="17.25" thickBot="1">
      <c r="A24" s="152"/>
      <c r="B24" s="468" t="s">
        <v>103</v>
      </c>
      <c r="C24" s="469"/>
      <c r="D24" s="321">
        <f>SUMPRODUCT(D$10:D$14,'큐브 보상'!$H$7:$H$11)</f>
        <v>37</v>
      </c>
      <c r="E24" s="322">
        <f>SUMPRODUCT(E$10:E$14,'큐브 보상'!$H$7:$H$11)</f>
        <v>37</v>
      </c>
      <c r="F24" s="237"/>
      <c r="G24" s="237"/>
      <c r="H24" s="237"/>
      <c r="I24" s="237"/>
      <c r="J24" s="237"/>
      <c r="K24" s="237"/>
      <c r="L24" s="320" t="s">
        <v>85</v>
      </c>
      <c r="M24" s="266"/>
      <c r="N24" s="267"/>
      <c r="O24" s="267"/>
      <c r="P24" s="267">
        <v>3</v>
      </c>
      <c r="Q24" s="268"/>
      <c r="R24" s="269"/>
      <c r="S24" s="152"/>
    </row>
    <row r="25" spans="1:19" s="122" customFormat="1">
      <c r="A25" s="152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320" t="s">
        <v>84</v>
      </c>
      <c r="M25" s="266"/>
      <c r="N25" s="267"/>
      <c r="O25" s="267">
        <v>4</v>
      </c>
      <c r="P25" s="267"/>
      <c r="Q25" s="268"/>
      <c r="R25" s="269"/>
      <c r="S25" s="152"/>
    </row>
    <row r="26" spans="1:19" s="122" customFormat="1" ht="17.25" thickBot="1">
      <c r="A26" s="152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323" t="s">
        <v>83</v>
      </c>
      <c r="M26" s="289"/>
      <c r="N26" s="290">
        <v>5</v>
      </c>
      <c r="O26" s="290"/>
      <c r="P26" s="290"/>
      <c r="Q26" s="291"/>
      <c r="R26" s="292"/>
      <c r="S26" s="152"/>
    </row>
    <row r="27" spans="1:19"/>
  </sheetData>
  <mergeCells count="11">
    <mergeCell ref="B20:C20"/>
    <mergeCell ref="B21:C21"/>
    <mergeCell ref="B22:C22"/>
    <mergeCell ref="B23:C23"/>
    <mergeCell ref="B24:C24"/>
    <mergeCell ref="B19:C19"/>
    <mergeCell ref="B2:D2"/>
    <mergeCell ref="B3:C3"/>
    <mergeCell ref="B16:C16"/>
    <mergeCell ref="G17:H17"/>
    <mergeCell ref="B18:C18"/>
  </mergeCells>
  <phoneticPr fontId="2" type="noConversion"/>
  <hyperlinks>
    <hyperlink ref="E2" r:id="rId1" xr:uid="{B6FE0079-C8F8-4D47-8EF8-C164097494A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5BE9-4238-4257-B91D-1EBD5670FD2F}">
  <sheetPr>
    <tabColor rgb="FF45818E"/>
    <outlinePr summaryBelow="0" summaryRight="0"/>
  </sheetPr>
  <dimension ref="A1:K39"/>
  <sheetViews>
    <sheetView workbookViewId="0">
      <selection activeCell="A13" sqref="A13"/>
    </sheetView>
  </sheetViews>
  <sheetFormatPr defaultColWidth="11" defaultRowHeight="15.75" customHeight="1"/>
  <cols>
    <col min="1" max="1" width="11" style="77"/>
    <col min="2" max="3" width="8.625" style="77" customWidth="1"/>
    <col min="4" max="16384" width="11" style="77"/>
  </cols>
  <sheetData>
    <row r="1" spans="1:11" ht="14.25" thickBot="1">
      <c r="A1" s="103" t="s">
        <v>100</v>
      </c>
      <c r="B1" s="473" t="s">
        <v>82</v>
      </c>
      <c r="C1" s="474"/>
      <c r="D1" s="103" t="s">
        <v>99</v>
      </c>
      <c r="E1" s="473" t="s">
        <v>80</v>
      </c>
      <c r="F1" s="474"/>
      <c r="G1" s="108" t="s">
        <v>98</v>
      </c>
      <c r="H1" s="103" t="s">
        <v>97</v>
      </c>
      <c r="I1" s="103" t="s">
        <v>96</v>
      </c>
      <c r="J1" s="103" t="s">
        <v>95</v>
      </c>
    </row>
    <row r="2" spans="1:11" ht="15.75" customHeight="1">
      <c r="A2" s="87" t="s">
        <v>94</v>
      </c>
      <c r="B2" s="109" t="s">
        <v>138</v>
      </c>
      <c r="C2" s="85">
        <f>C21*7</f>
        <v>21</v>
      </c>
      <c r="D2" s="85">
        <v>3000</v>
      </c>
      <c r="E2" s="89">
        <v>20</v>
      </c>
      <c r="F2" s="85">
        <f>J21*20</f>
        <v>20</v>
      </c>
      <c r="G2" s="85">
        <v>6</v>
      </c>
      <c r="H2" s="85">
        <v>3</v>
      </c>
      <c r="I2" s="85">
        <v>1</v>
      </c>
      <c r="J2" s="82">
        <v>80000</v>
      </c>
    </row>
    <row r="3" spans="1:11" ht="15.75" customHeight="1">
      <c r="A3" s="87" t="s">
        <v>93</v>
      </c>
      <c r="B3" s="109" t="s">
        <v>139</v>
      </c>
      <c r="C3" s="85">
        <f>C22*4</f>
        <v>36</v>
      </c>
      <c r="D3" s="82">
        <v>9000</v>
      </c>
      <c r="E3" s="88">
        <v>14</v>
      </c>
      <c r="F3" s="85">
        <f>J22*14</f>
        <v>70</v>
      </c>
      <c r="G3" s="82">
        <v>8</v>
      </c>
      <c r="H3" s="82">
        <v>4</v>
      </c>
      <c r="I3" s="82">
        <v>2</v>
      </c>
      <c r="J3" s="82">
        <v>100000</v>
      </c>
    </row>
    <row r="4" spans="1:11" ht="15.75" customHeight="1">
      <c r="A4" s="87" t="s">
        <v>92</v>
      </c>
      <c r="B4" s="109" t="s">
        <v>141</v>
      </c>
      <c r="C4" s="85">
        <f>C22*6</f>
        <v>54</v>
      </c>
      <c r="D4" s="82">
        <v>12000</v>
      </c>
      <c r="E4" s="88">
        <v>25</v>
      </c>
      <c r="F4" s="85">
        <f>J22*25</f>
        <v>125</v>
      </c>
      <c r="G4" s="82">
        <v>11</v>
      </c>
      <c r="H4" s="82">
        <v>6</v>
      </c>
      <c r="I4" s="82">
        <v>2</v>
      </c>
      <c r="J4" s="82">
        <v>110000</v>
      </c>
    </row>
    <row r="5" spans="1:11" ht="15.75" customHeight="1">
      <c r="A5" s="87" t="s">
        <v>91</v>
      </c>
      <c r="B5" s="109" t="s">
        <v>142</v>
      </c>
      <c r="C5" s="85">
        <f>C22*8</f>
        <v>72</v>
      </c>
      <c r="D5" s="82">
        <v>13000</v>
      </c>
      <c r="E5" s="86">
        <v>14</v>
      </c>
      <c r="F5" s="85">
        <f>J23*14</f>
        <v>350</v>
      </c>
      <c r="G5" s="82">
        <v>12</v>
      </c>
      <c r="H5" s="82">
        <v>7</v>
      </c>
      <c r="I5" s="82">
        <v>3</v>
      </c>
      <c r="J5" s="82">
        <v>120000</v>
      </c>
    </row>
    <row r="6" spans="1:11" ht="15.75" customHeight="1" thickBot="1">
      <c r="A6" s="103" t="s">
        <v>90</v>
      </c>
      <c r="B6" s="110" t="s">
        <v>140</v>
      </c>
      <c r="C6" s="104">
        <f>C22*9</f>
        <v>81</v>
      </c>
      <c r="D6" s="105">
        <v>13500</v>
      </c>
      <c r="E6" s="106">
        <v>25</v>
      </c>
      <c r="F6" s="107">
        <f>J23*25</f>
        <v>625</v>
      </c>
      <c r="G6" s="105">
        <v>13</v>
      </c>
      <c r="H6" s="105">
        <v>8</v>
      </c>
      <c r="I6" s="105">
        <v>4</v>
      </c>
      <c r="J6" s="105">
        <v>130000</v>
      </c>
    </row>
    <row r="7" spans="1:11" ht="15.75" customHeight="1">
      <c r="A7" s="101" t="s">
        <v>89</v>
      </c>
      <c r="B7" s="111" t="s">
        <v>136</v>
      </c>
      <c r="C7" s="99">
        <f>C32</f>
        <v>81</v>
      </c>
      <c r="D7" s="102">
        <f>3000*4+500*4</f>
        <v>14000</v>
      </c>
      <c r="E7" s="86" t="s">
        <v>88</v>
      </c>
      <c r="F7" s="85">
        <f>J24*14</f>
        <v>1750</v>
      </c>
      <c r="G7" s="84">
        <v>4</v>
      </c>
      <c r="H7" s="83">
        <v>4</v>
      </c>
      <c r="I7" s="82"/>
      <c r="J7" s="82">
        <v>140000</v>
      </c>
    </row>
    <row r="8" spans="1:11" ht="15.75" customHeight="1">
      <c r="A8" s="97" t="s">
        <v>87</v>
      </c>
      <c r="B8" s="112" t="s">
        <v>132</v>
      </c>
      <c r="C8" s="99">
        <f>C31*6</f>
        <v>162</v>
      </c>
      <c r="D8" s="100">
        <f>500*5+3000*4</f>
        <v>14500</v>
      </c>
      <c r="E8" s="86" t="s">
        <v>86</v>
      </c>
      <c r="F8" s="85">
        <f>J24*25</f>
        <v>3125</v>
      </c>
      <c r="G8" s="84">
        <v>5</v>
      </c>
      <c r="H8" s="83">
        <v>5</v>
      </c>
      <c r="I8" s="82"/>
      <c r="J8" s="82">
        <v>150000</v>
      </c>
      <c r="K8" s="81"/>
    </row>
    <row r="9" spans="1:11" ht="13.5">
      <c r="A9" s="97" t="s">
        <v>133</v>
      </c>
      <c r="B9" s="112" t="s">
        <v>137</v>
      </c>
      <c r="C9" s="99">
        <f>C31*8</f>
        <v>216</v>
      </c>
      <c r="D9" s="100">
        <f>3000*5</f>
        <v>15000</v>
      </c>
      <c r="E9" s="86" t="s">
        <v>128</v>
      </c>
      <c r="F9" s="85">
        <f>J24*32</f>
        <v>4000</v>
      </c>
      <c r="G9" s="84">
        <v>6</v>
      </c>
      <c r="H9" s="83">
        <v>6</v>
      </c>
      <c r="I9" s="82"/>
      <c r="J9" s="82">
        <v>160000</v>
      </c>
    </row>
    <row r="10" spans="1:11" ht="13.5">
      <c r="A10" s="97" t="s">
        <v>134</v>
      </c>
      <c r="B10" s="98"/>
      <c r="C10" s="99"/>
      <c r="D10" s="100"/>
      <c r="E10" s="86"/>
      <c r="F10" s="85"/>
      <c r="G10" s="84"/>
      <c r="H10" s="83"/>
      <c r="I10" s="82"/>
      <c r="J10" s="82"/>
    </row>
    <row r="11" spans="1:11" ht="13.5">
      <c r="A11" s="97" t="s">
        <v>135</v>
      </c>
      <c r="B11" s="98"/>
      <c r="C11" s="99"/>
      <c r="D11" s="100"/>
      <c r="E11" s="86"/>
      <c r="F11" s="85"/>
      <c r="G11" s="84"/>
      <c r="H11" s="83"/>
      <c r="I11" s="82"/>
      <c r="J11" s="82"/>
    </row>
    <row r="13" spans="1:11" ht="15.75" customHeight="1">
      <c r="E13" s="77" t="s">
        <v>130</v>
      </c>
      <c r="F13" s="77">
        <v>81</v>
      </c>
      <c r="H13" s="77">
        <v>125</v>
      </c>
    </row>
    <row r="14" spans="1:11" ht="15.75" customHeight="1">
      <c r="E14" s="77" t="s">
        <v>131</v>
      </c>
      <c r="F14" s="77">
        <v>162</v>
      </c>
    </row>
    <row r="15" spans="1:11" ht="15.75" customHeight="1">
      <c r="E15" s="77" t="s">
        <v>129</v>
      </c>
      <c r="F15" s="77">
        <v>216</v>
      </c>
    </row>
    <row r="19" spans="1:10" ht="13.5">
      <c r="B19" s="475" t="s">
        <v>82</v>
      </c>
      <c r="C19" s="471"/>
      <c r="D19" s="78"/>
      <c r="E19" s="475" t="s">
        <v>80</v>
      </c>
      <c r="F19" s="471"/>
    </row>
    <row r="20" spans="1:10" ht="13.5">
      <c r="A20" s="472" t="s">
        <v>81</v>
      </c>
      <c r="B20" s="80">
        <v>1</v>
      </c>
      <c r="C20" s="80">
        <v>1</v>
      </c>
      <c r="D20" s="78"/>
      <c r="E20" s="78" t="s">
        <v>79</v>
      </c>
      <c r="F20" s="80">
        <v>1</v>
      </c>
      <c r="G20" s="79"/>
      <c r="I20" s="470" t="s">
        <v>80</v>
      </c>
      <c r="J20" s="471"/>
    </row>
    <row r="21" spans="1:10" ht="13.5">
      <c r="A21" s="471"/>
      <c r="B21" s="80">
        <v>2</v>
      </c>
      <c r="C21" s="80">
        <f t="shared" ref="C21:C29" si="0">C20*3</f>
        <v>3</v>
      </c>
      <c r="D21" s="78"/>
      <c r="E21" s="78" t="s">
        <v>78</v>
      </c>
      <c r="F21" s="80">
        <f>F20*5</f>
        <v>5</v>
      </c>
      <c r="G21" s="79">
        <v>1</v>
      </c>
      <c r="I21" s="79" t="s">
        <v>79</v>
      </c>
      <c r="J21" s="79">
        <v>1</v>
      </c>
    </row>
    <row r="22" spans="1:10" ht="13.5">
      <c r="A22" s="471"/>
      <c r="B22" s="80">
        <v>3</v>
      </c>
      <c r="C22" s="80">
        <f t="shared" si="0"/>
        <v>9</v>
      </c>
      <c r="D22" s="78"/>
      <c r="E22" s="78" t="s">
        <v>77</v>
      </c>
      <c r="F22" s="80">
        <f>F21*5</f>
        <v>25</v>
      </c>
      <c r="G22" s="79">
        <f t="shared" ref="G22:G30" si="1">G21*3</f>
        <v>3</v>
      </c>
      <c r="I22" s="79" t="s">
        <v>78</v>
      </c>
      <c r="J22" s="79">
        <f>J21*5</f>
        <v>5</v>
      </c>
    </row>
    <row r="23" spans="1:10" ht="13.5">
      <c r="A23" s="471"/>
      <c r="B23" s="80">
        <v>4</v>
      </c>
      <c r="C23" s="80">
        <f t="shared" si="0"/>
        <v>27</v>
      </c>
      <c r="D23" s="78"/>
      <c r="E23" s="78" t="s">
        <v>76</v>
      </c>
      <c r="F23" s="80">
        <f>F22*5</f>
        <v>125</v>
      </c>
      <c r="G23" s="79">
        <f t="shared" si="1"/>
        <v>9</v>
      </c>
      <c r="I23" s="79" t="s">
        <v>77</v>
      </c>
      <c r="J23" s="79">
        <f>J22*5</f>
        <v>25</v>
      </c>
    </row>
    <row r="24" spans="1:10" ht="13.5">
      <c r="A24" s="471"/>
      <c r="B24" s="80">
        <v>5</v>
      </c>
      <c r="C24" s="80">
        <f t="shared" si="0"/>
        <v>81</v>
      </c>
      <c r="D24" s="78"/>
      <c r="E24" s="78"/>
      <c r="F24" s="78"/>
      <c r="G24" s="79">
        <f t="shared" si="1"/>
        <v>27</v>
      </c>
      <c r="I24" s="79" t="s">
        <v>76</v>
      </c>
      <c r="J24" s="79">
        <f>J23*5</f>
        <v>125</v>
      </c>
    </row>
    <row r="25" spans="1:10" ht="13.5">
      <c r="A25" s="471"/>
      <c r="B25" s="80">
        <v>6</v>
      </c>
      <c r="C25" s="80">
        <f t="shared" si="0"/>
        <v>243</v>
      </c>
      <c r="D25" s="78"/>
      <c r="E25" s="78"/>
      <c r="F25" s="78"/>
      <c r="G25" s="79">
        <f t="shared" si="1"/>
        <v>81</v>
      </c>
    </row>
    <row r="26" spans="1:10" ht="13.5">
      <c r="A26" s="471"/>
      <c r="B26" s="80">
        <v>7</v>
      </c>
      <c r="C26" s="80">
        <f t="shared" si="0"/>
        <v>729</v>
      </c>
      <c r="D26" s="78"/>
      <c r="E26" s="78"/>
      <c r="F26" s="78"/>
      <c r="G26" s="79">
        <f t="shared" si="1"/>
        <v>243</v>
      </c>
    </row>
    <row r="27" spans="1:10" ht="13.5">
      <c r="A27" s="471"/>
      <c r="B27" s="80">
        <v>8</v>
      </c>
      <c r="C27" s="80">
        <f t="shared" si="0"/>
        <v>2187</v>
      </c>
      <c r="D27" s="78"/>
      <c r="E27" s="78"/>
      <c r="F27" s="78"/>
      <c r="G27" s="79">
        <f t="shared" si="1"/>
        <v>729</v>
      </c>
    </row>
    <row r="28" spans="1:10" ht="13.5">
      <c r="A28" s="471"/>
      <c r="B28" s="80">
        <v>9</v>
      </c>
      <c r="C28" s="80">
        <f t="shared" si="0"/>
        <v>6561</v>
      </c>
      <c r="D28" s="78"/>
      <c r="E28" s="78"/>
      <c r="F28" s="78"/>
      <c r="G28" s="79">
        <f t="shared" si="1"/>
        <v>2187</v>
      </c>
    </row>
    <row r="29" spans="1:10" ht="13.5">
      <c r="A29" s="471"/>
      <c r="B29" s="80">
        <v>10</v>
      </c>
      <c r="C29" s="80">
        <f t="shared" si="0"/>
        <v>19683</v>
      </c>
      <c r="D29" s="78"/>
      <c r="E29" s="78"/>
      <c r="F29" s="78"/>
      <c r="G29" s="79">
        <f t="shared" si="1"/>
        <v>6561</v>
      </c>
    </row>
    <row r="30" spans="1:10" ht="13.5">
      <c r="A30" s="472" t="s">
        <v>75</v>
      </c>
      <c r="B30" s="78">
        <v>1</v>
      </c>
      <c r="C30" s="78">
        <f>C22</f>
        <v>9</v>
      </c>
      <c r="D30" s="78"/>
      <c r="E30" s="78"/>
      <c r="F30" s="78"/>
      <c r="G30" s="79">
        <f t="shared" si="1"/>
        <v>19683</v>
      </c>
    </row>
    <row r="31" spans="1:10" ht="13.5">
      <c r="A31" s="471"/>
      <c r="B31" s="79">
        <v>2</v>
      </c>
      <c r="C31" s="78">
        <f t="shared" ref="C31:C39" si="2">C30*3</f>
        <v>27</v>
      </c>
    </row>
    <row r="32" spans="1:10" ht="13.5">
      <c r="A32" s="471"/>
      <c r="B32" s="79">
        <v>3</v>
      </c>
      <c r="C32" s="78">
        <f t="shared" si="2"/>
        <v>81</v>
      </c>
    </row>
    <row r="33" spans="1:3" ht="13.5">
      <c r="A33" s="471"/>
      <c r="B33" s="79">
        <v>4</v>
      </c>
      <c r="C33" s="78">
        <f t="shared" si="2"/>
        <v>243</v>
      </c>
    </row>
    <row r="34" spans="1:3" ht="13.5">
      <c r="A34" s="471"/>
      <c r="B34" s="79">
        <v>5</v>
      </c>
      <c r="C34" s="78">
        <f t="shared" si="2"/>
        <v>729</v>
      </c>
    </row>
    <row r="35" spans="1:3" ht="13.5">
      <c r="A35" s="471"/>
      <c r="B35" s="79">
        <v>6</v>
      </c>
      <c r="C35" s="78">
        <f t="shared" si="2"/>
        <v>2187</v>
      </c>
    </row>
    <row r="36" spans="1:3" ht="13.5">
      <c r="A36" s="471"/>
      <c r="B36" s="79">
        <v>7</v>
      </c>
      <c r="C36" s="78">
        <f t="shared" si="2"/>
        <v>6561</v>
      </c>
    </row>
    <row r="37" spans="1:3" ht="13.5">
      <c r="A37" s="471"/>
      <c r="B37" s="79">
        <v>8</v>
      </c>
      <c r="C37" s="78">
        <f t="shared" si="2"/>
        <v>19683</v>
      </c>
    </row>
    <row r="38" spans="1:3" ht="13.5">
      <c r="A38" s="471"/>
      <c r="B38" s="79">
        <v>9</v>
      </c>
      <c r="C38" s="78">
        <f t="shared" si="2"/>
        <v>59049</v>
      </c>
    </row>
    <row r="39" spans="1:3" ht="13.5">
      <c r="A39" s="471"/>
      <c r="B39" s="79">
        <v>10</v>
      </c>
      <c r="C39" s="78">
        <f t="shared" si="2"/>
        <v>177147</v>
      </c>
    </row>
  </sheetData>
  <mergeCells count="7">
    <mergeCell ref="I20:J20"/>
    <mergeCell ref="A30:A39"/>
    <mergeCell ref="B1:C1"/>
    <mergeCell ref="E1:F1"/>
    <mergeCell ref="B19:C19"/>
    <mergeCell ref="E19:F19"/>
    <mergeCell ref="A20:A29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보상골드 정리</vt:lpstr>
      <vt:lpstr>주간 골드(최소)</vt:lpstr>
      <vt:lpstr>각종 계산(기존)</vt:lpstr>
      <vt:lpstr>각종 계산(IF함수)</vt:lpstr>
      <vt:lpstr>큐브</vt:lpstr>
      <vt:lpstr>큐브 보상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세훈 표</cp:lastModifiedBy>
  <dcterms:created xsi:type="dcterms:W3CDTF">2021-01-11T09:56:50Z</dcterms:created>
  <dcterms:modified xsi:type="dcterms:W3CDTF">2025-06-08T06:34:06Z</dcterms:modified>
</cp:coreProperties>
</file>